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30345" windowWidth="14805" windowHeight="1170"/>
  </bookViews>
  <sheets>
    <sheet name="PENDING" sheetId="2" r:id="rId1"/>
    <sheet name="IN &amp; OUT" sheetId="6" r:id="rId2"/>
    <sheet name="Sheet1" sheetId="4" r:id="rId3"/>
  </sheets>
  <definedNames>
    <definedName name="_xlnm._FilterDatabase" localSheetId="1" hidden="1">'IN &amp; OUT'!$A$1:$BA$2257</definedName>
    <definedName name="_xlnm._FilterDatabase" localSheetId="0" hidden="1">PENDING!$A$2:$AL$2</definedName>
    <definedName name="_xlnm._FilterDatabase" localSheetId="2" hidden="1">Sheet1!$A$1:$AL$1</definedName>
  </definedNames>
  <calcPr calcId="144525"/>
</workbook>
</file>

<file path=xl/calcChain.xml><?xml version="1.0" encoding="utf-8"?>
<calcChain xmlns="http://schemas.openxmlformats.org/spreadsheetml/2006/main">
  <c r="AM2256" i="6" l="1"/>
  <c r="AB2256" i="6"/>
  <c r="AC2256" i="6" s="1"/>
  <c r="T2256" i="6"/>
  <c r="R2256" i="6" s="1"/>
  <c r="Q2256" i="6"/>
  <c r="AM2254" i="6"/>
  <c r="AM2255" i="6"/>
  <c r="Q2255" i="6"/>
  <c r="R2255" i="6"/>
  <c r="AB2255" i="6"/>
  <c r="AC2255" i="6" s="1"/>
  <c r="AB2254" i="6"/>
  <c r="AC2254" i="6" s="1"/>
  <c r="Q2254" i="6"/>
  <c r="R2254" i="6"/>
  <c r="AM2252" i="6"/>
  <c r="AM2253" i="6"/>
  <c r="Q2253" i="6"/>
  <c r="R2253" i="6"/>
  <c r="AB2253" i="6"/>
  <c r="AC2253" i="6" s="1"/>
  <c r="AB2252" i="6"/>
  <c r="AC2252" i="6" s="1"/>
  <c r="T2252" i="6"/>
  <c r="Q2252" i="6"/>
  <c r="R2252" i="6"/>
  <c r="AM2251" i="6"/>
  <c r="AB2251" i="6"/>
  <c r="AC2251" i="6" s="1"/>
  <c r="T2251" i="6"/>
  <c r="R2251" i="6"/>
  <c r="Q2251" i="6"/>
  <c r="AM2250" i="6"/>
  <c r="AB2250" i="6"/>
  <c r="AC2250" i="6" s="1"/>
  <c r="R2250" i="6"/>
  <c r="Q2250" i="6"/>
  <c r="Q2249" i="6"/>
  <c r="R2249" i="6"/>
  <c r="AM2249" i="6"/>
  <c r="AB2249" i="6"/>
  <c r="AC2249" i="6" s="1"/>
  <c r="AB2248" i="6"/>
  <c r="AC2248" i="6" s="1"/>
  <c r="V2248" i="6"/>
  <c r="R2248" i="6"/>
  <c r="Q2248" i="6"/>
  <c r="AM2248" i="6"/>
  <c r="AM2247" i="6" l="1"/>
  <c r="AB2247" i="6"/>
  <c r="AC2247" i="6" s="1"/>
  <c r="T2247" i="6"/>
  <c r="R2247" i="6" s="1"/>
  <c r="Q2247" i="6"/>
  <c r="AM2244" i="6"/>
  <c r="AM2245" i="6"/>
  <c r="AM2246" i="6"/>
  <c r="Q2245" i="6"/>
  <c r="R2245" i="6"/>
  <c r="Q2246" i="6"/>
  <c r="R2246" i="6"/>
  <c r="AB2246" i="6"/>
  <c r="AC2246" i="6" s="1"/>
  <c r="AB2245" i="6"/>
  <c r="AC2245" i="6" s="1"/>
  <c r="AB2244" i="6"/>
  <c r="AC2244" i="6" s="1"/>
  <c r="V2244" i="6"/>
  <c r="T2244" i="6"/>
  <c r="Q2244" i="6"/>
  <c r="R2244" i="6"/>
  <c r="AM2243" i="6"/>
  <c r="AM2242" i="6"/>
  <c r="Q2243" i="6"/>
  <c r="R2243" i="6"/>
  <c r="AB2243" i="6"/>
  <c r="AC2243" i="6" s="1"/>
  <c r="AB2242" i="6"/>
  <c r="AC2242" i="6" s="1"/>
  <c r="V2242" i="6"/>
  <c r="R2242" i="6" s="1"/>
  <c r="Q2242" i="6"/>
  <c r="AM2240" i="6"/>
  <c r="AM2241" i="6"/>
  <c r="Q2241" i="6"/>
  <c r="R2241" i="6"/>
  <c r="AB2241" i="6"/>
  <c r="AC2241" i="6" s="1"/>
  <c r="AB2240" i="6"/>
  <c r="AC2240" i="6" s="1"/>
  <c r="V2240" i="6"/>
  <c r="Q2240" i="6"/>
  <c r="R2240" i="6"/>
  <c r="AM2239" i="6" l="1"/>
  <c r="AB2239" i="6"/>
  <c r="AC2239" i="6" s="1"/>
  <c r="V2239" i="6"/>
  <c r="R2239" i="6" s="1"/>
  <c r="Q2239" i="6"/>
  <c r="AM2238" i="6"/>
  <c r="AB2238" i="6"/>
  <c r="AC2238" i="6" s="1"/>
  <c r="Q2238" i="6"/>
  <c r="R2238" i="6"/>
  <c r="AM2236" i="6"/>
  <c r="AM2237" i="6"/>
  <c r="Q2237" i="6"/>
  <c r="R2237" i="6"/>
  <c r="AB2237" i="6"/>
  <c r="AC2237" i="6" s="1"/>
  <c r="AB2236" i="6"/>
  <c r="AC2236" i="6" s="1"/>
  <c r="Q2236" i="6"/>
  <c r="R2236" i="6"/>
  <c r="AM2235" i="6"/>
  <c r="AB2235" i="6"/>
  <c r="AC2235" i="6" s="1"/>
  <c r="Q2235" i="6"/>
  <c r="R2235" i="6"/>
  <c r="AM2233" i="6"/>
  <c r="AM2234" i="6"/>
  <c r="Q2234" i="6"/>
  <c r="R2234" i="6"/>
  <c r="AB2234" i="6"/>
  <c r="AC2234" i="6" s="1"/>
  <c r="AB2233" i="6"/>
  <c r="AC2233" i="6" s="1"/>
  <c r="V2233" i="6"/>
  <c r="R2233" i="6" s="1"/>
  <c r="Q2233" i="6"/>
  <c r="Q2232" i="6"/>
  <c r="R2232" i="6"/>
  <c r="AM2232" i="6"/>
  <c r="AM2231" i="6"/>
  <c r="AB2232" i="6"/>
  <c r="AC2232" i="6" s="1"/>
  <c r="AB2231" i="6"/>
  <c r="AC2231" i="6" s="1"/>
  <c r="Q2231" i="6"/>
  <c r="R2231" i="6"/>
  <c r="Q2230" i="6"/>
  <c r="R2230" i="6"/>
  <c r="AM2230" i="6"/>
  <c r="AM2229" i="6"/>
  <c r="AB2230" i="6"/>
  <c r="AC2230" i="6" s="1"/>
  <c r="AB2229" i="6"/>
  <c r="AC2229" i="6" s="1"/>
  <c r="Q2229" i="6"/>
  <c r="R2229" i="6"/>
  <c r="AM2228" i="6"/>
  <c r="AB2228" i="6"/>
  <c r="AC2228" i="6" s="1"/>
  <c r="Q2228" i="6"/>
  <c r="R2228" i="6"/>
  <c r="AM2227" i="6"/>
  <c r="AB2227" i="6"/>
  <c r="AC2227" i="6" s="1"/>
  <c r="Q2227" i="6"/>
  <c r="R2227" i="6"/>
  <c r="AM2226" i="6"/>
  <c r="AB2226" i="6"/>
  <c r="AC2226" i="6" s="1"/>
  <c r="Q2226" i="6"/>
  <c r="R2226" i="6"/>
  <c r="AM2225" i="6"/>
  <c r="AB2225" i="6"/>
  <c r="AC2225" i="6" s="1"/>
  <c r="T2225" i="6"/>
  <c r="Q2225" i="6"/>
  <c r="R2225" i="6"/>
  <c r="AM2200" i="6" l="1"/>
  <c r="AM2201" i="6"/>
  <c r="AM2202" i="6"/>
  <c r="AM2203" i="6"/>
  <c r="AM2204" i="6"/>
  <c r="AM2205" i="6"/>
  <c r="AM2206" i="6"/>
  <c r="AM2207" i="6"/>
  <c r="AM2208" i="6"/>
  <c r="AM2209" i="6"/>
  <c r="AM2210" i="6"/>
  <c r="AM2211" i="6"/>
  <c r="AM2212" i="6"/>
  <c r="AM2213" i="6"/>
  <c r="AM2214" i="6"/>
  <c r="AM2215" i="6"/>
  <c r="AM2216" i="6"/>
  <c r="AM2217" i="6"/>
  <c r="AM2218" i="6"/>
  <c r="AM2219" i="6"/>
  <c r="AM2220" i="6"/>
  <c r="AM2221" i="6"/>
  <c r="AM2222" i="6"/>
  <c r="AM2223" i="6"/>
  <c r="AM2224" i="6"/>
  <c r="AB2200" i="6"/>
  <c r="AC2200" i="6" s="1"/>
  <c r="AB2201" i="6"/>
  <c r="AC2201" i="6" s="1"/>
  <c r="AB2202" i="6"/>
  <c r="AC2202" i="6" s="1"/>
  <c r="AB2203" i="6"/>
  <c r="AC2203" i="6" s="1"/>
  <c r="AB2204" i="6"/>
  <c r="AC2204" i="6" s="1"/>
  <c r="AB2205" i="6"/>
  <c r="AC2205" i="6" s="1"/>
  <c r="AB2206" i="6"/>
  <c r="AC2206" i="6" s="1"/>
  <c r="AB2207" i="6"/>
  <c r="AC2207" i="6" s="1"/>
  <c r="AB2208" i="6"/>
  <c r="AC2208" i="6" s="1"/>
  <c r="AB2209" i="6"/>
  <c r="AC2209" i="6" s="1"/>
  <c r="AB2210" i="6"/>
  <c r="AC2210" i="6" s="1"/>
  <c r="AB2211" i="6"/>
  <c r="AC2211" i="6" s="1"/>
  <c r="AB2212" i="6"/>
  <c r="AC2212" i="6" s="1"/>
  <c r="AB2213" i="6"/>
  <c r="AC2213" i="6" s="1"/>
  <c r="AB2214" i="6"/>
  <c r="AC2214" i="6" s="1"/>
  <c r="AB2215" i="6"/>
  <c r="AC2215" i="6" s="1"/>
  <c r="AB2216" i="6"/>
  <c r="AC2216" i="6" s="1"/>
  <c r="AB2217" i="6"/>
  <c r="AC2217" i="6" s="1"/>
  <c r="AB2218" i="6"/>
  <c r="AC2218" i="6" s="1"/>
  <c r="AB2219" i="6"/>
  <c r="AC2219" i="6" s="1"/>
  <c r="AB2220" i="6"/>
  <c r="AC2220" i="6" s="1"/>
  <c r="AB2221" i="6"/>
  <c r="AC2221" i="6" s="1"/>
  <c r="AB2222" i="6"/>
  <c r="AC2222" i="6" s="1"/>
  <c r="AB2223" i="6"/>
  <c r="AC2223" i="6" s="1"/>
  <c r="AB2224" i="6"/>
  <c r="AC2224" i="6" s="1"/>
  <c r="Q2200" i="6"/>
  <c r="R2200" i="6"/>
  <c r="Q2201" i="6"/>
  <c r="R2201" i="6"/>
  <c r="Q2202" i="6"/>
  <c r="R2202" i="6"/>
  <c r="Q2203" i="6"/>
  <c r="R2203" i="6"/>
  <c r="Q2204" i="6"/>
  <c r="R2204" i="6"/>
  <c r="Q2205" i="6"/>
  <c r="R2205" i="6"/>
  <c r="Q2206" i="6"/>
  <c r="R2206" i="6"/>
  <c r="Q2207" i="6"/>
  <c r="R2207" i="6"/>
  <c r="Q2208" i="6"/>
  <c r="R2208" i="6"/>
  <c r="Q2209" i="6"/>
  <c r="R2209" i="6"/>
  <c r="Q2210" i="6"/>
  <c r="R2210" i="6"/>
  <c r="Q2211" i="6"/>
  <c r="R2211" i="6"/>
  <c r="Q2212" i="6"/>
  <c r="R2212" i="6"/>
  <c r="Q2213" i="6"/>
  <c r="R2213" i="6"/>
  <c r="Q2214" i="6"/>
  <c r="R2214" i="6"/>
  <c r="Q2215" i="6"/>
  <c r="R2215" i="6"/>
  <c r="Q2216" i="6"/>
  <c r="R2216" i="6"/>
  <c r="Q2217" i="6"/>
  <c r="R2217" i="6"/>
  <c r="Q2218" i="6"/>
  <c r="R2218" i="6"/>
  <c r="Q2219" i="6"/>
  <c r="R2219" i="6"/>
  <c r="Q2220" i="6"/>
  <c r="R2220" i="6"/>
  <c r="Q2221" i="6"/>
  <c r="R2221" i="6"/>
  <c r="Q2222" i="6"/>
  <c r="R2222" i="6"/>
  <c r="Q2223" i="6"/>
  <c r="R2223" i="6"/>
  <c r="Q2224" i="6"/>
  <c r="R2224" i="6"/>
  <c r="AM2177" i="6" l="1"/>
  <c r="AM2178" i="6"/>
  <c r="AM2179" i="6"/>
  <c r="AM2180" i="6"/>
  <c r="AM2181" i="6"/>
  <c r="AM2182" i="6"/>
  <c r="AM2183" i="6"/>
  <c r="AM2184" i="6"/>
  <c r="AM2185" i="6"/>
  <c r="AM2186" i="6"/>
  <c r="AM2187" i="6"/>
  <c r="AM2188" i="6"/>
  <c r="AM2189" i="6"/>
  <c r="AM2190" i="6"/>
  <c r="AM2191" i="6"/>
  <c r="AM2192" i="6"/>
  <c r="AM2193" i="6"/>
  <c r="AM2194" i="6"/>
  <c r="AM2195" i="6"/>
  <c r="AM2196" i="6"/>
  <c r="AM2197" i="6"/>
  <c r="AM2198" i="6"/>
  <c r="AM2199" i="6"/>
  <c r="AB2183" i="6"/>
  <c r="AC2183" i="6" s="1"/>
  <c r="AB2184" i="6"/>
  <c r="AC2184" i="6" s="1"/>
  <c r="AB2185" i="6"/>
  <c r="AC2185" i="6" s="1"/>
  <c r="AB2186" i="6"/>
  <c r="AC2186" i="6" s="1"/>
  <c r="AB2187" i="6"/>
  <c r="AC2187" i="6" s="1"/>
  <c r="AB2188" i="6"/>
  <c r="AC2188" i="6" s="1"/>
  <c r="AB2189" i="6"/>
  <c r="AC2189" i="6" s="1"/>
  <c r="AB2190" i="6"/>
  <c r="AC2190" i="6" s="1"/>
  <c r="AB2191" i="6"/>
  <c r="AC2191" i="6" s="1"/>
  <c r="AB2192" i="6"/>
  <c r="AC2192" i="6" s="1"/>
  <c r="AB2193" i="6"/>
  <c r="AC2193" i="6" s="1"/>
  <c r="AB2194" i="6"/>
  <c r="AC2194" i="6" s="1"/>
  <c r="AB2195" i="6"/>
  <c r="AC2195" i="6" s="1"/>
  <c r="AB2196" i="6"/>
  <c r="AC2196" i="6" s="1"/>
  <c r="AB2197" i="6"/>
  <c r="AC2197" i="6" s="1"/>
  <c r="AB2198" i="6"/>
  <c r="AC2198" i="6" s="1"/>
  <c r="AB2199" i="6"/>
  <c r="AC2199" i="6" s="1"/>
  <c r="Q2183" i="6"/>
  <c r="R2183" i="6"/>
  <c r="Q2184" i="6"/>
  <c r="R2184" i="6"/>
  <c r="Q2185" i="6"/>
  <c r="R2185" i="6"/>
  <c r="Q2186" i="6"/>
  <c r="R2186" i="6"/>
  <c r="Q2187" i="6"/>
  <c r="R2187" i="6"/>
  <c r="Q2188" i="6"/>
  <c r="R2188" i="6"/>
  <c r="Q2189" i="6"/>
  <c r="R2189" i="6"/>
  <c r="Q2190" i="6"/>
  <c r="R2190" i="6"/>
  <c r="Q2191" i="6"/>
  <c r="R2191" i="6"/>
  <c r="Q2192" i="6"/>
  <c r="R2192" i="6"/>
  <c r="Q2193" i="6"/>
  <c r="R2193" i="6"/>
  <c r="Q2194" i="6"/>
  <c r="R2194" i="6"/>
  <c r="Q2195" i="6"/>
  <c r="R2195" i="6"/>
  <c r="Q2196" i="6"/>
  <c r="R2196" i="6"/>
  <c r="Q2197" i="6"/>
  <c r="R2197" i="6"/>
  <c r="Q2198" i="6"/>
  <c r="R2198" i="6"/>
  <c r="Q2199" i="6"/>
  <c r="R2199" i="6"/>
  <c r="AB2182" i="6"/>
  <c r="AC2182" i="6" s="1"/>
  <c r="Q2182" i="6"/>
  <c r="R2182" i="6"/>
  <c r="Q2180" i="6"/>
  <c r="R2180" i="6"/>
  <c r="Q2181" i="6"/>
  <c r="R2181" i="6"/>
  <c r="AB2177" i="6"/>
  <c r="AC2177" i="6" s="1"/>
  <c r="AB2178" i="6"/>
  <c r="AC2178" i="6" s="1"/>
  <c r="AB2179" i="6"/>
  <c r="AC2179" i="6" s="1"/>
  <c r="AB2180" i="6"/>
  <c r="AC2180" i="6" s="1"/>
  <c r="AB2181" i="6"/>
  <c r="AC2181" i="6" s="1"/>
  <c r="V2179" i="6"/>
  <c r="Q2177" i="6"/>
  <c r="R2177" i="6"/>
  <c r="Q2178" i="6"/>
  <c r="R2178" i="6"/>
  <c r="Q2179" i="6"/>
  <c r="AM2176" i="6" l="1"/>
  <c r="V2176" i="6"/>
  <c r="R2176" i="6" s="1"/>
  <c r="AB2176" i="6"/>
  <c r="AC2176" i="6" s="1"/>
  <c r="Q2176" i="6"/>
  <c r="AM2175" i="6"/>
  <c r="AB2175" i="6"/>
  <c r="AC2175" i="6" s="1"/>
  <c r="Q2175" i="6"/>
  <c r="R2175" i="6"/>
  <c r="Q2174" i="6"/>
  <c r="R2174" i="6"/>
  <c r="AM2174" i="6"/>
  <c r="AM2173" i="6"/>
  <c r="AB2173" i="6"/>
  <c r="AC2173" i="6" s="1"/>
  <c r="AB2174" i="6"/>
  <c r="AC2174" i="6" s="1"/>
  <c r="Q2173" i="6"/>
  <c r="R2173" i="6"/>
  <c r="Q2172" i="6"/>
  <c r="R2172" i="6"/>
  <c r="AM2172" i="6"/>
  <c r="AM2171" i="6"/>
  <c r="AA2172" i="6"/>
  <c r="AB2172" i="6" s="1"/>
  <c r="AC2172" i="6" s="1"/>
  <c r="AB2171" i="6"/>
  <c r="AC2171" i="6" s="1"/>
  <c r="T2171" i="6"/>
  <c r="R2171" i="6" s="1"/>
  <c r="Q2171" i="6"/>
  <c r="Q2170" i="6"/>
  <c r="R2170" i="6"/>
  <c r="AM2170" i="6"/>
  <c r="AM2169" i="6"/>
  <c r="AB2170" i="6"/>
  <c r="AC2170" i="6" s="1"/>
  <c r="AB2169" i="6"/>
  <c r="AC2169" i="6" s="1"/>
  <c r="Q2169" i="6"/>
  <c r="R2169" i="6"/>
  <c r="Q2168" i="6"/>
  <c r="R2168" i="6"/>
  <c r="AM2168" i="6"/>
  <c r="AM2167" i="6"/>
  <c r="AB2168" i="6"/>
  <c r="AC2168" i="6" s="1"/>
  <c r="AB2167" i="6"/>
  <c r="AC2167" i="6" s="1"/>
  <c r="Q2167" i="6"/>
  <c r="R2167" i="6"/>
  <c r="Q2165" i="6" l="1"/>
  <c r="R2165" i="6"/>
  <c r="Q2166" i="6"/>
  <c r="R2166" i="6"/>
  <c r="AM2166" i="6"/>
  <c r="AM2165" i="6"/>
  <c r="AM2163" i="6"/>
  <c r="AM2164" i="6"/>
  <c r="AB2166" i="6"/>
  <c r="AC2166" i="6" s="1"/>
  <c r="AB2165" i="6"/>
  <c r="AC2165" i="6" s="1"/>
  <c r="AB2164" i="6"/>
  <c r="AC2164" i="6" s="1"/>
  <c r="W2164" i="6"/>
  <c r="T2164" i="6"/>
  <c r="Q2164" i="6"/>
  <c r="R2164" i="6"/>
  <c r="Q2162" i="6"/>
  <c r="R2162" i="6"/>
  <c r="Q2163" i="6"/>
  <c r="R2163" i="6"/>
  <c r="AM2162" i="6"/>
  <c r="AM2161" i="6"/>
  <c r="AB2163" i="6"/>
  <c r="AC2163" i="6" s="1"/>
  <c r="AB2162" i="6"/>
  <c r="AC2162" i="6" s="1"/>
  <c r="AB2161" i="6"/>
  <c r="AC2161" i="6" s="1"/>
  <c r="W2161" i="6"/>
  <c r="T2161" i="6"/>
  <c r="Q2161" i="6"/>
  <c r="R2161" i="6"/>
  <c r="Q2159" i="6"/>
  <c r="T2159" i="6"/>
  <c r="R2159" i="6" s="1"/>
  <c r="AB2159" i="6"/>
  <c r="AC2159" i="6" s="1"/>
  <c r="Q2160" i="6"/>
  <c r="R2160" i="6"/>
  <c r="AB2160" i="6"/>
  <c r="AC2160" i="6" s="1"/>
  <c r="AM2160" i="6"/>
  <c r="AM2159" i="6"/>
  <c r="Q2158" i="6" l="1"/>
  <c r="R2158" i="6"/>
  <c r="AM2158" i="6"/>
  <c r="AM2157" i="6"/>
  <c r="AB2158" i="6"/>
  <c r="AC2158" i="6" s="1"/>
  <c r="AB2157" i="6"/>
  <c r="AC2157" i="6" s="1"/>
  <c r="V2157" i="6"/>
  <c r="R2157" i="6" s="1"/>
  <c r="Q2157" i="6"/>
  <c r="Q2155" i="6"/>
  <c r="R2155" i="6"/>
  <c r="Q2156" i="6"/>
  <c r="R2156" i="6"/>
  <c r="AM2155" i="6"/>
  <c r="AM2156" i="6"/>
  <c r="AM2154" i="6"/>
  <c r="AB2156" i="6"/>
  <c r="AC2156" i="6" s="1"/>
  <c r="AB2155" i="6"/>
  <c r="AC2155" i="6" s="1"/>
  <c r="AB2154" i="6"/>
  <c r="AC2154" i="6" s="1"/>
  <c r="T2154" i="6"/>
  <c r="Q2154" i="6"/>
  <c r="R2154" i="6"/>
  <c r="Q2153" i="6"/>
  <c r="R2153" i="6"/>
  <c r="AM2153" i="6"/>
  <c r="AM2152" i="6"/>
  <c r="AB2153" i="6"/>
  <c r="AC2153" i="6" s="1"/>
  <c r="AB2152" i="6"/>
  <c r="AC2152" i="6" s="1"/>
  <c r="V2152" i="6"/>
  <c r="Q2152" i="6"/>
  <c r="R2152" i="6"/>
  <c r="AM2151" i="6"/>
  <c r="Q2149" i="6"/>
  <c r="R2149" i="6"/>
  <c r="Q2150" i="6"/>
  <c r="R2150" i="6"/>
  <c r="AM2149" i="6"/>
  <c r="AM2150" i="6"/>
  <c r="AB2150" i="6"/>
  <c r="AC2150" i="6" s="1"/>
  <c r="AB2149" i="6"/>
  <c r="AC2149" i="6" s="1"/>
  <c r="AB2151" i="6"/>
  <c r="AC2151" i="6" s="1"/>
  <c r="Q2151" i="6"/>
  <c r="R2151" i="6"/>
  <c r="AM2148" i="6"/>
  <c r="AB2148" i="6"/>
  <c r="AC2148" i="6" s="1"/>
  <c r="V2148" i="6"/>
  <c r="R2148" i="6" s="1"/>
  <c r="Q2148" i="6"/>
  <c r="AM2131" i="6"/>
  <c r="AM2132" i="6"/>
  <c r="AM2133" i="6"/>
  <c r="AM2134" i="6"/>
  <c r="AM2135" i="6"/>
  <c r="AM2136" i="6"/>
  <c r="AM2137" i="6"/>
  <c r="AM2138" i="6"/>
  <c r="AM2139" i="6"/>
  <c r="AM2140" i="6"/>
  <c r="AM2141" i="6"/>
  <c r="AM2142" i="6"/>
  <c r="AM2143" i="6"/>
  <c r="AM2144" i="6"/>
  <c r="AM2145" i="6"/>
  <c r="AM2146" i="6"/>
  <c r="AM2147" i="6"/>
  <c r="AB2131" i="6"/>
  <c r="AC2131" i="6" s="1"/>
  <c r="AB2132" i="6"/>
  <c r="AC2132" i="6" s="1"/>
  <c r="AB2133" i="6"/>
  <c r="AC2133" i="6" s="1"/>
  <c r="AB2134" i="6"/>
  <c r="AC2134" i="6" s="1"/>
  <c r="AB2135" i="6"/>
  <c r="AC2135" i="6" s="1"/>
  <c r="AB2136" i="6"/>
  <c r="AC2136" i="6" s="1"/>
  <c r="AB2137" i="6"/>
  <c r="AC2137" i="6" s="1"/>
  <c r="AB2138" i="6"/>
  <c r="AC2138" i="6" s="1"/>
  <c r="AB2139" i="6"/>
  <c r="AC2139" i="6" s="1"/>
  <c r="AB2140" i="6"/>
  <c r="AC2140" i="6" s="1"/>
  <c r="AB2141" i="6"/>
  <c r="AC2141" i="6" s="1"/>
  <c r="AB2142" i="6"/>
  <c r="AC2142" i="6" s="1"/>
  <c r="AB2143" i="6"/>
  <c r="AC2143" i="6" s="1"/>
  <c r="AB2144" i="6"/>
  <c r="AC2144" i="6" s="1"/>
  <c r="AB2145" i="6"/>
  <c r="AC2145" i="6" s="1"/>
  <c r="AB2146" i="6"/>
  <c r="AC2146" i="6" s="1"/>
  <c r="AB2147" i="6"/>
  <c r="AC2147" i="6" s="1"/>
  <c r="Q2131" i="6"/>
  <c r="R2131" i="6"/>
  <c r="Q2132" i="6"/>
  <c r="R2132" i="6"/>
  <c r="Q2133" i="6"/>
  <c r="R2133" i="6"/>
  <c r="Q2134" i="6"/>
  <c r="R2134" i="6"/>
  <c r="Q2135" i="6"/>
  <c r="R2135" i="6"/>
  <c r="Q2136" i="6"/>
  <c r="R2136" i="6"/>
  <c r="Q2137" i="6"/>
  <c r="R2137" i="6"/>
  <c r="Q2138" i="6"/>
  <c r="R2138" i="6"/>
  <c r="Q2139" i="6"/>
  <c r="R2139" i="6"/>
  <c r="Q2140" i="6"/>
  <c r="R2140" i="6"/>
  <c r="Q2141" i="6"/>
  <c r="R2141" i="6"/>
  <c r="Q2142" i="6"/>
  <c r="R2142" i="6"/>
  <c r="Q2143" i="6"/>
  <c r="R2143" i="6"/>
  <c r="Q2144" i="6"/>
  <c r="R2144" i="6"/>
  <c r="Q2145" i="6"/>
  <c r="R2145" i="6"/>
  <c r="Q2146" i="6"/>
  <c r="R2146" i="6"/>
  <c r="Q2147" i="6"/>
  <c r="R2147" i="6"/>
  <c r="T2130" i="6" l="1"/>
  <c r="AM2130" i="6"/>
  <c r="AB2130" i="6"/>
  <c r="AC2130" i="6" s="1"/>
  <c r="Q2130" i="6"/>
  <c r="R2130" i="6"/>
  <c r="T2126" i="6"/>
  <c r="R2126" i="6" s="1"/>
  <c r="AD2128" i="6"/>
  <c r="AM2126" i="6"/>
  <c r="AM2127" i="6"/>
  <c r="AM2128" i="6"/>
  <c r="AM2129" i="6"/>
  <c r="Q2129" i="6"/>
  <c r="R2129" i="6"/>
  <c r="AB2129" i="6"/>
  <c r="AC2129" i="6" s="1"/>
  <c r="AB2128" i="6"/>
  <c r="AC2128" i="6" s="1"/>
  <c r="Q2128" i="6"/>
  <c r="R2128" i="6"/>
  <c r="Q2127" i="6"/>
  <c r="R2127" i="6"/>
  <c r="AB2127" i="6"/>
  <c r="AC2127" i="6" s="1"/>
  <c r="AB2126" i="6"/>
  <c r="AC2126" i="6" s="1"/>
  <c r="Q2126" i="6"/>
  <c r="AM2125" i="6"/>
  <c r="AB2125" i="6"/>
  <c r="AC2125" i="6" s="1"/>
  <c r="V2125" i="6"/>
  <c r="Q2125" i="6"/>
  <c r="R2125" i="6"/>
  <c r="AM2124" i="6"/>
  <c r="AB2124" i="6"/>
  <c r="AC2124" i="6" s="1"/>
  <c r="V2124" i="6"/>
  <c r="Q2124" i="6"/>
  <c r="R2124" i="6"/>
  <c r="AM2122" i="6"/>
  <c r="AM2123" i="6"/>
  <c r="Q2123" i="6"/>
  <c r="R2123" i="6"/>
  <c r="AB2123" i="6"/>
  <c r="AC2123" i="6" s="1"/>
  <c r="AB2122" i="6"/>
  <c r="AC2122" i="6" s="1"/>
  <c r="V2122" i="6"/>
  <c r="Q2122" i="6"/>
  <c r="AM2121" i="6"/>
  <c r="AB2121" i="6"/>
  <c r="AC2121" i="6" s="1"/>
  <c r="Q2121" i="6"/>
  <c r="R2121" i="6"/>
  <c r="AM2120" i="6"/>
  <c r="AB2120" i="6"/>
  <c r="AC2120" i="6" s="1"/>
  <c r="Q2120" i="6"/>
  <c r="R2120" i="6"/>
  <c r="AM2106" i="6"/>
  <c r="AM2107" i="6"/>
  <c r="AM2108" i="6"/>
  <c r="AM2109" i="6"/>
  <c r="AM2110" i="6"/>
  <c r="AM2111" i="6"/>
  <c r="AM2112" i="6"/>
  <c r="AM2113" i="6"/>
  <c r="AM2114" i="6"/>
  <c r="AM2115" i="6"/>
  <c r="AM2116" i="6"/>
  <c r="AM2117" i="6"/>
  <c r="AM2118" i="6"/>
  <c r="AM2119" i="6"/>
  <c r="AB2106" i="6"/>
  <c r="AC2106" i="6" s="1"/>
  <c r="AB2107" i="6"/>
  <c r="AC2107" i="6" s="1"/>
  <c r="AB2108" i="6"/>
  <c r="AC2108" i="6" s="1"/>
  <c r="AB2109" i="6"/>
  <c r="AC2109" i="6" s="1"/>
  <c r="AB2110" i="6"/>
  <c r="AC2110" i="6" s="1"/>
  <c r="AB2111" i="6"/>
  <c r="AC2111" i="6" s="1"/>
  <c r="AB2112" i="6"/>
  <c r="AC2112" i="6" s="1"/>
  <c r="AB2113" i="6"/>
  <c r="AC2113" i="6" s="1"/>
  <c r="AB2114" i="6"/>
  <c r="AC2114" i="6" s="1"/>
  <c r="AB2115" i="6"/>
  <c r="AC2115" i="6" s="1"/>
  <c r="AB2116" i="6"/>
  <c r="AC2116" i="6" s="1"/>
  <c r="AB2117" i="6"/>
  <c r="AC2117" i="6" s="1"/>
  <c r="AB2118" i="6"/>
  <c r="AC2118" i="6" s="1"/>
  <c r="AB2119" i="6"/>
  <c r="AC2119" i="6" s="1"/>
  <c r="Q2106" i="6"/>
  <c r="R2106" i="6"/>
  <c r="Q2107" i="6"/>
  <c r="R2107" i="6"/>
  <c r="Q2108" i="6"/>
  <c r="R2108" i="6"/>
  <c r="Q2109" i="6"/>
  <c r="R2109" i="6"/>
  <c r="Q2110" i="6"/>
  <c r="R2110" i="6"/>
  <c r="Q2111" i="6"/>
  <c r="R2111" i="6"/>
  <c r="Q2112" i="6"/>
  <c r="R2112" i="6"/>
  <c r="Q2113" i="6"/>
  <c r="R2113" i="6"/>
  <c r="Q2114" i="6"/>
  <c r="R2114" i="6"/>
  <c r="Q2115" i="6"/>
  <c r="R2115" i="6"/>
  <c r="Q2116" i="6"/>
  <c r="R2116" i="6"/>
  <c r="Q2117" i="6"/>
  <c r="R2117" i="6"/>
  <c r="Q2118" i="6"/>
  <c r="R2118" i="6"/>
  <c r="Q2119" i="6"/>
  <c r="R2119" i="6"/>
  <c r="Q2099" i="6" l="1"/>
  <c r="Q2100" i="6"/>
  <c r="Q2097" i="6"/>
  <c r="Q2089" i="6"/>
  <c r="Q2090" i="6"/>
  <c r="Q2091" i="6"/>
  <c r="Q2092" i="6"/>
  <c r="Q2093" i="6"/>
  <c r="Q2081" i="6"/>
  <c r="R2081" i="6"/>
  <c r="Q2082" i="6"/>
  <c r="R2082" i="6"/>
  <c r="Q2033" i="6"/>
  <c r="Q2031" i="6"/>
  <c r="Q2023" i="6"/>
  <c r="Q2024" i="6"/>
  <c r="Q2020" i="6"/>
  <c r="Q2021" i="6"/>
  <c r="Q2009" i="6"/>
  <c r="Q2010" i="6"/>
  <c r="Q2011" i="6"/>
  <c r="Q1999" i="6"/>
  <c r="AM2104" i="6" l="1"/>
  <c r="AM2105" i="6"/>
  <c r="AB2103" i="6"/>
  <c r="AC2103" i="6" s="1"/>
  <c r="AB2104" i="6"/>
  <c r="AC2104" i="6" s="1"/>
  <c r="AB2105" i="6"/>
  <c r="AC2105" i="6" s="1"/>
  <c r="Q2104" i="6"/>
  <c r="R2104" i="6"/>
  <c r="Q2105" i="6"/>
  <c r="R2105" i="6"/>
  <c r="AM2094" i="6"/>
  <c r="AM2095" i="6"/>
  <c r="AM2096" i="6"/>
  <c r="AM2097" i="6"/>
  <c r="AM2098" i="6"/>
  <c r="AM2099" i="6"/>
  <c r="AM2100" i="6"/>
  <c r="AM2101" i="6"/>
  <c r="AM2102" i="6"/>
  <c r="AM2103" i="6"/>
  <c r="AB2093" i="6"/>
  <c r="AC2093" i="6" s="1"/>
  <c r="AB2094" i="6"/>
  <c r="AC2094" i="6" s="1"/>
  <c r="AB2095" i="6"/>
  <c r="AC2095" i="6" s="1"/>
  <c r="AB2096" i="6"/>
  <c r="AC2096" i="6" s="1"/>
  <c r="AB2097" i="6"/>
  <c r="AC2097" i="6" s="1"/>
  <c r="AB2098" i="6"/>
  <c r="AC2098" i="6" s="1"/>
  <c r="AB2099" i="6"/>
  <c r="AC2099" i="6" s="1"/>
  <c r="AB2100" i="6"/>
  <c r="AC2100" i="6" s="1"/>
  <c r="AB2101" i="6"/>
  <c r="AC2101" i="6" s="1"/>
  <c r="AB2102" i="6"/>
  <c r="AC2102" i="6" s="1"/>
  <c r="Q2094" i="6"/>
  <c r="R2094" i="6"/>
  <c r="Q2095" i="6"/>
  <c r="R2095" i="6"/>
  <c r="Q2096" i="6"/>
  <c r="R2096" i="6"/>
  <c r="R2097" i="6"/>
  <c r="Q2098" i="6"/>
  <c r="R2098" i="6"/>
  <c r="R2099" i="6"/>
  <c r="R2100" i="6"/>
  <c r="Q2101" i="6"/>
  <c r="R2101" i="6"/>
  <c r="Q2102" i="6"/>
  <c r="R2102" i="6"/>
  <c r="Q2103" i="6"/>
  <c r="R2103" i="6"/>
  <c r="R2089" i="6" l="1"/>
  <c r="R2090" i="6"/>
  <c r="R2091" i="6"/>
  <c r="R2092" i="6"/>
  <c r="R2093" i="6"/>
  <c r="AM2089" i="6"/>
  <c r="AM2090" i="6"/>
  <c r="AM2091" i="6"/>
  <c r="AM2092" i="6"/>
  <c r="AM2093" i="6"/>
  <c r="AM2088" i="6"/>
  <c r="AB2092" i="6"/>
  <c r="AC2092" i="6" s="1"/>
  <c r="AB2091" i="6"/>
  <c r="AC2091" i="6" s="1"/>
  <c r="AB2090" i="6"/>
  <c r="AC2090" i="6" s="1"/>
  <c r="AB2089" i="6"/>
  <c r="AC2089" i="6" s="1"/>
  <c r="AB2088" i="6"/>
  <c r="AC2088" i="6" s="1"/>
  <c r="V2088" i="6"/>
  <c r="Q2088" i="6"/>
  <c r="R2088" i="6"/>
  <c r="AM2087" i="6"/>
  <c r="AB2087" i="6"/>
  <c r="AC2087" i="6" s="1"/>
  <c r="Q2087" i="6"/>
  <c r="R2087" i="6"/>
  <c r="AM2086" i="6"/>
  <c r="AB2086" i="6"/>
  <c r="AC2086" i="6" s="1"/>
  <c r="T2086" i="6"/>
  <c r="Q2086" i="6"/>
  <c r="R2086" i="6"/>
  <c r="AM2085" i="6"/>
  <c r="AB2085" i="6"/>
  <c r="AC2085" i="6" s="1"/>
  <c r="V2085" i="6"/>
  <c r="R2085" i="6" s="1"/>
  <c r="Q2085" i="6"/>
  <c r="AM2084" i="6"/>
  <c r="AB2084" i="6"/>
  <c r="AC2084" i="6" s="1"/>
  <c r="Q2084" i="6"/>
  <c r="R2084" i="6"/>
  <c r="AM2083" i="6"/>
  <c r="AB2083" i="6"/>
  <c r="AC2083" i="6" s="1"/>
  <c r="Q2083" i="6"/>
  <c r="R2083" i="6"/>
  <c r="AM2081" i="6"/>
  <c r="AM2082" i="6"/>
  <c r="AM2080" i="6"/>
  <c r="AB2082" i="6"/>
  <c r="AC2082" i="6" s="1"/>
  <c r="AB2081" i="6"/>
  <c r="AC2081" i="6" s="1"/>
  <c r="AB2080" i="6"/>
  <c r="AC2080" i="6" s="1"/>
  <c r="T2080" i="6"/>
  <c r="R2080" i="6" s="1"/>
  <c r="Q2080" i="6"/>
  <c r="AM2079" i="6"/>
  <c r="AB2079" i="6"/>
  <c r="AC2079" i="6" s="1"/>
  <c r="T2079" i="6"/>
  <c r="Q2079" i="6"/>
  <c r="R2079" i="6"/>
  <c r="AM2078" i="6"/>
  <c r="AB2078" i="6"/>
  <c r="AC2078" i="6" s="1"/>
  <c r="Q2078" i="6"/>
  <c r="R2078" i="6"/>
  <c r="V2053" i="6"/>
  <c r="V2076" i="6"/>
  <c r="Q2077" i="6"/>
  <c r="R2077" i="6"/>
  <c r="AM2077" i="6"/>
  <c r="AM2076" i="6"/>
  <c r="AB2077" i="6"/>
  <c r="AC2077" i="6" s="1"/>
  <c r="AB2076" i="6"/>
  <c r="AC2076" i="6" s="1"/>
  <c r="Q2076" i="6"/>
  <c r="R2076" i="6"/>
  <c r="AM2075" i="6"/>
  <c r="AB2075" i="6"/>
  <c r="AC2075" i="6" s="1"/>
  <c r="Q2075" i="6"/>
  <c r="R2075" i="6"/>
  <c r="AM2074" i="6"/>
  <c r="AB2074" i="6"/>
  <c r="AC2074" i="6" s="1"/>
  <c r="Q2074" i="6"/>
  <c r="R2074" i="6"/>
  <c r="AM2073" i="6"/>
  <c r="AM2072" i="6"/>
  <c r="Q2073" i="6"/>
  <c r="R2073" i="6"/>
  <c r="AB2073" i="6"/>
  <c r="AC2073" i="6" s="1"/>
  <c r="AB2072" i="6"/>
  <c r="AC2072" i="6" s="1"/>
  <c r="V2072" i="6"/>
  <c r="R2072" i="6" s="1"/>
  <c r="Q2072" i="6"/>
  <c r="AD2066" i="6"/>
  <c r="AM2069" i="6"/>
  <c r="AM2070" i="6"/>
  <c r="AM2071" i="6"/>
  <c r="Q2070" i="6"/>
  <c r="R2070" i="6"/>
  <c r="Q2071" i="6"/>
  <c r="R2071" i="6"/>
  <c r="AB2071" i="6"/>
  <c r="AC2071" i="6" s="1"/>
  <c r="AB2070" i="6"/>
  <c r="AC2070" i="6" s="1"/>
  <c r="AB2069" i="6"/>
  <c r="AC2069" i="6" s="1"/>
  <c r="T2069" i="6"/>
  <c r="Q2069" i="6"/>
  <c r="R2069" i="6"/>
  <c r="AM2066" i="6"/>
  <c r="AM2067" i="6"/>
  <c r="AM2068" i="6"/>
  <c r="Q2067" i="6"/>
  <c r="R2067" i="6"/>
  <c r="Q2068" i="6"/>
  <c r="R2068" i="6"/>
  <c r="AB2068" i="6"/>
  <c r="AC2068" i="6" s="1"/>
  <c r="AB2067" i="6"/>
  <c r="AC2067" i="6" s="1"/>
  <c r="AB2066" i="6"/>
  <c r="AC2066" i="6" s="1"/>
  <c r="V2066" i="6"/>
  <c r="R2066" i="6" s="1"/>
  <c r="Q2066" i="6"/>
  <c r="AM2043" i="6" l="1"/>
  <c r="AM2044" i="6"/>
  <c r="AM2045" i="6"/>
  <c r="AM2046" i="6"/>
  <c r="AM2047" i="6"/>
  <c r="AM2048" i="6"/>
  <c r="AM2049" i="6"/>
  <c r="AM2050" i="6"/>
  <c r="AM2051" i="6"/>
  <c r="AM2052" i="6"/>
  <c r="AM2053" i="6"/>
  <c r="AM2054" i="6"/>
  <c r="AM2055" i="6"/>
  <c r="AM2056" i="6"/>
  <c r="AM2057" i="6"/>
  <c r="AM2058" i="6"/>
  <c r="AM2059" i="6"/>
  <c r="AM2060" i="6"/>
  <c r="AM2061" i="6"/>
  <c r="AM2062" i="6"/>
  <c r="AM2063" i="6"/>
  <c r="AM2064" i="6"/>
  <c r="AM2065" i="6"/>
  <c r="AB2042" i="6"/>
  <c r="AC2042" i="6" s="1"/>
  <c r="AB2043" i="6"/>
  <c r="AC2043" i="6" s="1"/>
  <c r="AB2044" i="6"/>
  <c r="AC2044" i="6" s="1"/>
  <c r="AB2045" i="6"/>
  <c r="AC2045" i="6" s="1"/>
  <c r="AB2046" i="6"/>
  <c r="AC2046" i="6" s="1"/>
  <c r="AB2047" i="6"/>
  <c r="AC2047" i="6" s="1"/>
  <c r="AB2048" i="6"/>
  <c r="AC2048" i="6" s="1"/>
  <c r="AB2049" i="6"/>
  <c r="AC2049" i="6" s="1"/>
  <c r="AB2050" i="6"/>
  <c r="AC2050" i="6" s="1"/>
  <c r="AB2051" i="6"/>
  <c r="AC2051" i="6" s="1"/>
  <c r="AB2052" i="6"/>
  <c r="AC2052" i="6" s="1"/>
  <c r="AB2053" i="6"/>
  <c r="AC2053" i="6" s="1"/>
  <c r="AB2054" i="6"/>
  <c r="AC2054" i="6" s="1"/>
  <c r="AB2055" i="6"/>
  <c r="AC2055" i="6" s="1"/>
  <c r="AB2056" i="6"/>
  <c r="AC2056" i="6" s="1"/>
  <c r="AB2057" i="6"/>
  <c r="AC2057" i="6" s="1"/>
  <c r="AB2058" i="6"/>
  <c r="AC2058" i="6" s="1"/>
  <c r="AB2059" i="6"/>
  <c r="AC2059" i="6" s="1"/>
  <c r="AB2060" i="6"/>
  <c r="AC2060" i="6" s="1"/>
  <c r="AB2061" i="6"/>
  <c r="AC2061" i="6" s="1"/>
  <c r="AB2062" i="6"/>
  <c r="AC2062" i="6" s="1"/>
  <c r="AB2063" i="6"/>
  <c r="AC2063" i="6" s="1"/>
  <c r="AB2064" i="6"/>
  <c r="AC2064" i="6" s="1"/>
  <c r="AB2065" i="6"/>
  <c r="AC2065" i="6" s="1"/>
  <c r="Q2043" i="6"/>
  <c r="R2043" i="6"/>
  <c r="Q2044" i="6"/>
  <c r="R2044" i="6"/>
  <c r="Q2045" i="6"/>
  <c r="R2045" i="6"/>
  <c r="Q2046" i="6"/>
  <c r="R2046" i="6"/>
  <c r="Q2047" i="6"/>
  <c r="R2047" i="6"/>
  <c r="Q2048" i="6"/>
  <c r="R2048" i="6"/>
  <c r="Q2049" i="6"/>
  <c r="R2049" i="6"/>
  <c r="Q2050" i="6"/>
  <c r="R2050" i="6"/>
  <c r="Q2051" i="6"/>
  <c r="R2051" i="6"/>
  <c r="Q2052" i="6"/>
  <c r="R2052" i="6"/>
  <c r="Q2053" i="6"/>
  <c r="R2053" i="6"/>
  <c r="Q2054" i="6"/>
  <c r="R2054" i="6"/>
  <c r="Q2055" i="6"/>
  <c r="R2055" i="6"/>
  <c r="Q2056" i="6"/>
  <c r="R2056" i="6"/>
  <c r="Q2057" i="6"/>
  <c r="R2057" i="6"/>
  <c r="Q2058" i="6"/>
  <c r="R2058" i="6"/>
  <c r="Q2059" i="6"/>
  <c r="R2059" i="6"/>
  <c r="Q2060" i="6"/>
  <c r="R2060" i="6"/>
  <c r="Q2061" i="6"/>
  <c r="R2061" i="6"/>
  <c r="Q2062" i="6"/>
  <c r="R2062" i="6"/>
  <c r="Q2063" i="6"/>
  <c r="R2063" i="6"/>
  <c r="Q2064" i="6"/>
  <c r="R2064" i="6"/>
  <c r="Q2065" i="6"/>
  <c r="R2065" i="6"/>
  <c r="AM2042" i="6"/>
  <c r="Q2042" i="6"/>
  <c r="R2042" i="6"/>
  <c r="AM2035" i="6"/>
  <c r="AM2036" i="6"/>
  <c r="AM2037" i="6"/>
  <c r="AM2038" i="6"/>
  <c r="AM2039" i="6"/>
  <c r="AM2040" i="6"/>
  <c r="AM2041" i="6"/>
  <c r="AB2035" i="6"/>
  <c r="AC2035" i="6" s="1"/>
  <c r="AB2036" i="6"/>
  <c r="AC2036" i="6" s="1"/>
  <c r="AB2037" i="6"/>
  <c r="AC2037" i="6" s="1"/>
  <c r="AB2038" i="6"/>
  <c r="AC2038" i="6" s="1"/>
  <c r="AB2039" i="6"/>
  <c r="AC2039" i="6" s="1"/>
  <c r="AB2040" i="6"/>
  <c r="AC2040" i="6" s="1"/>
  <c r="AB2041" i="6"/>
  <c r="AC2041" i="6" s="1"/>
  <c r="Q2035" i="6"/>
  <c r="R2035" i="6"/>
  <c r="Q2036" i="6"/>
  <c r="R2036" i="6"/>
  <c r="Q2037" i="6"/>
  <c r="R2037" i="6"/>
  <c r="Q2038" i="6"/>
  <c r="R2038" i="6"/>
  <c r="Q2039" i="6"/>
  <c r="R2039" i="6"/>
  <c r="Q2040" i="6"/>
  <c r="R2040" i="6"/>
  <c r="Q2041" i="6"/>
  <c r="R2041" i="6"/>
  <c r="AM2034" i="6" l="1"/>
  <c r="AB2034" i="6"/>
  <c r="AC2034" i="6" s="1"/>
  <c r="Q2034" i="6"/>
  <c r="R2034" i="6"/>
  <c r="R2033" i="6"/>
  <c r="AM2033" i="6"/>
  <c r="AM2032" i="6"/>
  <c r="AB2033" i="6"/>
  <c r="AC2033" i="6" s="1"/>
  <c r="AB2032" i="6"/>
  <c r="AC2032" i="6" s="1"/>
  <c r="T2032" i="6"/>
  <c r="Q2032" i="6"/>
  <c r="R2032" i="6"/>
  <c r="R2031" i="6"/>
  <c r="AM2031" i="6"/>
  <c r="AM2030" i="6"/>
  <c r="AB2031" i="6"/>
  <c r="AC2031" i="6" s="1"/>
  <c r="AB2030" i="6"/>
  <c r="AC2030" i="6" s="1"/>
  <c r="V2030" i="6"/>
  <c r="Q2030" i="6"/>
  <c r="R2030" i="6"/>
  <c r="AM2029" i="6"/>
  <c r="AB2029" i="6"/>
  <c r="AC2029" i="6" s="1"/>
  <c r="Q2029" i="6"/>
  <c r="R2029" i="6"/>
  <c r="AM2028" i="6"/>
  <c r="AB2028" i="6"/>
  <c r="AC2028" i="6" s="1"/>
  <c r="Q2028" i="6"/>
  <c r="R2028" i="6"/>
  <c r="AM2027" i="6"/>
  <c r="AB2027" i="6"/>
  <c r="AC2027" i="6" s="1"/>
  <c r="Q2027" i="6"/>
  <c r="R2027" i="6"/>
  <c r="AM2026" i="6"/>
  <c r="AB2026" i="6"/>
  <c r="AC2026" i="6" s="1"/>
  <c r="Q2026" i="6"/>
  <c r="R2026" i="6"/>
  <c r="AM2025" i="6"/>
  <c r="AB2025" i="6"/>
  <c r="AC2025" i="6" s="1"/>
  <c r="Q2025" i="6"/>
  <c r="R2025" i="6"/>
  <c r="R2023" i="6"/>
  <c r="R2024" i="6"/>
  <c r="AM2023" i="6"/>
  <c r="AM2024" i="6"/>
  <c r="AM2022" i="6"/>
  <c r="AB2024" i="6"/>
  <c r="AC2024" i="6" s="1"/>
  <c r="AB2023" i="6"/>
  <c r="AC2023" i="6" s="1"/>
  <c r="AB2022" i="6"/>
  <c r="AC2022" i="6" s="1"/>
  <c r="V2022" i="6"/>
  <c r="Q2022" i="6"/>
  <c r="R2022" i="6"/>
  <c r="R2020" i="6"/>
  <c r="R2021" i="6"/>
  <c r="AM2020" i="6"/>
  <c r="AM2021" i="6"/>
  <c r="AM2019" i="6"/>
  <c r="AB2021" i="6"/>
  <c r="AC2021" i="6" s="1"/>
  <c r="AB2020" i="6"/>
  <c r="AC2020" i="6" s="1"/>
  <c r="AB2019" i="6"/>
  <c r="AC2019" i="6" s="1"/>
  <c r="Q2019" i="6"/>
  <c r="R2019" i="6"/>
  <c r="AM2018" i="6"/>
  <c r="AB2018" i="6"/>
  <c r="AC2018" i="6" s="1"/>
  <c r="Q2018" i="6"/>
  <c r="R2018" i="6"/>
  <c r="AM2017" i="6"/>
  <c r="AB2017" i="6"/>
  <c r="AC2017" i="6" s="1"/>
  <c r="Q2017" i="6"/>
  <c r="R2017" i="6"/>
  <c r="AM2011" i="6"/>
  <c r="AM2012" i="6"/>
  <c r="AM2013" i="6"/>
  <c r="AM2014" i="6"/>
  <c r="AM2015" i="6"/>
  <c r="AM2016" i="6"/>
  <c r="AB2011" i="6"/>
  <c r="AC2011" i="6" s="1"/>
  <c r="AB2012" i="6"/>
  <c r="AC2012" i="6" s="1"/>
  <c r="AB2013" i="6"/>
  <c r="AC2013" i="6" s="1"/>
  <c r="AB2014" i="6"/>
  <c r="AC2014" i="6" s="1"/>
  <c r="AB2015" i="6"/>
  <c r="AC2015" i="6" s="1"/>
  <c r="AB2016" i="6"/>
  <c r="AC2016" i="6" s="1"/>
  <c r="R2011" i="6"/>
  <c r="Q2012" i="6"/>
  <c r="R2012" i="6"/>
  <c r="Q2013" i="6"/>
  <c r="R2013" i="6"/>
  <c r="Q2014" i="6"/>
  <c r="R2014" i="6"/>
  <c r="Q2015" i="6"/>
  <c r="R2015" i="6"/>
  <c r="Q2016" i="6"/>
  <c r="R2016" i="6"/>
  <c r="R2009" i="6"/>
  <c r="R2010" i="6"/>
  <c r="AM2009" i="6"/>
  <c r="AM2010" i="6"/>
  <c r="AM2008" i="6"/>
  <c r="AB2010" i="6"/>
  <c r="AC2010" i="6" s="1"/>
  <c r="AB2009" i="6"/>
  <c r="AC2009" i="6" s="1"/>
  <c r="AB2008" i="6"/>
  <c r="AC2008" i="6" s="1"/>
  <c r="T2008" i="6"/>
  <c r="Q2008" i="6"/>
  <c r="R2008" i="6"/>
  <c r="Q2005" i="6"/>
  <c r="R2005" i="6"/>
  <c r="Q2006" i="6"/>
  <c r="R2006" i="6"/>
  <c r="Q2007" i="6"/>
  <c r="R2007" i="6"/>
  <c r="AM2005" i="6"/>
  <c r="AM2006" i="6"/>
  <c r="AM2007" i="6"/>
  <c r="AM2004" i="6"/>
  <c r="AB2007" i="6"/>
  <c r="AC2007" i="6" s="1"/>
  <c r="AB2006" i="6"/>
  <c r="AC2006" i="6" s="1"/>
  <c r="AB2005" i="6"/>
  <c r="AC2005" i="6" s="1"/>
  <c r="AB2004" i="6"/>
  <c r="AC2004" i="6" s="1"/>
  <c r="T2004" i="6"/>
  <c r="Q2004" i="6"/>
  <c r="R2004" i="6"/>
  <c r="AM2003" i="6"/>
  <c r="AB2003" i="6"/>
  <c r="AC2003" i="6" s="1"/>
  <c r="T2003" i="6"/>
  <c r="R2003" i="6" s="1"/>
  <c r="Q2003" i="6"/>
  <c r="AM2002" i="6"/>
  <c r="AB2002" i="6"/>
  <c r="AC2002" i="6" s="1"/>
  <c r="Q2002" i="6"/>
  <c r="R2002" i="6"/>
  <c r="AM2001" i="6"/>
  <c r="AB2001" i="6"/>
  <c r="AC2001" i="6" s="1"/>
  <c r="Q2001" i="6"/>
  <c r="R2001" i="6"/>
  <c r="AM2000" i="6"/>
  <c r="AB2000" i="6"/>
  <c r="AC2000" i="6" s="1"/>
  <c r="Q2000" i="6"/>
  <c r="R2000" i="6"/>
  <c r="R1999" i="6"/>
  <c r="AM1999" i="6"/>
  <c r="AM1998" i="6"/>
  <c r="AB1999" i="6"/>
  <c r="AC1999" i="6" s="1"/>
  <c r="AB1998" i="6"/>
  <c r="AC1998" i="6" s="1"/>
  <c r="Q1998" i="6"/>
  <c r="R1998" i="6"/>
  <c r="AM1997" i="6"/>
  <c r="AB1997" i="6"/>
  <c r="AC1997" i="6" s="1"/>
  <c r="Q1997" i="6"/>
  <c r="R1997" i="6"/>
  <c r="AM1996" i="6"/>
  <c r="AB1996" i="6"/>
  <c r="AC1996" i="6" s="1"/>
  <c r="Q1996" i="6"/>
  <c r="R1996" i="6"/>
  <c r="Q1995" i="6"/>
  <c r="R1995" i="6"/>
  <c r="AM1995" i="6"/>
  <c r="AM1994" i="6"/>
  <c r="AB1995" i="6"/>
  <c r="AC1995" i="6" s="1"/>
  <c r="AB1994" i="6"/>
  <c r="AC1994" i="6" s="1"/>
  <c r="V1994" i="6"/>
  <c r="R1994" i="6" s="1"/>
  <c r="Q1994" i="6"/>
  <c r="AM1993" i="6"/>
  <c r="AB1993" i="6"/>
  <c r="AC1993" i="6" s="1"/>
  <c r="Q1993" i="6"/>
  <c r="R1993" i="6"/>
  <c r="AM1991" i="6"/>
  <c r="AM1992" i="6"/>
  <c r="AB1992" i="6"/>
  <c r="AC1992" i="6" s="1"/>
  <c r="Q1992" i="6"/>
  <c r="R1992" i="6"/>
  <c r="AB1991" i="6"/>
  <c r="AC1991" i="6" s="1"/>
  <c r="Q1991" i="6"/>
  <c r="R1991" i="6"/>
  <c r="AM1990" i="6"/>
  <c r="AB1990" i="6"/>
  <c r="AC1990" i="6" s="1"/>
  <c r="Q1990" i="6"/>
  <c r="R1990" i="6"/>
  <c r="AM1989" i="6"/>
  <c r="AB1989" i="6"/>
  <c r="AC1989" i="6" s="1"/>
  <c r="T1989" i="6"/>
  <c r="R1989" i="6" s="1"/>
  <c r="Q1989" i="6"/>
  <c r="AM1984" i="6" l="1"/>
  <c r="AM1985" i="6"/>
  <c r="AM1986" i="6"/>
  <c r="AM1987" i="6"/>
  <c r="AM1988" i="6"/>
  <c r="AB1984" i="6"/>
  <c r="AC1984" i="6" s="1"/>
  <c r="AB1985" i="6"/>
  <c r="AC1985" i="6" s="1"/>
  <c r="AB1986" i="6"/>
  <c r="AC1986" i="6" s="1"/>
  <c r="AB1987" i="6"/>
  <c r="AC1987" i="6" s="1"/>
  <c r="AB1988" i="6"/>
  <c r="AC1988" i="6" s="1"/>
  <c r="Q1984" i="6"/>
  <c r="R1984" i="6"/>
  <c r="Q1985" i="6"/>
  <c r="R1985" i="6"/>
  <c r="Q1986" i="6"/>
  <c r="R1986" i="6"/>
  <c r="Q1987" i="6"/>
  <c r="R1987" i="6"/>
  <c r="Q1988" i="6"/>
  <c r="R1988" i="6"/>
  <c r="AM1982" i="6" l="1"/>
  <c r="AM1983" i="6"/>
  <c r="AB1981" i="6"/>
  <c r="AC1981" i="6" s="1"/>
  <c r="AB1982" i="6"/>
  <c r="AC1982" i="6" s="1"/>
  <c r="AB1983" i="6"/>
  <c r="AC1983" i="6" s="1"/>
  <c r="Q1981" i="6"/>
  <c r="R1981" i="6"/>
  <c r="Q1982" i="6"/>
  <c r="R1982" i="6"/>
  <c r="Q1983" i="6"/>
  <c r="R1983" i="6"/>
  <c r="AM1981" i="6" l="1"/>
  <c r="AM1976" i="6"/>
  <c r="AM1977" i="6"/>
  <c r="AM1978" i="6"/>
  <c r="AM1979" i="6"/>
  <c r="AM1980" i="6"/>
  <c r="AB1976" i="6"/>
  <c r="AC1976" i="6" s="1"/>
  <c r="AB1977" i="6"/>
  <c r="AC1977" i="6" s="1"/>
  <c r="AB1978" i="6"/>
  <c r="AC1978" i="6" s="1"/>
  <c r="AB1979" i="6"/>
  <c r="AC1979" i="6" s="1"/>
  <c r="AB1980" i="6"/>
  <c r="AC1980" i="6" s="1"/>
  <c r="Q1976" i="6"/>
  <c r="R1976" i="6"/>
  <c r="Q1977" i="6"/>
  <c r="R1977" i="6"/>
  <c r="Q1978" i="6"/>
  <c r="R1978" i="6"/>
  <c r="Q1979" i="6"/>
  <c r="R1979" i="6"/>
  <c r="Q1980" i="6"/>
  <c r="R1980" i="6"/>
  <c r="AM1942" i="6"/>
  <c r="AM1943" i="6"/>
  <c r="AM1944" i="6"/>
  <c r="AM1945" i="6"/>
  <c r="AM1946" i="6"/>
  <c r="AM1947" i="6"/>
  <c r="AM1948" i="6"/>
  <c r="AM1949" i="6"/>
  <c r="AM1950" i="6"/>
  <c r="AM1951" i="6"/>
  <c r="AM1952" i="6"/>
  <c r="AM1953" i="6"/>
  <c r="AM1954" i="6"/>
  <c r="AM1955" i="6"/>
  <c r="AM1956" i="6"/>
  <c r="AM1957" i="6"/>
  <c r="AM1958" i="6"/>
  <c r="AM1959" i="6"/>
  <c r="AM1960" i="6"/>
  <c r="AM1961" i="6"/>
  <c r="AM1962" i="6"/>
  <c r="AM1963" i="6"/>
  <c r="AM1964" i="6"/>
  <c r="AM1965" i="6"/>
  <c r="AM1966" i="6"/>
  <c r="AM1967" i="6"/>
  <c r="AM1968" i="6"/>
  <c r="AM1969" i="6"/>
  <c r="AM1970" i="6"/>
  <c r="AM1971" i="6"/>
  <c r="AM1972" i="6"/>
  <c r="AM1973" i="6"/>
  <c r="AM1974" i="6"/>
  <c r="AM1975" i="6"/>
  <c r="AB1942" i="6"/>
  <c r="AC1942" i="6" s="1"/>
  <c r="AB1943" i="6"/>
  <c r="AC1943" i="6" s="1"/>
  <c r="AB1944" i="6"/>
  <c r="AC1944" i="6" s="1"/>
  <c r="AB1945" i="6"/>
  <c r="AC1945" i="6" s="1"/>
  <c r="AB1946" i="6"/>
  <c r="AC1946" i="6" s="1"/>
  <c r="AB1947" i="6"/>
  <c r="AC1947" i="6" s="1"/>
  <c r="AB1948" i="6"/>
  <c r="AC1948" i="6" s="1"/>
  <c r="AB1949" i="6"/>
  <c r="AC1949" i="6" s="1"/>
  <c r="AB1950" i="6"/>
  <c r="AC1950" i="6" s="1"/>
  <c r="AB1951" i="6"/>
  <c r="AC1951" i="6" s="1"/>
  <c r="AB1952" i="6"/>
  <c r="AC1952" i="6" s="1"/>
  <c r="AB1953" i="6"/>
  <c r="AC1953" i="6" s="1"/>
  <c r="AB1954" i="6"/>
  <c r="AC1954" i="6" s="1"/>
  <c r="AB1955" i="6"/>
  <c r="AC1955" i="6" s="1"/>
  <c r="AB1956" i="6"/>
  <c r="AC1956" i="6" s="1"/>
  <c r="AB1957" i="6"/>
  <c r="AC1957" i="6" s="1"/>
  <c r="AB1958" i="6"/>
  <c r="AC1958" i="6" s="1"/>
  <c r="AB1959" i="6"/>
  <c r="AC1959" i="6" s="1"/>
  <c r="AB1960" i="6"/>
  <c r="AC1960" i="6" s="1"/>
  <c r="AB1961" i="6"/>
  <c r="AC1961" i="6" s="1"/>
  <c r="AB1962" i="6"/>
  <c r="AC1962" i="6" s="1"/>
  <c r="AB1963" i="6"/>
  <c r="AC1963" i="6" s="1"/>
  <c r="AB1964" i="6"/>
  <c r="AC1964" i="6" s="1"/>
  <c r="AB1965" i="6"/>
  <c r="AC1965" i="6" s="1"/>
  <c r="AB1966" i="6"/>
  <c r="AC1966" i="6" s="1"/>
  <c r="AB1967" i="6"/>
  <c r="AC1967" i="6" s="1"/>
  <c r="AB1968" i="6"/>
  <c r="AC1968" i="6" s="1"/>
  <c r="AB1969" i="6"/>
  <c r="AC1969" i="6" s="1"/>
  <c r="AB1970" i="6"/>
  <c r="AC1970" i="6" s="1"/>
  <c r="AB1971" i="6"/>
  <c r="AC1971" i="6" s="1"/>
  <c r="AB1972" i="6"/>
  <c r="AC1972" i="6" s="1"/>
  <c r="AB1973" i="6"/>
  <c r="AC1973" i="6" s="1"/>
  <c r="AB1974" i="6"/>
  <c r="AC1974" i="6" s="1"/>
  <c r="AB1975" i="6"/>
  <c r="AC1975" i="6" s="1"/>
  <c r="Q1942" i="6"/>
  <c r="R1942" i="6"/>
  <c r="Q1943" i="6"/>
  <c r="R1943" i="6"/>
  <c r="Q1944" i="6"/>
  <c r="R1944" i="6"/>
  <c r="Q1945" i="6"/>
  <c r="R1945" i="6"/>
  <c r="Q1946" i="6"/>
  <c r="R1946" i="6"/>
  <c r="Q1947" i="6"/>
  <c r="R1947" i="6"/>
  <c r="Q1948" i="6"/>
  <c r="R1948" i="6"/>
  <c r="Q1949" i="6"/>
  <c r="R1949" i="6"/>
  <c r="Q1950" i="6"/>
  <c r="R1950" i="6"/>
  <c r="Q1951" i="6"/>
  <c r="R1951" i="6"/>
  <c r="Q1952" i="6"/>
  <c r="R1952" i="6"/>
  <c r="Q1953" i="6"/>
  <c r="R1953" i="6"/>
  <c r="Q1954" i="6"/>
  <c r="R1954" i="6"/>
  <c r="Q1955" i="6"/>
  <c r="R1955" i="6"/>
  <c r="Q1956" i="6"/>
  <c r="R1956" i="6"/>
  <c r="Q1957" i="6"/>
  <c r="R1957" i="6"/>
  <c r="Q1958" i="6"/>
  <c r="R1958" i="6"/>
  <c r="Q1959" i="6"/>
  <c r="R1959" i="6"/>
  <c r="Q1960" i="6"/>
  <c r="R1960" i="6"/>
  <c r="Q1961" i="6"/>
  <c r="R1961" i="6"/>
  <c r="Q1962" i="6"/>
  <c r="R1962" i="6"/>
  <c r="Q1963" i="6"/>
  <c r="R1963" i="6"/>
  <c r="Q1964" i="6"/>
  <c r="R1964" i="6"/>
  <c r="Q1965" i="6"/>
  <c r="R1965" i="6"/>
  <c r="Q1966" i="6"/>
  <c r="R1966" i="6"/>
  <c r="Q1967" i="6"/>
  <c r="R1967" i="6"/>
  <c r="Q1968" i="6"/>
  <c r="R1968" i="6"/>
  <c r="Q1969" i="6"/>
  <c r="R1969" i="6"/>
  <c r="Q1970" i="6"/>
  <c r="R1970" i="6"/>
  <c r="Q1971" i="6"/>
  <c r="R1971" i="6"/>
  <c r="Q1972" i="6"/>
  <c r="R1972" i="6"/>
  <c r="Q1973" i="6"/>
  <c r="R1973" i="6"/>
  <c r="Q1974" i="6"/>
  <c r="R1974" i="6"/>
  <c r="Q1975" i="6"/>
  <c r="R1975" i="6"/>
  <c r="AM1941" i="6" l="1"/>
  <c r="AB1941" i="6"/>
  <c r="AC1941" i="6" s="1"/>
  <c r="V1941" i="6"/>
  <c r="R1941" i="6" s="1"/>
  <c r="Q1941" i="6"/>
  <c r="AM1940" i="6" l="1"/>
  <c r="AM1939" i="6"/>
  <c r="AB1937" i="6"/>
  <c r="AC1937" i="6" s="1"/>
  <c r="AB1938" i="6"/>
  <c r="AC1938" i="6" s="1"/>
  <c r="AB1939" i="6"/>
  <c r="AC1939" i="6" s="1"/>
  <c r="AB1940" i="6"/>
  <c r="AC1940" i="6" s="1"/>
  <c r="R1937" i="6"/>
  <c r="R1938" i="6"/>
  <c r="R1939" i="6"/>
  <c r="R1940" i="6"/>
  <c r="Q1937" i="6"/>
  <c r="Q1938" i="6"/>
  <c r="Q1939" i="6"/>
  <c r="Q1940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256" i="6"/>
  <c r="AM257" i="6"/>
  <c r="AM258" i="6"/>
  <c r="AM259" i="6"/>
  <c r="AM260" i="6"/>
  <c r="AM261" i="6"/>
  <c r="AM262" i="6"/>
  <c r="AM263" i="6"/>
  <c r="AM264" i="6"/>
  <c r="AM265" i="6"/>
  <c r="AM266" i="6"/>
  <c r="AM267" i="6"/>
  <c r="AM268" i="6"/>
  <c r="AM269" i="6"/>
  <c r="AM270" i="6"/>
  <c r="AM271" i="6"/>
  <c r="AM272" i="6"/>
  <c r="AM273" i="6"/>
  <c r="AM274" i="6"/>
  <c r="AM275" i="6"/>
  <c r="AM276" i="6"/>
  <c r="AM277" i="6"/>
  <c r="AM278" i="6"/>
  <c r="AM279" i="6"/>
  <c r="AM280" i="6"/>
  <c r="AM281" i="6"/>
  <c r="AM282" i="6"/>
  <c r="AM283" i="6"/>
  <c r="AM284" i="6"/>
  <c r="AM285" i="6"/>
  <c r="AM286" i="6"/>
  <c r="AM287" i="6"/>
  <c r="AM288" i="6"/>
  <c r="AM289" i="6"/>
  <c r="AM290" i="6"/>
  <c r="AM291" i="6"/>
  <c r="AM292" i="6"/>
  <c r="AM293" i="6"/>
  <c r="AM294" i="6"/>
  <c r="AM295" i="6"/>
  <c r="AM296" i="6"/>
  <c r="AM297" i="6"/>
  <c r="AM298" i="6"/>
  <c r="AM299" i="6"/>
  <c r="AM300" i="6"/>
  <c r="AM301" i="6"/>
  <c r="AM302" i="6"/>
  <c r="AM303" i="6"/>
  <c r="AM304" i="6"/>
  <c r="AM305" i="6"/>
  <c r="AM306" i="6"/>
  <c r="AM307" i="6"/>
  <c r="AM308" i="6"/>
  <c r="AM309" i="6"/>
  <c r="AM310" i="6"/>
  <c r="AM311" i="6"/>
  <c r="AM312" i="6"/>
  <c r="AM313" i="6"/>
  <c r="AM314" i="6"/>
  <c r="AM315" i="6"/>
  <c r="AM316" i="6"/>
  <c r="AM317" i="6"/>
  <c r="AM318" i="6"/>
  <c r="AM319" i="6"/>
  <c r="AM320" i="6"/>
  <c r="AM321" i="6"/>
  <c r="AM322" i="6"/>
  <c r="AM323" i="6"/>
  <c r="AM324" i="6"/>
  <c r="AM325" i="6"/>
  <c r="AM326" i="6"/>
  <c r="AM327" i="6"/>
  <c r="AM328" i="6"/>
  <c r="AM329" i="6"/>
  <c r="AM330" i="6"/>
  <c r="AM331" i="6"/>
  <c r="AM332" i="6"/>
  <c r="AM333" i="6"/>
  <c r="AM334" i="6"/>
  <c r="AM335" i="6"/>
  <c r="AM336" i="6"/>
  <c r="AM337" i="6"/>
  <c r="AM338" i="6"/>
  <c r="AM339" i="6"/>
  <c r="AM340" i="6"/>
  <c r="AM341" i="6"/>
  <c r="AM342" i="6"/>
  <c r="AM343" i="6"/>
  <c r="AM344" i="6"/>
  <c r="AM345" i="6"/>
  <c r="AM346" i="6"/>
  <c r="AM347" i="6"/>
  <c r="AM348" i="6"/>
  <c r="AM349" i="6"/>
  <c r="AM350" i="6"/>
  <c r="AM351" i="6"/>
  <c r="AM352" i="6"/>
  <c r="AM353" i="6"/>
  <c r="AM354" i="6"/>
  <c r="AM355" i="6"/>
  <c r="AM356" i="6"/>
  <c r="AM357" i="6"/>
  <c r="AM358" i="6"/>
  <c r="AM359" i="6"/>
  <c r="AM360" i="6"/>
  <c r="AM361" i="6"/>
  <c r="AM362" i="6"/>
  <c r="AM363" i="6"/>
  <c r="AM364" i="6"/>
  <c r="AM365" i="6"/>
  <c r="AM366" i="6"/>
  <c r="AM367" i="6"/>
  <c r="AM368" i="6"/>
  <c r="AM369" i="6"/>
  <c r="AM370" i="6"/>
  <c r="AM371" i="6"/>
  <c r="AM372" i="6"/>
  <c r="AM373" i="6"/>
  <c r="AM374" i="6"/>
  <c r="AM375" i="6"/>
  <c r="AM376" i="6"/>
  <c r="AM377" i="6"/>
  <c r="AM378" i="6"/>
  <c r="AM379" i="6"/>
  <c r="AM380" i="6"/>
  <c r="AM381" i="6"/>
  <c r="AM382" i="6"/>
  <c r="AM383" i="6"/>
  <c r="AM384" i="6"/>
  <c r="AM385" i="6"/>
  <c r="AM386" i="6"/>
  <c r="AM387" i="6"/>
  <c r="AM388" i="6"/>
  <c r="AM389" i="6"/>
  <c r="AM390" i="6"/>
  <c r="AM391" i="6"/>
  <c r="AM392" i="6"/>
  <c r="AM393" i="6"/>
  <c r="AM394" i="6"/>
  <c r="AM395" i="6"/>
  <c r="AM396" i="6"/>
  <c r="AM397" i="6"/>
  <c r="AM398" i="6"/>
  <c r="AM399" i="6"/>
  <c r="AM400" i="6"/>
  <c r="AM401" i="6"/>
  <c r="AM402" i="6"/>
  <c r="AM403" i="6"/>
  <c r="AM404" i="6"/>
  <c r="AM405" i="6"/>
  <c r="AM406" i="6"/>
  <c r="AM407" i="6"/>
  <c r="AM408" i="6"/>
  <c r="AM409" i="6"/>
  <c r="AM410" i="6"/>
  <c r="AM411" i="6"/>
  <c r="AM412" i="6"/>
  <c r="AM413" i="6"/>
  <c r="AM414" i="6"/>
  <c r="AM415" i="6"/>
  <c r="AM416" i="6"/>
  <c r="AM417" i="6"/>
  <c r="AM418" i="6"/>
  <c r="AM419" i="6"/>
  <c r="AM420" i="6"/>
  <c r="AM421" i="6"/>
  <c r="AM422" i="6"/>
  <c r="AM423" i="6"/>
  <c r="AM424" i="6"/>
  <c r="AM425" i="6"/>
  <c r="AM426" i="6"/>
  <c r="AM427" i="6"/>
  <c r="AM428" i="6"/>
  <c r="AM429" i="6"/>
  <c r="AM430" i="6"/>
  <c r="AM431" i="6"/>
  <c r="AM432" i="6"/>
  <c r="AM433" i="6"/>
  <c r="AM434" i="6"/>
  <c r="AM435" i="6"/>
  <c r="AM436" i="6"/>
  <c r="AM437" i="6"/>
  <c r="AM438" i="6"/>
  <c r="AM439" i="6"/>
  <c r="AM440" i="6"/>
  <c r="AM441" i="6"/>
  <c r="AM442" i="6"/>
  <c r="AM443" i="6"/>
  <c r="AM444" i="6"/>
  <c r="AM445" i="6"/>
  <c r="AM446" i="6"/>
  <c r="AM447" i="6"/>
  <c r="AM448" i="6"/>
  <c r="AM449" i="6"/>
  <c r="AM450" i="6"/>
  <c r="AM451" i="6"/>
  <c r="AM452" i="6"/>
  <c r="AM453" i="6"/>
  <c r="AM454" i="6"/>
  <c r="AM455" i="6"/>
  <c r="AM456" i="6"/>
  <c r="AM457" i="6"/>
  <c r="AM458" i="6"/>
  <c r="AM459" i="6"/>
  <c r="AM460" i="6"/>
  <c r="AM461" i="6"/>
  <c r="AM462" i="6"/>
  <c r="AM463" i="6"/>
  <c r="AM464" i="6"/>
  <c r="AM465" i="6"/>
  <c r="AM466" i="6"/>
  <c r="AM467" i="6"/>
  <c r="AM468" i="6"/>
  <c r="AM469" i="6"/>
  <c r="AM470" i="6"/>
  <c r="AM471" i="6"/>
  <c r="AM472" i="6"/>
  <c r="AM473" i="6"/>
  <c r="AM474" i="6"/>
  <c r="AM475" i="6"/>
  <c r="AM476" i="6"/>
  <c r="AM477" i="6"/>
  <c r="AM478" i="6"/>
  <c r="AM479" i="6"/>
  <c r="AM480" i="6"/>
  <c r="AM481" i="6"/>
  <c r="AM482" i="6"/>
  <c r="AM483" i="6"/>
  <c r="AM484" i="6"/>
  <c r="AM485" i="6"/>
  <c r="AM486" i="6"/>
  <c r="AM487" i="6"/>
  <c r="AM488" i="6"/>
  <c r="AM489" i="6"/>
  <c r="AM490" i="6"/>
  <c r="AM491" i="6"/>
  <c r="AM492" i="6"/>
  <c r="AM493" i="6"/>
  <c r="AM494" i="6"/>
  <c r="AM495" i="6"/>
  <c r="AM496" i="6"/>
  <c r="AM497" i="6"/>
  <c r="AM498" i="6"/>
  <c r="AM499" i="6"/>
  <c r="AM500" i="6"/>
  <c r="AM501" i="6"/>
  <c r="AM502" i="6"/>
  <c r="AM503" i="6"/>
  <c r="AM504" i="6"/>
  <c r="AM505" i="6"/>
  <c r="AM506" i="6"/>
  <c r="AM507" i="6"/>
  <c r="AM508" i="6"/>
  <c r="AM509" i="6"/>
  <c r="AM510" i="6"/>
  <c r="AM511" i="6"/>
  <c r="AM512" i="6"/>
  <c r="AM513" i="6"/>
  <c r="AM514" i="6"/>
  <c r="AM515" i="6"/>
  <c r="AM516" i="6"/>
  <c r="AM517" i="6"/>
  <c r="AM518" i="6"/>
  <c r="AM519" i="6"/>
  <c r="AM520" i="6"/>
  <c r="AM521" i="6"/>
  <c r="AM522" i="6"/>
  <c r="AM523" i="6"/>
  <c r="AM524" i="6"/>
  <c r="AM525" i="6"/>
  <c r="AM526" i="6"/>
  <c r="AM527" i="6"/>
  <c r="AM528" i="6"/>
  <c r="AM529" i="6"/>
  <c r="AM530" i="6"/>
  <c r="AM531" i="6"/>
  <c r="AM532" i="6"/>
  <c r="AM533" i="6"/>
  <c r="AM534" i="6"/>
  <c r="AM535" i="6"/>
  <c r="AM536" i="6"/>
  <c r="AM537" i="6"/>
  <c r="AM538" i="6"/>
  <c r="AM539" i="6"/>
  <c r="AM540" i="6"/>
  <c r="AM541" i="6"/>
  <c r="AM542" i="6"/>
  <c r="AM543" i="6"/>
  <c r="AM544" i="6"/>
  <c r="AM545" i="6"/>
  <c r="AM546" i="6"/>
  <c r="AM547" i="6"/>
  <c r="AM548" i="6"/>
  <c r="AM549" i="6"/>
  <c r="AM550" i="6"/>
  <c r="AM551" i="6"/>
  <c r="AM552" i="6"/>
  <c r="AM553" i="6"/>
  <c r="AM554" i="6"/>
  <c r="AM555" i="6"/>
  <c r="AM556" i="6"/>
  <c r="AM557" i="6"/>
  <c r="AM558" i="6"/>
  <c r="AM559" i="6"/>
  <c r="AM560" i="6"/>
  <c r="AM561" i="6"/>
  <c r="AM562" i="6"/>
  <c r="AM563" i="6"/>
  <c r="AM564" i="6"/>
  <c r="AM565" i="6"/>
  <c r="AM566" i="6"/>
  <c r="AM567" i="6"/>
  <c r="AM568" i="6"/>
  <c r="AM569" i="6"/>
  <c r="AM570" i="6"/>
  <c r="AM571" i="6"/>
  <c r="AM572" i="6"/>
  <c r="AM573" i="6"/>
  <c r="AM574" i="6"/>
  <c r="AM575" i="6"/>
  <c r="AM576" i="6"/>
  <c r="AM577" i="6"/>
  <c r="AM578" i="6"/>
  <c r="AM579" i="6"/>
  <c r="AM580" i="6"/>
  <c r="AM581" i="6"/>
  <c r="AM582" i="6"/>
  <c r="AM583" i="6"/>
  <c r="AM584" i="6"/>
  <c r="AM585" i="6"/>
  <c r="AM586" i="6"/>
  <c r="AM587" i="6"/>
  <c r="AM588" i="6"/>
  <c r="AM589" i="6"/>
  <c r="AM590" i="6"/>
  <c r="AM591" i="6"/>
  <c r="AM592" i="6"/>
  <c r="AM593" i="6"/>
  <c r="AM594" i="6"/>
  <c r="AM595" i="6"/>
  <c r="AM596" i="6"/>
  <c r="AM597" i="6"/>
  <c r="AM598" i="6"/>
  <c r="AM599" i="6"/>
  <c r="AM600" i="6"/>
  <c r="AM601" i="6"/>
  <c r="AM602" i="6"/>
  <c r="AM603" i="6"/>
  <c r="AM604" i="6"/>
  <c r="AM605" i="6"/>
  <c r="AM606" i="6"/>
  <c r="AM607" i="6"/>
  <c r="AM608" i="6"/>
  <c r="AM609" i="6"/>
  <c r="AM610" i="6"/>
  <c r="AM611" i="6"/>
  <c r="AM612" i="6"/>
  <c r="AM613" i="6"/>
  <c r="AM614" i="6"/>
  <c r="AM615" i="6"/>
  <c r="AM616" i="6"/>
  <c r="AM617" i="6"/>
  <c r="AM618" i="6"/>
  <c r="AM619" i="6"/>
  <c r="AM620" i="6"/>
  <c r="AM621" i="6"/>
  <c r="AM622" i="6"/>
  <c r="AM623" i="6"/>
  <c r="AM624" i="6"/>
  <c r="AM625" i="6"/>
  <c r="AM626" i="6"/>
  <c r="AM627" i="6"/>
  <c r="AM628" i="6"/>
  <c r="AM629" i="6"/>
  <c r="AM630" i="6"/>
  <c r="AM631" i="6"/>
  <c r="AM632" i="6"/>
  <c r="AM633" i="6"/>
  <c r="AM634" i="6"/>
  <c r="AM635" i="6"/>
  <c r="AM636" i="6"/>
  <c r="AM637" i="6"/>
  <c r="AM638" i="6"/>
  <c r="AM639" i="6"/>
  <c r="AM640" i="6"/>
  <c r="AM641" i="6"/>
  <c r="AM642" i="6"/>
  <c r="AM643" i="6"/>
  <c r="AM644" i="6"/>
  <c r="AM645" i="6"/>
  <c r="AM646" i="6"/>
  <c r="AM647" i="6"/>
  <c r="AM648" i="6"/>
  <c r="AM649" i="6"/>
  <c r="AM650" i="6"/>
  <c r="AM651" i="6"/>
  <c r="AM652" i="6"/>
  <c r="AM653" i="6"/>
  <c r="AM654" i="6"/>
  <c r="AM655" i="6"/>
  <c r="AM656" i="6"/>
  <c r="AM657" i="6"/>
  <c r="AM658" i="6"/>
  <c r="AM659" i="6"/>
  <c r="AM660" i="6"/>
  <c r="AM661" i="6"/>
  <c r="AM662" i="6"/>
  <c r="AM663" i="6"/>
  <c r="AM664" i="6"/>
  <c r="AM665" i="6"/>
  <c r="AM666" i="6"/>
  <c r="AM667" i="6"/>
  <c r="AM668" i="6"/>
  <c r="AM669" i="6"/>
  <c r="AM670" i="6"/>
  <c r="AM671" i="6"/>
  <c r="AM672" i="6"/>
  <c r="AM673" i="6"/>
  <c r="AM674" i="6"/>
  <c r="AM675" i="6"/>
  <c r="AM676" i="6"/>
  <c r="AM677" i="6"/>
  <c r="AM678" i="6"/>
  <c r="AM679" i="6"/>
  <c r="AM680" i="6"/>
  <c r="AM681" i="6"/>
  <c r="AM682" i="6"/>
  <c r="AM683" i="6"/>
  <c r="AM684" i="6"/>
  <c r="AM685" i="6"/>
  <c r="AM686" i="6"/>
  <c r="AM687" i="6"/>
  <c r="AM688" i="6"/>
  <c r="AM689" i="6"/>
  <c r="AM690" i="6"/>
  <c r="AM691" i="6"/>
  <c r="AM692" i="6"/>
  <c r="AM693" i="6"/>
  <c r="AM694" i="6"/>
  <c r="AM695" i="6"/>
  <c r="AM696" i="6"/>
  <c r="AM697" i="6"/>
  <c r="AM698" i="6"/>
  <c r="AM699" i="6"/>
  <c r="AM700" i="6"/>
  <c r="AM701" i="6"/>
  <c r="AM702" i="6"/>
  <c r="AM703" i="6"/>
  <c r="AM704" i="6"/>
  <c r="AM705" i="6"/>
  <c r="AM706" i="6"/>
  <c r="AM707" i="6"/>
  <c r="AM708" i="6"/>
  <c r="AM709" i="6"/>
  <c r="AM710" i="6"/>
  <c r="AM711" i="6"/>
  <c r="AM712" i="6"/>
  <c r="AM713" i="6"/>
  <c r="AM714" i="6"/>
  <c r="AM715" i="6"/>
  <c r="AM716" i="6"/>
  <c r="AM717" i="6"/>
  <c r="AM718" i="6"/>
  <c r="AM719" i="6"/>
  <c r="AM720" i="6"/>
  <c r="AM721" i="6"/>
  <c r="AM722" i="6"/>
  <c r="AM723" i="6"/>
  <c r="AM724" i="6"/>
  <c r="AM725" i="6"/>
  <c r="AM726" i="6"/>
  <c r="AM727" i="6"/>
  <c r="AM728" i="6"/>
  <c r="AM729" i="6"/>
  <c r="AM730" i="6"/>
  <c r="AM731" i="6"/>
  <c r="AM732" i="6"/>
  <c r="AM733" i="6"/>
  <c r="AM734" i="6"/>
  <c r="AM735" i="6"/>
  <c r="AM736" i="6"/>
  <c r="AM737" i="6"/>
  <c r="AM738" i="6"/>
  <c r="AM739" i="6"/>
  <c r="AM740" i="6"/>
  <c r="AM741" i="6"/>
  <c r="AM742" i="6"/>
  <c r="AM743" i="6"/>
  <c r="AM744" i="6"/>
  <c r="AM745" i="6"/>
  <c r="AM746" i="6"/>
  <c r="AM747" i="6"/>
  <c r="AM748" i="6"/>
  <c r="AM749" i="6"/>
  <c r="AM750" i="6"/>
  <c r="AM751" i="6"/>
  <c r="AM752" i="6"/>
  <c r="AM753" i="6"/>
  <c r="AM754" i="6"/>
  <c r="AM755" i="6"/>
  <c r="AM756" i="6"/>
  <c r="AM757" i="6"/>
  <c r="AM758" i="6"/>
  <c r="AM759" i="6"/>
  <c r="AM760" i="6"/>
  <c r="AM761" i="6"/>
  <c r="AM762" i="6"/>
  <c r="AM763" i="6"/>
  <c r="AM764" i="6"/>
  <c r="AM765" i="6"/>
  <c r="AM766" i="6"/>
  <c r="AM767" i="6"/>
  <c r="AM768" i="6"/>
  <c r="AM769" i="6"/>
  <c r="AM770" i="6"/>
  <c r="AM771" i="6"/>
  <c r="AM772" i="6"/>
  <c r="AM773" i="6"/>
  <c r="AM774" i="6"/>
  <c r="AM775" i="6"/>
  <c r="AM776" i="6"/>
  <c r="AM777" i="6"/>
  <c r="AM778" i="6"/>
  <c r="AM779" i="6"/>
  <c r="AM780" i="6"/>
  <c r="AM781" i="6"/>
  <c r="AM782" i="6"/>
  <c r="AM783" i="6"/>
  <c r="AM784" i="6"/>
  <c r="AM785" i="6"/>
  <c r="AM786" i="6"/>
  <c r="AM787" i="6"/>
  <c r="AM788" i="6"/>
  <c r="AM789" i="6"/>
  <c r="AM790" i="6"/>
  <c r="AM791" i="6"/>
  <c r="AM792" i="6"/>
  <c r="AM793" i="6"/>
  <c r="AM794" i="6"/>
  <c r="AM795" i="6"/>
  <c r="AM796" i="6"/>
  <c r="AM797" i="6"/>
  <c r="AM798" i="6"/>
  <c r="AM799" i="6"/>
  <c r="AM800" i="6"/>
  <c r="AM801" i="6"/>
  <c r="AM802" i="6"/>
  <c r="AM803" i="6"/>
  <c r="AM804" i="6"/>
  <c r="AM805" i="6"/>
  <c r="AM806" i="6"/>
  <c r="AM807" i="6"/>
  <c r="AM808" i="6"/>
  <c r="AM809" i="6"/>
  <c r="AM810" i="6"/>
  <c r="AM811" i="6"/>
  <c r="AM812" i="6"/>
  <c r="AM813" i="6"/>
  <c r="AM814" i="6"/>
  <c r="AM815" i="6"/>
  <c r="AM816" i="6"/>
  <c r="AM817" i="6"/>
  <c r="AM818" i="6"/>
  <c r="AM819" i="6"/>
  <c r="AM820" i="6"/>
  <c r="AM821" i="6"/>
  <c r="AM822" i="6"/>
  <c r="AM823" i="6"/>
  <c r="AM824" i="6"/>
  <c r="AM825" i="6"/>
  <c r="AM826" i="6"/>
  <c r="AM827" i="6"/>
  <c r="AM828" i="6"/>
  <c r="AM829" i="6"/>
  <c r="AM830" i="6"/>
  <c r="AM831" i="6"/>
  <c r="AM832" i="6"/>
  <c r="AM833" i="6"/>
  <c r="AM834" i="6"/>
  <c r="AM835" i="6"/>
  <c r="AM836" i="6"/>
  <c r="AM837" i="6"/>
  <c r="AM838" i="6"/>
  <c r="AM839" i="6"/>
  <c r="AM840" i="6"/>
  <c r="AM841" i="6"/>
  <c r="AM842" i="6"/>
  <c r="AM843" i="6"/>
  <c r="AM844" i="6"/>
  <c r="AM845" i="6"/>
  <c r="AM846" i="6"/>
  <c r="AM847" i="6"/>
  <c r="AM848" i="6"/>
  <c r="AM849" i="6"/>
  <c r="AM850" i="6"/>
  <c r="AM851" i="6"/>
  <c r="AM852" i="6"/>
  <c r="AM853" i="6"/>
  <c r="AM854" i="6"/>
  <c r="AM855" i="6"/>
  <c r="AM856" i="6"/>
  <c r="AM857" i="6"/>
  <c r="AM858" i="6"/>
  <c r="AM859" i="6"/>
  <c r="AM860" i="6"/>
  <c r="AM861" i="6"/>
  <c r="AM862" i="6"/>
  <c r="AM863" i="6"/>
  <c r="AM864" i="6"/>
  <c r="AM865" i="6"/>
  <c r="AM866" i="6"/>
  <c r="AM867" i="6"/>
  <c r="AM868" i="6"/>
  <c r="AM869" i="6"/>
  <c r="AM870" i="6"/>
  <c r="AM871" i="6"/>
  <c r="AM872" i="6"/>
  <c r="AM873" i="6"/>
  <c r="AM874" i="6"/>
  <c r="AM875" i="6"/>
  <c r="AM876" i="6"/>
  <c r="AM877" i="6"/>
  <c r="AM878" i="6"/>
  <c r="AM879" i="6"/>
  <c r="AM880" i="6"/>
  <c r="AM881" i="6"/>
  <c r="AM882" i="6"/>
  <c r="AM883" i="6"/>
  <c r="AM884" i="6"/>
  <c r="AM885" i="6"/>
  <c r="AM886" i="6"/>
  <c r="AM887" i="6"/>
  <c r="AM888" i="6"/>
  <c r="AM889" i="6"/>
  <c r="AM890" i="6"/>
  <c r="AM891" i="6"/>
  <c r="AM892" i="6"/>
  <c r="AM893" i="6"/>
  <c r="AM894" i="6"/>
  <c r="AM895" i="6"/>
  <c r="AM896" i="6"/>
  <c r="AM897" i="6"/>
  <c r="AM898" i="6"/>
  <c r="AM899" i="6"/>
  <c r="AM900" i="6"/>
  <c r="AM901" i="6"/>
  <c r="AM902" i="6"/>
  <c r="AM903" i="6"/>
  <c r="AM904" i="6"/>
  <c r="AM905" i="6"/>
  <c r="AM906" i="6"/>
  <c r="AM907" i="6"/>
  <c r="AM908" i="6"/>
  <c r="AM909" i="6"/>
  <c r="AM910" i="6"/>
  <c r="AM911" i="6"/>
  <c r="AM912" i="6"/>
  <c r="AM913" i="6"/>
  <c r="AM914" i="6"/>
  <c r="AM915" i="6"/>
  <c r="AM916" i="6"/>
  <c r="AM917" i="6"/>
  <c r="AM918" i="6"/>
  <c r="AM919" i="6"/>
  <c r="AM920" i="6"/>
  <c r="AM921" i="6"/>
  <c r="AM922" i="6"/>
  <c r="AM923" i="6"/>
  <c r="AM924" i="6"/>
  <c r="AM925" i="6"/>
  <c r="AM926" i="6"/>
  <c r="AM927" i="6"/>
  <c r="AM928" i="6"/>
  <c r="AM929" i="6"/>
  <c r="AM930" i="6"/>
  <c r="AM931" i="6"/>
  <c r="AM932" i="6"/>
  <c r="AM933" i="6"/>
  <c r="AM934" i="6"/>
  <c r="AM935" i="6"/>
  <c r="AM936" i="6"/>
  <c r="AM937" i="6"/>
  <c r="AM938" i="6"/>
  <c r="AM939" i="6"/>
  <c r="AM940" i="6"/>
  <c r="AM941" i="6"/>
  <c r="AM942" i="6"/>
  <c r="AM943" i="6"/>
  <c r="AM944" i="6"/>
  <c r="AM945" i="6"/>
  <c r="AM946" i="6"/>
  <c r="AM947" i="6"/>
  <c r="AM948" i="6"/>
  <c r="AM949" i="6"/>
  <c r="AM950" i="6"/>
  <c r="AM951" i="6"/>
  <c r="AM952" i="6"/>
  <c r="AM953" i="6"/>
  <c r="AM954" i="6"/>
  <c r="AM955" i="6"/>
  <c r="AM956" i="6"/>
  <c r="AM957" i="6"/>
  <c r="AM958" i="6"/>
  <c r="AM959" i="6"/>
  <c r="AM960" i="6"/>
  <c r="AM961" i="6"/>
  <c r="AM962" i="6"/>
  <c r="AM963" i="6"/>
  <c r="AM964" i="6"/>
  <c r="AM965" i="6"/>
  <c r="AM966" i="6"/>
  <c r="AM967" i="6"/>
  <c r="AM968" i="6"/>
  <c r="AM969" i="6"/>
  <c r="AM970" i="6"/>
  <c r="AM971" i="6"/>
  <c r="AM972" i="6"/>
  <c r="AM973" i="6"/>
  <c r="AM974" i="6"/>
  <c r="AM975" i="6"/>
  <c r="AM976" i="6"/>
  <c r="AM977" i="6"/>
  <c r="AM978" i="6"/>
  <c r="AM979" i="6"/>
  <c r="AM980" i="6"/>
  <c r="AM981" i="6"/>
  <c r="AM982" i="6"/>
  <c r="AM983" i="6"/>
  <c r="AM984" i="6"/>
  <c r="AM985" i="6"/>
  <c r="AM986" i="6"/>
  <c r="AM987" i="6"/>
  <c r="AM988" i="6"/>
  <c r="AM989" i="6"/>
  <c r="AM990" i="6"/>
  <c r="AM991" i="6"/>
  <c r="AM992" i="6"/>
  <c r="AM993" i="6"/>
  <c r="AM994" i="6"/>
  <c r="AM995" i="6"/>
  <c r="AM996" i="6"/>
  <c r="AM997" i="6"/>
  <c r="AM998" i="6"/>
  <c r="AM999" i="6"/>
  <c r="AM1000" i="6"/>
  <c r="AM1001" i="6"/>
  <c r="AM1002" i="6"/>
  <c r="AM1003" i="6"/>
  <c r="AM1004" i="6"/>
  <c r="AM1005" i="6"/>
  <c r="AM1006" i="6"/>
  <c r="AM1007" i="6"/>
  <c r="AM1008" i="6"/>
  <c r="AM1009" i="6"/>
  <c r="AM1010" i="6"/>
  <c r="AM1011" i="6"/>
  <c r="AM1012" i="6"/>
  <c r="AM1013" i="6"/>
  <c r="AM1014" i="6"/>
  <c r="AM1015" i="6"/>
  <c r="AM1016" i="6"/>
  <c r="AM1017" i="6"/>
  <c r="AM1018" i="6"/>
  <c r="AM1019" i="6"/>
  <c r="AM1020" i="6"/>
  <c r="AM1021" i="6"/>
  <c r="AM1022" i="6"/>
  <c r="AM1023" i="6"/>
  <c r="AM1024" i="6"/>
  <c r="AM1025" i="6"/>
  <c r="AM1026" i="6"/>
  <c r="AM1027" i="6"/>
  <c r="AM1028" i="6"/>
  <c r="AM1029" i="6"/>
  <c r="AM1030" i="6"/>
  <c r="AM1031" i="6"/>
  <c r="AM1032" i="6"/>
  <c r="AM1033" i="6"/>
  <c r="AM1034" i="6"/>
  <c r="AM1035" i="6"/>
  <c r="AM1036" i="6"/>
  <c r="AM1037" i="6"/>
  <c r="AM1038" i="6"/>
  <c r="AM1039" i="6"/>
  <c r="AM1040" i="6"/>
  <c r="AM1041" i="6"/>
  <c r="AM1042" i="6"/>
  <c r="AM1043" i="6"/>
  <c r="AM1044" i="6"/>
  <c r="AM1045" i="6"/>
  <c r="AM1046" i="6"/>
  <c r="AM1047" i="6"/>
  <c r="AM1048" i="6"/>
  <c r="AM1049" i="6"/>
  <c r="AM1050" i="6"/>
  <c r="AM1051" i="6"/>
  <c r="AM1052" i="6"/>
  <c r="AM1053" i="6"/>
  <c r="AM1054" i="6"/>
  <c r="AM1055" i="6"/>
  <c r="AM1056" i="6"/>
  <c r="AM1057" i="6"/>
  <c r="AM1058" i="6"/>
  <c r="AM1059" i="6"/>
  <c r="AM1060" i="6"/>
  <c r="AM1061" i="6"/>
  <c r="AM1062" i="6"/>
  <c r="AM1063" i="6"/>
  <c r="AM1064" i="6"/>
  <c r="AM1065" i="6"/>
  <c r="AM1066" i="6"/>
  <c r="AM1067" i="6"/>
  <c r="AM1068" i="6"/>
  <c r="AM1069" i="6"/>
  <c r="AM1070" i="6"/>
  <c r="AM1071" i="6"/>
  <c r="AM1072" i="6"/>
  <c r="AM1073" i="6"/>
  <c r="AM1074" i="6"/>
  <c r="AM1075" i="6"/>
  <c r="AM1076" i="6"/>
  <c r="AM1077" i="6"/>
  <c r="AM1078" i="6"/>
  <c r="AM1079" i="6"/>
  <c r="AM1080" i="6"/>
  <c r="AM1081" i="6"/>
  <c r="AM1082" i="6"/>
  <c r="AM1083" i="6"/>
  <c r="AM1084" i="6"/>
  <c r="AM1085" i="6"/>
  <c r="AM1086" i="6"/>
  <c r="AM1087" i="6"/>
  <c r="AM1088" i="6"/>
  <c r="AM1089" i="6"/>
  <c r="AM1090" i="6"/>
  <c r="AM1091" i="6"/>
  <c r="AM1092" i="6"/>
  <c r="AM1093" i="6"/>
  <c r="AM1094" i="6"/>
  <c r="AM1095" i="6"/>
  <c r="AM1096" i="6"/>
  <c r="AM1097" i="6"/>
  <c r="AM1098" i="6"/>
  <c r="AM1099" i="6"/>
  <c r="AM1100" i="6"/>
  <c r="AM1101" i="6"/>
  <c r="AM1102" i="6"/>
  <c r="AM1103" i="6"/>
  <c r="AM1104" i="6"/>
  <c r="AM1105" i="6"/>
  <c r="AM1106" i="6"/>
  <c r="AM1107" i="6"/>
  <c r="AM1108" i="6"/>
  <c r="AM1109" i="6"/>
  <c r="AM1110" i="6"/>
  <c r="AM1111" i="6"/>
  <c r="AM1112" i="6"/>
  <c r="AM1113" i="6"/>
  <c r="AM1114" i="6"/>
  <c r="AM1115" i="6"/>
  <c r="AM1116" i="6"/>
  <c r="AM1117" i="6"/>
  <c r="AM1118" i="6"/>
  <c r="AM1119" i="6"/>
  <c r="AM1120" i="6"/>
  <c r="AM1121" i="6"/>
  <c r="AM1122" i="6"/>
  <c r="AM1123" i="6"/>
  <c r="AM1124" i="6"/>
  <c r="AM1125" i="6"/>
  <c r="AM1126" i="6"/>
  <c r="AM1127" i="6"/>
  <c r="AM1128" i="6"/>
  <c r="AM1129" i="6"/>
  <c r="AM1130" i="6"/>
  <c r="AM1131" i="6"/>
  <c r="AM1132" i="6"/>
  <c r="AM1133" i="6"/>
  <c r="AM1134" i="6"/>
  <c r="AM1135" i="6"/>
  <c r="AM1136" i="6"/>
  <c r="AM1137" i="6"/>
  <c r="AM1138" i="6"/>
  <c r="AM1139" i="6"/>
  <c r="AM1140" i="6"/>
  <c r="AM1141" i="6"/>
  <c r="AM1142" i="6"/>
  <c r="AM1143" i="6"/>
  <c r="AM1144" i="6"/>
  <c r="AM1145" i="6"/>
  <c r="AM1146" i="6"/>
  <c r="AM1147" i="6"/>
  <c r="AM1148" i="6"/>
  <c r="AM1149" i="6"/>
  <c r="AM1150" i="6"/>
  <c r="AM1151" i="6"/>
  <c r="AM1152" i="6"/>
  <c r="AM1153" i="6"/>
  <c r="AM1154" i="6"/>
  <c r="AM1155" i="6"/>
  <c r="AM1156" i="6"/>
  <c r="AM1157" i="6"/>
  <c r="AM1158" i="6"/>
  <c r="AM1159" i="6"/>
  <c r="AM1160" i="6"/>
  <c r="AM1161" i="6"/>
  <c r="AM1162" i="6"/>
  <c r="AM1163" i="6"/>
  <c r="AM1164" i="6"/>
  <c r="AM1165" i="6"/>
  <c r="AM1166" i="6"/>
  <c r="AM1167" i="6"/>
  <c r="AM1168" i="6"/>
  <c r="AM1169" i="6"/>
  <c r="AM1170" i="6"/>
  <c r="AM1171" i="6"/>
  <c r="AM1172" i="6"/>
  <c r="AM1173" i="6"/>
  <c r="AM1174" i="6"/>
  <c r="AM1175" i="6"/>
  <c r="AM1176" i="6"/>
  <c r="AM1177" i="6"/>
  <c r="AM1178" i="6"/>
  <c r="AM1179" i="6"/>
  <c r="AM1180" i="6"/>
  <c r="AM1181" i="6"/>
  <c r="AM1182" i="6"/>
  <c r="AM1183" i="6"/>
  <c r="AM1184" i="6"/>
  <c r="AM1185" i="6"/>
  <c r="AM1186" i="6"/>
  <c r="AM1187" i="6"/>
  <c r="AM1188" i="6"/>
  <c r="AM1189" i="6"/>
  <c r="AM1190" i="6"/>
  <c r="AM1191" i="6"/>
  <c r="AM1192" i="6"/>
  <c r="AM1193" i="6"/>
  <c r="AM1194" i="6"/>
  <c r="AM1195" i="6"/>
  <c r="AM1196" i="6"/>
  <c r="AM1197" i="6"/>
  <c r="AM1198" i="6"/>
  <c r="AM1199" i="6"/>
  <c r="AM1200" i="6"/>
  <c r="AM1201" i="6"/>
  <c r="AM1202" i="6"/>
  <c r="AM1203" i="6"/>
  <c r="AM1204" i="6"/>
  <c r="AM1205" i="6"/>
  <c r="AM1206" i="6"/>
  <c r="AM1207" i="6"/>
  <c r="AM1208" i="6"/>
  <c r="AM1209" i="6"/>
  <c r="AM1210" i="6"/>
  <c r="AM1211" i="6"/>
  <c r="AM1212" i="6"/>
  <c r="AM1213" i="6"/>
  <c r="AM1214" i="6"/>
  <c r="AM1215" i="6"/>
  <c r="AM1216" i="6"/>
  <c r="AM1217" i="6"/>
  <c r="AM1218" i="6"/>
  <c r="AM1219" i="6"/>
  <c r="AM1220" i="6"/>
  <c r="AM1221" i="6"/>
  <c r="AM1222" i="6"/>
  <c r="AM1223" i="6"/>
  <c r="AM1224" i="6"/>
  <c r="AM1225" i="6"/>
  <c r="AM1226" i="6"/>
  <c r="AM1227" i="6"/>
  <c r="AM1228" i="6"/>
  <c r="AM1229" i="6"/>
  <c r="AM1230" i="6"/>
  <c r="AM1231" i="6"/>
  <c r="AM1232" i="6"/>
  <c r="AM1233" i="6"/>
  <c r="AM1234" i="6"/>
  <c r="AM1235" i="6"/>
  <c r="AM1236" i="6"/>
  <c r="AM1237" i="6"/>
  <c r="AM1238" i="6"/>
  <c r="AM1239" i="6"/>
  <c r="AM1240" i="6"/>
  <c r="AM1241" i="6"/>
  <c r="AM1242" i="6"/>
  <c r="AM1243" i="6"/>
  <c r="AM1244" i="6"/>
  <c r="AM1245" i="6"/>
  <c r="AM1246" i="6"/>
  <c r="AM1247" i="6"/>
  <c r="AM1248" i="6"/>
  <c r="AM1249" i="6"/>
  <c r="AM1250" i="6"/>
  <c r="AM1251" i="6"/>
  <c r="AM1252" i="6"/>
  <c r="AM1253" i="6"/>
  <c r="AM1254" i="6"/>
  <c r="AM1255" i="6"/>
  <c r="AM1256" i="6"/>
  <c r="AM1257" i="6"/>
  <c r="AM1258" i="6"/>
  <c r="AM1259" i="6"/>
  <c r="AM1260" i="6"/>
  <c r="AM1261" i="6"/>
  <c r="AM1262" i="6"/>
  <c r="AM1263" i="6"/>
  <c r="AM1264" i="6"/>
  <c r="AM1265" i="6"/>
  <c r="AM1266" i="6"/>
  <c r="AM1267" i="6"/>
  <c r="AM1268" i="6"/>
  <c r="AM1269" i="6"/>
  <c r="AM1270" i="6"/>
  <c r="AM1271" i="6"/>
  <c r="AM1272" i="6"/>
  <c r="AM1273" i="6"/>
  <c r="AM1274" i="6"/>
  <c r="AM1275" i="6"/>
  <c r="AM1276" i="6"/>
  <c r="AM1277" i="6"/>
  <c r="AM1278" i="6"/>
  <c r="AM1279" i="6"/>
  <c r="AM1280" i="6"/>
  <c r="AM1281" i="6"/>
  <c r="AM1282" i="6"/>
  <c r="AM1283" i="6"/>
  <c r="AM1284" i="6"/>
  <c r="AM1285" i="6"/>
  <c r="AM1286" i="6"/>
  <c r="AM1287" i="6"/>
  <c r="AM1288" i="6"/>
  <c r="AM1289" i="6"/>
  <c r="AM1290" i="6"/>
  <c r="AM1291" i="6"/>
  <c r="AM1292" i="6"/>
  <c r="AM1293" i="6"/>
  <c r="AM1294" i="6"/>
  <c r="AM1295" i="6"/>
  <c r="AM1296" i="6"/>
  <c r="AM1297" i="6"/>
  <c r="AM1298" i="6"/>
  <c r="AM1299" i="6"/>
  <c r="AM1300" i="6"/>
  <c r="AM1301" i="6"/>
  <c r="AM1302" i="6"/>
  <c r="AM1303" i="6"/>
  <c r="AM1304" i="6"/>
  <c r="AM1305" i="6"/>
  <c r="AM1306" i="6"/>
  <c r="AM1307" i="6"/>
  <c r="AM1308" i="6"/>
  <c r="AM1309" i="6"/>
  <c r="AM1310" i="6"/>
  <c r="AM1311" i="6"/>
  <c r="AM1312" i="6"/>
  <c r="AM1313" i="6"/>
  <c r="AM1314" i="6"/>
  <c r="AM1315" i="6"/>
  <c r="AM1316" i="6"/>
  <c r="AM1317" i="6"/>
  <c r="AM1318" i="6"/>
  <c r="AM1319" i="6"/>
  <c r="AM1320" i="6"/>
  <c r="AM1321" i="6"/>
  <c r="AM1322" i="6"/>
  <c r="AM1323" i="6"/>
  <c r="AM1324" i="6"/>
  <c r="AM1325" i="6"/>
  <c r="AM1326" i="6"/>
  <c r="AM1327" i="6"/>
  <c r="AM1328" i="6"/>
  <c r="AM1329" i="6"/>
  <c r="AM1330" i="6"/>
  <c r="AM1331" i="6"/>
  <c r="AM1332" i="6"/>
  <c r="AM1333" i="6"/>
  <c r="AM1334" i="6"/>
  <c r="AM1335" i="6"/>
  <c r="AM1336" i="6"/>
  <c r="AM1337" i="6"/>
  <c r="AM1338" i="6"/>
  <c r="AM1339" i="6"/>
  <c r="AM1340" i="6"/>
  <c r="AM1341" i="6"/>
  <c r="AM1342" i="6"/>
  <c r="AM1343" i="6"/>
  <c r="AM1344" i="6"/>
  <c r="AM1345" i="6"/>
  <c r="AM1346" i="6"/>
  <c r="AM1347" i="6"/>
  <c r="AM1348" i="6"/>
  <c r="AM1349" i="6"/>
  <c r="AM1350" i="6"/>
  <c r="AM1351" i="6"/>
  <c r="AM1352" i="6"/>
  <c r="AM1353" i="6"/>
  <c r="AM1354" i="6"/>
  <c r="AM1355" i="6"/>
  <c r="AM1356" i="6"/>
  <c r="AM1357" i="6"/>
  <c r="AM1358" i="6"/>
  <c r="AM1359" i="6"/>
  <c r="AM1360" i="6"/>
  <c r="AM1361" i="6"/>
  <c r="AM1362" i="6"/>
  <c r="AM1363" i="6"/>
  <c r="AM1364" i="6"/>
  <c r="AM1365" i="6"/>
  <c r="AM1366" i="6"/>
  <c r="AM1367" i="6"/>
  <c r="AM1368" i="6"/>
  <c r="AM1369" i="6"/>
  <c r="AM1370" i="6"/>
  <c r="AM1371" i="6"/>
  <c r="AM1372" i="6"/>
  <c r="AM1373" i="6"/>
  <c r="AM1374" i="6"/>
  <c r="AM1375" i="6"/>
  <c r="AM1376" i="6"/>
  <c r="AM1377" i="6"/>
  <c r="AM1378" i="6"/>
  <c r="AM1379" i="6"/>
  <c r="AM1380" i="6"/>
  <c r="AM1381" i="6"/>
  <c r="AM1382" i="6"/>
  <c r="AM1383" i="6"/>
  <c r="AM1384" i="6"/>
  <c r="AM1385" i="6"/>
  <c r="AM1386" i="6"/>
  <c r="AM1387" i="6"/>
  <c r="AM1388" i="6"/>
  <c r="AM1389" i="6"/>
  <c r="AM1390" i="6"/>
  <c r="AM1391" i="6"/>
  <c r="AM1392" i="6"/>
  <c r="AM1393" i="6"/>
  <c r="AM1394" i="6"/>
  <c r="AM1395" i="6"/>
  <c r="AM1396" i="6"/>
  <c r="AM1397" i="6"/>
  <c r="AM1398" i="6"/>
  <c r="AM1399" i="6"/>
  <c r="AM1400" i="6"/>
  <c r="AM1401" i="6"/>
  <c r="AM1402" i="6"/>
  <c r="AM1403" i="6"/>
  <c r="AM1404" i="6"/>
  <c r="AM1405" i="6"/>
  <c r="AM1406" i="6"/>
  <c r="AM1407" i="6"/>
  <c r="AM1408" i="6"/>
  <c r="AM1409" i="6"/>
  <c r="AM1410" i="6"/>
  <c r="AM1411" i="6"/>
  <c r="AM1412" i="6"/>
  <c r="AM1413" i="6"/>
  <c r="AM1414" i="6"/>
  <c r="AM1415" i="6"/>
  <c r="AM1416" i="6"/>
  <c r="AM1417" i="6"/>
  <c r="AM1418" i="6"/>
  <c r="AM1419" i="6"/>
  <c r="AM1420" i="6"/>
  <c r="AM1421" i="6"/>
  <c r="AM1422" i="6"/>
  <c r="AM1423" i="6"/>
  <c r="AM1424" i="6"/>
  <c r="AM1425" i="6"/>
  <c r="AM1426" i="6"/>
  <c r="AM1427" i="6"/>
  <c r="AM1428" i="6"/>
  <c r="AM1429" i="6"/>
  <c r="AM1430" i="6"/>
  <c r="AM1431" i="6"/>
  <c r="AM1432" i="6"/>
  <c r="AM1433" i="6"/>
  <c r="AM1434" i="6"/>
  <c r="AM1435" i="6"/>
  <c r="AM1436" i="6"/>
  <c r="AM1437" i="6"/>
  <c r="AM1438" i="6"/>
  <c r="AM1439" i="6"/>
  <c r="AM1440" i="6"/>
  <c r="AM1441" i="6"/>
  <c r="AM1442" i="6"/>
  <c r="AM1443" i="6"/>
  <c r="AM1444" i="6"/>
  <c r="AM1445" i="6"/>
  <c r="AM1446" i="6"/>
  <c r="AM1447" i="6"/>
  <c r="AM1448" i="6"/>
  <c r="AM1449" i="6"/>
  <c r="AM1450" i="6"/>
  <c r="AM1451" i="6"/>
  <c r="AM1452" i="6"/>
  <c r="AM1453" i="6"/>
  <c r="AM1454" i="6"/>
  <c r="AM1455" i="6"/>
  <c r="AM1456" i="6"/>
  <c r="AM1457" i="6"/>
  <c r="AM1458" i="6"/>
  <c r="AM1459" i="6"/>
  <c r="AM1460" i="6"/>
  <c r="AM1461" i="6"/>
  <c r="AM1462" i="6"/>
  <c r="AM1463" i="6"/>
  <c r="AM1464" i="6"/>
  <c r="AM1465" i="6"/>
  <c r="AM1466" i="6"/>
  <c r="AM1467" i="6"/>
  <c r="AM1468" i="6"/>
  <c r="AM1469" i="6"/>
  <c r="AM1470" i="6"/>
  <c r="AM1471" i="6"/>
  <c r="AM1472" i="6"/>
  <c r="AM1473" i="6"/>
  <c r="AM1474" i="6"/>
  <c r="AM1475" i="6"/>
  <c r="AM1476" i="6"/>
  <c r="AM1477" i="6"/>
  <c r="AM1478" i="6"/>
  <c r="AM1479" i="6"/>
  <c r="AM1480" i="6"/>
  <c r="AM1481" i="6"/>
  <c r="AM1482" i="6"/>
  <c r="AM1483" i="6"/>
  <c r="AM1484" i="6"/>
  <c r="AM1485" i="6"/>
  <c r="AM1486" i="6"/>
  <c r="AM1487" i="6"/>
  <c r="AM1488" i="6"/>
  <c r="AM1489" i="6"/>
  <c r="AM1490" i="6"/>
  <c r="AM1491" i="6"/>
  <c r="AM1492" i="6"/>
  <c r="AM1493" i="6"/>
  <c r="AM1494" i="6"/>
  <c r="AM1495" i="6"/>
  <c r="AM1496" i="6"/>
  <c r="AM1497" i="6"/>
  <c r="AM1498" i="6"/>
  <c r="AM1499" i="6"/>
  <c r="AM1500" i="6"/>
  <c r="AM1501" i="6"/>
  <c r="AM1502" i="6"/>
  <c r="AM1503" i="6"/>
  <c r="AM1504" i="6"/>
  <c r="AM1505" i="6"/>
  <c r="AM1506" i="6"/>
  <c r="AM1507" i="6"/>
  <c r="AM1508" i="6"/>
  <c r="AM1509" i="6"/>
  <c r="AM1510" i="6"/>
  <c r="AM1511" i="6"/>
  <c r="AM1512" i="6"/>
  <c r="AM1513" i="6"/>
  <c r="AM1514" i="6"/>
  <c r="AM1515" i="6"/>
  <c r="AM1516" i="6"/>
  <c r="AM1517" i="6"/>
  <c r="AM1518" i="6"/>
  <c r="AM1519" i="6"/>
  <c r="AM1520" i="6"/>
  <c r="AM1521" i="6"/>
  <c r="AM1522" i="6"/>
  <c r="AM1523" i="6"/>
  <c r="AM1524" i="6"/>
  <c r="AM1525" i="6"/>
  <c r="AM1526" i="6"/>
  <c r="AM1527" i="6"/>
  <c r="AM1528" i="6"/>
  <c r="AM1529" i="6"/>
  <c r="AM1530" i="6"/>
  <c r="AM1531" i="6"/>
  <c r="AM1532" i="6"/>
  <c r="AM1533" i="6"/>
  <c r="AM1534" i="6"/>
  <c r="AM1535" i="6"/>
  <c r="AM1536" i="6"/>
  <c r="AM1537" i="6"/>
  <c r="AM1538" i="6"/>
  <c r="AM1539" i="6"/>
  <c r="AM1540" i="6"/>
  <c r="AM1541" i="6"/>
  <c r="AM1542" i="6"/>
  <c r="AM1543" i="6"/>
  <c r="AM1544" i="6"/>
  <c r="AM1545" i="6"/>
  <c r="AM1546" i="6"/>
  <c r="AM1547" i="6"/>
  <c r="AM1548" i="6"/>
  <c r="AM1549" i="6"/>
  <c r="AM1550" i="6"/>
  <c r="AM1551" i="6"/>
  <c r="AM1552" i="6"/>
  <c r="AM1553" i="6"/>
  <c r="AM1554" i="6"/>
  <c r="AM1555" i="6"/>
  <c r="AM1556" i="6"/>
  <c r="AM1557" i="6"/>
  <c r="AM1558" i="6"/>
  <c r="AM1559" i="6"/>
  <c r="AM1560" i="6"/>
  <c r="AM1561" i="6"/>
  <c r="AM1562" i="6"/>
  <c r="AM1563" i="6"/>
  <c r="AM1564" i="6"/>
  <c r="AM1565" i="6"/>
  <c r="AM1566" i="6"/>
  <c r="AM1567" i="6"/>
  <c r="AM1568" i="6"/>
  <c r="AM1569" i="6"/>
  <c r="AM1570" i="6"/>
  <c r="AM1571" i="6"/>
  <c r="AM1572" i="6"/>
  <c r="AM1573" i="6"/>
  <c r="AM1574" i="6"/>
  <c r="AM1575" i="6"/>
  <c r="AM1576" i="6"/>
  <c r="AM1577" i="6"/>
  <c r="AM1578" i="6"/>
  <c r="AM1579" i="6"/>
  <c r="AM1580" i="6"/>
  <c r="AM1581" i="6"/>
  <c r="AM1582" i="6"/>
  <c r="AM1583" i="6"/>
  <c r="AM1584" i="6"/>
  <c r="AM1585" i="6"/>
  <c r="AM1586" i="6"/>
  <c r="AM1587" i="6"/>
  <c r="AM1588" i="6"/>
  <c r="AM1589" i="6"/>
  <c r="AM1590" i="6"/>
  <c r="AM1591" i="6"/>
  <c r="AM1592" i="6"/>
  <c r="AM1593" i="6"/>
  <c r="AM1594" i="6"/>
  <c r="AM1595" i="6"/>
  <c r="AM1596" i="6"/>
  <c r="AM1597" i="6"/>
  <c r="AM1598" i="6"/>
  <c r="AM1599" i="6"/>
  <c r="AM1600" i="6"/>
  <c r="AM1601" i="6"/>
  <c r="AM1602" i="6"/>
  <c r="AM1603" i="6"/>
  <c r="AM1604" i="6"/>
  <c r="AM1605" i="6"/>
  <c r="AM1606" i="6"/>
  <c r="AM1607" i="6"/>
  <c r="AM1608" i="6"/>
  <c r="AM1609" i="6"/>
  <c r="AM1610" i="6"/>
  <c r="AM1611" i="6"/>
  <c r="AM1612" i="6"/>
  <c r="AM1613" i="6"/>
  <c r="AM1614" i="6"/>
  <c r="AM1615" i="6"/>
  <c r="AM1616" i="6"/>
  <c r="AM1617" i="6"/>
  <c r="AM1618" i="6"/>
  <c r="AM1619" i="6"/>
  <c r="AM1620" i="6"/>
  <c r="AM1621" i="6"/>
  <c r="AM1622" i="6"/>
  <c r="AM1623" i="6"/>
  <c r="AM1624" i="6"/>
  <c r="AM1625" i="6"/>
  <c r="AM1626" i="6"/>
  <c r="AM1627" i="6"/>
  <c r="AM1628" i="6"/>
  <c r="AM1629" i="6"/>
  <c r="AM1630" i="6"/>
  <c r="AM1631" i="6"/>
  <c r="AM1632" i="6"/>
  <c r="AM1633" i="6"/>
  <c r="AM1634" i="6"/>
  <c r="AM1635" i="6"/>
  <c r="AM1636" i="6"/>
  <c r="AM1637" i="6"/>
  <c r="AM1638" i="6"/>
  <c r="AM1639" i="6"/>
  <c r="AM1640" i="6"/>
  <c r="AM1641" i="6"/>
  <c r="AM1642" i="6"/>
  <c r="AM1643" i="6"/>
  <c r="AM1644" i="6"/>
  <c r="AM1645" i="6"/>
  <c r="AM1646" i="6"/>
  <c r="AM1647" i="6"/>
  <c r="AM1648" i="6"/>
  <c r="AM1649" i="6"/>
  <c r="AM1650" i="6"/>
  <c r="AM1651" i="6"/>
  <c r="AM1652" i="6"/>
  <c r="AM1653" i="6"/>
  <c r="AM1654" i="6"/>
  <c r="AM1655" i="6"/>
  <c r="AM1656" i="6"/>
  <c r="AM1657" i="6"/>
  <c r="AM1658" i="6"/>
  <c r="AM1659" i="6"/>
  <c r="AM1660" i="6"/>
  <c r="AM1661" i="6"/>
  <c r="AM1662" i="6"/>
  <c r="AM1663" i="6"/>
  <c r="AM1664" i="6"/>
  <c r="AM1665" i="6"/>
  <c r="AM1666" i="6"/>
  <c r="AM1667" i="6"/>
  <c r="AM1668" i="6"/>
  <c r="AM1669" i="6"/>
  <c r="AM1670" i="6"/>
  <c r="AM1671" i="6"/>
  <c r="AM1672" i="6"/>
  <c r="AM1673" i="6"/>
  <c r="AM1674" i="6"/>
  <c r="AM1675" i="6"/>
  <c r="AM1676" i="6"/>
  <c r="AM1677" i="6"/>
  <c r="AM1678" i="6"/>
  <c r="AM1679" i="6"/>
  <c r="AM1680" i="6"/>
  <c r="AM1681" i="6"/>
  <c r="AM1682" i="6"/>
  <c r="AM1683" i="6"/>
  <c r="AM1684" i="6"/>
  <c r="AM1685" i="6"/>
  <c r="AM1686" i="6"/>
  <c r="AM1687" i="6"/>
  <c r="AM1688" i="6"/>
  <c r="AM1689" i="6"/>
  <c r="AM1690" i="6"/>
  <c r="AM1691" i="6"/>
  <c r="AM1692" i="6"/>
  <c r="AM1693" i="6"/>
  <c r="AM1694" i="6"/>
  <c r="AM1695" i="6"/>
  <c r="AM1696" i="6"/>
  <c r="AM1697" i="6"/>
  <c r="AM1698" i="6"/>
  <c r="AM1699" i="6"/>
  <c r="AM1700" i="6"/>
  <c r="AM1701" i="6"/>
  <c r="AM1702" i="6"/>
  <c r="AM1703" i="6"/>
  <c r="AM1704" i="6"/>
  <c r="AM1705" i="6"/>
  <c r="AM1706" i="6"/>
  <c r="AM1707" i="6"/>
  <c r="AM1708" i="6"/>
  <c r="AM1709" i="6"/>
  <c r="AM1710" i="6"/>
  <c r="AM1711" i="6"/>
  <c r="AM1712" i="6"/>
  <c r="AM1713" i="6"/>
  <c r="AM1714" i="6"/>
  <c r="AM1715" i="6"/>
  <c r="AM1716" i="6"/>
  <c r="AM1717" i="6"/>
  <c r="AM1718" i="6"/>
  <c r="AM1719" i="6"/>
  <c r="AM1720" i="6"/>
  <c r="AM1721" i="6"/>
  <c r="AM1722" i="6"/>
  <c r="AM1723" i="6"/>
  <c r="AM1724" i="6"/>
  <c r="AM1725" i="6"/>
  <c r="AM1726" i="6"/>
  <c r="AM1727" i="6"/>
  <c r="AM1728" i="6"/>
  <c r="AM1729" i="6"/>
  <c r="AM1730" i="6"/>
  <c r="AM1731" i="6"/>
  <c r="AM1732" i="6"/>
  <c r="AM1733" i="6"/>
  <c r="AM1734" i="6"/>
  <c r="AM1735" i="6"/>
  <c r="AM1736" i="6"/>
  <c r="AM1737" i="6"/>
  <c r="AM1738" i="6"/>
  <c r="AM1739" i="6"/>
  <c r="AM1740" i="6"/>
  <c r="AM1741" i="6"/>
  <c r="AM1742" i="6"/>
  <c r="AM1743" i="6"/>
  <c r="AM1744" i="6"/>
  <c r="AM1745" i="6"/>
  <c r="AM1746" i="6"/>
  <c r="AM1747" i="6"/>
  <c r="AM1748" i="6"/>
  <c r="AM1749" i="6"/>
  <c r="AM1750" i="6"/>
  <c r="AM1751" i="6"/>
  <c r="AM1752" i="6"/>
  <c r="AM1753" i="6"/>
  <c r="AM1754" i="6"/>
  <c r="AM1755" i="6"/>
  <c r="AM1756" i="6"/>
  <c r="AM1757" i="6"/>
  <c r="AM1758" i="6"/>
  <c r="AM1759" i="6"/>
  <c r="AM1760" i="6"/>
  <c r="AM1761" i="6"/>
  <c r="AM1762" i="6"/>
  <c r="AM1763" i="6"/>
  <c r="AM1764" i="6"/>
  <c r="AM1765" i="6"/>
  <c r="AM1766" i="6"/>
  <c r="AM1767" i="6"/>
  <c r="AM1768" i="6"/>
  <c r="AM1769" i="6"/>
  <c r="AM1770" i="6"/>
  <c r="AM1771" i="6"/>
  <c r="AM1772" i="6"/>
  <c r="AM1773" i="6"/>
  <c r="AM1774" i="6"/>
  <c r="AM1775" i="6"/>
  <c r="AM1776" i="6"/>
  <c r="AM1777" i="6"/>
  <c r="AM1778" i="6"/>
  <c r="AM1779" i="6"/>
  <c r="AM1780" i="6"/>
  <c r="AM1781" i="6"/>
  <c r="AM1782" i="6"/>
  <c r="AM1783" i="6"/>
  <c r="AM1784" i="6"/>
  <c r="AM1785" i="6"/>
  <c r="AM1786" i="6"/>
  <c r="AM1787" i="6"/>
  <c r="AM1788" i="6"/>
  <c r="AM1789" i="6"/>
  <c r="AM1790" i="6"/>
  <c r="AM1791" i="6"/>
  <c r="AM1792" i="6"/>
  <c r="AM1793" i="6"/>
  <c r="AM1794" i="6"/>
  <c r="AM1795" i="6"/>
  <c r="AM1796" i="6"/>
  <c r="AM1797" i="6"/>
  <c r="AM1798" i="6"/>
  <c r="AM1799" i="6"/>
  <c r="AM1800" i="6"/>
  <c r="AM1801" i="6"/>
  <c r="AM1802" i="6"/>
  <c r="AM1803" i="6"/>
  <c r="AM1804" i="6"/>
  <c r="AM1805" i="6"/>
  <c r="AM1806" i="6"/>
  <c r="AM1807" i="6"/>
  <c r="AM1808" i="6"/>
  <c r="AM1809" i="6"/>
  <c r="AM1810" i="6"/>
  <c r="AM1811" i="6"/>
  <c r="AM1812" i="6"/>
  <c r="AM1813" i="6"/>
  <c r="AM1814" i="6"/>
  <c r="AM1815" i="6"/>
  <c r="AM1816" i="6"/>
  <c r="AM1817" i="6"/>
  <c r="AM1818" i="6"/>
  <c r="AM1819" i="6"/>
  <c r="AM1820" i="6"/>
  <c r="AM1821" i="6"/>
  <c r="AM1822" i="6"/>
  <c r="AM1823" i="6"/>
  <c r="AM1824" i="6"/>
  <c r="AM1825" i="6"/>
  <c r="AM1826" i="6"/>
  <c r="AM1827" i="6"/>
  <c r="AM1828" i="6"/>
  <c r="AM1829" i="6"/>
  <c r="AM1830" i="6"/>
  <c r="AM1831" i="6"/>
  <c r="AM1832" i="6"/>
  <c r="AM1833" i="6"/>
  <c r="AM1834" i="6"/>
  <c r="AM1835" i="6"/>
  <c r="AM1836" i="6"/>
  <c r="AM1837" i="6"/>
  <c r="AM1838" i="6"/>
  <c r="AM1839" i="6"/>
  <c r="AM1840" i="6"/>
  <c r="AM1841" i="6"/>
  <c r="AM1842" i="6"/>
  <c r="AM1843" i="6"/>
  <c r="AM1844" i="6"/>
  <c r="AM1845" i="6"/>
  <c r="AM1846" i="6"/>
  <c r="AM1847" i="6"/>
  <c r="AM1848" i="6"/>
  <c r="AM1849" i="6"/>
  <c r="AM1850" i="6"/>
  <c r="AM1851" i="6"/>
  <c r="AM1852" i="6"/>
  <c r="AM1853" i="6"/>
  <c r="AM1854" i="6"/>
  <c r="AM1855" i="6"/>
  <c r="AM1856" i="6"/>
  <c r="AM1857" i="6"/>
  <c r="AM1858" i="6"/>
  <c r="AM1859" i="6"/>
  <c r="AM1860" i="6"/>
  <c r="AM1861" i="6"/>
  <c r="AM1862" i="6"/>
  <c r="AM1863" i="6"/>
  <c r="AM1864" i="6"/>
  <c r="AM1865" i="6"/>
  <c r="AM1866" i="6"/>
  <c r="AM1867" i="6"/>
  <c r="AM1868" i="6"/>
  <c r="AM1869" i="6"/>
  <c r="AM1870" i="6"/>
  <c r="AM1871" i="6"/>
  <c r="AM1872" i="6"/>
  <c r="AM1873" i="6"/>
  <c r="AM1874" i="6"/>
  <c r="AM1875" i="6"/>
  <c r="AM1876" i="6"/>
  <c r="AM1877" i="6"/>
  <c r="AM1878" i="6"/>
  <c r="AM1879" i="6"/>
  <c r="AM1880" i="6"/>
  <c r="AM1881" i="6"/>
  <c r="AM1882" i="6"/>
  <c r="AM1883" i="6"/>
  <c r="AM1884" i="6"/>
  <c r="AM1885" i="6"/>
  <c r="AM1886" i="6"/>
  <c r="AM1887" i="6"/>
  <c r="AM1888" i="6"/>
  <c r="AM1889" i="6"/>
  <c r="AM1890" i="6"/>
  <c r="AM1891" i="6"/>
  <c r="AM1892" i="6"/>
  <c r="AM1894" i="6"/>
  <c r="AM1895" i="6"/>
  <c r="AM1896" i="6"/>
  <c r="AM1897" i="6"/>
  <c r="AM1898" i="6"/>
  <c r="AM1899" i="6"/>
  <c r="AM1900" i="6"/>
  <c r="AM1901" i="6"/>
  <c r="AM1902" i="6"/>
  <c r="AM1903" i="6"/>
  <c r="AM1904" i="6"/>
  <c r="AM1905" i="6"/>
  <c r="AM1906" i="6"/>
  <c r="AM1907" i="6"/>
  <c r="AM1908" i="6"/>
  <c r="AM1909" i="6"/>
  <c r="AM1910" i="6"/>
  <c r="AM1911" i="6"/>
  <c r="AM1912" i="6"/>
  <c r="AM1913" i="6"/>
  <c r="AM1914" i="6"/>
  <c r="AM1915" i="6"/>
  <c r="AM1916" i="6"/>
  <c r="AM1917" i="6"/>
  <c r="AM1918" i="6"/>
  <c r="AM1919" i="6"/>
  <c r="AM1920" i="6"/>
  <c r="AM1921" i="6"/>
  <c r="AM1922" i="6"/>
  <c r="AM1923" i="6"/>
  <c r="AM1924" i="6"/>
  <c r="AM1925" i="6"/>
  <c r="AM1926" i="6"/>
  <c r="AM1927" i="6"/>
  <c r="AM1928" i="6"/>
  <c r="AM1929" i="6"/>
  <c r="AM1930" i="6"/>
  <c r="AM1931" i="6"/>
  <c r="AM1932" i="6"/>
  <c r="AM1933" i="6"/>
  <c r="AM1934" i="6"/>
  <c r="AM1935" i="6"/>
  <c r="AM1936" i="6"/>
  <c r="AM1937" i="6"/>
  <c r="AM1938" i="6"/>
  <c r="AB1924" i="6" l="1"/>
  <c r="AC1924" i="6" s="1"/>
  <c r="AB1925" i="6"/>
  <c r="AC1925" i="6" s="1"/>
  <c r="AB1926" i="6"/>
  <c r="AC1926" i="6" s="1"/>
  <c r="AB1927" i="6"/>
  <c r="AC1927" i="6" s="1"/>
  <c r="AB1928" i="6"/>
  <c r="AC1928" i="6" s="1"/>
  <c r="AB1929" i="6"/>
  <c r="AC1929" i="6" s="1"/>
  <c r="AB1930" i="6"/>
  <c r="AC1930" i="6" s="1"/>
  <c r="AB1931" i="6"/>
  <c r="AC1931" i="6" s="1"/>
  <c r="AB1932" i="6"/>
  <c r="AC1932" i="6" s="1"/>
  <c r="AB1933" i="6"/>
  <c r="AC1933" i="6" s="1"/>
  <c r="AB1934" i="6"/>
  <c r="AC1934" i="6" s="1"/>
  <c r="AB1935" i="6"/>
  <c r="AC1935" i="6" s="1"/>
  <c r="AB1936" i="6"/>
  <c r="AC1936" i="6" s="1"/>
  <c r="Q1930" i="6"/>
  <c r="Q1931" i="6"/>
  <c r="Q1932" i="6"/>
  <c r="R1932" i="6"/>
  <c r="Q1933" i="6"/>
  <c r="R1933" i="6"/>
  <c r="Q1934" i="6"/>
  <c r="R1934" i="6"/>
  <c r="Q1935" i="6"/>
  <c r="R1935" i="6"/>
  <c r="Q1936" i="6"/>
  <c r="R1936" i="6"/>
  <c r="T1931" i="6"/>
  <c r="R1931" i="6" s="1"/>
  <c r="V1930" i="6"/>
  <c r="R1930" i="6" s="1"/>
  <c r="V1929" i="6"/>
  <c r="R1929" i="6" s="1"/>
  <c r="Q1926" i="6"/>
  <c r="R1926" i="6"/>
  <c r="Q1927" i="6"/>
  <c r="R1927" i="6"/>
  <c r="Q1928" i="6"/>
  <c r="R1928" i="6"/>
  <c r="Q1929" i="6"/>
  <c r="T1922" i="6" l="1"/>
  <c r="Q1923" i="6"/>
  <c r="R1923" i="6"/>
  <c r="Q1924" i="6"/>
  <c r="R1924" i="6"/>
  <c r="Q1925" i="6"/>
  <c r="R1925" i="6"/>
  <c r="AB1923" i="6"/>
  <c r="AC1923" i="6" s="1"/>
  <c r="AB1922" i="6"/>
  <c r="AC1922" i="6" s="1"/>
  <c r="Q1922" i="6"/>
  <c r="R1922" i="6"/>
  <c r="AB1919" i="6" l="1"/>
  <c r="AC1919" i="6" s="1"/>
  <c r="AB1920" i="6"/>
  <c r="AC1920" i="6" s="1"/>
  <c r="AB1921" i="6"/>
  <c r="AC1921" i="6" s="1"/>
  <c r="Q1919" i="6"/>
  <c r="R1919" i="6"/>
  <c r="Q1920" i="6"/>
  <c r="R1920" i="6"/>
  <c r="Q1921" i="6"/>
  <c r="R1921" i="6"/>
  <c r="AB1909" i="6" l="1"/>
  <c r="AC1909" i="6" s="1"/>
  <c r="AB1910" i="6"/>
  <c r="AC1910" i="6" s="1"/>
  <c r="AB1911" i="6"/>
  <c r="AC1911" i="6" s="1"/>
  <c r="AB1912" i="6"/>
  <c r="AC1912" i="6" s="1"/>
  <c r="AB1913" i="6"/>
  <c r="AC1913" i="6" s="1"/>
  <c r="AB1914" i="6"/>
  <c r="AC1914" i="6" s="1"/>
  <c r="AB1915" i="6"/>
  <c r="AC1915" i="6" s="1"/>
  <c r="AB1916" i="6"/>
  <c r="AC1916" i="6" s="1"/>
  <c r="AB1917" i="6"/>
  <c r="AC1917" i="6" s="1"/>
  <c r="AB1918" i="6"/>
  <c r="AC1918" i="6" s="1"/>
  <c r="Q1909" i="6"/>
  <c r="R1909" i="6"/>
  <c r="Q1910" i="6"/>
  <c r="R1910" i="6"/>
  <c r="Q1911" i="6"/>
  <c r="R1911" i="6"/>
  <c r="Q1912" i="6"/>
  <c r="R1912" i="6"/>
  <c r="Q1913" i="6"/>
  <c r="R1913" i="6"/>
  <c r="Q1914" i="6"/>
  <c r="R1914" i="6"/>
  <c r="Q1915" i="6"/>
  <c r="R1915" i="6"/>
  <c r="Q1916" i="6"/>
  <c r="R1916" i="6"/>
  <c r="Q1917" i="6"/>
  <c r="R1917" i="6"/>
  <c r="Q1918" i="6"/>
  <c r="R1918" i="6"/>
  <c r="AB1908" i="6"/>
  <c r="AC1908" i="6" s="1"/>
  <c r="Q1908" i="6"/>
  <c r="R1908" i="6"/>
  <c r="AB1907" i="6" l="1"/>
  <c r="AC1907" i="6" s="1"/>
  <c r="Q1907" i="6"/>
  <c r="R1907" i="6"/>
  <c r="AB1906" i="6"/>
  <c r="AC1906" i="6" s="1"/>
  <c r="Q1906" i="6"/>
  <c r="R1906" i="6"/>
  <c r="AB1905" i="6"/>
  <c r="AC1905" i="6" s="1"/>
  <c r="Q1905" i="6"/>
  <c r="R1905" i="6"/>
  <c r="Q1900" i="6"/>
  <c r="R1900" i="6"/>
  <c r="Q1901" i="6"/>
  <c r="R1901" i="6"/>
  <c r="Q1902" i="6"/>
  <c r="R1902" i="6"/>
  <c r="Q1903" i="6"/>
  <c r="R1903" i="6"/>
  <c r="Q1904" i="6"/>
  <c r="R1904" i="6"/>
  <c r="AB1904" i="6"/>
  <c r="AC1904" i="6" s="1"/>
  <c r="AB1903" i="6"/>
  <c r="AC1903" i="6" s="1"/>
  <c r="AB1902" i="6"/>
  <c r="AC1902" i="6" s="1"/>
  <c r="AB1901" i="6"/>
  <c r="AC1901" i="6" s="1"/>
  <c r="AB1900" i="6"/>
  <c r="AC1900" i="6" s="1"/>
  <c r="AB1899" i="6"/>
  <c r="AC1899" i="6" s="1"/>
  <c r="T1899" i="6"/>
  <c r="R1899" i="6" s="1"/>
  <c r="Q1899" i="6"/>
  <c r="AB1898" i="6"/>
  <c r="AC1898" i="6" s="1"/>
  <c r="T1898" i="6"/>
  <c r="R1898" i="6" s="1"/>
  <c r="Q1898" i="6"/>
  <c r="Q1897" i="6"/>
  <c r="R1897" i="6"/>
  <c r="AB1897" i="6"/>
  <c r="AC1897" i="6" s="1"/>
  <c r="AB1896" i="6"/>
  <c r="AC1896" i="6" s="1"/>
  <c r="T1896" i="6"/>
  <c r="R1896" i="6" s="1"/>
  <c r="Q1896" i="6"/>
  <c r="Q1895" i="6"/>
  <c r="R1895" i="6"/>
  <c r="AB1895" i="6"/>
  <c r="AC1895" i="6" s="1"/>
  <c r="AB1894" i="6"/>
  <c r="AC1894" i="6" s="1"/>
  <c r="T1894" i="6"/>
  <c r="Q1894" i="6"/>
  <c r="R1894" i="6"/>
  <c r="AB1893" i="6"/>
  <c r="AC1893" i="6" s="1"/>
  <c r="Q1893" i="6"/>
  <c r="R1893" i="6"/>
  <c r="Q1891" i="6"/>
  <c r="R1891" i="6"/>
  <c r="Q1892" i="6"/>
  <c r="R1892" i="6"/>
  <c r="AB1892" i="6"/>
  <c r="AC1892" i="6" s="1"/>
  <c r="AB1891" i="6"/>
  <c r="AC1891" i="6" s="1"/>
  <c r="AB1890" i="6"/>
  <c r="AC1890" i="6" s="1"/>
  <c r="V1890" i="6"/>
  <c r="R1890" i="6" s="1"/>
  <c r="Q1890" i="6"/>
  <c r="Q1888" i="6"/>
  <c r="R1888" i="6"/>
  <c r="Q1889" i="6"/>
  <c r="R1889" i="6"/>
  <c r="AB1889" i="6"/>
  <c r="AC1889" i="6" s="1"/>
  <c r="AB1888" i="6"/>
  <c r="AC1888" i="6" s="1"/>
  <c r="AB1887" i="6"/>
  <c r="AC1887" i="6" s="1"/>
  <c r="V1887" i="6"/>
  <c r="R1887" i="6" s="1"/>
  <c r="Q1887" i="6"/>
  <c r="AB1886" i="6"/>
  <c r="AC1886" i="6" s="1"/>
  <c r="V1886" i="6"/>
  <c r="R1886" i="6" s="1"/>
  <c r="Q1886" i="6"/>
  <c r="AB1885" i="6"/>
  <c r="AC1885" i="6" s="1"/>
  <c r="V1885" i="6"/>
  <c r="R1885" i="6" s="1"/>
  <c r="Q1885" i="6"/>
  <c r="Q1883" i="6"/>
  <c r="R1883" i="6"/>
  <c r="Q1884" i="6"/>
  <c r="R1884" i="6"/>
  <c r="AB1884" i="6"/>
  <c r="AC1884" i="6" s="1"/>
  <c r="AB1883" i="6"/>
  <c r="AC1883" i="6" s="1"/>
  <c r="AB1882" i="6"/>
  <c r="AC1882" i="6" s="1"/>
  <c r="V1882" i="6"/>
  <c r="R1882" i="6" s="1"/>
  <c r="Q1882" i="6"/>
  <c r="Q1881" i="6"/>
  <c r="R1881" i="6"/>
  <c r="AB1881" i="6"/>
  <c r="AC1881" i="6" s="1"/>
  <c r="AB1880" i="6"/>
  <c r="AC1880" i="6" s="1"/>
  <c r="T1880" i="6"/>
  <c r="R1880" i="6" s="1"/>
  <c r="Q1880" i="6"/>
  <c r="Q3" i="6"/>
  <c r="Q4" i="6"/>
  <c r="R4" i="6"/>
  <c r="Q5" i="6"/>
  <c r="R5" i="6"/>
  <c r="Q6" i="6"/>
  <c r="R6" i="6"/>
  <c r="Q7" i="6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Q23" i="6"/>
  <c r="R23" i="6"/>
  <c r="Q24" i="6"/>
  <c r="R24" i="6"/>
  <c r="Q25" i="6"/>
  <c r="R25" i="6"/>
  <c r="Q26" i="6"/>
  <c r="R26" i="6"/>
  <c r="Q27" i="6"/>
  <c r="R27" i="6"/>
  <c r="Q28" i="6"/>
  <c r="R28" i="6"/>
  <c r="Q29" i="6"/>
  <c r="R29" i="6"/>
  <c r="Q30" i="6"/>
  <c r="R30" i="6"/>
  <c r="Q31" i="6"/>
  <c r="R31" i="6"/>
  <c r="Q32" i="6"/>
  <c r="R32" i="6"/>
  <c r="Q33" i="6"/>
  <c r="R33" i="6"/>
  <c r="Q34" i="6"/>
  <c r="R34" i="6"/>
  <c r="Q35" i="6"/>
  <c r="R35" i="6"/>
  <c r="Q36" i="6"/>
  <c r="R36" i="6"/>
  <c r="Q37" i="6"/>
  <c r="R37" i="6"/>
  <c r="Q38" i="6"/>
  <c r="R38" i="6"/>
  <c r="Q39" i="6"/>
  <c r="R39" i="6"/>
  <c r="Q40" i="6"/>
  <c r="R40" i="6"/>
  <c r="Q41" i="6"/>
  <c r="R41" i="6"/>
  <c r="Q42" i="6"/>
  <c r="R42" i="6"/>
  <c r="Q43" i="6"/>
  <c r="R43" i="6"/>
  <c r="Q44" i="6"/>
  <c r="R44" i="6"/>
  <c r="Q45" i="6"/>
  <c r="R45" i="6"/>
  <c r="Q46" i="6"/>
  <c r="R46" i="6"/>
  <c r="Q47" i="6"/>
  <c r="R47" i="6"/>
  <c r="Q48" i="6"/>
  <c r="R48" i="6"/>
  <c r="Q49" i="6"/>
  <c r="R49" i="6"/>
  <c r="Q50" i="6"/>
  <c r="R50" i="6"/>
  <c r="Q51" i="6"/>
  <c r="R51" i="6"/>
  <c r="Q52" i="6"/>
  <c r="R52" i="6"/>
  <c r="Q53" i="6"/>
  <c r="R53" i="6"/>
  <c r="Q54" i="6"/>
  <c r="Q55" i="6"/>
  <c r="Q56" i="6"/>
  <c r="Q57" i="6"/>
  <c r="Q58" i="6"/>
  <c r="R58" i="6"/>
  <c r="Q59" i="6"/>
  <c r="R59" i="6"/>
  <c r="Q60" i="6"/>
  <c r="R60" i="6"/>
  <c r="Q61" i="6"/>
  <c r="R61" i="6"/>
  <c r="Q62" i="6"/>
  <c r="R62" i="6"/>
  <c r="Q63" i="6"/>
  <c r="R63" i="6"/>
  <c r="Q64" i="6"/>
  <c r="R64" i="6"/>
  <c r="Q65" i="6"/>
  <c r="R65" i="6"/>
  <c r="Q66" i="6"/>
  <c r="R66" i="6"/>
  <c r="Q67" i="6"/>
  <c r="R67" i="6"/>
  <c r="Q68" i="6"/>
  <c r="R68" i="6"/>
  <c r="Q69" i="6"/>
  <c r="R69" i="6"/>
  <c r="Q70" i="6"/>
  <c r="R70" i="6"/>
  <c r="Q71" i="6"/>
  <c r="R71" i="6"/>
  <c r="Q72" i="6"/>
  <c r="R72" i="6"/>
  <c r="Q73" i="6"/>
  <c r="R73" i="6"/>
  <c r="Q74" i="6"/>
  <c r="R74" i="6"/>
  <c r="Q75" i="6"/>
  <c r="R75" i="6"/>
  <c r="Q76" i="6"/>
  <c r="R76" i="6"/>
  <c r="Q77" i="6"/>
  <c r="R77" i="6"/>
  <c r="Q78" i="6"/>
  <c r="R78" i="6"/>
  <c r="Q79" i="6"/>
  <c r="R79" i="6"/>
  <c r="Q80" i="6"/>
  <c r="R80" i="6"/>
  <c r="Q81" i="6"/>
  <c r="R81" i="6"/>
  <c r="Q82" i="6"/>
  <c r="R82" i="6"/>
  <c r="Q83" i="6"/>
  <c r="R83" i="6"/>
  <c r="Q84" i="6"/>
  <c r="R84" i="6"/>
  <c r="Q85" i="6"/>
  <c r="R85" i="6"/>
  <c r="Q86" i="6"/>
  <c r="R86" i="6"/>
  <c r="Q87" i="6"/>
  <c r="R87" i="6"/>
  <c r="Q88" i="6"/>
  <c r="R88" i="6"/>
  <c r="Q89" i="6"/>
  <c r="R89" i="6"/>
  <c r="Q90" i="6"/>
  <c r="R90" i="6"/>
  <c r="Q91" i="6"/>
  <c r="R91" i="6"/>
  <c r="Q92" i="6"/>
  <c r="R92" i="6"/>
  <c r="Q93" i="6"/>
  <c r="R93" i="6"/>
  <c r="Q94" i="6"/>
  <c r="R94" i="6"/>
  <c r="Q95" i="6"/>
  <c r="R95" i="6"/>
  <c r="Q96" i="6"/>
  <c r="R96" i="6"/>
  <c r="Q97" i="6"/>
  <c r="R97" i="6"/>
  <c r="Q98" i="6"/>
  <c r="R98" i="6"/>
  <c r="Q99" i="6"/>
  <c r="R99" i="6"/>
  <c r="Q100" i="6"/>
  <c r="R100" i="6"/>
  <c r="Q101" i="6"/>
  <c r="R101" i="6"/>
  <c r="Q102" i="6"/>
  <c r="R102" i="6"/>
  <c r="Q103" i="6"/>
  <c r="R103" i="6"/>
  <c r="Q104" i="6"/>
  <c r="R104" i="6"/>
  <c r="Q105" i="6"/>
  <c r="R105" i="6"/>
  <c r="Q106" i="6"/>
  <c r="R106" i="6"/>
  <c r="Q107" i="6"/>
  <c r="R107" i="6"/>
  <c r="Q108" i="6"/>
  <c r="R108" i="6"/>
  <c r="Q109" i="6"/>
  <c r="R109" i="6"/>
  <c r="Q110" i="6"/>
  <c r="R110" i="6"/>
  <c r="Q111" i="6"/>
  <c r="R111" i="6"/>
  <c r="Q112" i="6"/>
  <c r="R112" i="6"/>
  <c r="Q113" i="6"/>
  <c r="R113" i="6"/>
  <c r="Q114" i="6"/>
  <c r="R114" i="6"/>
  <c r="Q115" i="6"/>
  <c r="R115" i="6"/>
  <c r="Q116" i="6"/>
  <c r="R116" i="6"/>
  <c r="Q117" i="6"/>
  <c r="R117" i="6"/>
  <c r="Q118" i="6"/>
  <c r="R118" i="6"/>
  <c r="Q119" i="6"/>
  <c r="R119" i="6"/>
  <c r="Q120" i="6"/>
  <c r="R120" i="6"/>
  <c r="Q121" i="6"/>
  <c r="R121" i="6"/>
  <c r="Q122" i="6"/>
  <c r="R122" i="6"/>
  <c r="Q123" i="6"/>
  <c r="R123" i="6"/>
  <c r="Q124" i="6"/>
  <c r="R124" i="6"/>
  <c r="Q125" i="6"/>
  <c r="R125" i="6"/>
  <c r="Q126" i="6"/>
  <c r="R126" i="6"/>
  <c r="Q127" i="6"/>
  <c r="R127" i="6"/>
  <c r="Q128" i="6"/>
  <c r="R128" i="6"/>
  <c r="Q129" i="6"/>
  <c r="R129" i="6"/>
  <c r="Q130" i="6"/>
  <c r="R130" i="6"/>
  <c r="Q131" i="6"/>
  <c r="R131" i="6"/>
  <c r="Q132" i="6"/>
  <c r="R132" i="6"/>
  <c r="Q133" i="6"/>
  <c r="R133" i="6"/>
  <c r="Q134" i="6"/>
  <c r="R134" i="6"/>
  <c r="Q135" i="6"/>
  <c r="R135" i="6"/>
  <c r="Q136" i="6"/>
  <c r="R136" i="6"/>
  <c r="Q137" i="6"/>
  <c r="R137" i="6"/>
  <c r="Q138" i="6"/>
  <c r="R138" i="6"/>
  <c r="Q139" i="6"/>
  <c r="R139" i="6"/>
  <c r="Q140" i="6"/>
  <c r="R140" i="6"/>
  <c r="Q141" i="6"/>
  <c r="R141" i="6"/>
  <c r="Q142" i="6"/>
  <c r="R142" i="6"/>
  <c r="Q143" i="6"/>
  <c r="R143" i="6"/>
  <c r="Q144" i="6"/>
  <c r="R144" i="6"/>
  <c r="Q145" i="6"/>
  <c r="R145" i="6"/>
  <c r="Q146" i="6"/>
  <c r="R146" i="6"/>
  <c r="Q147" i="6"/>
  <c r="R147" i="6"/>
  <c r="Q148" i="6"/>
  <c r="R148" i="6"/>
  <c r="Q149" i="6"/>
  <c r="R149" i="6"/>
  <c r="Q150" i="6"/>
  <c r="R150" i="6"/>
  <c r="Q151" i="6"/>
  <c r="R151" i="6"/>
  <c r="Q152" i="6"/>
  <c r="R152" i="6"/>
  <c r="Q153" i="6"/>
  <c r="R153" i="6"/>
  <c r="Q154" i="6"/>
  <c r="R154" i="6"/>
  <c r="Q155" i="6"/>
  <c r="R155" i="6"/>
  <c r="Q156" i="6"/>
  <c r="R156" i="6"/>
  <c r="Q157" i="6"/>
  <c r="R157" i="6"/>
  <c r="Q158" i="6"/>
  <c r="R158" i="6"/>
  <c r="Q159" i="6"/>
  <c r="R159" i="6"/>
  <c r="Q160" i="6"/>
  <c r="R160" i="6"/>
  <c r="Q161" i="6"/>
  <c r="R161" i="6"/>
  <c r="Q162" i="6"/>
  <c r="R162" i="6"/>
  <c r="Q163" i="6"/>
  <c r="R163" i="6"/>
  <c r="Q164" i="6"/>
  <c r="R164" i="6"/>
  <c r="Q165" i="6"/>
  <c r="Q166" i="6"/>
  <c r="R166" i="6"/>
  <c r="Q167" i="6"/>
  <c r="R167" i="6"/>
  <c r="Q168" i="6"/>
  <c r="R168" i="6"/>
  <c r="Q169" i="6"/>
  <c r="Q170" i="6"/>
  <c r="R170" i="6"/>
  <c r="Q171" i="6"/>
  <c r="R171" i="6"/>
  <c r="Q172" i="6"/>
  <c r="R172" i="6"/>
  <c r="Q173" i="6"/>
  <c r="R173" i="6"/>
  <c r="Q174" i="6"/>
  <c r="R174" i="6"/>
  <c r="Q175" i="6"/>
  <c r="R175" i="6"/>
  <c r="Q176" i="6"/>
  <c r="R176" i="6"/>
  <c r="Q177" i="6"/>
  <c r="R177" i="6"/>
  <c r="Q178" i="6"/>
  <c r="R178" i="6"/>
  <c r="Q179" i="6"/>
  <c r="R179" i="6"/>
  <c r="Q180" i="6"/>
  <c r="R180" i="6"/>
  <c r="Q181" i="6"/>
  <c r="R181" i="6"/>
  <c r="Q182" i="6"/>
  <c r="R182" i="6"/>
  <c r="Q183" i="6"/>
  <c r="R183" i="6"/>
  <c r="Q184" i="6"/>
  <c r="R184" i="6"/>
  <c r="Q185" i="6"/>
  <c r="R185" i="6"/>
  <c r="Q186" i="6"/>
  <c r="R186" i="6"/>
  <c r="Q187" i="6"/>
  <c r="R187" i="6"/>
  <c r="Q188" i="6"/>
  <c r="R188" i="6"/>
  <c r="Q189" i="6"/>
  <c r="R189" i="6"/>
  <c r="Q190" i="6"/>
  <c r="R190" i="6"/>
  <c r="Q191" i="6"/>
  <c r="R191" i="6"/>
  <c r="Q192" i="6"/>
  <c r="R192" i="6"/>
  <c r="Q193" i="6"/>
  <c r="R193" i="6"/>
  <c r="Q194" i="6"/>
  <c r="R194" i="6"/>
  <c r="Q195" i="6"/>
  <c r="R195" i="6"/>
  <c r="Q196" i="6"/>
  <c r="R196" i="6"/>
  <c r="Q197" i="6"/>
  <c r="R197" i="6"/>
  <c r="Q198" i="6"/>
  <c r="R198" i="6"/>
  <c r="Q199" i="6"/>
  <c r="R199" i="6"/>
  <c r="Q200" i="6"/>
  <c r="R200" i="6"/>
  <c r="Q201" i="6"/>
  <c r="R201" i="6"/>
  <c r="Q202" i="6"/>
  <c r="R202" i="6"/>
  <c r="Q203" i="6"/>
  <c r="R203" i="6"/>
  <c r="Q204" i="6"/>
  <c r="R204" i="6"/>
  <c r="Q205" i="6"/>
  <c r="R205" i="6"/>
  <c r="Q206" i="6"/>
  <c r="R206" i="6"/>
  <c r="Q207" i="6"/>
  <c r="Q208" i="6"/>
  <c r="R208" i="6"/>
  <c r="Q209" i="6"/>
  <c r="R209" i="6"/>
  <c r="Q210" i="6"/>
  <c r="R210" i="6"/>
  <c r="Q211" i="6"/>
  <c r="R211" i="6"/>
  <c r="Q212" i="6"/>
  <c r="R212" i="6"/>
  <c r="Q213" i="6"/>
  <c r="R213" i="6"/>
  <c r="Q214" i="6"/>
  <c r="R214" i="6"/>
  <c r="Q215" i="6"/>
  <c r="R215" i="6"/>
  <c r="Q216" i="6"/>
  <c r="R216" i="6"/>
  <c r="Q217" i="6"/>
  <c r="R217" i="6"/>
  <c r="Q218" i="6"/>
  <c r="R218" i="6"/>
  <c r="Q219" i="6"/>
  <c r="R219" i="6"/>
  <c r="Q220" i="6"/>
  <c r="R220" i="6"/>
  <c r="Q221" i="6"/>
  <c r="R221" i="6"/>
  <c r="Q222" i="6"/>
  <c r="R222" i="6"/>
  <c r="Q223" i="6"/>
  <c r="R223" i="6"/>
  <c r="Q224" i="6"/>
  <c r="R224" i="6"/>
  <c r="Q225" i="6"/>
  <c r="R225" i="6"/>
  <c r="Q226" i="6"/>
  <c r="R226" i="6"/>
  <c r="Q227" i="6"/>
  <c r="R227" i="6"/>
  <c r="Q228" i="6"/>
  <c r="R228" i="6"/>
  <c r="Q229" i="6"/>
  <c r="R229" i="6"/>
  <c r="Q230" i="6"/>
  <c r="R230" i="6"/>
  <c r="Q231" i="6"/>
  <c r="R231" i="6"/>
  <c r="Q232" i="6"/>
  <c r="R232" i="6"/>
  <c r="Q233" i="6"/>
  <c r="R233" i="6"/>
  <c r="Q234" i="6"/>
  <c r="R234" i="6"/>
  <c r="Q235" i="6"/>
  <c r="R235" i="6"/>
  <c r="Q236" i="6"/>
  <c r="R236" i="6"/>
  <c r="Q237" i="6"/>
  <c r="R237" i="6"/>
  <c r="Q238" i="6"/>
  <c r="R238" i="6"/>
  <c r="Q239" i="6"/>
  <c r="R239" i="6"/>
  <c r="Q240" i="6"/>
  <c r="R240" i="6"/>
  <c r="Q241" i="6"/>
  <c r="R241" i="6"/>
  <c r="Q242" i="6"/>
  <c r="R242" i="6"/>
  <c r="Q243" i="6"/>
  <c r="R243" i="6"/>
  <c r="Q244" i="6"/>
  <c r="R244" i="6"/>
  <c r="Q245" i="6"/>
  <c r="R245" i="6"/>
  <c r="Q246" i="6"/>
  <c r="R246" i="6"/>
  <c r="Q247" i="6"/>
  <c r="R247" i="6"/>
  <c r="Q248" i="6"/>
  <c r="R248" i="6"/>
  <c r="Q249" i="6"/>
  <c r="R249" i="6"/>
  <c r="Q250" i="6"/>
  <c r="R250" i="6"/>
  <c r="Q251" i="6"/>
  <c r="R251" i="6"/>
  <c r="Q252" i="6"/>
  <c r="R252" i="6"/>
  <c r="Q253" i="6"/>
  <c r="R253" i="6"/>
  <c r="Q254" i="6"/>
  <c r="R254" i="6"/>
  <c r="Q255" i="6"/>
  <c r="R255" i="6"/>
  <c r="Q256" i="6"/>
  <c r="R256" i="6"/>
  <c r="Q257" i="6"/>
  <c r="R257" i="6"/>
  <c r="Q258" i="6"/>
  <c r="R258" i="6"/>
  <c r="Q259" i="6"/>
  <c r="Q260" i="6"/>
  <c r="R260" i="6"/>
  <c r="Q261" i="6"/>
  <c r="R261" i="6"/>
  <c r="Q262" i="6"/>
  <c r="R262" i="6"/>
  <c r="Q263" i="6"/>
  <c r="Q264" i="6"/>
  <c r="R264" i="6"/>
  <c r="Q265" i="6"/>
  <c r="R265" i="6"/>
  <c r="Q266" i="6"/>
  <c r="R266" i="6"/>
  <c r="Q267" i="6"/>
  <c r="R267" i="6"/>
  <c r="Q268" i="6"/>
  <c r="R268" i="6"/>
  <c r="Q269" i="6"/>
  <c r="R269" i="6"/>
  <c r="Q270" i="6"/>
  <c r="R270" i="6"/>
  <c r="Q271" i="6"/>
  <c r="R271" i="6"/>
  <c r="Q272" i="6"/>
  <c r="R272" i="6"/>
  <c r="Q273" i="6"/>
  <c r="R273" i="6"/>
  <c r="Q274" i="6"/>
  <c r="R274" i="6"/>
  <c r="Q275" i="6"/>
  <c r="R275" i="6"/>
  <c r="Q276" i="6"/>
  <c r="R276" i="6"/>
  <c r="Q277" i="6"/>
  <c r="R277" i="6"/>
  <c r="Q278" i="6"/>
  <c r="R278" i="6"/>
  <c r="Q279" i="6"/>
  <c r="R279" i="6"/>
  <c r="Q280" i="6"/>
  <c r="R280" i="6"/>
  <c r="Q281" i="6"/>
  <c r="R281" i="6"/>
  <c r="Q282" i="6"/>
  <c r="R282" i="6"/>
  <c r="Q283" i="6"/>
  <c r="R283" i="6"/>
  <c r="Q284" i="6"/>
  <c r="R284" i="6"/>
  <c r="Q285" i="6"/>
  <c r="R285" i="6"/>
  <c r="Q286" i="6"/>
  <c r="R286" i="6"/>
  <c r="Q287" i="6"/>
  <c r="R287" i="6"/>
  <c r="Q288" i="6"/>
  <c r="R288" i="6"/>
  <c r="Q289" i="6"/>
  <c r="R289" i="6"/>
  <c r="Q290" i="6"/>
  <c r="R290" i="6"/>
  <c r="Q291" i="6"/>
  <c r="R291" i="6"/>
  <c r="Q292" i="6"/>
  <c r="R292" i="6"/>
  <c r="Q293" i="6"/>
  <c r="R293" i="6"/>
  <c r="Q294" i="6"/>
  <c r="R294" i="6"/>
  <c r="Q295" i="6"/>
  <c r="R295" i="6"/>
  <c r="Q296" i="6"/>
  <c r="R296" i="6"/>
  <c r="Q297" i="6"/>
  <c r="R297" i="6"/>
  <c r="Q298" i="6"/>
  <c r="R298" i="6"/>
  <c r="Q299" i="6"/>
  <c r="R299" i="6"/>
  <c r="Q300" i="6"/>
  <c r="R300" i="6"/>
  <c r="Q301" i="6"/>
  <c r="R301" i="6"/>
  <c r="Q302" i="6"/>
  <c r="R302" i="6"/>
  <c r="Q303" i="6"/>
  <c r="R303" i="6"/>
  <c r="Q304" i="6"/>
  <c r="R304" i="6"/>
  <c r="Q305" i="6"/>
  <c r="R305" i="6"/>
  <c r="Q306" i="6"/>
  <c r="R306" i="6"/>
  <c r="Q307" i="6"/>
  <c r="R307" i="6"/>
  <c r="Q308" i="6"/>
  <c r="R308" i="6"/>
  <c r="Q309" i="6"/>
  <c r="R309" i="6"/>
  <c r="Q310" i="6"/>
  <c r="R310" i="6"/>
  <c r="Q311" i="6"/>
  <c r="R311" i="6"/>
  <c r="Q312" i="6"/>
  <c r="R312" i="6"/>
  <c r="Q313" i="6"/>
  <c r="R313" i="6"/>
  <c r="Q314" i="6"/>
  <c r="R314" i="6"/>
  <c r="Q315" i="6"/>
  <c r="R315" i="6"/>
  <c r="Q316" i="6"/>
  <c r="R316" i="6"/>
  <c r="Q317" i="6"/>
  <c r="R317" i="6"/>
  <c r="Q318" i="6"/>
  <c r="R318" i="6"/>
  <c r="Q319" i="6"/>
  <c r="R319" i="6"/>
  <c r="Q320" i="6"/>
  <c r="R320" i="6"/>
  <c r="Q321" i="6"/>
  <c r="R321" i="6"/>
  <c r="Q322" i="6"/>
  <c r="R322" i="6"/>
  <c r="Q323" i="6"/>
  <c r="R323" i="6"/>
  <c r="Q324" i="6"/>
  <c r="R324" i="6"/>
  <c r="Q325" i="6"/>
  <c r="R325" i="6"/>
  <c r="Q326" i="6"/>
  <c r="R326" i="6"/>
  <c r="Q327" i="6"/>
  <c r="R327" i="6"/>
  <c r="Q328" i="6"/>
  <c r="R328" i="6"/>
  <c r="Q329" i="6"/>
  <c r="R329" i="6"/>
  <c r="Q330" i="6"/>
  <c r="R330" i="6"/>
  <c r="Q331" i="6"/>
  <c r="R331" i="6"/>
  <c r="Q332" i="6"/>
  <c r="R332" i="6"/>
  <c r="Q333" i="6"/>
  <c r="R333" i="6"/>
  <c r="Q334" i="6"/>
  <c r="R334" i="6"/>
  <c r="Q335" i="6"/>
  <c r="R335" i="6"/>
  <c r="Q336" i="6"/>
  <c r="R336" i="6"/>
  <c r="Q337" i="6"/>
  <c r="R337" i="6"/>
  <c r="Q338" i="6"/>
  <c r="R338" i="6"/>
  <c r="Q339" i="6"/>
  <c r="R339" i="6"/>
  <c r="Q340" i="6"/>
  <c r="R340" i="6"/>
  <c r="Q341" i="6"/>
  <c r="R341" i="6"/>
  <c r="Q342" i="6"/>
  <c r="R342" i="6"/>
  <c r="Q343" i="6"/>
  <c r="R343" i="6"/>
  <c r="Q344" i="6"/>
  <c r="R344" i="6"/>
  <c r="Q345" i="6"/>
  <c r="R345" i="6"/>
  <c r="Q346" i="6"/>
  <c r="R346" i="6"/>
  <c r="Q347" i="6"/>
  <c r="R347" i="6"/>
  <c r="Q348" i="6"/>
  <c r="R348" i="6"/>
  <c r="Q349" i="6"/>
  <c r="R349" i="6"/>
  <c r="Q350" i="6"/>
  <c r="R350" i="6"/>
  <c r="Q351" i="6"/>
  <c r="R351" i="6"/>
  <c r="Q352" i="6"/>
  <c r="R352" i="6"/>
  <c r="Q353" i="6"/>
  <c r="R353" i="6"/>
  <c r="Q354" i="6"/>
  <c r="R354" i="6"/>
  <c r="Q355" i="6"/>
  <c r="R355" i="6"/>
  <c r="Q356" i="6"/>
  <c r="R356" i="6"/>
  <c r="Q357" i="6"/>
  <c r="R357" i="6"/>
  <c r="Q358" i="6"/>
  <c r="R358" i="6"/>
  <c r="Q359" i="6"/>
  <c r="R359" i="6"/>
  <c r="Q360" i="6"/>
  <c r="R360" i="6"/>
  <c r="Q361" i="6"/>
  <c r="R361" i="6"/>
  <c r="Q362" i="6"/>
  <c r="R362" i="6"/>
  <c r="Q363" i="6"/>
  <c r="R363" i="6"/>
  <c r="Q364" i="6"/>
  <c r="R364" i="6"/>
  <c r="Q365" i="6"/>
  <c r="R365" i="6"/>
  <c r="Q366" i="6"/>
  <c r="R366" i="6"/>
  <c r="Q367" i="6"/>
  <c r="R367" i="6"/>
  <c r="Q368" i="6"/>
  <c r="R368" i="6"/>
  <c r="Q369" i="6"/>
  <c r="R369" i="6"/>
  <c r="Q370" i="6"/>
  <c r="R370" i="6"/>
  <c r="Q371" i="6"/>
  <c r="R371" i="6"/>
  <c r="Q372" i="6"/>
  <c r="R372" i="6"/>
  <c r="Q373" i="6"/>
  <c r="R373" i="6"/>
  <c r="Q374" i="6"/>
  <c r="R374" i="6"/>
  <c r="Q375" i="6"/>
  <c r="R375" i="6"/>
  <c r="Q376" i="6"/>
  <c r="R376" i="6"/>
  <c r="Q377" i="6"/>
  <c r="R377" i="6"/>
  <c r="Q378" i="6"/>
  <c r="R378" i="6"/>
  <c r="Q379" i="6"/>
  <c r="R379" i="6"/>
  <c r="Q380" i="6"/>
  <c r="R380" i="6"/>
  <c r="Q381" i="6"/>
  <c r="R381" i="6"/>
  <c r="Q382" i="6"/>
  <c r="R382" i="6"/>
  <c r="Q383" i="6"/>
  <c r="R383" i="6"/>
  <c r="Q384" i="6"/>
  <c r="R384" i="6"/>
  <c r="Q385" i="6"/>
  <c r="R385" i="6"/>
  <c r="Q386" i="6"/>
  <c r="R386" i="6"/>
  <c r="Q387" i="6"/>
  <c r="R387" i="6"/>
  <c r="Q388" i="6"/>
  <c r="R388" i="6"/>
  <c r="Q389" i="6"/>
  <c r="R389" i="6"/>
  <c r="Q390" i="6"/>
  <c r="R390" i="6"/>
  <c r="Q391" i="6"/>
  <c r="R391" i="6"/>
  <c r="Q392" i="6"/>
  <c r="R392" i="6"/>
  <c r="Q393" i="6"/>
  <c r="R393" i="6"/>
  <c r="Q394" i="6"/>
  <c r="R394" i="6"/>
  <c r="Q395" i="6"/>
  <c r="Q396" i="6"/>
  <c r="Q397" i="6"/>
  <c r="R397" i="6"/>
  <c r="Q398" i="6"/>
  <c r="Q399" i="6"/>
  <c r="Q400" i="6"/>
  <c r="Q401" i="6"/>
  <c r="Q402" i="6"/>
  <c r="R402" i="6"/>
  <c r="Q403" i="6"/>
  <c r="R403" i="6"/>
  <c r="Q404" i="6"/>
  <c r="Q405" i="6"/>
  <c r="R405" i="6"/>
  <c r="Q406" i="6"/>
  <c r="Q407" i="6"/>
  <c r="Q408" i="6"/>
  <c r="Q409" i="6"/>
  <c r="Q410" i="6"/>
  <c r="R410" i="6"/>
  <c r="Q411" i="6"/>
  <c r="R411" i="6"/>
  <c r="Q412" i="6"/>
  <c r="R412" i="6"/>
  <c r="Q413" i="6"/>
  <c r="Q414" i="6"/>
  <c r="R414" i="6"/>
  <c r="Q415" i="6"/>
  <c r="R415" i="6"/>
  <c r="Q416" i="6"/>
  <c r="Q417" i="6"/>
  <c r="R417" i="6"/>
  <c r="Q418" i="6"/>
  <c r="Q419" i="6"/>
  <c r="R419" i="6"/>
  <c r="Q420" i="6"/>
  <c r="R420" i="6"/>
  <c r="Q421" i="6"/>
  <c r="R421" i="6"/>
  <c r="Q422" i="6"/>
  <c r="R422" i="6"/>
  <c r="Q423" i="6"/>
  <c r="R423" i="6"/>
  <c r="Q424" i="6"/>
  <c r="R424" i="6"/>
  <c r="Q425" i="6"/>
  <c r="R425" i="6"/>
  <c r="Q426" i="6"/>
  <c r="R426" i="6"/>
  <c r="Q427" i="6"/>
  <c r="R427" i="6"/>
  <c r="Q428" i="6"/>
  <c r="R428" i="6"/>
  <c r="Q429" i="6"/>
  <c r="R429" i="6"/>
  <c r="Q430" i="6"/>
  <c r="R430" i="6"/>
  <c r="Q431" i="6"/>
  <c r="R431" i="6"/>
  <c r="Q432" i="6"/>
  <c r="R432" i="6"/>
  <c r="Q433" i="6"/>
  <c r="R433" i="6"/>
  <c r="Q434" i="6"/>
  <c r="R434" i="6"/>
  <c r="Q435" i="6"/>
  <c r="R435" i="6"/>
  <c r="Q436" i="6"/>
  <c r="R436" i="6"/>
  <c r="Q437" i="6"/>
  <c r="R437" i="6"/>
  <c r="Q438" i="6"/>
  <c r="R438" i="6"/>
  <c r="Q439" i="6"/>
  <c r="R439" i="6"/>
  <c r="Q440" i="6"/>
  <c r="R440" i="6"/>
  <c r="Q441" i="6"/>
  <c r="R441" i="6"/>
  <c r="Q442" i="6"/>
  <c r="R442" i="6"/>
  <c r="Q443" i="6"/>
  <c r="R443" i="6"/>
  <c r="Q444" i="6"/>
  <c r="R444" i="6"/>
  <c r="Q445" i="6"/>
  <c r="R445" i="6"/>
  <c r="Q446" i="6"/>
  <c r="R446" i="6"/>
  <c r="Q447" i="6"/>
  <c r="R447" i="6"/>
  <c r="Q448" i="6"/>
  <c r="R448" i="6"/>
  <c r="Q449" i="6"/>
  <c r="R449" i="6"/>
  <c r="Q450" i="6"/>
  <c r="R450" i="6"/>
  <c r="Q451" i="6"/>
  <c r="R451" i="6"/>
  <c r="Q452" i="6"/>
  <c r="R452" i="6"/>
  <c r="Q453" i="6"/>
  <c r="R453" i="6"/>
  <c r="Q454" i="6"/>
  <c r="R454" i="6"/>
  <c r="Q455" i="6"/>
  <c r="R455" i="6"/>
  <c r="Q456" i="6"/>
  <c r="R456" i="6"/>
  <c r="Q457" i="6"/>
  <c r="R457" i="6"/>
  <c r="Q458" i="6"/>
  <c r="R458" i="6"/>
  <c r="Q459" i="6"/>
  <c r="R459" i="6"/>
  <c r="Q460" i="6"/>
  <c r="R460" i="6"/>
  <c r="Q461" i="6"/>
  <c r="R461" i="6"/>
  <c r="Q462" i="6"/>
  <c r="R462" i="6"/>
  <c r="Q463" i="6"/>
  <c r="R463" i="6"/>
  <c r="Q464" i="6"/>
  <c r="R464" i="6"/>
  <c r="Q465" i="6"/>
  <c r="R465" i="6"/>
  <c r="Q466" i="6"/>
  <c r="R466" i="6"/>
  <c r="Q467" i="6"/>
  <c r="R467" i="6"/>
  <c r="Q468" i="6"/>
  <c r="R468" i="6"/>
  <c r="Q469" i="6"/>
  <c r="R469" i="6"/>
  <c r="Q470" i="6"/>
  <c r="R470" i="6"/>
  <c r="Q471" i="6"/>
  <c r="R471" i="6"/>
  <c r="Q472" i="6"/>
  <c r="R472" i="6"/>
  <c r="Q473" i="6"/>
  <c r="R473" i="6"/>
  <c r="Q474" i="6"/>
  <c r="R474" i="6"/>
  <c r="Q475" i="6"/>
  <c r="Q476" i="6"/>
  <c r="R476" i="6"/>
  <c r="Q477" i="6"/>
  <c r="R477" i="6"/>
  <c r="Q478" i="6"/>
  <c r="R478" i="6"/>
  <c r="Q479" i="6"/>
  <c r="Q480" i="6"/>
  <c r="R480" i="6"/>
  <c r="Q481" i="6"/>
  <c r="R481" i="6"/>
  <c r="Q482" i="6"/>
  <c r="Q483" i="6"/>
  <c r="Q484" i="6"/>
  <c r="Q485" i="6"/>
  <c r="Q486" i="6"/>
  <c r="R486" i="6"/>
  <c r="Q487" i="6"/>
  <c r="R487" i="6"/>
  <c r="Q488" i="6"/>
  <c r="Q489" i="6"/>
  <c r="R489" i="6"/>
  <c r="Q490" i="6"/>
  <c r="Q491" i="6"/>
  <c r="R491" i="6"/>
  <c r="Q492" i="6"/>
  <c r="Q493" i="6"/>
  <c r="R493" i="6"/>
  <c r="Q494" i="6"/>
  <c r="R494" i="6"/>
  <c r="Q495" i="6"/>
  <c r="Q496" i="6"/>
  <c r="R496" i="6"/>
  <c r="Q497" i="6"/>
  <c r="Q498" i="6"/>
  <c r="Q499" i="6"/>
  <c r="R499" i="6"/>
  <c r="Q500" i="6"/>
  <c r="R500" i="6"/>
  <c r="Q501" i="6"/>
  <c r="R501" i="6"/>
  <c r="Q502" i="6"/>
  <c r="R502" i="6"/>
  <c r="Q503" i="6"/>
  <c r="R503" i="6"/>
  <c r="Q504" i="6"/>
  <c r="R504" i="6"/>
  <c r="Q505" i="6"/>
  <c r="R505" i="6"/>
  <c r="Q506" i="6"/>
  <c r="R506" i="6"/>
  <c r="Q507" i="6"/>
  <c r="R507" i="6"/>
  <c r="Q508" i="6"/>
  <c r="R508" i="6"/>
  <c r="Q509" i="6"/>
  <c r="R509" i="6"/>
  <c r="Q510" i="6"/>
  <c r="R510" i="6"/>
  <c r="Q511" i="6"/>
  <c r="R511" i="6"/>
  <c r="Q512" i="6"/>
  <c r="R512" i="6"/>
  <c r="Q513" i="6"/>
  <c r="R513" i="6"/>
  <c r="Q514" i="6"/>
  <c r="R514" i="6"/>
  <c r="Q515" i="6"/>
  <c r="R515" i="6"/>
  <c r="Q516" i="6"/>
  <c r="R516" i="6"/>
  <c r="Q517" i="6"/>
  <c r="R517" i="6"/>
  <c r="Q518" i="6"/>
  <c r="R518" i="6"/>
  <c r="Q519" i="6"/>
  <c r="R519" i="6"/>
  <c r="Q520" i="6"/>
  <c r="R520" i="6"/>
  <c r="Q521" i="6"/>
  <c r="R521" i="6"/>
  <c r="Q522" i="6"/>
  <c r="R522" i="6"/>
  <c r="Q523" i="6"/>
  <c r="R523" i="6"/>
  <c r="Q524" i="6"/>
  <c r="R524" i="6"/>
  <c r="Q525" i="6"/>
  <c r="R525" i="6"/>
  <c r="Q526" i="6"/>
  <c r="R526" i="6"/>
  <c r="Q527" i="6"/>
  <c r="R527" i="6"/>
  <c r="Q528" i="6"/>
  <c r="R528" i="6"/>
  <c r="Q529" i="6"/>
  <c r="R529" i="6"/>
  <c r="Q530" i="6"/>
  <c r="R530" i="6"/>
  <c r="Q531" i="6"/>
  <c r="R531" i="6"/>
  <c r="Q532" i="6"/>
  <c r="R532" i="6"/>
  <c r="Q533" i="6"/>
  <c r="R533" i="6"/>
  <c r="Q534" i="6"/>
  <c r="R534" i="6"/>
  <c r="Q535" i="6"/>
  <c r="R535" i="6"/>
  <c r="Q536" i="6"/>
  <c r="R536" i="6"/>
  <c r="Q537" i="6"/>
  <c r="R537" i="6"/>
  <c r="Q538" i="6"/>
  <c r="R538" i="6"/>
  <c r="Q539" i="6"/>
  <c r="R539" i="6"/>
  <c r="Q540" i="6"/>
  <c r="R540" i="6"/>
  <c r="Q541" i="6"/>
  <c r="R541" i="6"/>
  <c r="Q542" i="6"/>
  <c r="R542" i="6"/>
  <c r="Q543" i="6"/>
  <c r="R543" i="6"/>
  <c r="Q544" i="6"/>
  <c r="R544" i="6"/>
  <c r="Q545" i="6"/>
  <c r="R545" i="6"/>
  <c r="Q546" i="6"/>
  <c r="R546" i="6"/>
  <c r="Q547" i="6"/>
  <c r="R547" i="6"/>
  <c r="Q548" i="6"/>
  <c r="R548" i="6"/>
  <c r="Q549" i="6"/>
  <c r="R549" i="6"/>
  <c r="Q550" i="6"/>
  <c r="R550" i="6"/>
  <c r="Q551" i="6"/>
  <c r="R551" i="6"/>
  <c r="Q552" i="6"/>
  <c r="R552" i="6"/>
  <c r="Q553" i="6"/>
  <c r="R553" i="6"/>
  <c r="Q554" i="6"/>
  <c r="R554" i="6"/>
  <c r="Q555" i="6"/>
  <c r="R555" i="6"/>
  <c r="Q556" i="6"/>
  <c r="R556" i="6"/>
  <c r="Q557" i="6"/>
  <c r="R557" i="6"/>
  <c r="Q558" i="6"/>
  <c r="R558" i="6"/>
  <c r="Q559" i="6"/>
  <c r="R559" i="6"/>
  <c r="Q560" i="6"/>
  <c r="R560" i="6"/>
  <c r="Q561" i="6"/>
  <c r="R561" i="6"/>
  <c r="Q562" i="6"/>
  <c r="R562" i="6"/>
  <c r="Q563" i="6"/>
  <c r="R563" i="6"/>
  <c r="Q564" i="6"/>
  <c r="R564" i="6"/>
  <c r="Q565" i="6"/>
  <c r="R565" i="6"/>
  <c r="Q566" i="6"/>
  <c r="R566" i="6"/>
  <c r="Q567" i="6"/>
  <c r="R567" i="6"/>
  <c r="Q568" i="6"/>
  <c r="R568" i="6"/>
  <c r="Q569" i="6"/>
  <c r="R569" i="6"/>
  <c r="Q570" i="6"/>
  <c r="R570" i="6"/>
  <c r="Q571" i="6"/>
  <c r="R571" i="6"/>
  <c r="Q572" i="6"/>
  <c r="R572" i="6"/>
  <c r="Q573" i="6"/>
  <c r="R573" i="6"/>
  <c r="Q574" i="6"/>
  <c r="R574" i="6"/>
  <c r="Q575" i="6"/>
  <c r="R575" i="6"/>
  <c r="Q576" i="6"/>
  <c r="R576" i="6"/>
  <c r="Q577" i="6"/>
  <c r="R577" i="6"/>
  <c r="Q578" i="6"/>
  <c r="R578" i="6"/>
  <c r="Q579" i="6"/>
  <c r="R579" i="6"/>
  <c r="Q580" i="6"/>
  <c r="R580" i="6"/>
  <c r="Q581" i="6"/>
  <c r="R581" i="6"/>
  <c r="Q582" i="6"/>
  <c r="R582" i="6"/>
  <c r="Q583" i="6"/>
  <c r="R583" i="6"/>
  <c r="Q584" i="6"/>
  <c r="R584" i="6"/>
  <c r="Q585" i="6"/>
  <c r="R585" i="6"/>
  <c r="Q586" i="6"/>
  <c r="R586" i="6"/>
  <c r="Q587" i="6"/>
  <c r="R587" i="6"/>
  <c r="Q588" i="6"/>
  <c r="R588" i="6"/>
  <c r="Q589" i="6"/>
  <c r="R589" i="6"/>
  <c r="Q590" i="6"/>
  <c r="R590" i="6"/>
  <c r="Q591" i="6"/>
  <c r="R591" i="6"/>
  <c r="Q592" i="6"/>
  <c r="R592" i="6"/>
  <c r="Q593" i="6"/>
  <c r="R593" i="6"/>
  <c r="Q594" i="6"/>
  <c r="R594" i="6"/>
  <c r="Q595" i="6"/>
  <c r="R595" i="6"/>
  <c r="Q596" i="6"/>
  <c r="R596" i="6"/>
  <c r="Q597" i="6"/>
  <c r="R597" i="6"/>
  <c r="Q598" i="6"/>
  <c r="R598" i="6"/>
  <c r="Q599" i="6"/>
  <c r="R599" i="6"/>
  <c r="Q600" i="6"/>
  <c r="R600" i="6"/>
  <c r="Q601" i="6"/>
  <c r="R601" i="6"/>
  <c r="Q602" i="6"/>
  <c r="R602" i="6"/>
  <c r="Q603" i="6"/>
  <c r="R603" i="6"/>
  <c r="Q604" i="6"/>
  <c r="R604" i="6"/>
  <c r="Q605" i="6"/>
  <c r="R605" i="6"/>
  <c r="Q606" i="6"/>
  <c r="R606" i="6"/>
  <c r="Q607" i="6"/>
  <c r="R607" i="6"/>
  <c r="Q608" i="6"/>
  <c r="R608" i="6"/>
  <c r="Q609" i="6"/>
  <c r="R609" i="6"/>
  <c r="Q610" i="6"/>
  <c r="R610" i="6"/>
  <c r="Q611" i="6"/>
  <c r="R611" i="6"/>
  <c r="Q612" i="6"/>
  <c r="R612" i="6"/>
  <c r="Q613" i="6"/>
  <c r="R613" i="6"/>
  <c r="Q614" i="6"/>
  <c r="R614" i="6"/>
  <c r="Q615" i="6"/>
  <c r="R615" i="6"/>
  <c r="Q616" i="6"/>
  <c r="R616" i="6"/>
  <c r="Q617" i="6"/>
  <c r="R617" i="6"/>
  <c r="Q618" i="6"/>
  <c r="R618" i="6"/>
  <c r="Q619" i="6"/>
  <c r="R619" i="6"/>
  <c r="Q620" i="6"/>
  <c r="R620" i="6"/>
  <c r="Q621" i="6"/>
  <c r="R621" i="6"/>
  <c r="Q622" i="6"/>
  <c r="R622" i="6"/>
  <c r="Q623" i="6"/>
  <c r="R623" i="6"/>
  <c r="Q624" i="6"/>
  <c r="R624" i="6"/>
  <c r="Q625" i="6"/>
  <c r="R625" i="6"/>
  <c r="Q626" i="6"/>
  <c r="R626" i="6"/>
  <c r="Q627" i="6"/>
  <c r="R627" i="6"/>
  <c r="Q628" i="6"/>
  <c r="R628" i="6"/>
  <c r="Q629" i="6"/>
  <c r="R629" i="6"/>
  <c r="Q630" i="6"/>
  <c r="R630" i="6"/>
  <c r="Q631" i="6"/>
  <c r="R631" i="6"/>
  <c r="Q632" i="6"/>
  <c r="R632" i="6"/>
  <c r="Q633" i="6"/>
  <c r="R633" i="6"/>
  <c r="Q634" i="6"/>
  <c r="R634" i="6"/>
  <c r="Q635" i="6"/>
  <c r="R635" i="6"/>
  <c r="Q636" i="6"/>
  <c r="R636" i="6"/>
  <c r="Q637" i="6"/>
  <c r="R637" i="6"/>
  <c r="Q638" i="6"/>
  <c r="R638" i="6"/>
  <c r="Q639" i="6"/>
  <c r="R639" i="6"/>
  <c r="Q640" i="6"/>
  <c r="R640" i="6"/>
  <c r="Q641" i="6"/>
  <c r="R641" i="6"/>
  <c r="Q642" i="6"/>
  <c r="R642" i="6"/>
  <c r="Q643" i="6"/>
  <c r="R643" i="6"/>
  <c r="Q644" i="6"/>
  <c r="R644" i="6"/>
  <c r="Q645" i="6"/>
  <c r="R645" i="6"/>
  <c r="Q646" i="6"/>
  <c r="R646" i="6"/>
  <c r="Q647" i="6"/>
  <c r="R647" i="6"/>
  <c r="Q648" i="6"/>
  <c r="R648" i="6"/>
  <c r="Q649" i="6"/>
  <c r="R649" i="6"/>
  <c r="Q650" i="6"/>
  <c r="Q651" i="6"/>
  <c r="R651" i="6"/>
  <c r="Q652" i="6"/>
  <c r="R652" i="6"/>
  <c r="Q653" i="6"/>
  <c r="R653" i="6"/>
  <c r="Q654" i="6"/>
  <c r="Q655" i="6"/>
  <c r="R655" i="6"/>
  <c r="Q656" i="6"/>
  <c r="R656" i="6"/>
  <c r="Q657" i="6"/>
  <c r="Q658" i="6"/>
  <c r="Q659" i="6"/>
  <c r="R659" i="6"/>
  <c r="Q660" i="6"/>
  <c r="Q661" i="6"/>
  <c r="Q662" i="6"/>
  <c r="R662" i="6"/>
  <c r="Q663" i="6"/>
  <c r="R663" i="6"/>
  <c r="Q664" i="6"/>
  <c r="Q665" i="6"/>
  <c r="R665" i="6"/>
  <c r="Q666" i="6"/>
  <c r="R666" i="6"/>
  <c r="Q667" i="6"/>
  <c r="R667" i="6"/>
  <c r="Q668" i="6"/>
  <c r="Q669" i="6"/>
  <c r="R669" i="6"/>
  <c r="Q670" i="6"/>
  <c r="R670" i="6"/>
  <c r="Q671" i="6"/>
  <c r="R671" i="6"/>
  <c r="Q672" i="6"/>
  <c r="R672" i="6"/>
  <c r="Q673" i="6"/>
  <c r="R673" i="6"/>
  <c r="Q674" i="6"/>
  <c r="Q675" i="6"/>
  <c r="R675" i="6"/>
  <c r="Q676" i="6"/>
  <c r="R676" i="6"/>
  <c r="Q677" i="6"/>
  <c r="R677" i="6"/>
  <c r="Q678" i="6"/>
  <c r="R678" i="6"/>
  <c r="Q679" i="6"/>
  <c r="R679" i="6"/>
  <c r="Q680" i="6"/>
  <c r="R680" i="6"/>
  <c r="Q681" i="6"/>
  <c r="R681" i="6"/>
  <c r="Q682" i="6"/>
  <c r="R682" i="6"/>
  <c r="Q683" i="6"/>
  <c r="R683" i="6"/>
  <c r="Q684" i="6"/>
  <c r="R684" i="6"/>
  <c r="Q685" i="6"/>
  <c r="R685" i="6"/>
  <c r="Q686" i="6"/>
  <c r="R686" i="6"/>
  <c r="Q687" i="6"/>
  <c r="R687" i="6"/>
  <c r="Q688" i="6"/>
  <c r="R688" i="6"/>
  <c r="Q689" i="6"/>
  <c r="R689" i="6"/>
  <c r="Q690" i="6"/>
  <c r="R690" i="6"/>
  <c r="Q691" i="6"/>
  <c r="R691" i="6"/>
  <c r="Q692" i="6"/>
  <c r="R692" i="6"/>
  <c r="Q693" i="6"/>
  <c r="R693" i="6"/>
  <c r="Q694" i="6"/>
  <c r="R694" i="6"/>
  <c r="Q695" i="6"/>
  <c r="R695" i="6"/>
  <c r="Q696" i="6"/>
  <c r="R696" i="6"/>
  <c r="Q697" i="6"/>
  <c r="R697" i="6"/>
  <c r="Q698" i="6"/>
  <c r="R698" i="6"/>
  <c r="Q699" i="6"/>
  <c r="R699" i="6"/>
  <c r="Q700" i="6"/>
  <c r="R700" i="6"/>
  <c r="Q701" i="6"/>
  <c r="R701" i="6"/>
  <c r="Q702" i="6"/>
  <c r="R702" i="6"/>
  <c r="Q703" i="6"/>
  <c r="R703" i="6"/>
  <c r="Q704" i="6"/>
  <c r="R704" i="6"/>
  <c r="Q705" i="6"/>
  <c r="R705" i="6"/>
  <c r="Q706" i="6"/>
  <c r="R706" i="6"/>
  <c r="Q707" i="6"/>
  <c r="R707" i="6"/>
  <c r="Q708" i="6"/>
  <c r="R708" i="6"/>
  <c r="Q709" i="6"/>
  <c r="R709" i="6"/>
  <c r="Q710" i="6"/>
  <c r="R710" i="6"/>
  <c r="Q711" i="6"/>
  <c r="R711" i="6"/>
  <c r="Q712" i="6"/>
  <c r="R712" i="6"/>
  <c r="Q713" i="6"/>
  <c r="R713" i="6"/>
  <c r="Q714" i="6"/>
  <c r="R714" i="6"/>
  <c r="Q715" i="6"/>
  <c r="R715" i="6"/>
  <c r="Q716" i="6"/>
  <c r="R716" i="6"/>
  <c r="Q717" i="6"/>
  <c r="R717" i="6"/>
  <c r="Q718" i="6"/>
  <c r="R718" i="6"/>
  <c r="Q719" i="6"/>
  <c r="R719" i="6"/>
  <c r="Q720" i="6"/>
  <c r="R720" i="6"/>
  <c r="Q721" i="6"/>
  <c r="R721" i="6"/>
  <c r="Q722" i="6"/>
  <c r="R722" i="6"/>
  <c r="Q723" i="6"/>
  <c r="R723" i="6"/>
  <c r="Q724" i="6"/>
  <c r="R724" i="6"/>
  <c r="Q725" i="6"/>
  <c r="R725" i="6"/>
  <c r="Q726" i="6"/>
  <c r="R726" i="6"/>
  <c r="Q727" i="6"/>
  <c r="R727" i="6"/>
  <c r="Q728" i="6"/>
  <c r="R728" i="6"/>
  <c r="Q729" i="6"/>
  <c r="R729" i="6"/>
  <c r="Q730" i="6"/>
  <c r="R730" i="6"/>
  <c r="Q731" i="6"/>
  <c r="R731" i="6"/>
  <c r="Q732" i="6"/>
  <c r="R732" i="6"/>
  <c r="Q733" i="6"/>
  <c r="R733" i="6"/>
  <c r="Q734" i="6"/>
  <c r="R734" i="6"/>
  <c r="Q735" i="6"/>
  <c r="R735" i="6"/>
  <c r="Q736" i="6"/>
  <c r="R736" i="6"/>
  <c r="Q737" i="6"/>
  <c r="R737" i="6"/>
  <c r="Q738" i="6"/>
  <c r="R738" i="6"/>
  <c r="Q739" i="6"/>
  <c r="R739" i="6"/>
  <c r="Q740" i="6"/>
  <c r="R740" i="6"/>
  <c r="Q741" i="6"/>
  <c r="R741" i="6"/>
  <c r="Q742" i="6"/>
  <c r="R742" i="6"/>
  <c r="Q743" i="6"/>
  <c r="R743" i="6"/>
  <c r="Q744" i="6"/>
  <c r="R744" i="6"/>
  <c r="Q745" i="6"/>
  <c r="R745" i="6"/>
  <c r="Q746" i="6"/>
  <c r="R746" i="6"/>
  <c r="Q747" i="6"/>
  <c r="R747" i="6"/>
  <c r="Q748" i="6"/>
  <c r="R748" i="6"/>
  <c r="Q749" i="6"/>
  <c r="R749" i="6"/>
  <c r="Q750" i="6"/>
  <c r="R750" i="6"/>
  <c r="Q751" i="6"/>
  <c r="R751" i="6"/>
  <c r="Q752" i="6"/>
  <c r="R752" i="6"/>
  <c r="Q753" i="6"/>
  <c r="R753" i="6"/>
  <c r="Q754" i="6"/>
  <c r="R754" i="6"/>
  <c r="Q755" i="6"/>
  <c r="R755" i="6"/>
  <c r="Q756" i="6"/>
  <c r="R756" i="6"/>
  <c r="Q757" i="6"/>
  <c r="R757" i="6"/>
  <c r="Q758" i="6"/>
  <c r="R758" i="6"/>
  <c r="Q759" i="6"/>
  <c r="R759" i="6"/>
  <c r="Q760" i="6"/>
  <c r="R760" i="6"/>
  <c r="Q761" i="6"/>
  <c r="R761" i="6"/>
  <c r="Q762" i="6"/>
  <c r="R762" i="6"/>
  <c r="Q763" i="6"/>
  <c r="R763" i="6"/>
  <c r="Q764" i="6"/>
  <c r="R764" i="6"/>
  <c r="Q765" i="6"/>
  <c r="R765" i="6"/>
  <c r="Q766" i="6"/>
  <c r="R766" i="6"/>
  <c r="Q767" i="6"/>
  <c r="R767" i="6"/>
  <c r="Q768" i="6"/>
  <c r="R768" i="6"/>
  <c r="Q769" i="6"/>
  <c r="R769" i="6"/>
  <c r="Q770" i="6"/>
  <c r="R770" i="6"/>
  <c r="Q771" i="6"/>
  <c r="R771" i="6"/>
  <c r="Q772" i="6"/>
  <c r="R772" i="6"/>
  <c r="Q773" i="6"/>
  <c r="R773" i="6"/>
  <c r="Q774" i="6"/>
  <c r="R774" i="6"/>
  <c r="Q775" i="6"/>
  <c r="R775" i="6"/>
  <c r="Q776" i="6"/>
  <c r="R776" i="6"/>
  <c r="Q777" i="6"/>
  <c r="R777" i="6"/>
  <c r="Q778" i="6"/>
  <c r="R778" i="6"/>
  <c r="Q779" i="6"/>
  <c r="R779" i="6"/>
  <c r="Q780" i="6"/>
  <c r="R780" i="6"/>
  <c r="Q781" i="6"/>
  <c r="R781" i="6"/>
  <c r="Q782" i="6"/>
  <c r="R782" i="6"/>
  <c r="Q783" i="6"/>
  <c r="R783" i="6"/>
  <c r="Q784" i="6"/>
  <c r="R784" i="6"/>
  <c r="Q785" i="6"/>
  <c r="R785" i="6"/>
  <c r="Q786" i="6"/>
  <c r="R786" i="6"/>
  <c r="Q787" i="6"/>
  <c r="R787" i="6"/>
  <c r="Q788" i="6"/>
  <c r="R788" i="6"/>
  <c r="Q789" i="6"/>
  <c r="R789" i="6"/>
  <c r="Q790" i="6"/>
  <c r="R790" i="6"/>
  <c r="Q791" i="6"/>
  <c r="R791" i="6"/>
  <c r="Q792" i="6"/>
  <c r="Q793" i="6"/>
  <c r="R793" i="6"/>
  <c r="Q794" i="6"/>
  <c r="R794" i="6"/>
  <c r="Q795" i="6"/>
  <c r="R795" i="6"/>
  <c r="Q796" i="6"/>
  <c r="R796" i="6"/>
  <c r="Q797" i="6"/>
  <c r="R797" i="6"/>
  <c r="Q798" i="6"/>
  <c r="R798" i="6"/>
  <c r="Q799" i="6"/>
  <c r="R799" i="6"/>
  <c r="Q800" i="6"/>
  <c r="R800" i="6"/>
  <c r="Q801" i="6"/>
  <c r="R801" i="6"/>
  <c r="Q802" i="6"/>
  <c r="R802" i="6"/>
  <c r="Q803" i="6"/>
  <c r="R803" i="6"/>
  <c r="Q804" i="6"/>
  <c r="R804" i="6"/>
  <c r="Q805" i="6"/>
  <c r="R805" i="6"/>
  <c r="Q806" i="6"/>
  <c r="R806" i="6"/>
  <c r="Q807" i="6"/>
  <c r="R807" i="6"/>
  <c r="Q808" i="6"/>
  <c r="R808" i="6"/>
  <c r="Q809" i="6"/>
  <c r="R809" i="6"/>
  <c r="Q810" i="6"/>
  <c r="R810" i="6"/>
  <c r="Q811" i="6"/>
  <c r="R811" i="6"/>
  <c r="Q812" i="6"/>
  <c r="R812" i="6"/>
  <c r="Q813" i="6"/>
  <c r="R813" i="6"/>
  <c r="Q814" i="6"/>
  <c r="R814" i="6"/>
  <c r="Q815" i="6"/>
  <c r="R815" i="6"/>
  <c r="Q816" i="6"/>
  <c r="R816" i="6"/>
  <c r="Q817" i="6"/>
  <c r="R817" i="6"/>
  <c r="Q818" i="6"/>
  <c r="R818" i="6"/>
  <c r="Q819" i="6"/>
  <c r="R819" i="6"/>
  <c r="Q820" i="6"/>
  <c r="R820" i="6"/>
  <c r="Q821" i="6"/>
  <c r="R821" i="6"/>
  <c r="Q822" i="6"/>
  <c r="R822" i="6"/>
  <c r="Q823" i="6"/>
  <c r="R823" i="6"/>
  <c r="Q824" i="6"/>
  <c r="R824" i="6"/>
  <c r="Q825" i="6"/>
  <c r="R825" i="6"/>
  <c r="Q826" i="6"/>
  <c r="R826" i="6"/>
  <c r="Q827" i="6"/>
  <c r="R827" i="6"/>
  <c r="Q828" i="6"/>
  <c r="R828" i="6"/>
  <c r="Q829" i="6"/>
  <c r="R829" i="6"/>
  <c r="Q830" i="6"/>
  <c r="R830" i="6"/>
  <c r="Q831" i="6"/>
  <c r="R831" i="6"/>
  <c r="Q832" i="6"/>
  <c r="R832" i="6"/>
  <c r="Q833" i="6"/>
  <c r="R833" i="6"/>
  <c r="Q834" i="6"/>
  <c r="R834" i="6"/>
  <c r="Q835" i="6"/>
  <c r="R835" i="6"/>
  <c r="Q836" i="6"/>
  <c r="R836" i="6"/>
  <c r="Q837" i="6"/>
  <c r="R837" i="6"/>
  <c r="Q838" i="6"/>
  <c r="R838" i="6"/>
  <c r="Q839" i="6"/>
  <c r="R839" i="6"/>
  <c r="Q840" i="6"/>
  <c r="R840" i="6"/>
  <c r="Q841" i="6"/>
  <c r="R841" i="6"/>
  <c r="Q842" i="6"/>
  <c r="R842" i="6"/>
  <c r="Q843" i="6"/>
  <c r="R843" i="6"/>
  <c r="Q844" i="6"/>
  <c r="R844" i="6"/>
  <c r="Q845" i="6"/>
  <c r="R845" i="6"/>
  <c r="Q846" i="6"/>
  <c r="R846" i="6"/>
  <c r="Q847" i="6"/>
  <c r="R847" i="6"/>
  <c r="Q848" i="6"/>
  <c r="R848" i="6"/>
  <c r="Q849" i="6"/>
  <c r="R849" i="6"/>
  <c r="Q850" i="6"/>
  <c r="R850" i="6"/>
  <c r="Q851" i="6"/>
  <c r="R851" i="6"/>
  <c r="Q852" i="6"/>
  <c r="R852" i="6"/>
  <c r="Q853" i="6"/>
  <c r="R853" i="6"/>
  <c r="Q854" i="6"/>
  <c r="R854" i="6"/>
  <c r="Q855" i="6"/>
  <c r="R855" i="6"/>
  <c r="Q856" i="6"/>
  <c r="R856" i="6"/>
  <c r="Q857" i="6"/>
  <c r="R857" i="6"/>
  <c r="Q858" i="6"/>
  <c r="R858" i="6"/>
  <c r="Q859" i="6"/>
  <c r="R859" i="6"/>
  <c r="Q860" i="6"/>
  <c r="R860" i="6"/>
  <c r="Q861" i="6"/>
  <c r="R861" i="6"/>
  <c r="Q862" i="6"/>
  <c r="R862" i="6"/>
  <c r="Q863" i="6"/>
  <c r="R863" i="6"/>
  <c r="Q864" i="6"/>
  <c r="R864" i="6"/>
  <c r="Q865" i="6"/>
  <c r="R865" i="6"/>
  <c r="Q866" i="6"/>
  <c r="R866" i="6"/>
  <c r="Q867" i="6"/>
  <c r="R867" i="6"/>
  <c r="Q868" i="6"/>
  <c r="R868" i="6"/>
  <c r="Q869" i="6"/>
  <c r="R869" i="6"/>
  <c r="Q870" i="6"/>
  <c r="R870" i="6"/>
  <c r="Q871" i="6"/>
  <c r="R871" i="6"/>
  <c r="Q872" i="6"/>
  <c r="R872" i="6"/>
  <c r="Q873" i="6"/>
  <c r="R873" i="6"/>
  <c r="Q874" i="6"/>
  <c r="R874" i="6"/>
  <c r="Q875" i="6"/>
  <c r="R875" i="6"/>
  <c r="Q876" i="6"/>
  <c r="R876" i="6"/>
  <c r="Q877" i="6"/>
  <c r="R877" i="6"/>
  <c r="Q878" i="6"/>
  <c r="R878" i="6"/>
  <c r="Q879" i="6"/>
  <c r="R879" i="6"/>
  <c r="Q880" i="6"/>
  <c r="R880" i="6"/>
  <c r="Q881" i="6"/>
  <c r="R881" i="6"/>
  <c r="Q882" i="6"/>
  <c r="R882" i="6"/>
  <c r="Q883" i="6"/>
  <c r="R883" i="6"/>
  <c r="Q884" i="6"/>
  <c r="R884" i="6"/>
  <c r="Q885" i="6"/>
  <c r="R885" i="6"/>
  <c r="Q886" i="6"/>
  <c r="R886" i="6"/>
  <c r="Q887" i="6"/>
  <c r="R887" i="6"/>
  <c r="Q888" i="6"/>
  <c r="R888" i="6"/>
  <c r="Q889" i="6"/>
  <c r="R889" i="6"/>
  <c r="Q890" i="6"/>
  <c r="R890" i="6"/>
  <c r="Q891" i="6"/>
  <c r="R891" i="6"/>
  <c r="Q892" i="6"/>
  <c r="R892" i="6"/>
  <c r="Q893" i="6"/>
  <c r="R893" i="6"/>
  <c r="Q894" i="6"/>
  <c r="R894" i="6"/>
  <c r="Q895" i="6"/>
  <c r="R895" i="6"/>
  <c r="Q896" i="6"/>
  <c r="R896" i="6"/>
  <c r="Q897" i="6"/>
  <c r="R897" i="6"/>
  <c r="Q898" i="6"/>
  <c r="R898" i="6"/>
  <c r="Q899" i="6"/>
  <c r="R899" i="6"/>
  <c r="Q900" i="6"/>
  <c r="R900" i="6"/>
  <c r="Q901" i="6"/>
  <c r="R901" i="6"/>
  <c r="Q902" i="6"/>
  <c r="R902" i="6"/>
  <c r="Q903" i="6"/>
  <c r="R903" i="6"/>
  <c r="Q904" i="6"/>
  <c r="R904" i="6"/>
  <c r="Q905" i="6"/>
  <c r="R905" i="6"/>
  <c r="Q906" i="6"/>
  <c r="R906" i="6"/>
  <c r="Q907" i="6"/>
  <c r="R907" i="6"/>
  <c r="Q908" i="6"/>
  <c r="R908" i="6"/>
  <c r="Q909" i="6"/>
  <c r="R909" i="6"/>
  <c r="Q910" i="6"/>
  <c r="R910" i="6"/>
  <c r="Q911" i="6"/>
  <c r="R911" i="6"/>
  <c r="Q912" i="6"/>
  <c r="R912" i="6"/>
  <c r="Q913" i="6"/>
  <c r="R913" i="6"/>
  <c r="Q914" i="6"/>
  <c r="R914" i="6"/>
  <c r="Q915" i="6"/>
  <c r="R915" i="6"/>
  <c r="Q916" i="6"/>
  <c r="R916" i="6"/>
  <c r="Q917" i="6"/>
  <c r="R917" i="6"/>
  <c r="Q918" i="6"/>
  <c r="R918" i="6"/>
  <c r="Q919" i="6"/>
  <c r="R919" i="6"/>
  <c r="Q920" i="6"/>
  <c r="R920" i="6"/>
  <c r="Q921" i="6"/>
  <c r="R921" i="6"/>
  <c r="Q922" i="6"/>
  <c r="R922" i="6"/>
  <c r="Q923" i="6"/>
  <c r="R923" i="6"/>
  <c r="Q924" i="6"/>
  <c r="R924" i="6"/>
  <c r="Q925" i="6"/>
  <c r="R925" i="6"/>
  <c r="Q926" i="6"/>
  <c r="R926" i="6"/>
  <c r="Q927" i="6"/>
  <c r="R927" i="6"/>
  <c r="Q928" i="6"/>
  <c r="R928" i="6"/>
  <c r="Q929" i="6"/>
  <c r="R929" i="6"/>
  <c r="Q930" i="6"/>
  <c r="R930" i="6"/>
  <c r="Q931" i="6"/>
  <c r="R931" i="6"/>
  <c r="Q932" i="6"/>
  <c r="R932" i="6"/>
  <c r="Q933" i="6"/>
  <c r="R933" i="6"/>
  <c r="Q934" i="6"/>
  <c r="R934" i="6"/>
  <c r="Q935" i="6"/>
  <c r="R935" i="6"/>
  <c r="Q936" i="6"/>
  <c r="R936" i="6"/>
  <c r="Q937" i="6"/>
  <c r="R937" i="6"/>
  <c r="Q938" i="6"/>
  <c r="R938" i="6"/>
  <c r="Q939" i="6"/>
  <c r="R939" i="6"/>
  <c r="Q940" i="6"/>
  <c r="R940" i="6"/>
  <c r="Q941" i="6"/>
  <c r="R941" i="6"/>
  <c r="Q942" i="6"/>
  <c r="R942" i="6"/>
  <c r="Q943" i="6"/>
  <c r="R943" i="6"/>
  <c r="Q944" i="6"/>
  <c r="R944" i="6"/>
  <c r="Q945" i="6"/>
  <c r="R945" i="6"/>
  <c r="Q946" i="6"/>
  <c r="R946" i="6"/>
  <c r="Q947" i="6"/>
  <c r="R947" i="6"/>
  <c r="Q948" i="6"/>
  <c r="R948" i="6"/>
  <c r="Q949" i="6"/>
  <c r="Q950" i="6"/>
  <c r="Q951" i="6"/>
  <c r="R951" i="6"/>
  <c r="Q952" i="6"/>
  <c r="Q953" i="6"/>
  <c r="R953" i="6"/>
  <c r="Q954" i="6"/>
  <c r="R954" i="6"/>
  <c r="Q955" i="6"/>
  <c r="R955" i="6"/>
  <c r="Q956" i="6"/>
  <c r="R956" i="6"/>
  <c r="Q957" i="6"/>
  <c r="R957" i="6"/>
  <c r="Q958" i="6"/>
  <c r="R958" i="6"/>
  <c r="Q959" i="6"/>
  <c r="R959" i="6"/>
  <c r="Q960" i="6"/>
  <c r="R960" i="6"/>
  <c r="Q961" i="6"/>
  <c r="R961" i="6"/>
  <c r="Q962" i="6"/>
  <c r="R962" i="6"/>
  <c r="Q963" i="6"/>
  <c r="Q964" i="6"/>
  <c r="R964" i="6"/>
  <c r="Q965" i="6"/>
  <c r="R965" i="6"/>
  <c r="Q966" i="6"/>
  <c r="Q967" i="6"/>
  <c r="R967" i="6"/>
  <c r="Q968" i="6"/>
  <c r="Q969" i="6"/>
  <c r="R969" i="6"/>
  <c r="Q970" i="6"/>
  <c r="Q971" i="6"/>
  <c r="R971" i="6"/>
  <c r="Q972" i="6"/>
  <c r="R972" i="6"/>
  <c r="Q973" i="6"/>
  <c r="R973" i="6"/>
  <c r="Q974" i="6"/>
  <c r="R974" i="6"/>
  <c r="Q975" i="6"/>
  <c r="Q976" i="6"/>
  <c r="R976" i="6"/>
  <c r="Q977" i="6"/>
  <c r="Q978" i="6"/>
  <c r="R978" i="6"/>
  <c r="Q979" i="6"/>
  <c r="R979" i="6"/>
  <c r="Q980" i="6"/>
  <c r="R980" i="6"/>
  <c r="Q981" i="6"/>
  <c r="R981" i="6"/>
  <c r="Q982" i="6"/>
  <c r="R982" i="6"/>
  <c r="Q983" i="6"/>
  <c r="Q984" i="6"/>
  <c r="R984" i="6"/>
  <c r="Q985" i="6"/>
  <c r="Q986" i="6"/>
  <c r="R986" i="6"/>
  <c r="Q987" i="6"/>
  <c r="Q988" i="6"/>
  <c r="R988" i="6"/>
  <c r="Q989" i="6"/>
  <c r="R989" i="6"/>
  <c r="Q990" i="6"/>
  <c r="R990" i="6"/>
  <c r="Q991" i="6"/>
  <c r="R991" i="6"/>
  <c r="Q992" i="6"/>
  <c r="R992" i="6"/>
  <c r="Q993" i="6"/>
  <c r="R993" i="6"/>
  <c r="Q994" i="6"/>
  <c r="R994" i="6"/>
  <c r="Q995" i="6"/>
  <c r="R995" i="6"/>
  <c r="Q996" i="6"/>
  <c r="R996" i="6"/>
  <c r="Q997" i="6"/>
  <c r="R997" i="6"/>
  <c r="Q998" i="6"/>
  <c r="R998" i="6"/>
  <c r="Q999" i="6"/>
  <c r="R999" i="6"/>
  <c r="Q1000" i="6"/>
  <c r="R1000" i="6"/>
  <c r="Q1001" i="6"/>
  <c r="R1001" i="6"/>
  <c r="Q1002" i="6"/>
  <c r="R1002" i="6"/>
  <c r="Q1003" i="6"/>
  <c r="R1003" i="6"/>
  <c r="Q1004" i="6"/>
  <c r="R1004" i="6"/>
  <c r="Q1005" i="6"/>
  <c r="R1005" i="6"/>
  <c r="Q1006" i="6"/>
  <c r="R1006" i="6"/>
  <c r="Q1007" i="6"/>
  <c r="R1007" i="6"/>
  <c r="Q1008" i="6"/>
  <c r="R1008" i="6"/>
  <c r="Q1009" i="6"/>
  <c r="R1009" i="6"/>
  <c r="Q1010" i="6"/>
  <c r="Q1011" i="6"/>
  <c r="R1011" i="6"/>
  <c r="Q1012" i="6"/>
  <c r="R1012" i="6"/>
  <c r="Q1013" i="6"/>
  <c r="Q1014" i="6"/>
  <c r="R1014" i="6"/>
  <c r="Q1015" i="6"/>
  <c r="R1015" i="6"/>
  <c r="Q1016" i="6"/>
  <c r="R1016" i="6"/>
  <c r="Q1017" i="6"/>
  <c r="R1017" i="6"/>
  <c r="Q1018" i="6"/>
  <c r="R1018" i="6"/>
  <c r="Q1019" i="6"/>
  <c r="R1019" i="6"/>
  <c r="Q1020" i="6"/>
  <c r="R1020" i="6"/>
  <c r="Q1021" i="6"/>
  <c r="R1021" i="6"/>
  <c r="Q1022" i="6"/>
  <c r="R1022" i="6"/>
  <c r="Q1023" i="6"/>
  <c r="R1023" i="6"/>
  <c r="Q1024" i="6"/>
  <c r="R1024" i="6"/>
  <c r="Q1025" i="6"/>
  <c r="R1025" i="6"/>
  <c r="Q1026" i="6"/>
  <c r="R1026" i="6"/>
  <c r="Q1027" i="6"/>
  <c r="R1027" i="6"/>
  <c r="Q1028" i="6"/>
  <c r="R1028" i="6"/>
  <c r="Q1029" i="6"/>
  <c r="Q1030" i="6"/>
  <c r="R1030" i="6"/>
  <c r="Q1031" i="6"/>
  <c r="Q1032" i="6"/>
  <c r="Q1033" i="6"/>
  <c r="R1033" i="6"/>
  <c r="Q1034" i="6"/>
  <c r="Q1035" i="6"/>
  <c r="R1035" i="6"/>
  <c r="Q1036" i="6"/>
  <c r="Q1037" i="6"/>
  <c r="R1037" i="6"/>
  <c r="Q1038" i="6"/>
  <c r="Q1039" i="6"/>
  <c r="R1039" i="6"/>
  <c r="Q1040" i="6"/>
  <c r="Q1041" i="6"/>
  <c r="R1041" i="6"/>
  <c r="Q1042" i="6"/>
  <c r="Q1043" i="6"/>
  <c r="R1043" i="6"/>
  <c r="Q1044" i="6"/>
  <c r="R1044" i="6"/>
  <c r="Q1045" i="6"/>
  <c r="R1045" i="6"/>
  <c r="Q1046" i="6"/>
  <c r="R1046" i="6"/>
  <c r="Q1047" i="6"/>
  <c r="R1047" i="6"/>
  <c r="Q1048" i="6"/>
  <c r="R1048" i="6"/>
  <c r="Q1049" i="6"/>
  <c r="R1049" i="6"/>
  <c r="Q1050" i="6"/>
  <c r="R1050" i="6"/>
  <c r="Q1051" i="6"/>
  <c r="R1051" i="6"/>
  <c r="Q1052" i="6"/>
  <c r="R1052" i="6"/>
  <c r="Q1053" i="6"/>
  <c r="Q1054" i="6"/>
  <c r="R1054" i="6"/>
  <c r="Q1055" i="6"/>
  <c r="Q1056" i="6"/>
  <c r="Q1057" i="6"/>
  <c r="Q1058" i="6"/>
  <c r="R1058" i="6"/>
  <c r="Q1059" i="6"/>
  <c r="R1059" i="6"/>
  <c r="Q1060" i="6"/>
  <c r="Q1061" i="6"/>
  <c r="Q1062" i="6"/>
  <c r="Q1063" i="6"/>
  <c r="R1063" i="6"/>
  <c r="Q1064" i="6"/>
  <c r="Q1065" i="6"/>
  <c r="Q1066" i="6"/>
  <c r="Q1067" i="6"/>
  <c r="Q1068" i="6"/>
  <c r="Q1069" i="6"/>
  <c r="R1069" i="6"/>
  <c r="Q1070" i="6"/>
  <c r="R1070" i="6"/>
  <c r="Q1071" i="6"/>
  <c r="Q1072" i="6"/>
  <c r="R1072" i="6"/>
  <c r="Q1073" i="6"/>
  <c r="R1073" i="6"/>
  <c r="Q1074" i="6"/>
  <c r="R1074" i="6"/>
  <c r="Q1075" i="6"/>
  <c r="R1075" i="6"/>
  <c r="Q1076" i="6"/>
  <c r="Q1077" i="6"/>
  <c r="R1077" i="6"/>
  <c r="Q1078" i="6"/>
  <c r="R1078" i="6"/>
  <c r="Q1079" i="6"/>
  <c r="R1079" i="6"/>
  <c r="Q1080" i="6"/>
  <c r="R1080" i="6"/>
  <c r="Q1081" i="6"/>
  <c r="R1081" i="6"/>
  <c r="Q1082" i="6"/>
  <c r="R1082" i="6"/>
  <c r="Q1083" i="6"/>
  <c r="R1083" i="6"/>
  <c r="Q1084" i="6"/>
  <c r="R1084" i="6"/>
  <c r="Q1085" i="6"/>
  <c r="R1085" i="6"/>
  <c r="Q1086" i="6"/>
  <c r="R1086" i="6"/>
  <c r="Q1087" i="6"/>
  <c r="R1087" i="6"/>
  <c r="Q1088" i="6"/>
  <c r="R1088" i="6"/>
  <c r="Q1089" i="6"/>
  <c r="R1089" i="6"/>
  <c r="Q1090" i="6"/>
  <c r="R1090" i="6"/>
  <c r="Q1091" i="6"/>
  <c r="R1091" i="6"/>
  <c r="Q1092" i="6"/>
  <c r="R1092" i="6"/>
  <c r="Q1093" i="6"/>
  <c r="R1093" i="6"/>
  <c r="Q1094" i="6"/>
  <c r="R1094" i="6"/>
  <c r="Q1095" i="6"/>
  <c r="R1095" i="6"/>
  <c r="Q1096" i="6"/>
  <c r="R1096" i="6"/>
  <c r="Q1097" i="6"/>
  <c r="R1097" i="6"/>
  <c r="Q1098" i="6"/>
  <c r="R1098" i="6"/>
  <c r="Q1099" i="6"/>
  <c r="R1099" i="6"/>
  <c r="Q1100" i="6"/>
  <c r="R1100" i="6"/>
  <c r="Q1101" i="6"/>
  <c r="R1101" i="6"/>
  <c r="Q1102" i="6"/>
  <c r="R1102" i="6"/>
  <c r="Q1103" i="6"/>
  <c r="Q1104" i="6"/>
  <c r="R1104" i="6"/>
  <c r="Q1105" i="6"/>
  <c r="Q1106" i="6"/>
  <c r="R1106" i="6"/>
  <c r="Q1107" i="6"/>
  <c r="Q1108" i="6"/>
  <c r="Q1109" i="6"/>
  <c r="R1109" i="6"/>
  <c r="Q1110" i="6"/>
  <c r="R1110" i="6"/>
  <c r="Q1111" i="6"/>
  <c r="Q1112" i="6"/>
  <c r="R1112" i="6"/>
  <c r="Q1113" i="6"/>
  <c r="Q1114" i="6"/>
  <c r="R1114" i="6"/>
  <c r="Q1115" i="6"/>
  <c r="Q1116" i="6"/>
  <c r="R1116" i="6"/>
  <c r="Q1117" i="6"/>
  <c r="Q1118" i="6"/>
  <c r="Q1119" i="6"/>
  <c r="Q1120" i="6"/>
  <c r="Q1121" i="6"/>
  <c r="Q1122" i="6"/>
  <c r="R1122" i="6"/>
  <c r="Q1123" i="6"/>
  <c r="Q1124" i="6"/>
  <c r="R1124" i="6"/>
  <c r="Q1125" i="6"/>
  <c r="R1125" i="6"/>
  <c r="Q1126" i="6"/>
  <c r="Q1127" i="6"/>
  <c r="R1127" i="6"/>
  <c r="Q1128" i="6"/>
  <c r="R1128" i="6"/>
  <c r="Q1129" i="6"/>
  <c r="R1129" i="6"/>
  <c r="Q1130" i="6"/>
  <c r="R1130" i="6"/>
  <c r="Q1131" i="6"/>
  <c r="R1131" i="6"/>
  <c r="Q1132" i="6"/>
  <c r="R1132" i="6"/>
  <c r="Q1133" i="6"/>
  <c r="R1133" i="6"/>
  <c r="Q1134" i="6"/>
  <c r="R1134" i="6"/>
  <c r="Q1135" i="6"/>
  <c r="R1135" i="6"/>
  <c r="Q1136" i="6"/>
  <c r="R1136" i="6"/>
  <c r="Q1137" i="6"/>
  <c r="R1137" i="6"/>
  <c r="Q1138" i="6"/>
  <c r="R1138" i="6"/>
  <c r="Q1139" i="6"/>
  <c r="R1139" i="6"/>
  <c r="Q1140" i="6"/>
  <c r="R1140" i="6"/>
  <c r="Q1141" i="6"/>
  <c r="R1141" i="6"/>
  <c r="Q1142" i="6"/>
  <c r="R1142" i="6"/>
  <c r="Q1143" i="6"/>
  <c r="R1143" i="6"/>
  <c r="Q1144" i="6"/>
  <c r="R1144" i="6"/>
  <c r="Q1145" i="6"/>
  <c r="R1145" i="6"/>
  <c r="Q1146" i="6"/>
  <c r="R1146" i="6"/>
  <c r="Q1147" i="6"/>
  <c r="R1147" i="6"/>
  <c r="Q1148" i="6"/>
  <c r="R1148" i="6"/>
  <c r="Q1149" i="6"/>
  <c r="R1149" i="6"/>
  <c r="Q1150" i="6"/>
  <c r="R1150" i="6"/>
  <c r="Q1151" i="6"/>
  <c r="Q1152" i="6"/>
  <c r="R1152" i="6"/>
  <c r="Q1153" i="6"/>
  <c r="R1153" i="6"/>
  <c r="Q1154" i="6"/>
  <c r="Q1155" i="6"/>
  <c r="R1155" i="6"/>
  <c r="Q1156" i="6"/>
  <c r="Q1157" i="6"/>
  <c r="Q1158" i="6"/>
  <c r="R1158" i="6"/>
  <c r="Q1159" i="6"/>
  <c r="R1159" i="6"/>
  <c r="Q1160" i="6"/>
  <c r="R1160" i="6"/>
  <c r="Q1161" i="6"/>
  <c r="Q1162" i="6"/>
  <c r="Q1163" i="6"/>
  <c r="R1163" i="6"/>
  <c r="Q1164" i="6"/>
  <c r="Q1165" i="6"/>
  <c r="Q1166" i="6"/>
  <c r="Q1167" i="6"/>
  <c r="R1167" i="6"/>
  <c r="Q1168" i="6"/>
  <c r="R1168" i="6"/>
  <c r="Q1169" i="6"/>
  <c r="R1169" i="6"/>
  <c r="Q1170" i="6"/>
  <c r="R1170" i="6"/>
  <c r="Q1171" i="6"/>
  <c r="R1171" i="6"/>
  <c r="Q1172" i="6"/>
  <c r="R1172" i="6"/>
  <c r="Q1173" i="6"/>
  <c r="Q1174" i="6"/>
  <c r="Q1175" i="6"/>
  <c r="Q1176" i="6"/>
  <c r="R1176" i="6"/>
  <c r="Q1177" i="6"/>
  <c r="R1177" i="6"/>
  <c r="Q1178" i="6"/>
  <c r="R1178" i="6"/>
  <c r="Q1179" i="6"/>
  <c r="R1179" i="6"/>
  <c r="Q1180" i="6"/>
  <c r="R1180" i="6"/>
  <c r="Q1181" i="6"/>
  <c r="R1181" i="6"/>
  <c r="Q1182" i="6"/>
  <c r="R1182" i="6"/>
  <c r="Q1183" i="6"/>
  <c r="R1183" i="6"/>
  <c r="Q1184" i="6"/>
  <c r="R1184" i="6"/>
  <c r="Q1185" i="6"/>
  <c r="R1185" i="6"/>
  <c r="Q1186" i="6"/>
  <c r="Q1187" i="6"/>
  <c r="Q1188" i="6"/>
  <c r="R1188" i="6"/>
  <c r="Q1189" i="6"/>
  <c r="R1189" i="6"/>
  <c r="Q1190" i="6"/>
  <c r="Q1191" i="6"/>
  <c r="R1191" i="6"/>
  <c r="Q1192" i="6"/>
  <c r="R1192" i="6"/>
  <c r="Q1193" i="6"/>
  <c r="R1193" i="6"/>
  <c r="Q1194" i="6"/>
  <c r="R1194" i="6"/>
  <c r="Q1195" i="6"/>
  <c r="R1195" i="6"/>
  <c r="Q1196" i="6"/>
  <c r="R1196" i="6"/>
  <c r="Q1197" i="6"/>
  <c r="R1197" i="6"/>
  <c r="Q1198" i="6"/>
  <c r="R1198" i="6"/>
  <c r="Q1199" i="6"/>
  <c r="R1199" i="6"/>
  <c r="Q1200" i="6"/>
  <c r="R1200" i="6"/>
  <c r="Q1201" i="6"/>
  <c r="R1201" i="6"/>
  <c r="Q1202" i="6"/>
  <c r="R1202" i="6"/>
  <c r="Q1203" i="6"/>
  <c r="R1203" i="6"/>
  <c r="Q1204" i="6"/>
  <c r="Q1205" i="6"/>
  <c r="Q1206" i="6"/>
  <c r="Q1207" i="6"/>
  <c r="R1207" i="6"/>
  <c r="Q1208" i="6"/>
  <c r="R1208" i="6"/>
  <c r="Q1209" i="6"/>
  <c r="R1209" i="6"/>
  <c r="Q1210" i="6"/>
  <c r="R1210" i="6"/>
  <c r="Q1211" i="6"/>
  <c r="R1211" i="6"/>
  <c r="Q1212" i="6"/>
  <c r="R1212" i="6"/>
  <c r="Q1213" i="6"/>
  <c r="Q1214" i="6"/>
  <c r="R1214" i="6"/>
  <c r="Q1215" i="6"/>
  <c r="R1215" i="6"/>
  <c r="Q1216" i="6"/>
  <c r="R1216" i="6"/>
  <c r="Q1217" i="6"/>
  <c r="R1217" i="6"/>
  <c r="Q1218" i="6"/>
  <c r="Q1219" i="6"/>
  <c r="R1219" i="6"/>
  <c r="Q1220" i="6"/>
  <c r="Q1221" i="6"/>
  <c r="R1221" i="6"/>
  <c r="Q1222" i="6"/>
  <c r="R1222" i="6"/>
  <c r="Q1223" i="6"/>
  <c r="R1223" i="6"/>
  <c r="Q1224" i="6"/>
  <c r="R1224" i="6"/>
  <c r="Q1225" i="6"/>
  <c r="R1225" i="6"/>
  <c r="Q1226" i="6"/>
  <c r="R1226" i="6"/>
  <c r="Q1227" i="6"/>
  <c r="Q1228" i="6"/>
  <c r="Q1229" i="6"/>
  <c r="R1229" i="6"/>
  <c r="Q1230" i="6"/>
  <c r="R1230" i="6"/>
  <c r="Q1231" i="6"/>
  <c r="R1231" i="6"/>
  <c r="Q1232" i="6"/>
  <c r="R1232" i="6"/>
  <c r="Q1233" i="6"/>
  <c r="R1233" i="6"/>
  <c r="Q1234" i="6"/>
  <c r="R1234" i="6"/>
  <c r="Q1235" i="6"/>
  <c r="R1235" i="6"/>
  <c r="Q1236" i="6"/>
  <c r="R1236" i="6"/>
  <c r="Q1237" i="6"/>
  <c r="R1237" i="6"/>
  <c r="Q1238" i="6"/>
  <c r="R1238" i="6"/>
  <c r="Q1239" i="6"/>
  <c r="R1239" i="6"/>
  <c r="Q1240" i="6"/>
  <c r="R1240" i="6"/>
  <c r="Q1241" i="6"/>
  <c r="R1241" i="6"/>
  <c r="Q1242" i="6"/>
  <c r="R1242" i="6"/>
  <c r="Q1243" i="6"/>
  <c r="R1243" i="6"/>
  <c r="Q1244" i="6"/>
  <c r="R1244" i="6"/>
  <c r="Q1245" i="6"/>
  <c r="R1245" i="6"/>
  <c r="Q1246" i="6"/>
  <c r="R1246" i="6"/>
  <c r="Q1247" i="6"/>
  <c r="R1247" i="6"/>
  <c r="Q1248" i="6"/>
  <c r="R1248" i="6"/>
  <c r="Q1249" i="6"/>
  <c r="Q1250" i="6"/>
  <c r="R1250" i="6"/>
  <c r="Q1251" i="6"/>
  <c r="Q1252" i="6"/>
  <c r="R1252" i="6"/>
  <c r="Q1253" i="6"/>
  <c r="Q1254" i="6"/>
  <c r="R1254" i="6"/>
  <c r="Q1255" i="6"/>
  <c r="R1255" i="6"/>
  <c r="Q1256" i="6"/>
  <c r="R1256" i="6"/>
  <c r="Q1257" i="6"/>
  <c r="Q1258" i="6"/>
  <c r="Q1259" i="6"/>
  <c r="R1259" i="6"/>
  <c r="Q1260" i="6"/>
  <c r="R1260" i="6"/>
  <c r="Q1261" i="6"/>
  <c r="R1261" i="6"/>
  <c r="Q1262" i="6"/>
  <c r="Q1263" i="6"/>
  <c r="R1263" i="6"/>
  <c r="Q1264" i="6"/>
  <c r="Q1265" i="6"/>
  <c r="R1265" i="6"/>
  <c r="Q1266" i="6"/>
  <c r="R1266" i="6"/>
  <c r="Q1267" i="6"/>
  <c r="R1267" i="6"/>
  <c r="Q1268" i="6"/>
  <c r="R1268" i="6"/>
  <c r="Q1269" i="6"/>
  <c r="R1269" i="6"/>
  <c r="Q1270" i="6"/>
  <c r="R1270" i="6"/>
  <c r="Q1271" i="6"/>
  <c r="R1271" i="6"/>
  <c r="Q1272" i="6"/>
  <c r="R1272" i="6"/>
  <c r="Q1273" i="6"/>
  <c r="R1273" i="6"/>
  <c r="Q1274" i="6"/>
  <c r="R1274" i="6"/>
  <c r="Q1275" i="6"/>
  <c r="R1275" i="6"/>
  <c r="Q1276" i="6"/>
  <c r="R1276" i="6"/>
  <c r="Q1277" i="6"/>
  <c r="R1277" i="6"/>
  <c r="Q1278" i="6"/>
  <c r="R1278" i="6"/>
  <c r="Q1279" i="6"/>
  <c r="R1279" i="6"/>
  <c r="Q1280" i="6"/>
  <c r="R1280" i="6"/>
  <c r="Q1281" i="6"/>
  <c r="Q1282" i="6"/>
  <c r="Q1283" i="6"/>
  <c r="R1283" i="6"/>
  <c r="Q1284" i="6"/>
  <c r="R1284" i="6"/>
  <c r="Q1285" i="6"/>
  <c r="R1285" i="6"/>
  <c r="Q1286" i="6"/>
  <c r="R1286" i="6"/>
  <c r="Q1287" i="6"/>
  <c r="R1287" i="6"/>
  <c r="Q1288" i="6"/>
  <c r="R1288" i="6"/>
  <c r="Q1289" i="6"/>
  <c r="R1289" i="6"/>
  <c r="Q1290" i="6"/>
  <c r="R1290" i="6"/>
  <c r="Q1291" i="6"/>
  <c r="R1291" i="6"/>
  <c r="Q1292" i="6"/>
  <c r="R1292" i="6"/>
  <c r="Q1293" i="6"/>
  <c r="R1293" i="6"/>
  <c r="Q1294" i="6"/>
  <c r="R1294" i="6"/>
  <c r="Q1295" i="6"/>
  <c r="R1295" i="6"/>
  <c r="Q1296" i="6"/>
  <c r="R1296" i="6"/>
  <c r="Q1297" i="6"/>
  <c r="R1297" i="6"/>
  <c r="Q1298" i="6"/>
  <c r="R1298" i="6"/>
  <c r="Q1299" i="6"/>
  <c r="R1299" i="6"/>
  <c r="Q1300" i="6"/>
  <c r="R1300" i="6"/>
  <c r="Q1301" i="6"/>
  <c r="R1301" i="6"/>
  <c r="Q1302" i="6"/>
  <c r="R1302" i="6"/>
  <c r="Q1303" i="6"/>
  <c r="R1303" i="6"/>
  <c r="Q1304" i="6"/>
  <c r="R1304" i="6"/>
  <c r="Q1305" i="6"/>
  <c r="R1305" i="6"/>
  <c r="Q1306" i="6"/>
  <c r="R1306" i="6"/>
  <c r="Q1307" i="6"/>
  <c r="R1307" i="6"/>
  <c r="Q1308" i="6"/>
  <c r="R1308" i="6"/>
  <c r="Q1309" i="6"/>
  <c r="R1309" i="6"/>
  <c r="Q1310" i="6"/>
  <c r="R1310" i="6"/>
  <c r="Q1311" i="6"/>
  <c r="R1311" i="6"/>
  <c r="Q1312" i="6"/>
  <c r="R1312" i="6"/>
  <c r="Q1313" i="6"/>
  <c r="R1313" i="6"/>
  <c r="Q1314" i="6"/>
  <c r="R1314" i="6"/>
  <c r="Q1315" i="6"/>
  <c r="R1315" i="6"/>
  <c r="Q1316" i="6"/>
  <c r="R1316" i="6"/>
  <c r="Q1317" i="6"/>
  <c r="R1317" i="6"/>
  <c r="Q1318" i="6"/>
  <c r="R1318" i="6"/>
  <c r="Q1319" i="6"/>
  <c r="R1319" i="6"/>
  <c r="Q1320" i="6"/>
  <c r="R1320" i="6"/>
  <c r="Q1321" i="6"/>
  <c r="R1321" i="6"/>
  <c r="Q1322" i="6"/>
  <c r="R1322" i="6"/>
  <c r="Q1323" i="6"/>
  <c r="R1323" i="6"/>
  <c r="Q1324" i="6"/>
  <c r="R1324" i="6"/>
  <c r="Q1325" i="6"/>
  <c r="R1325" i="6"/>
  <c r="Q1326" i="6"/>
  <c r="R1326" i="6"/>
  <c r="Q1327" i="6"/>
  <c r="R1327" i="6"/>
  <c r="Q1328" i="6"/>
  <c r="R1328" i="6"/>
  <c r="Q1329" i="6"/>
  <c r="R1329" i="6"/>
  <c r="Q1330" i="6"/>
  <c r="R1330" i="6"/>
  <c r="Q1331" i="6"/>
  <c r="R1331" i="6"/>
  <c r="Q1332" i="6"/>
  <c r="R1332" i="6"/>
  <c r="Q1333" i="6"/>
  <c r="R1333" i="6"/>
  <c r="Q1334" i="6"/>
  <c r="R1334" i="6"/>
  <c r="Q1335" i="6"/>
  <c r="R1335" i="6"/>
  <c r="Q1336" i="6"/>
  <c r="R1336" i="6"/>
  <c r="Q1337" i="6"/>
  <c r="R1337" i="6"/>
  <c r="Q1338" i="6"/>
  <c r="R1338" i="6"/>
  <c r="Q1339" i="6"/>
  <c r="R1339" i="6"/>
  <c r="Q1340" i="6"/>
  <c r="R1340" i="6"/>
  <c r="Q1341" i="6"/>
  <c r="R1341" i="6"/>
  <c r="Q1342" i="6"/>
  <c r="R1342" i="6"/>
  <c r="Q1343" i="6"/>
  <c r="R1343" i="6"/>
  <c r="Q1344" i="6"/>
  <c r="R1344" i="6"/>
  <c r="Q1345" i="6"/>
  <c r="R1345" i="6"/>
  <c r="Q1346" i="6"/>
  <c r="R1346" i="6"/>
  <c r="Q1347" i="6"/>
  <c r="R1347" i="6"/>
  <c r="Q1348" i="6"/>
  <c r="R1348" i="6"/>
  <c r="Q1349" i="6"/>
  <c r="R1349" i="6"/>
  <c r="Q1350" i="6"/>
  <c r="R1350" i="6"/>
  <c r="Q1351" i="6"/>
  <c r="R1351" i="6"/>
  <c r="Q1352" i="6"/>
  <c r="R1352" i="6"/>
  <c r="Q1353" i="6"/>
  <c r="R1353" i="6"/>
  <c r="Q1354" i="6"/>
  <c r="R1354" i="6"/>
  <c r="Q1355" i="6"/>
  <c r="R1355" i="6"/>
  <c r="Q1356" i="6"/>
  <c r="R1356" i="6"/>
  <c r="Q1357" i="6"/>
  <c r="R1357" i="6"/>
  <c r="Q1358" i="6"/>
  <c r="R1358" i="6"/>
  <c r="Q1359" i="6"/>
  <c r="R1359" i="6"/>
  <c r="Q1360" i="6"/>
  <c r="R1360" i="6"/>
  <c r="Q1361" i="6"/>
  <c r="R1361" i="6"/>
  <c r="Q1362" i="6"/>
  <c r="R1362" i="6"/>
  <c r="Q1363" i="6"/>
  <c r="R1363" i="6"/>
  <c r="Q1364" i="6"/>
  <c r="R1364" i="6"/>
  <c r="Q1365" i="6"/>
  <c r="R1365" i="6"/>
  <c r="Q1366" i="6"/>
  <c r="R1366" i="6"/>
  <c r="Q1367" i="6"/>
  <c r="R1367" i="6"/>
  <c r="Q1368" i="6"/>
  <c r="R1368" i="6"/>
  <c r="Q1369" i="6"/>
  <c r="R1369" i="6"/>
  <c r="Q1370" i="6"/>
  <c r="R1370" i="6"/>
  <c r="Q1371" i="6"/>
  <c r="R1371" i="6"/>
  <c r="Q1372" i="6"/>
  <c r="R1372" i="6"/>
  <c r="Q1373" i="6"/>
  <c r="R1373" i="6"/>
  <c r="Q1374" i="6"/>
  <c r="R1374" i="6"/>
  <c r="Q1375" i="6"/>
  <c r="R1375" i="6"/>
  <c r="Q1376" i="6"/>
  <c r="R1376" i="6"/>
  <c r="Q1377" i="6"/>
  <c r="R1377" i="6"/>
  <c r="Q1378" i="6"/>
  <c r="R1378" i="6"/>
  <c r="Q1379" i="6"/>
  <c r="R1379" i="6"/>
  <c r="Q1380" i="6"/>
  <c r="R1380" i="6"/>
  <c r="Q1381" i="6"/>
  <c r="R1381" i="6"/>
  <c r="Q1382" i="6"/>
  <c r="R1382" i="6"/>
  <c r="Q1383" i="6"/>
  <c r="Q1384" i="6"/>
  <c r="R1384" i="6"/>
  <c r="Q1385" i="6"/>
  <c r="Q1386" i="6"/>
  <c r="R1386" i="6"/>
  <c r="Q1387" i="6"/>
  <c r="R1387" i="6"/>
  <c r="Q1388" i="6"/>
  <c r="Q1389" i="6"/>
  <c r="R1389" i="6"/>
  <c r="Q1390" i="6"/>
  <c r="R1390" i="6"/>
  <c r="Q1391" i="6"/>
  <c r="R1391" i="6"/>
  <c r="Q1392" i="6"/>
  <c r="Q1393" i="6"/>
  <c r="R1393" i="6"/>
  <c r="Q1394" i="6"/>
  <c r="R1394" i="6"/>
  <c r="Q1395" i="6"/>
  <c r="Q1396" i="6"/>
  <c r="R1396" i="6"/>
  <c r="Q1397" i="6"/>
  <c r="R1397" i="6"/>
  <c r="Q1398" i="6"/>
  <c r="Q1399" i="6"/>
  <c r="R1399" i="6"/>
  <c r="Q1400" i="6"/>
  <c r="R1400" i="6"/>
  <c r="Q1401" i="6"/>
  <c r="R1401" i="6"/>
  <c r="Q1402" i="6"/>
  <c r="R1402" i="6"/>
  <c r="Q1403" i="6"/>
  <c r="Q1404" i="6"/>
  <c r="Q1405" i="6"/>
  <c r="Q1406" i="6"/>
  <c r="Q1407" i="6"/>
  <c r="R1407" i="6"/>
  <c r="Q1408" i="6"/>
  <c r="R1408" i="6"/>
  <c r="Q1409" i="6"/>
  <c r="Q1410" i="6"/>
  <c r="R1410" i="6"/>
  <c r="Q1411" i="6"/>
  <c r="Q1412" i="6"/>
  <c r="Q1413" i="6"/>
  <c r="R1413" i="6"/>
  <c r="Q1414" i="6"/>
  <c r="Q1415" i="6"/>
  <c r="R1415" i="6"/>
  <c r="Q1416" i="6"/>
  <c r="R1416" i="6"/>
  <c r="Q1417" i="6"/>
  <c r="Q1418" i="6"/>
  <c r="R1418" i="6"/>
  <c r="Q1419" i="6"/>
  <c r="Q1420" i="6"/>
  <c r="Q1421" i="6"/>
  <c r="Q1422" i="6"/>
  <c r="R1422" i="6"/>
  <c r="Q1423" i="6"/>
  <c r="Q1424" i="6"/>
  <c r="R1424" i="6"/>
  <c r="Q1425" i="6"/>
  <c r="Q1426" i="6"/>
  <c r="R1426" i="6"/>
  <c r="Q1427" i="6"/>
  <c r="Q1428" i="6"/>
  <c r="R1428" i="6"/>
  <c r="Q1429" i="6"/>
  <c r="Q1430" i="6"/>
  <c r="R1430" i="6"/>
  <c r="Q1431" i="6"/>
  <c r="R1431" i="6"/>
  <c r="Q1432" i="6"/>
  <c r="Q1433" i="6"/>
  <c r="R1433" i="6"/>
  <c r="Q1434" i="6"/>
  <c r="R1434" i="6"/>
  <c r="Q1435" i="6"/>
  <c r="R1435" i="6"/>
  <c r="Q1436" i="6"/>
  <c r="R1436" i="6"/>
  <c r="Q1437" i="6"/>
  <c r="Q1438" i="6"/>
  <c r="R1438" i="6"/>
  <c r="Q1439" i="6"/>
  <c r="R1439" i="6"/>
  <c r="Q1440" i="6"/>
  <c r="R1440" i="6"/>
  <c r="Q1441" i="6"/>
  <c r="R1441" i="6"/>
  <c r="Q1442" i="6"/>
  <c r="R1442" i="6"/>
  <c r="Q1443" i="6"/>
  <c r="Q1444" i="6"/>
  <c r="Q1445" i="6"/>
  <c r="R1445" i="6"/>
  <c r="Q1446" i="6"/>
  <c r="R1446" i="6"/>
  <c r="Q1447" i="6"/>
  <c r="Q1448" i="6"/>
  <c r="R1448" i="6"/>
  <c r="Q1449" i="6"/>
  <c r="Q1450" i="6"/>
  <c r="R1450" i="6"/>
  <c r="Q1451" i="6"/>
  <c r="Q1452" i="6"/>
  <c r="R1452" i="6"/>
  <c r="Q1453" i="6"/>
  <c r="R1453" i="6"/>
  <c r="Q1454" i="6"/>
  <c r="R1454" i="6"/>
  <c r="Q1455" i="6"/>
  <c r="R1455" i="6"/>
  <c r="Q1456" i="6"/>
  <c r="R1456" i="6"/>
  <c r="Q1457" i="6"/>
  <c r="Q1458" i="6"/>
  <c r="R1458" i="6"/>
  <c r="Q1459" i="6"/>
  <c r="Q1460" i="6"/>
  <c r="R1460" i="6"/>
  <c r="Q1461" i="6"/>
  <c r="R1461" i="6"/>
  <c r="Q1462" i="6"/>
  <c r="R1462" i="6"/>
  <c r="Q1463" i="6"/>
  <c r="R1463" i="6"/>
  <c r="Q1464" i="6"/>
  <c r="Q1465" i="6"/>
  <c r="R1465" i="6"/>
  <c r="Q1466" i="6"/>
  <c r="R1466" i="6"/>
  <c r="Q1467" i="6"/>
  <c r="R1467" i="6"/>
  <c r="Q1468" i="6"/>
  <c r="R1468" i="6"/>
  <c r="Q1469" i="6"/>
  <c r="R1469" i="6"/>
  <c r="Q1470" i="6"/>
  <c r="R1470" i="6"/>
  <c r="Q1471" i="6"/>
  <c r="R1471" i="6"/>
  <c r="Q1472" i="6"/>
  <c r="R1472" i="6"/>
  <c r="Q1473" i="6"/>
  <c r="R1473" i="6"/>
  <c r="Q1474" i="6"/>
  <c r="R1474" i="6"/>
  <c r="Q1475" i="6"/>
  <c r="R1475" i="6"/>
  <c r="Q1476" i="6"/>
  <c r="R1476" i="6"/>
  <c r="Q1477" i="6"/>
  <c r="R1477" i="6"/>
  <c r="Q1478" i="6"/>
  <c r="R1478" i="6"/>
  <c r="Q1479" i="6"/>
  <c r="R1479" i="6"/>
  <c r="Q1480" i="6"/>
  <c r="R1480" i="6"/>
  <c r="Q1481" i="6"/>
  <c r="R1481" i="6"/>
  <c r="Q1482" i="6"/>
  <c r="R1482" i="6"/>
  <c r="Q1483" i="6"/>
  <c r="R1483" i="6"/>
  <c r="Q1484" i="6"/>
  <c r="R1484" i="6"/>
  <c r="Q1485" i="6"/>
  <c r="R1485" i="6"/>
  <c r="Q1486" i="6"/>
  <c r="R1486" i="6"/>
  <c r="Q1487" i="6"/>
  <c r="R1487" i="6"/>
  <c r="Q1488" i="6"/>
  <c r="R1488" i="6"/>
  <c r="Q1489" i="6"/>
  <c r="Q1490" i="6"/>
  <c r="R1490" i="6"/>
  <c r="Q1491" i="6"/>
  <c r="Q1492" i="6"/>
  <c r="R1492" i="6"/>
  <c r="Q1493" i="6"/>
  <c r="R1493" i="6"/>
  <c r="Q1494" i="6"/>
  <c r="R1494" i="6"/>
  <c r="Q1495" i="6"/>
  <c r="R1495" i="6"/>
  <c r="Q1496" i="6"/>
  <c r="R1496" i="6"/>
  <c r="Q1497" i="6"/>
  <c r="Q1498" i="6"/>
  <c r="R1498" i="6"/>
  <c r="Q1499" i="6"/>
  <c r="Q1500" i="6"/>
  <c r="R1500" i="6"/>
  <c r="Q1501" i="6"/>
  <c r="R1501" i="6"/>
  <c r="Q1502" i="6"/>
  <c r="R1502" i="6"/>
  <c r="Q1503" i="6"/>
  <c r="Q1504" i="6"/>
  <c r="R1504" i="6"/>
  <c r="Q1505" i="6"/>
  <c r="R1505" i="6"/>
  <c r="Q1506" i="6"/>
  <c r="R1506" i="6"/>
  <c r="Q1507" i="6"/>
  <c r="Q1508" i="6"/>
  <c r="Q1509" i="6"/>
  <c r="Q1510" i="6"/>
  <c r="Q1511" i="6"/>
  <c r="R1511" i="6"/>
  <c r="Q1512" i="6"/>
  <c r="R1512" i="6"/>
  <c r="Q1513" i="6"/>
  <c r="R1513" i="6"/>
  <c r="Q1514" i="6"/>
  <c r="R1514" i="6"/>
  <c r="Q1515" i="6"/>
  <c r="Q1516" i="6"/>
  <c r="R1516" i="6"/>
  <c r="Q1517" i="6"/>
  <c r="R1517" i="6"/>
  <c r="Q1518" i="6"/>
  <c r="R1518" i="6"/>
  <c r="Q1519" i="6"/>
  <c r="R1519" i="6"/>
  <c r="Q1520" i="6"/>
  <c r="R1520" i="6"/>
  <c r="Q1521" i="6"/>
  <c r="R1521" i="6"/>
  <c r="Q1522" i="6"/>
  <c r="R1522" i="6"/>
  <c r="Q1523" i="6"/>
  <c r="R1523" i="6"/>
  <c r="Q1524" i="6"/>
  <c r="R1524" i="6"/>
  <c r="Q1525" i="6"/>
  <c r="R1525" i="6"/>
  <c r="Q1526" i="6"/>
  <c r="R1526" i="6"/>
  <c r="Q1527" i="6"/>
  <c r="R1527" i="6"/>
  <c r="Q1528" i="6"/>
  <c r="R1528" i="6"/>
  <c r="Q1529" i="6"/>
  <c r="R1529" i="6"/>
  <c r="Q1530" i="6"/>
  <c r="R1530" i="6"/>
  <c r="Q1531" i="6"/>
  <c r="R1531" i="6"/>
  <c r="Q1532" i="6"/>
  <c r="R1532" i="6"/>
  <c r="Q1533" i="6"/>
  <c r="R1533" i="6"/>
  <c r="Q1534" i="6"/>
  <c r="R1534" i="6"/>
  <c r="Q1535" i="6"/>
  <c r="R1535" i="6"/>
  <c r="Q1536" i="6"/>
  <c r="R1536" i="6"/>
  <c r="Q1537" i="6"/>
  <c r="R1537" i="6"/>
  <c r="Q1538" i="6"/>
  <c r="R1538" i="6"/>
  <c r="Q1539" i="6"/>
  <c r="R1539" i="6"/>
  <c r="Q1540" i="6"/>
  <c r="R1540" i="6"/>
  <c r="Q1541" i="6"/>
  <c r="R1541" i="6"/>
  <c r="Q1542" i="6"/>
  <c r="R1542" i="6"/>
  <c r="Q1543" i="6"/>
  <c r="R1543" i="6"/>
  <c r="Q1544" i="6"/>
  <c r="R1544" i="6"/>
  <c r="Q1545" i="6"/>
  <c r="R1545" i="6"/>
  <c r="Q1546" i="6"/>
  <c r="R1546" i="6"/>
  <c r="Q1547" i="6"/>
  <c r="R1547" i="6"/>
  <c r="Q1548" i="6"/>
  <c r="R1548" i="6"/>
  <c r="Q1549" i="6"/>
  <c r="R1549" i="6"/>
  <c r="Q1550" i="6"/>
  <c r="Q1551" i="6"/>
  <c r="Q1552" i="6"/>
  <c r="R1552" i="6"/>
  <c r="Q1553" i="6"/>
  <c r="R1553" i="6"/>
  <c r="Q1554" i="6"/>
  <c r="R1554" i="6"/>
  <c r="Q1555" i="6"/>
  <c r="R1555" i="6"/>
  <c r="Q1556" i="6"/>
  <c r="Q1557" i="6"/>
  <c r="R1557" i="6"/>
  <c r="Q1558" i="6"/>
  <c r="R1558" i="6"/>
  <c r="Q1559" i="6"/>
  <c r="R1559" i="6"/>
  <c r="Q1560" i="6"/>
  <c r="Q1561" i="6"/>
  <c r="Q1562" i="6"/>
  <c r="Q1563" i="6"/>
  <c r="R1563" i="6"/>
  <c r="Q1564" i="6"/>
  <c r="R1564" i="6"/>
  <c r="Q1565" i="6"/>
  <c r="R1565" i="6"/>
  <c r="Q1566" i="6"/>
  <c r="Q1567" i="6"/>
  <c r="R1567" i="6"/>
  <c r="Q1568" i="6"/>
  <c r="Q1569" i="6"/>
  <c r="R1569" i="6"/>
  <c r="Q1570" i="6"/>
  <c r="R1570" i="6"/>
  <c r="Q1571" i="6"/>
  <c r="Q1572" i="6"/>
  <c r="R1572" i="6"/>
  <c r="Q1573" i="6"/>
  <c r="Q1574" i="6"/>
  <c r="R1574" i="6"/>
  <c r="Q1575" i="6"/>
  <c r="R1575" i="6"/>
  <c r="Q1576" i="6"/>
  <c r="R1576" i="6"/>
  <c r="Q1577" i="6"/>
  <c r="Q1578" i="6"/>
  <c r="R1578" i="6"/>
  <c r="Q1579" i="6"/>
  <c r="R1579" i="6"/>
  <c r="Q1580" i="6"/>
  <c r="R1580" i="6"/>
  <c r="Q1581" i="6"/>
  <c r="R1581" i="6"/>
  <c r="Q1582" i="6"/>
  <c r="R1582" i="6"/>
  <c r="Q1583" i="6"/>
  <c r="R1583" i="6"/>
  <c r="Q1584" i="6"/>
  <c r="R1584" i="6"/>
  <c r="Q1585" i="6"/>
  <c r="Q1586" i="6"/>
  <c r="Q1587" i="6"/>
  <c r="R1587" i="6"/>
  <c r="Q1588" i="6"/>
  <c r="R1588" i="6"/>
  <c r="Q1589" i="6"/>
  <c r="R1589" i="6"/>
  <c r="Q1590" i="6"/>
  <c r="R1590" i="6"/>
  <c r="Q1591" i="6"/>
  <c r="R1591" i="6"/>
  <c r="Q1592" i="6"/>
  <c r="R1592" i="6"/>
  <c r="Q1593" i="6"/>
  <c r="R1593" i="6"/>
  <c r="Q1594" i="6"/>
  <c r="R1594" i="6"/>
  <c r="Q1595" i="6"/>
  <c r="R1595" i="6"/>
  <c r="Q1596" i="6"/>
  <c r="R1596" i="6"/>
  <c r="Q1597" i="6"/>
  <c r="R1597" i="6"/>
  <c r="Q1598" i="6"/>
  <c r="Q1599" i="6"/>
  <c r="R1599" i="6"/>
  <c r="Q1600" i="6"/>
  <c r="R1600" i="6"/>
  <c r="Q1601" i="6"/>
  <c r="R1601" i="6"/>
  <c r="Q1602" i="6"/>
  <c r="R1602" i="6"/>
  <c r="Q1603" i="6"/>
  <c r="Q1604" i="6"/>
  <c r="R1604" i="6"/>
  <c r="Q1605" i="6"/>
  <c r="R1605" i="6"/>
  <c r="Q1606" i="6"/>
  <c r="Q1607" i="6"/>
  <c r="R1607" i="6"/>
  <c r="Q1608" i="6"/>
  <c r="R1608" i="6"/>
  <c r="Q1609" i="6"/>
  <c r="R1609" i="6"/>
  <c r="Q1610" i="6"/>
  <c r="R1610" i="6"/>
  <c r="Q1611" i="6"/>
  <c r="Q1612" i="6"/>
  <c r="R1612" i="6"/>
  <c r="Q1613" i="6"/>
  <c r="R1613" i="6"/>
  <c r="Q1614" i="6"/>
  <c r="R1614" i="6"/>
  <c r="Q1615" i="6"/>
  <c r="R1615" i="6"/>
  <c r="Q1616" i="6"/>
  <c r="Q1617" i="6"/>
  <c r="R1617" i="6"/>
  <c r="Q1618" i="6"/>
  <c r="Q1619" i="6"/>
  <c r="R1619" i="6"/>
  <c r="Q1620" i="6"/>
  <c r="R1620" i="6"/>
  <c r="Q1621" i="6"/>
  <c r="R1621" i="6"/>
  <c r="Q1622" i="6"/>
  <c r="R1622" i="6"/>
  <c r="Q1623" i="6"/>
  <c r="Q1624" i="6"/>
  <c r="R1624" i="6"/>
  <c r="Q1625" i="6"/>
  <c r="R1625" i="6"/>
  <c r="Q1626" i="6"/>
  <c r="R1626" i="6"/>
  <c r="Q1627" i="6"/>
  <c r="R1627" i="6"/>
  <c r="Q1628" i="6"/>
  <c r="R1628" i="6"/>
  <c r="Q1629" i="6"/>
  <c r="Q1630" i="6"/>
  <c r="R1630" i="6"/>
  <c r="Q1631" i="6"/>
  <c r="R1631" i="6"/>
  <c r="Q1632" i="6"/>
  <c r="R1632" i="6"/>
  <c r="Q1633" i="6"/>
  <c r="R1633" i="6"/>
  <c r="Q1634" i="6"/>
  <c r="R1634" i="6"/>
  <c r="Q1635" i="6"/>
  <c r="R1635" i="6"/>
  <c r="Q1636" i="6"/>
  <c r="R1636" i="6"/>
  <c r="Q1637" i="6"/>
  <c r="R1637" i="6"/>
  <c r="Q1638" i="6"/>
  <c r="R1638" i="6"/>
  <c r="Q1639" i="6"/>
  <c r="Q1640" i="6"/>
  <c r="R1640" i="6"/>
  <c r="Q1641" i="6"/>
  <c r="Q1642" i="6"/>
  <c r="R1642" i="6"/>
  <c r="Q1643" i="6"/>
  <c r="Q1644" i="6"/>
  <c r="R1644" i="6"/>
  <c r="Q1645" i="6"/>
  <c r="R1645" i="6"/>
  <c r="Q1646" i="6"/>
  <c r="R1646" i="6"/>
  <c r="Q1647" i="6"/>
  <c r="R1647" i="6"/>
  <c r="Q1648" i="6"/>
  <c r="Q1649" i="6"/>
  <c r="R1649" i="6"/>
  <c r="Q1650" i="6"/>
  <c r="Q1651" i="6"/>
  <c r="R1651" i="6"/>
  <c r="Q1652" i="6"/>
  <c r="R1652" i="6"/>
  <c r="Q1653" i="6"/>
  <c r="Q1654" i="6"/>
  <c r="R1654" i="6"/>
  <c r="Q1655" i="6"/>
  <c r="R1655" i="6"/>
  <c r="Q1656" i="6"/>
  <c r="Q1657" i="6"/>
  <c r="Q1658" i="6"/>
  <c r="R1658" i="6"/>
  <c r="Q1659" i="6"/>
  <c r="R1659" i="6"/>
  <c r="Q1660" i="6"/>
  <c r="R1660" i="6"/>
  <c r="Q1661" i="6"/>
  <c r="R1661" i="6"/>
  <c r="Q1662" i="6"/>
  <c r="R1662" i="6"/>
  <c r="Q1663" i="6"/>
  <c r="R1663" i="6"/>
  <c r="Q1664" i="6"/>
  <c r="R1664" i="6"/>
  <c r="Q1665" i="6"/>
  <c r="R1665" i="6"/>
  <c r="Q1666" i="6"/>
  <c r="Q1667" i="6"/>
  <c r="Q1668" i="6"/>
  <c r="R1668" i="6"/>
  <c r="Q1669" i="6"/>
  <c r="R1669" i="6"/>
  <c r="Q1670" i="6"/>
  <c r="R1670" i="6"/>
  <c r="Q1671" i="6"/>
  <c r="R1671" i="6"/>
  <c r="Q1672" i="6"/>
  <c r="R1672" i="6"/>
  <c r="Q1673" i="6"/>
  <c r="R1673" i="6"/>
  <c r="Q1674" i="6"/>
  <c r="R1674" i="6"/>
  <c r="Q1675" i="6"/>
  <c r="R1675" i="6"/>
  <c r="Q1676" i="6"/>
  <c r="R1676" i="6"/>
  <c r="Q1677" i="6"/>
  <c r="R1677" i="6"/>
  <c r="Q1678" i="6"/>
  <c r="R1678" i="6"/>
  <c r="Q1679" i="6"/>
  <c r="R1679" i="6"/>
  <c r="Q1680" i="6"/>
  <c r="R1680" i="6"/>
  <c r="Q1681" i="6"/>
  <c r="R1681" i="6"/>
  <c r="Q1682" i="6"/>
  <c r="R1682" i="6"/>
  <c r="Q1683" i="6"/>
  <c r="R1683" i="6"/>
  <c r="Q1684" i="6"/>
  <c r="R1684" i="6"/>
  <c r="Q1685" i="6"/>
  <c r="R1685" i="6"/>
  <c r="Q1686" i="6"/>
  <c r="R1686" i="6"/>
  <c r="Q1687" i="6"/>
  <c r="R1687" i="6"/>
  <c r="Q1688" i="6"/>
  <c r="R1688" i="6"/>
  <c r="Q1689" i="6"/>
  <c r="R1689" i="6"/>
  <c r="Q1690" i="6"/>
  <c r="R1690" i="6"/>
  <c r="Q1691" i="6"/>
  <c r="R1691" i="6"/>
  <c r="Q1692" i="6"/>
  <c r="R1692" i="6"/>
  <c r="Q1693" i="6"/>
  <c r="R1693" i="6"/>
  <c r="Q1694" i="6"/>
  <c r="R1694" i="6"/>
  <c r="Q1695" i="6"/>
  <c r="R1695" i="6"/>
  <c r="Q1696" i="6"/>
  <c r="R1696" i="6"/>
  <c r="Q1697" i="6"/>
  <c r="R1697" i="6"/>
  <c r="Q1698" i="6"/>
  <c r="Q1699" i="6"/>
  <c r="R1699" i="6"/>
  <c r="Q1700" i="6"/>
  <c r="R1700" i="6"/>
  <c r="Q1701" i="6"/>
  <c r="R1701" i="6"/>
  <c r="Q1702" i="6"/>
  <c r="R1702" i="6"/>
  <c r="Q1703" i="6"/>
  <c r="R1703" i="6"/>
  <c r="Q1704" i="6"/>
  <c r="R1704" i="6"/>
  <c r="Q1705" i="6"/>
  <c r="R1705" i="6"/>
  <c r="Q1706" i="6"/>
  <c r="R1706" i="6"/>
  <c r="Q1707" i="6"/>
  <c r="R1707" i="6"/>
  <c r="Q1708" i="6"/>
  <c r="R1708" i="6"/>
  <c r="Q1709" i="6"/>
  <c r="R1709" i="6"/>
  <c r="Q1710" i="6"/>
  <c r="R1710" i="6"/>
  <c r="Q1711" i="6"/>
  <c r="R1711" i="6"/>
  <c r="Q1712" i="6"/>
  <c r="R1712" i="6"/>
  <c r="Q1713" i="6"/>
  <c r="R1713" i="6"/>
  <c r="Q1714" i="6"/>
  <c r="R1714" i="6"/>
  <c r="Q1715" i="6"/>
  <c r="R1715" i="6"/>
  <c r="Q1716" i="6"/>
  <c r="R1716" i="6"/>
  <c r="Q1717" i="6"/>
  <c r="R1717" i="6"/>
  <c r="Q1718" i="6"/>
  <c r="R1718" i="6"/>
  <c r="Q1719" i="6"/>
  <c r="R1719" i="6"/>
  <c r="Q1720" i="6"/>
  <c r="R1720" i="6"/>
  <c r="Q1721" i="6"/>
  <c r="R1721" i="6"/>
  <c r="Q1722" i="6"/>
  <c r="R1722" i="6"/>
  <c r="Q1723" i="6"/>
  <c r="R1723" i="6"/>
  <c r="Q1724" i="6"/>
  <c r="R1724" i="6"/>
  <c r="Q1725" i="6"/>
  <c r="R1725" i="6"/>
  <c r="Q1726" i="6"/>
  <c r="R1726" i="6"/>
  <c r="Q1727" i="6"/>
  <c r="R1727" i="6"/>
  <c r="Q1728" i="6"/>
  <c r="R1728" i="6"/>
  <c r="Q1729" i="6"/>
  <c r="R1729" i="6"/>
  <c r="Q1730" i="6"/>
  <c r="R1730" i="6"/>
  <c r="Q1731" i="6"/>
  <c r="R1731" i="6"/>
  <c r="Q1732" i="6"/>
  <c r="R1732" i="6"/>
  <c r="Q1733" i="6"/>
  <c r="R1733" i="6"/>
  <c r="Q1734" i="6"/>
  <c r="R1734" i="6"/>
  <c r="Q1735" i="6"/>
  <c r="R1735" i="6"/>
  <c r="Q1736" i="6"/>
  <c r="R1736" i="6"/>
  <c r="Q1737" i="6"/>
  <c r="R1737" i="6"/>
  <c r="Q1738" i="6"/>
  <c r="R1738" i="6"/>
  <c r="Q1739" i="6"/>
  <c r="R1739" i="6"/>
  <c r="Q1740" i="6"/>
  <c r="R1740" i="6"/>
  <c r="Q1741" i="6"/>
  <c r="R1741" i="6"/>
  <c r="Q1742" i="6"/>
  <c r="R1742" i="6"/>
  <c r="Q1743" i="6"/>
  <c r="R1743" i="6"/>
  <c r="Q1744" i="6"/>
  <c r="R1744" i="6"/>
  <c r="Q1745" i="6"/>
  <c r="R1745" i="6"/>
  <c r="Q1746" i="6"/>
  <c r="R1746" i="6"/>
  <c r="Q1747" i="6"/>
  <c r="R1747" i="6"/>
  <c r="Q1748" i="6"/>
  <c r="R1748" i="6"/>
  <c r="Q1749" i="6"/>
  <c r="R1749" i="6"/>
  <c r="Q1750" i="6"/>
  <c r="R1750" i="6"/>
  <c r="Q1751" i="6"/>
  <c r="R1751" i="6"/>
  <c r="Q1752" i="6"/>
  <c r="R1752" i="6"/>
  <c r="Q1753" i="6"/>
  <c r="R1753" i="6"/>
  <c r="Q1754" i="6"/>
  <c r="R1754" i="6"/>
  <c r="Q1755" i="6"/>
  <c r="R1755" i="6"/>
  <c r="Q1756" i="6"/>
  <c r="R1756" i="6"/>
  <c r="Q1757" i="6"/>
  <c r="R1757" i="6"/>
  <c r="Q1758" i="6"/>
  <c r="R1758" i="6"/>
  <c r="Q1759" i="6"/>
  <c r="R1759" i="6"/>
  <c r="Q1760" i="6"/>
  <c r="R1760" i="6"/>
  <c r="Q1761" i="6"/>
  <c r="R1761" i="6"/>
  <c r="Q1762" i="6"/>
  <c r="R1762" i="6"/>
  <c r="Q1763" i="6"/>
  <c r="R1763" i="6"/>
  <c r="Q1764" i="6"/>
  <c r="R1764" i="6"/>
  <c r="Q1765" i="6"/>
  <c r="R1765" i="6"/>
  <c r="Q1766" i="6"/>
  <c r="R1766" i="6"/>
  <c r="Q1767" i="6"/>
  <c r="R1767" i="6"/>
  <c r="Q1768" i="6"/>
  <c r="R1768" i="6"/>
  <c r="Q1769" i="6"/>
  <c r="R1769" i="6"/>
  <c r="Q1770" i="6"/>
  <c r="R1770" i="6"/>
  <c r="Q1771" i="6"/>
  <c r="R1771" i="6"/>
  <c r="Q1772" i="6"/>
  <c r="R1772" i="6"/>
  <c r="Q1773" i="6"/>
  <c r="R1773" i="6"/>
  <c r="Q1774" i="6"/>
  <c r="R1774" i="6"/>
  <c r="Q1775" i="6"/>
  <c r="R1775" i="6"/>
  <c r="Q1776" i="6"/>
  <c r="R1776" i="6"/>
  <c r="Q1777" i="6"/>
  <c r="R1777" i="6"/>
  <c r="Q1778" i="6"/>
  <c r="R1778" i="6"/>
  <c r="Q1779" i="6"/>
  <c r="R1779" i="6"/>
  <c r="Q1780" i="6"/>
  <c r="R1780" i="6"/>
  <c r="Q1781" i="6"/>
  <c r="R1781" i="6"/>
  <c r="Q1782" i="6"/>
  <c r="R1782" i="6"/>
  <c r="Q1783" i="6"/>
  <c r="R1783" i="6"/>
  <c r="Q1784" i="6"/>
  <c r="R1784" i="6"/>
  <c r="Q1785" i="6"/>
  <c r="R1785" i="6"/>
  <c r="Q1786" i="6"/>
  <c r="R1786" i="6"/>
  <c r="Q1787" i="6"/>
  <c r="R1787" i="6"/>
  <c r="Q1788" i="6"/>
  <c r="R1788" i="6"/>
  <c r="Q1789" i="6"/>
  <c r="R1789" i="6"/>
  <c r="Q1790" i="6"/>
  <c r="R1790" i="6"/>
  <c r="Q1791" i="6"/>
  <c r="R1791" i="6"/>
  <c r="Q1792" i="6"/>
  <c r="R1792" i="6"/>
  <c r="Q1793" i="6"/>
  <c r="R1793" i="6"/>
  <c r="Q1794" i="6"/>
  <c r="R1794" i="6"/>
  <c r="Q1795" i="6"/>
  <c r="R1795" i="6"/>
  <c r="Q1796" i="6"/>
  <c r="R1796" i="6"/>
  <c r="Q1797" i="6"/>
  <c r="R1797" i="6"/>
  <c r="Q1798" i="6"/>
  <c r="R1798" i="6"/>
  <c r="Q1799" i="6"/>
  <c r="R1799" i="6"/>
  <c r="Q1800" i="6"/>
  <c r="R1800" i="6"/>
  <c r="Q1801" i="6"/>
  <c r="R1801" i="6"/>
  <c r="Q1802" i="6"/>
  <c r="R1802" i="6"/>
  <c r="Q1803" i="6"/>
  <c r="R1803" i="6"/>
  <c r="Q1804" i="6"/>
  <c r="R1804" i="6"/>
  <c r="Q1805" i="6"/>
  <c r="R1805" i="6"/>
  <c r="Q1806" i="6"/>
  <c r="R1806" i="6"/>
  <c r="Q1807" i="6"/>
  <c r="R1807" i="6"/>
  <c r="Q1808" i="6"/>
  <c r="R1808" i="6"/>
  <c r="Q1809" i="6"/>
  <c r="R1809" i="6"/>
  <c r="Q1810" i="6"/>
  <c r="R1810" i="6"/>
  <c r="Q1811" i="6"/>
  <c r="R1811" i="6"/>
  <c r="Q1812" i="6"/>
  <c r="R1812" i="6"/>
  <c r="Q1813" i="6"/>
  <c r="R1813" i="6"/>
  <c r="Q1814" i="6"/>
  <c r="R1814" i="6"/>
  <c r="Q1815" i="6"/>
  <c r="R1815" i="6"/>
  <c r="Q1816" i="6"/>
  <c r="R1816" i="6"/>
  <c r="Q1817" i="6"/>
  <c r="R1817" i="6"/>
  <c r="Q1818" i="6"/>
  <c r="R1818" i="6"/>
  <c r="Q1819" i="6"/>
  <c r="R1819" i="6"/>
  <c r="Q1820" i="6"/>
  <c r="R1820" i="6"/>
  <c r="Q1821" i="6"/>
  <c r="R1821" i="6"/>
  <c r="Q1822" i="6"/>
  <c r="R1822" i="6"/>
  <c r="Q1823" i="6"/>
  <c r="R1823" i="6"/>
  <c r="Q1824" i="6"/>
  <c r="R1824" i="6"/>
  <c r="Q1825" i="6"/>
  <c r="R1825" i="6"/>
  <c r="Q1826" i="6"/>
  <c r="R1826" i="6"/>
  <c r="Q1827" i="6"/>
  <c r="R1827" i="6"/>
  <c r="Q1828" i="6"/>
  <c r="R1828" i="6"/>
  <c r="Q1829" i="6"/>
  <c r="R1829" i="6"/>
  <c r="Q1830" i="6"/>
  <c r="R1830" i="6"/>
  <c r="Q1831" i="6"/>
  <c r="R1831" i="6"/>
  <c r="Q1832" i="6"/>
  <c r="R1832" i="6"/>
  <c r="Q1833" i="6"/>
  <c r="R1833" i="6"/>
  <c r="Q1834" i="6"/>
  <c r="R1834" i="6"/>
  <c r="Q1835" i="6"/>
  <c r="R1835" i="6"/>
  <c r="Q1836" i="6"/>
  <c r="R1836" i="6"/>
  <c r="Q1837" i="6"/>
  <c r="R1837" i="6"/>
  <c r="Q1838" i="6"/>
  <c r="R1838" i="6"/>
  <c r="Q1839" i="6"/>
  <c r="R1839" i="6"/>
  <c r="Q1840" i="6"/>
  <c r="R1840" i="6"/>
  <c r="Q1841" i="6"/>
  <c r="R1841" i="6"/>
  <c r="Q1842" i="6"/>
  <c r="R1842" i="6"/>
  <c r="Q1843" i="6"/>
  <c r="R1843" i="6"/>
  <c r="Q1844" i="6"/>
  <c r="R1844" i="6"/>
  <c r="Q1845" i="6"/>
  <c r="R1845" i="6"/>
  <c r="Q1846" i="6"/>
  <c r="R1846" i="6"/>
  <c r="Q1847" i="6"/>
  <c r="R1847" i="6"/>
  <c r="Q1848" i="6"/>
  <c r="R1848" i="6"/>
  <c r="Q1849" i="6"/>
  <c r="R1849" i="6"/>
  <c r="Q1850" i="6"/>
  <c r="R1850" i="6"/>
  <c r="Q1851" i="6"/>
  <c r="R1851" i="6"/>
  <c r="Q1852" i="6"/>
  <c r="R1852" i="6"/>
  <c r="Q1853" i="6"/>
  <c r="R1853" i="6"/>
  <c r="Q1854" i="6"/>
  <c r="R1854" i="6"/>
  <c r="Q1855" i="6"/>
  <c r="R1855" i="6"/>
  <c r="Q1856" i="6"/>
  <c r="R1856" i="6"/>
  <c r="Q1857" i="6"/>
  <c r="R1857" i="6"/>
  <c r="Q1858" i="6"/>
  <c r="R1858" i="6"/>
  <c r="Q1859" i="6"/>
  <c r="R1859" i="6"/>
  <c r="Q1860" i="6"/>
  <c r="R1860" i="6"/>
  <c r="Q1861" i="6"/>
  <c r="R1861" i="6"/>
  <c r="Q1862" i="6"/>
  <c r="R1862" i="6"/>
  <c r="Q1863" i="6"/>
  <c r="R1863" i="6"/>
  <c r="Q1864" i="6"/>
  <c r="R1864" i="6"/>
  <c r="Q1865" i="6"/>
  <c r="R1865" i="6"/>
  <c r="Q1866" i="6"/>
  <c r="R1866" i="6"/>
  <c r="Q1867" i="6"/>
  <c r="R1867" i="6"/>
  <c r="Q1868" i="6"/>
  <c r="R1868" i="6"/>
  <c r="Q1869" i="6"/>
  <c r="R1869" i="6"/>
  <c r="Q1870" i="6"/>
  <c r="R1870" i="6"/>
  <c r="Q1871" i="6"/>
  <c r="R1871" i="6"/>
  <c r="Q1872" i="6"/>
  <c r="R1872" i="6"/>
  <c r="Q1873" i="6"/>
  <c r="R1873" i="6"/>
  <c r="Q1874" i="6"/>
  <c r="R1874" i="6"/>
  <c r="Q1875" i="6"/>
  <c r="R1875" i="6"/>
  <c r="Q1876" i="6"/>
  <c r="R1876" i="6"/>
  <c r="Q1877" i="6"/>
  <c r="R1877" i="6"/>
  <c r="Q1878" i="6"/>
  <c r="R1878" i="6"/>
  <c r="Q1879" i="6"/>
  <c r="R1879" i="6"/>
  <c r="AB3" i="6"/>
  <c r="AC3" i="6" s="1"/>
  <c r="AB4" i="6"/>
  <c r="AC4" i="6" s="1"/>
  <c r="AB5" i="6"/>
  <c r="AC5" i="6" s="1"/>
  <c r="AB6" i="6"/>
  <c r="AC6" i="6" s="1"/>
  <c r="AB7" i="6"/>
  <c r="AC7" i="6" s="1"/>
  <c r="AB8" i="6"/>
  <c r="AC8" i="6" s="1"/>
  <c r="AB9" i="6"/>
  <c r="AC9" i="6" s="1"/>
  <c r="AB10" i="6"/>
  <c r="AC10" i="6" s="1"/>
  <c r="AB11" i="6"/>
  <c r="AC11" i="6" s="1"/>
  <c r="AB12" i="6"/>
  <c r="AC12" i="6" s="1"/>
  <c r="AB13" i="6"/>
  <c r="AC13" i="6" s="1"/>
  <c r="AB14" i="6"/>
  <c r="AC14" i="6" s="1"/>
  <c r="AB15" i="6"/>
  <c r="AC15" i="6" s="1"/>
  <c r="AB16" i="6"/>
  <c r="AC16" i="6" s="1"/>
  <c r="AB17" i="6"/>
  <c r="AC17" i="6" s="1"/>
  <c r="AB18" i="6"/>
  <c r="AC18" i="6" s="1"/>
  <c r="AB19" i="6"/>
  <c r="AC19" i="6" s="1"/>
  <c r="AB20" i="6"/>
  <c r="AC20" i="6" s="1"/>
  <c r="AB21" i="6"/>
  <c r="AC21" i="6" s="1"/>
  <c r="AB22" i="6"/>
  <c r="AC22" i="6" s="1"/>
  <c r="AB23" i="6"/>
  <c r="AC23" i="6" s="1"/>
  <c r="AB24" i="6"/>
  <c r="AC24" i="6" s="1"/>
  <c r="AB25" i="6"/>
  <c r="AC25" i="6" s="1"/>
  <c r="AB26" i="6"/>
  <c r="AC26" i="6" s="1"/>
  <c r="AB27" i="6"/>
  <c r="AC27" i="6" s="1"/>
  <c r="AB28" i="6"/>
  <c r="AC28" i="6" s="1"/>
  <c r="AB29" i="6"/>
  <c r="AC29" i="6" s="1"/>
  <c r="AB30" i="6"/>
  <c r="AC30" i="6" s="1"/>
  <c r="AB31" i="6"/>
  <c r="AC31" i="6" s="1"/>
  <c r="AB32" i="6"/>
  <c r="AC32" i="6" s="1"/>
  <c r="AB33" i="6"/>
  <c r="AC33" i="6" s="1"/>
  <c r="AB34" i="6"/>
  <c r="AC34" i="6" s="1"/>
  <c r="AB35" i="6"/>
  <c r="AC35" i="6" s="1"/>
  <c r="AB36" i="6"/>
  <c r="AC36" i="6" s="1"/>
  <c r="AB37" i="6"/>
  <c r="AC37" i="6" s="1"/>
  <c r="AB38" i="6"/>
  <c r="AC38" i="6" s="1"/>
  <c r="AB39" i="6"/>
  <c r="AC39" i="6" s="1"/>
  <c r="AB40" i="6"/>
  <c r="AC40" i="6" s="1"/>
  <c r="AB41" i="6"/>
  <c r="AC41" i="6" s="1"/>
  <c r="AB42" i="6"/>
  <c r="AC42" i="6" s="1"/>
  <c r="AB43" i="6"/>
  <c r="AC43" i="6" s="1"/>
  <c r="AB44" i="6"/>
  <c r="AC44" i="6" s="1"/>
  <c r="AB45" i="6"/>
  <c r="AC45" i="6" s="1"/>
  <c r="AB46" i="6"/>
  <c r="AC46" i="6" s="1"/>
  <c r="AB47" i="6"/>
  <c r="AC47" i="6" s="1"/>
  <c r="AB48" i="6"/>
  <c r="AC48" i="6" s="1"/>
  <c r="AB49" i="6"/>
  <c r="AC49" i="6" s="1"/>
  <c r="AB50" i="6"/>
  <c r="AC50" i="6" s="1"/>
  <c r="AB51" i="6"/>
  <c r="AC51" i="6" s="1"/>
  <c r="AB52" i="6"/>
  <c r="AC52" i="6" s="1"/>
  <c r="AB53" i="6"/>
  <c r="AC53" i="6" s="1"/>
  <c r="AB54" i="6"/>
  <c r="AC54" i="6" s="1"/>
  <c r="AB55" i="6"/>
  <c r="AC55" i="6" s="1"/>
  <c r="AB56" i="6"/>
  <c r="AC56" i="6" s="1"/>
  <c r="AB57" i="6"/>
  <c r="AC57" i="6" s="1"/>
  <c r="AB58" i="6"/>
  <c r="AC58" i="6" s="1"/>
  <c r="AB59" i="6"/>
  <c r="AC59" i="6" s="1"/>
  <c r="AB60" i="6"/>
  <c r="AC60" i="6" s="1"/>
  <c r="AB61" i="6"/>
  <c r="AC61" i="6" s="1"/>
  <c r="AB62" i="6"/>
  <c r="AC62" i="6" s="1"/>
  <c r="AB63" i="6"/>
  <c r="AC63" i="6" s="1"/>
  <c r="AB64" i="6"/>
  <c r="AC64" i="6" s="1"/>
  <c r="AB65" i="6"/>
  <c r="AC65" i="6" s="1"/>
  <c r="AB66" i="6"/>
  <c r="AC66" i="6" s="1"/>
  <c r="AB67" i="6"/>
  <c r="AC67" i="6" s="1"/>
  <c r="AB68" i="6"/>
  <c r="AC68" i="6" s="1"/>
  <c r="AB69" i="6"/>
  <c r="AC69" i="6" s="1"/>
  <c r="AB70" i="6"/>
  <c r="AC70" i="6" s="1"/>
  <c r="AB71" i="6"/>
  <c r="AC71" i="6" s="1"/>
  <c r="AB72" i="6"/>
  <c r="AC72" i="6" s="1"/>
  <c r="AB73" i="6"/>
  <c r="AC73" i="6" s="1"/>
  <c r="AB74" i="6"/>
  <c r="AC74" i="6" s="1"/>
  <c r="AB75" i="6"/>
  <c r="AC75" i="6" s="1"/>
  <c r="AB76" i="6"/>
  <c r="AC76" i="6" s="1"/>
  <c r="AB77" i="6"/>
  <c r="AC77" i="6" s="1"/>
  <c r="AB78" i="6"/>
  <c r="AC78" i="6" s="1"/>
  <c r="AB79" i="6"/>
  <c r="AC79" i="6" s="1"/>
  <c r="AB80" i="6"/>
  <c r="AC80" i="6" s="1"/>
  <c r="AB81" i="6"/>
  <c r="AC81" i="6" s="1"/>
  <c r="AB82" i="6"/>
  <c r="AC82" i="6" s="1"/>
  <c r="AB83" i="6"/>
  <c r="AC83" i="6" s="1"/>
  <c r="AB84" i="6"/>
  <c r="AC84" i="6" s="1"/>
  <c r="AB85" i="6"/>
  <c r="AC85" i="6" s="1"/>
  <c r="AB86" i="6"/>
  <c r="AC86" i="6" s="1"/>
  <c r="AB87" i="6"/>
  <c r="AC87" i="6" s="1"/>
  <c r="AB88" i="6"/>
  <c r="AC88" i="6" s="1"/>
  <c r="AB89" i="6"/>
  <c r="AC89" i="6" s="1"/>
  <c r="AB90" i="6"/>
  <c r="AC90" i="6" s="1"/>
  <c r="AB91" i="6"/>
  <c r="AC91" i="6" s="1"/>
  <c r="AB92" i="6"/>
  <c r="AC92" i="6" s="1"/>
  <c r="AB93" i="6"/>
  <c r="AC93" i="6" s="1"/>
  <c r="AB94" i="6"/>
  <c r="AC94" i="6" s="1"/>
  <c r="AB95" i="6"/>
  <c r="AC95" i="6" s="1"/>
  <c r="AB96" i="6"/>
  <c r="AC96" i="6" s="1"/>
  <c r="AB97" i="6"/>
  <c r="AC97" i="6" s="1"/>
  <c r="AB98" i="6"/>
  <c r="AC98" i="6" s="1"/>
  <c r="AB99" i="6"/>
  <c r="AC99" i="6" s="1"/>
  <c r="AB100" i="6"/>
  <c r="AC100" i="6" s="1"/>
  <c r="AB101" i="6"/>
  <c r="AC101" i="6" s="1"/>
  <c r="AB102" i="6"/>
  <c r="AC102" i="6" s="1"/>
  <c r="AB103" i="6"/>
  <c r="AC103" i="6" s="1"/>
  <c r="AB104" i="6"/>
  <c r="AC104" i="6" s="1"/>
  <c r="AB105" i="6"/>
  <c r="AC105" i="6" s="1"/>
  <c r="AB106" i="6"/>
  <c r="AC106" i="6" s="1"/>
  <c r="AB107" i="6"/>
  <c r="AC107" i="6" s="1"/>
  <c r="AB108" i="6"/>
  <c r="AC108" i="6" s="1"/>
  <c r="AB109" i="6"/>
  <c r="AC109" i="6" s="1"/>
  <c r="AB110" i="6"/>
  <c r="AC110" i="6" s="1"/>
  <c r="AB111" i="6"/>
  <c r="AC111" i="6" s="1"/>
  <c r="AB112" i="6"/>
  <c r="AC112" i="6" s="1"/>
  <c r="AB113" i="6"/>
  <c r="AC113" i="6" s="1"/>
  <c r="AB114" i="6"/>
  <c r="AC114" i="6" s="1"/>
  <c r="AB115" i="6"/>
  <c r="AC115" i="6" s="1"/>
  <c r="AB116" i="6"/>
  <c r="AC116" i="6" s="1"/>
  <c r="AB117" i="6"/>
  <c r="AC117" i="6" s="1"/>
  <c r="AB118" i="6"/>
  <c r="AC118" i="6" s="1"/>
  <c r="AB119" i="6"/>
  <c r="AC119" i="6" s="1"/>
  <c r="AB120" i="6"/>
  <c r="AC120" i="6" s="1"/>
  <c r="AB121" i="6"/>
  <c r="AC121" i="6" s="1"/>
  <c r="AB122" i="6"/>
  <c r="AC122" i="6" s="1"/>
  <c r="AB123" i="6"/>
  <c r="AC123" i="6" s="1"/>
  <c r="AB124" i="6"/>
  <c r="AC124" i="6" s="1"/>
  <c r="AB125" i="6"/>
  <c r="AC125" i="6" s="1"/>
  <c r="AB126" i="6"/>
  <c r="AC126" i="6" s="1"/>
  <c r="AB127" i="6"/>
  <c r="AC127" i="6" s="1"/>
  <c r="AB128" i="6"/>
  <c r="AC128" i="6" s="1"/>
  <c r="AB129" i="6"/>
  <c r="AC129" i="6" s="1"/>
  <c r="AB130" i="6"/>
  <c r="AC130" i="6" s="1"/>
  <c r="AB131" i="6"/>
  <c r="AC131" i="6" s="1"/>
  <c r="AB132" i="6"/>
  <c r="AC132" i="6" s="1"/>
  <c r="AB133" i="6"/>
  <c r="AC133" i="6" s="1"/>
  <c r="AB134" i="6"/>
  <c r="AC134" i="6" s="1"/>
  <c r="AB135" i="6"/>
  <c r="AC135" i="6" s="1"/>
  <c r="AB136" i="6"/>
  <c r="AC136" i="6" s="1"/>
  <c r="AB137" i="6"/>
  <c r="AC137" i="6" s="1"/>
  <c r="AB138" i="6"/>
  <c r="AC138" i="6" s="1"/>
  <c r="AB139" i="6"/>
  <c r="AC139" i="6" s="1"/>
  <c r="AB140" i="6"/>
  <c r="AC140" i="6" s="1"/>
  <c r="AB141" i="6"/>
  <c r="AC141" i="6" s="1"/>
  <c r="AB142" i="6"/>
  <c r="AC142" i="6" s="1"/>
  <c r="AB143" i="6"/>
  <c r="AC143" i="6" s="1"/>
  <c r="AB144" i="6"/>
  <c r="AC144" i="6" s="1"/>
  <c r="AB145" i="6"/>
  <c r="AC145" i="6" s="1"/>
  <c r="AB146" i="6"/>
  <c r="AC146" i="6" s="1"/>
  <c r="AB147" i="6"/>
  <c r="AC147" i="6" s="1"/>
  <c r="AB148" i="6"/>
  <c r="AC148" i="6" s="1"/>
  <c r="AB149" i="6"/>
  <c r="AC149" i="6" s="1"/>
  <c r="AB150" i="6"/>
  <c r="AC150" i="6" s="1"/>
  <c r="AB151" i="6"/>
  <c r="AC151" i="6" s="1"/>
  <c r="AB152" i="6"/>
  <c r="AC152" i="6" s="1"/>
  <c r="AB153" i="6"/>
  <c r="AC153" i="6" s="1"/>
  <c r="AB154" i="6"/>
  <c r="AC154" i="6" s="1"/>
  <c r="AB155" i="6"/>
  <c r="AC155" i="6" s="1"/>
  <c r="AB156" i="6"/>
  <c r="AC156" i="6" s="1"/>
  <c r="AB157" i="6"/>
  <c r="AC157" i="6" s="1"/>
  <c r="AB158" i="6"/>
  <c r="AC158" i="6" s="1"/>
  <c r="AB159" i="6"/>
  <c r="AC159" i="6" s="1"/>
  <c r="AB160" i="6"/>
  <c r="AC160" i="6" s="1"/>
  <c r="AB161" i="6"/>
  <c r="AC161" i="6" s="1"/>
  <c r="AB162" i="6"/>
  <c r="AC162" i="6" s="1"/>
  <c r="AB163" i="6"/>
  <c r="AC163" i="6" s="1"/>
  <c r="AB164" i="6"/>
  <c r="AC164" i="6" s="1"/>
  <c r="AB165" i="6"/>
  <c r="AC165" i="6" s="1"/>
  <c r="AB166" i="6"/>
  <c r="AC166" i="6" s="1"/>
  <c r="AB167" i="6"/>
  <c r="AC167" i="6" s="1"/>
  <c r="AB168" i="6"/>
  <c r="AC168" i="6" s="1"/>
  <c r="AB169" i="6"/>
  <c r="AC169" i="6" s="1"/>
  <c r="AB170" i="6"/>
  <c r="AC170" i="6" s="1"/>
  <c r="AB171" i="6"/>
  <c r="AC171" i="6" s="1"/>
  <c r="AB172" i="6"/>
  <c r="AC172" i="6" s="1"/>
  <c r="AB173" i="6"/>
  <c r="AC173" i="6" s="1"/>
  <c r="AB174" i="6"/>
  <c r="AC174" i="6" s="1"/>
  <c r="AB175" i="6"/>
  <c r="AC175" i="6" s="1"/>
  <c r="AB176" i="6"/>
  <c r="AC176" i="6" s="1"/>
  <c r="AB177" i="6"/>
  <c r="AC177" i="6" s="1"/>
  <c r="AB178" i="6"/>
  <c r="AC178" i="6" s="1"/>
  <c r="AB179" i="6"/>
  <c r="AC179" i="6" s="1"/>
  <c r="AB180" i="6"/>
  <c r="AC180" i="6" s="1"/>
  <c r="AB181" i="6"/>
  <c r="AC181" i="6" s="1"/>
  <c r="AB182" i="6"/>
  <c r="AC182" i="6" s="1"/>
  <c r="AB183" i="6"/>
  <c r="AC183" i="6" s="1"/>
  <c r="AB184" i="6"/>
  <c r="AC184" i="6" s="1"/>
  <c r="AB185" i="6"/>
  <c r="AC185" i="6" s="1"/>
  <c r="AB186" i="6"/>
  <c r="AC186" i="6" s="1"/>
  <c r="AB187" i="6"/>
  <c r="AC187" i="6" s="1"/>
  <c r="AB188" i="6"/>
  <c r="AC188" i="6" s="1"/>
  <c r="AB189" i="6"/>
  <c r="AC189" i="6" s="1"/>
  <c r="AB190" i="6"/>
  <c r="AC190" i="6" s="1"/>
  <c r="AB191" i="6"/>
  <c r="AC191" i="6" s="1"/>
  <c r="AB192" i="6"/>
  <c r="AC192" i="6" s="1"/>
  <c r="AB193" i="6"/>
  <c r="AC193" i="6" s="1"/>
  <c r="AB194" i="6"/>
  <c r="AC194" i="6" s="1"/>
  <c r="AB195" i="6"/>
  <c r="AC195" i="6" s="1"/>
  <c r="AB196" i="6"/>
  <c r="AC196" i="6" s="1"/>
  <c r="AB197" i="6"/>
  <c r="AC197" i="6" s="1"/>
  <c r="AB198" i="6"/>
  <c r="AC198" i="6" s="1"/>
  <c r="AB199" i="6"/>
  <c r="AC199" i="6" s="1"/>
  <c r="AB200" i="6"/>
  <c r="AC200" i="6" s="1"/>
  <c r="AB201" i="6"/>
  <c r="AC201" i="6" s="1"/>
  <c r="AB202" i="6"/>
  <c r="AC202" i="6" s="1"/>
  <c r="AB203" i="6"/>
  <c r="AC203" i="6" s="1"/>
  <c r="AB204" i="6"/>
  <c r="AC204" i="6" s="1"/>
  <c r="AB205" i="6"/>
  <c r="AC205" i="6" s="1"/>
  <c r="AB206" i="6"/>
  <c r="AC206" i="6" s="1"/>
  <c r="AB207" i="6"/>
  <c r="AC207" i="6" s="1"/>
  <c r="AB208" i="6"/>
  <c r="AC208" i="6" s="1"/>
  <c r="AB209" i="6"/>
  <c r="AC209" i="6" s="1"/>
  <c r="AB210" i="6"/>
  <c r="AC210" i="6" s="1"/>
  <c r="AB211" i="6"/>
  <c r="AC211" i="6" s="1"/>
  <c r="AB212" i="6"/>
  <c r="AC212" i="6" s="1"/>
  <c r="AB213" i="6"/>
  <c r="AC213" i="6" s="1"/>
  <c r="AB214" i="6"/>
  <c r="AC214" i="6" s="1"/>
  <c r="AB215" i="6"/>
  <c r="AC215" i="6" s="1"/>
  <c r="AB216" i="6"/>
  <c r="AC216" i="6" s="1"/>
  <c r="AB217" i="6"/>
  <c r="AC217" i="6" s="1"/>
  <c r="AB218" i="6"/>
  <c r="AC218" i="6" s="1"/>
  <c r="AB219" i="6"/>
  <c r="AC219" i="6" s="1"/>
  <c r="AB220" i="6"/>
  <c r="AC220" i="6" s="1"/>
  <c r="AB221" i="6"/>
  <c r="AC221" i="6" s="1"/>
  <c r="AB222" i="6"/>
  <c r="AC222" i="6" s="1"/>
  <c r="AB223" i="6"/>
  <c r="AC223" i="6" s="1"/>
  <c r="AB224" i="6"/>
  <c r="AC224" i="6" s="1"/>
  <c r="AB225" i="6"/>
  <c r="AC225" i="6" s="1"/>
  <c r="AB226" i="6"/>
  <c r="AC226" i="6" s="1"/>
  <c r="AB227" i="6"/>
  <c r="AC227" i="6" s="1"/>
  <c r="AB228" i="6"/>
  <c r="AC228" i="6" s="1"/>
  <c r="AB229" i="6"/>
  <c r="AC229" i="6" s="1"/>
  <c r="AB230" i="6"/>
  <c r="AC230" i="6" s="1"/>
  <c r="AB231" i="6"/>
  <c r="AC231" i="6" s="1"/>
  <c r="AB232" i="6"/>
  <c r="AC232" i="6" s="1"/>
  <c r="AB233" i="6"/>
  <c r="AC233" i="6" s="1"/>
  <c r="AB234" i="6"/>
  <c r="AC234" i="6" s="1"/>
  <c r="AB235" i="6"/>
  <c r="AC235" i="6" s="1"/>
  <c r="AB236" i="6"/>
  <c r="AC236" i="6" s="1"/>
  <c r="AB237" i="6"/>
  <c r="AC237" i="6" s="1"/>
  <c r="AB238" i="6"/>
  <c r="AC238" i="6" s="1"/>
  <c r="AB239" i="6"/>
  <c r="AC239" i="6" s="1"/>
  <c r="AB240" i="6"/>
  <c r="AC240" i="6" s="1"/>
  <c r="AB241" i="6"/>
  <c r="AC241" i="6" s="1"/>
  <c r="AB242" i="6"/>
  <c r="AC242" i="6" s="1"/>
  <c r="AB243" i="6"/>
  <c r="AC243" i="6" s="1"/>
  <c r="AB244" i="6"/>
  <c r="AC244" i="6" s="1"/>
  <c r="AB245" i="6"/>
  <c r="AC245" i="6" s="1"/>
  <c r="AB246" i="6"/>
  <c r="AC246" i="6" s="1"/>
  <c r="AB247" i="6"/>
  <c r="AC247" i="6" s="1"/>
  <c r="AB248" i="6"/>
  <c r="AC248" i="6" s="1"/>
  <c r="AB249" i="6"/>
  <c r="AC249" i="6" s="1"/>
  <c r="AB250" i="6"/>
  <c r="AC250" i="6" s="1"/>
  <c r="AB251" i="6"/>
  <c r="AC251" i="6" s="1"/>
  <c r="AB252" i="6"/>
  <c r="AC252" i="6" s="1"/>
  <c r="AB253" i="6"/>
  <c r="AC253" i="6" s="1"/>
  <c r="AB254" i="6"/>
  <c r="AC254" i="6" s="1"/>
  <c r="AB255" i="6"/>
  <c r="AC255" i="6" s="1"/>
  <c r="AB256" i="6"/>
  <c r="AC256" i="6" s="1"/>
  <c r="AB257" i="6"/>
  <c r="AC257" i="6" s="1"/>
  <c r="AB258" i="6"/>
  <c r="AC258" i="6" s="1"/>
  <c r="AB259" i="6"/>
  <c r="AC259" i="6" s="1"/>
  <c r="AB260" i="6"/>
  <c r="AC260" i="6" s="1"/>
  <c r="AB261" i="6"/>
  <c r="AC261" i="6" s="1"/>
  <c r="AB262" i="6"/>
  <c r="AC262" i="6" s="1"/>
  <c r="AB263" i="6"/>
  <c r="AC263" i="6" s="1"/>
  <c r="AB264" i="6"/>
  <c r="AC264" i="6" s="1"/>
  <c r="AB265" i="6"/>
  <c r="AC265" i="6" s="1"/>
  <c r="AB266" i="6"/>
  <c r="AC266" i="6" s="1"/>
  <c r="AB267" i="6"/>
  <c r="AC267" i="6" s="1"/>
  <c r="AB268" i="6"/>
  <c r="AC268" i="6" s="1"/>
  <c r="AB269" i="6"/>
  <c r="AC269" i="6" s="1"/>
  <c r="AB270" i="6"/>
  <c r="AC270" i="6" s="1"/>
  <c r="AB271" i="6"/>
  <c r="AC271" i="6" s="1"/>
  <c r="AB272" i="6"/>
  <c r="AC272" i="6" s="1"/>
  <c r="AB273" i="6"/>
  <c r="AC273" i="6" s="1"/>
  <c r="AB274" i="6"/>
  <c r="AC274" i="6" s="1"/>
  <c r="AB275" i="6"/>
  <c r="AC275" i="6" s="1"/>
  <c r="AB276" i="6"/>
  <c r="AC276" i="6" s="1"/>
  <c r="AB277" i="6"/>
  <c r="AC277" i="6" s="1"/>
  <c r="AB278" i="6"/>
  <c r="AC278" i="6" s="1"/>
  <c r="AB279" i="6"/>
  <c r="AC279" i="6" s="1"/>
  <c r="AB280" i="6"/>
  <c r="AC280" i="6" s="1"/>
  <c r="AB281" i="6"/>
  <c r="AC281" i="6" s="1"/>
  <c r="AB282" i="6"/>
  <c r="AC282" i="6" s="1"/>
  <c r="AB283" i="6"/>
  <c r="AC283" i="6" s="1"/>
  <c r="AB284" i="6"/>
  <c r="AC284" i="6" s="1"/>
  <c r="AB285" i="6"/>
  <c r="AC285" i="6" s="1"/>
  <c r="AB286" i="6"/>
  <c r="AC286" i="6" s="1"/>
  <c r="AB287" i="6"/>
  <c r="AC287" i="6" s="1"/>
  <c r="AB288" i="6"/>
  <c r="AC288" i="6" s="1"/>
  <c r="AB289" i="6"/>
  <c r="AC289" i="6" s="1"/>
  <c r="AB290" i="6"/>
  <c r="AC290" i="6" s="1"/>
  <c r="AB291" i="6"/>
  <c r="AC291" i="6" s="1"/>
  <c r="AB292" i="6"/>
  <c r="AC292" i="6" s="1"/>
  <c r="AB293" i="6"/>
  <c r="AC293" i="6" s="1"/>
  <c r="AB294" i="6"/>
  <c r="AC294" i="6" s="1"/>
  <c r="AB295" i="6"/>
  <c r="AC295" i="6" s="1"/>
  <c r="AB296" i="6"/>
  <c r="AC296" i="6" s="1"/>
  <c r="AB297" i="6"/>
  <c r="AC297" i="6" s="1"/>
  <c r="AB298" i="6"/>
  <c r="AC298" i="6" s="1"/>
  <c r="AB299" i="6"/>
  <c r="AC299" i="6" s="1"/>
  <c r="AB300" i="6"/>
  <c r="AC300" i="6" s="1"/>
  <c r="AB301" i="6"/>
  <c r="AC301" i="6" s="1"/>
  <c r="AB302" i="6"/>
  <c r="AC302" i="6" s="1"/>
  <c r="AB303" i="6"/>
  <c r="AC303" i="6" s="1"/>
  <c r="AB304" i="6"/>
  <c r="AC304" i="6" s="1"/>
  <c r="AB305" i="6"/>
  <c r="AC305" i="6" s="1"/>
  <c r="AB306" i="6"/>
  <c r="AC306" i="6" s="1"/>
  <c r="AB307" i="6"/>
  <c r="AC307" i="6" s="1"/>
  <c r="AB308" i="6"/>
  <c r="AC308" i="6" s="1"/>
  <c r="AB309" i="6"/>
  <c r="AC309" i="6" s="1"/>
  <c r="AB310" i="6"/>
  <c r="AC310" i="6" s="1"/>
  <c r="AB311" i="6"/>
  <c r="AC311" i="6" s="1"/>
  <c r="AB312" i="6"/>
  <c r="AC312" i="6" s="1"/>
  <c r="AB313" i="6"/>
  <c r="AC313" i="6" s="1"/>
  <c r="AB314" i="6"/>
  <c r="AC314" i="6" s="1"/>
  <c r="AB315" i="6"/>
  <c r="AC315" i="6" s="1"/>
  <c r="AB316" i="6"/>
  <c r="AC316" i="6" s="1"/>
  <c r="AB317" i="6"/>
  <c r="AC317" i="6" s="1"/>
  <c r="AB318" i="6"/>
  <c r="AC318" i="6" s="1"/>
  <c r="AB319" i="6"/>
  <c r="AC319" i="6" s="1"/>
  <c r="AB320" i="6"/>
  <c r="AC320" i="6" s="1"/>
  <c r="AB321" i="6"/>
  <c r="AC321" i="6" s="1"/>
  <c r="AB322" i="6"/>
  <c r="AC322" i="6" s="1"/>
  <c r="AB323" i="6"/>
  <c r="AC323" i="6" s="1"/>
  <c r="AB324" i="6"/>
  <c r="AC324" i="6" s="1"/>
  <c r="AB325" i="6"/>
  <c r="AC325" i="6" s="1"/>
  <c r="AB326" i="6"/>
  <c r="AC326" i="6" s="1"/>
  <c r="AB327" i="6"/>
  <c r="AC327" i="6" s="1"/>
  <c r="AB328" i="6"/>
  <c r="AC328" i="6" s="1"/>
  <c r="AB329" i="6"/>
  <c r="AC329" i="6" s="1"/>
  <c r="AB330" i="6"/>
  <c r="AC330" i="6" s="1"/>
  <c r="AB331" i="6"/>
  <c r="AC331" i="6" s="1"/>
  <c r="AB332" i="6"/>
  <c r="AC332" i="6" s="1"/>
  <c r="AB333" i="6"/>
  <c r="AC333" i="6" s="1"/>
  <c r="AB334" i="6"/>
  <c r="AC334" i="6" s="1"/>
  <c r="AB335" i="6"/>
  <c r="AC335" i="6" s="1"/>
  <c r="AB336" i="6"/>
  <c r="AC336" i="6" s="1"/>
  <c r="AB337" i="6"/>
  <c r="AC337" i="6" s="1"/>
  <c r="AB338" i="6"/>
  <c r="AC338" i="6" s="1"/>
  <c r="AB339" i="6"/>
  <c r="AC339" i="6" s="1"/>
  <c r="AB340" i="6"/>
  <c r="AC340" i="6" s="1"/>
  <c r="AB341" i="6"/>
  <c r="AC341" i="6" s="1"/>
  <c r="AB342" i="6"/>
  <c r="AC342" i="6" s="1"/>
  <c r="AB343" i="6"/>
  <c r="AC343" i="6" s="1"/>
  <c r="AB344" i="6"/>
  <c r="AC344" i="6" s="1"/>
  <c r="AB345" i="6"/>
  <c r="AC345" i="6" s="1"/>
  <c r="AB346" i="6"/>
  <c r="AC346" i="6" s="1"/>
  <c r="AB347" i="6"/>
  <c r="AC347" i="6" s="1"/>
  <c r="AB348" i="6"/>
  <c r="AC348" i="6" s="1"/>
  <c r="AB349" i="6"/>
  <c r="AC349" i="6" s="1"/>
  <c r="AB350" i="6"/>
  <c r="AC350" i="6" s="1"/>
  <c r="AB351" i="6"/>
  <c r="AC351" i="6" s="1"/>
  <c r="AB352" i="6"/>
  <c r="AC352" i="6" s="1"/>
  <c r="AB353" i="6"/>
  <c r="AC353" i="6" s="1"/>
  <c r="AB354" i="6"/>
  <c r="AC354" i="6" s="1"/>
  <c r="AB355" i="6"/>
  <c r="AC355" i="6" s="1"/>
  <c r="AB356" i="6"/>
  <c r="AC356" i="6" s="1"/>
  <c r="AB357" i="6"/>
  <c r="AC357" i="6" s="1"/>
  <c r="AB358" i="6"/>
  <c r="AC358" i="6" s="1"/>
  <c r="AB359" i="6"/>
  <c r="AC359" i="6" s="1"/>
  <c r="AB360" i="6"/>
  <c r="AC360" i="6" s="1"/>
  <c r="AB361" i="6"/>
  <c r="AC361" i="6" s="1"/>
  <c r="AB362" i="6"/>
  <c r="AC362" i="6" s="1"/>
  <c r="AB363" i="6"/>
  <c r="AC363" i="6" s="1"/>
  <c r="AB364" i="6"/>
  <c r="AC364" i="6" s="1"/>
  <c r="AB365" i="6"/>
  <c r="AC365" i="6" s="1"/>
  <c r="AB366" i="6"/>
  <c r="AC366" i="6" s="1"/>
  <c r="AB367" i="6"/>
  <c r="AC367" i="6" s="1"/>
  <c r="AB368" i="6"/>
  <c r="AC368" i="6" s="1"/>
  <c r="AB369" i="6"/>
  <c r="AC369" i="6" s="1"/>
  <c r="AB370" i="6"/>
  <c r="AC370" i="6" s="1"/>
  <c r="AB371" i="6"/>
  <c r="AC371" i="6" s="1"/>
  <c r="AB372" i="6"/>
  <c r="AC372" i="6" s="1"/>
  <c r="AB373" i="6"/>
  <c r="AC373" i="6" s="1"/>
  <c r="AB374" i="6"/>
  <c r="AC374" i="6" s="1"/>
  <c r="AB375" i="6"/>
  <c r="AC375" i="6" s="1"/>
  <c r="AB376" i="6"/>
  <c r="AC376" i="6" s="1"/>
  <c r="AB377" i="6"/>
  <c r="AC377" i="6" s="1"/>
  <c r="AB378" i="6"/>
  <c r="AC378" i="6" s="1"/>
  <c r="AB379" i="6"/>
  <c r="AC379" i="6" s="1"/>
  <c r="AB380" i="6"/>
  <c r="AC380" i="6" s="1"/>
  <c r="AB381" i="6"/>
  <c r="AC381" i="6" s="1"/>
  <c r="AB382" i="6"/>
  <c r="AC382" i="6" s="1"/>
  <c r="AB383" i="6"/>
  <c r="AC383" i="6" s="1"/>
  <c r="AB384" i="6"/>
  <c r="AC384" i="6" s="1"/>
  <c r="AB385" i="6"/>
  <c r="AC385" i="6" s="1"/>
  <c r="AB386" i="6"/>
  <c r="AC386" i="6" s="1"/>
  <c r="AB387" i="6"/>
  <c r="AC387" i="6" s="1"/>
  <c r="AB388" i="6"/>
  <c r="AC388" i="6" s="1"/>
  <c r="AB389" i="6"/>
  <c r="AC389" i="6" s="1"/>
  <c r="AB390" i="6"/>
  <c r="AC390" i="6" s="1"/>
  <c r="AB391" i="6"/>
  <c r="AC391" i="6" s="1"/>
  <c r="AB392" i="6"/>
  <c r="AC392" i="6" s="1"/>
  <c r="AB393" i="6"/>
  <c r="AC393" i="6" s="1"/>
  <c r="AB394" i="6"/>
  <c r="AC394" i="6" s="1"/>
  <c r="AB395" i="6"/>
  <c r="AC395" i="6" s="1"/>
  <c r="AB396" i="6"/>
  <c r="AC396" i="6" s="1"/>
  <c r="AB397" i="6"/>
  <c r="AC397" i="6" s="1"/>
  <c r="AB398" i="6"/>
  <c r="AC398" i="6" s="1"/>
  <c r="AB399" i="6"/>
  <c r="AC399" i="6" s="1"/>
  <c r="AB400" i="6"/>
  <c r="AC400" i="6" s="1"/>
  <c r="AB401" i="6"/>
  <c r="AC401" i="6" s="1"/>
  <c r="AB402" i="6"/>
  <c r="AC402" i="6" s="1"/>
  <c r="AB403" i="6"/>
  <c r="AC403" i="6" s="1"/>
  <c r="AB404" i="6"/>
  <c r="AC404" i="6" s="1"/>
  <c r="AB405" i="6"/>
  <c r="AC405" i="6" s="1"/>
  <c r="AB406" i="6"/>
  <c r="AC406" i="6" s="1"/>
  <c r="AB407" i="6"/>
  <c r="AC407" i="6" s="1"/>
  <c r="AB408" i="6"/>
  <c r="AC408" i="6" s="1"/>
  <c r="AB409" i="6"/>
  <c r="AC409" i="6" s="1"/>
  <c r="AB410" i="6"/>
  <c r="AC410" i="6" s="1"/>
  <c r="AB411" i="6"/>
  <c r="AC411" i="6" s="1"/>
  <c r="AB412" i="6"/>
  <c r="AC412" i="6" s="1"/>
  <c r="AB413" i="6"/>
  <c r="AC413" i="6" s="1"/>
  <c r="AB414" i="6"/>
  <c r="AC414" i="6" s="1"/>
  <c r="AB415" i="6"/>
  <c r="AC415" i="6" s="1"/>
  <c r="AB416" i="6"/>
  <c r="AC416" i="6" s="1"/>
  <c r="AB417" i="6"/>
  <c r="AC417" i="6" s="1"/>
  <c r="AB418" i="6"/>
  <c r="AC418" i="6" s="1"/>
  <c r="AB419" i="6"/>
  <c r="AC419" i="6" s="1"/>
  <c r="AB420" i="6"/>
  <c r="AC420" i="6" s="1"/>
  <c r="AB421" i="6"/>
  <c r="AC421" i="6" s="1"/>
  <c r="AB422" i="6"/>
  <c r="AC422" i="6" s="1"/>
  <c r="AB423" i="6"/>
  <c r="AC423" i="6" s="1"/>
  <c r="AB424" i="6"/>
  <c r="AC424" i="6" s="1"/>
  <c r="AB425" i="6"/>
  <c r="AC425" i="6" s="1"/>
  <c r="AB426" i="6"/>
  <c r="AC426" i="6" s="1"/>
  <c r="AB427" i="6"/>
  <c r="AC427" i="6" s="1"/>
  <c r="AB428" i="6"/>
  <c r="AC428" i="6" s="1"/>
  <c r="AB429" i="6"/>
  <c r="AC429" i="6" s="1"/>
  <c r="AB430" i="6"/>
  <c r="AC430" i="6" s="1"/>
  <c r="AB431" i="6"/>
  <c r="AC431" i="6" s="1"/>
  <c r="AB432" i="6"/>
  <c r="AC432" i="6" s="1"/>
  <c r="AB433" i="6"/>
  <c r="AC433" i="6" s="1"/>
  <c r="AB434" i="6"/>
  <c r="AC434" i="6" s="1"/>
  <c r="AB435" i="6"/>
  <c r="AC435" i="6" s="1"/>
  <c r="AB436" i="6"/>
  <c r="AC436" i="6" s="1"/>
  <c r="AB437" i="6"/>
  <c r="AC437" i="6" s="1"/>
  <c r="AB438" i="6"/>
  <c r="AC438" i="6" s="1"/>
  <c r="AB439" i="6"/>
  <c r="AC439" i="6" s="1"/>
  <c r="AB440" i="6"/>
  <c r="AC440" i="6" s="1"/>
  <c r="AB441" i="6"/>
  <c r="AC441" i="6" s="1"/>
  <c r="AB442" i="6"/>
  <c r="AC442" i="6" s="1"/>
  <c r="AB443" i="6"/>
  <c r="AC443" i="6" s="1"/>
  <c r="AB444" i="6"/>
  <c r="AC444" i="6" s="1"/>
  <c r="AB445" i="6"/>
  <c r="AC445" i="6" s="1"/>
  <c r="AB446" i="6"/>
  <c r="AC446" i="6" s="1"/>
  <c r="AB447" i="6"/>
  <c r="AC447" i="6" s="1"/>
  <c r="AB448" i="6"/>
  <c r="AC448" i="6" s="1"/>
  <c r="AB449" i="6"/>
  <c r="AC449" i="6" s="1"/>
  <c r="AB450" i="6"/>
  <c r="AC450" i="6" s="1"/>
  <c r="AB451" i="6"/>
  <c r="AC451" i="6" s="1"/>
  <c r="AB452" i="6"/>
  <c r="AC452" i="6" s="1"/>
  <c r="AB453" i="6"/>
  <c r="AC453" i="6" s="1"/>
  <c r="AB454" i="6"/>
  <c r="AC454" i="6" s="1"/>
  <c r="AB455" i="6"/>
  <c r="AC455" i="6" s="1"/>
  <c r="AB456" i="6"/>
  <c r="AC456" i="6" s="1"/>
  <c r="AB457" i="6"/>
  <c r="AC457" i="6" s="1"/>
  <c r="AB458" i="6"/>
  <c r="AC458" i="6" s="1"/>
  <c r="AB459" i="6"/>
  <c r="AC459" i="6" s="1"/>
  <c r="AB460" i="6"/>
  <c r="AC460" i="6" s="1"/>
  <c r="AB461" i="6"/>
  <c r="AC461" i="6" s="1"/>
  <c r="AB462" i="6"/>
  <c r="AC462" i="6" s="1"/>
  <c r="AB463" i="6"/>
  <c r="AC463" i="6" s="1"/>
  <c r="AB464" i="6"/>
  <c r="AC464" i="6" s="1"/>
  <c r="AB465" i="6"/>
  <c r="AC465" i="6" s="1"/>
  <c r="AB466" i="6"/>
  <c r="AC466" i="6" s="1"/>
  <c r="AB467" i="6"/>
  <c r="AC467" i="6" s="1"/>
  <c r="AB468" i="6"/>
  <c r="AC468" i="6" s="1"/>
  <c r="AB469" i="6"/>
  <c r="AC469" i="6" s="1"/>
  <c r="AB470" i="6"/>
  <c r="AC470" i="6" s="1"/>
  <c r="AB471" i="6"/>
  <c r="AC471" i="6" s="1"/>
  <c r="AB472" i="6"/>
  <c r="AC472" i="6" s="1"/>
  <c r="AB473" i="6"/>
  <c r="AC473" i="6" s="1"/>
  <c r="AB474" i="6"/>
  <c r="AC474" i="6" s="1"/>
  <c r="AB475" i="6"/>
  <c r="AC475" i="6" s="1"/>
  <c r="AB476" i="6"/>
  <c r="AC476" i="6" s="1"/>
  <c r="AB477" i="6"/>
  <c r="AC477" i="6" s="1"/>
  <c r="AB478" i="6"/>
  <c r="AC478" i="6" s="1"/>
  <c r="AB479" i="6"/>
  <c r="AC479" i="6" s="1"/>
  <c r="AB480" i="6"/>
  <c r="AC480" i="6" s="1"/>
  <c r="AB481" i="6"/>
  <c r="AC481" i="6" s="1"/>
  <c r="AB482" i="6"/>
  <c r="AC482" i="6" s="1"/>
  <c r="AB483" i="6"/>
  <c r="AC483" i="6" s="1"/>
  <c r="AB484" i="6"/>
  <c r="AC484" i="6" s="1"/>
  <c r="AB485" i="6"/>
  <c r="AC485" i="6" s="1"/>
  <c r="AB486" i="6"/>
  <c r="AC486" i="6" s="1"/>
  <c r="AB487" i="6"/>
  <c r="AC487" i="6" s="1"/>
  <c r="AB488" i="6"/>
  <c r="AC488" i="6" s="1"/>
  <c r="AB489" i="6"/>
  <c r="AC489" i="6" s="1"/>
  <c r="AB490" i="6"/>
  <c r="AC490" i="6" s="1"/>
  <c r="AB491" i="6"/>
  <c r="AC491" i="6" s="1"/>
  <c r="AB492" i="6"/>
  <c r="AC492" i="6" s="1"/>
  <c r="AB493" i="6"/>
  <c r="AC493" i="6" s="1"/>
  <c r="AB494" i="6"/>
  <c r="AC494" i="6" s="1"/>
  <c r="AB495" i="6"/>
  <c r="AC495" i="6" s="1"/>
  <c r="AB496" i="6"/>
  <c r="AC496" i="6" s="1"/>
  <c r="AB497" i="6"/>
  <c r="AC497" i="6" s="1"/>
  <c r="AB498" i="6"/>
  <c r="AC498" i="6" s="1"/>
  <c r="AB499" i="6"/>
  <c r="AC499" i="6" s="1"/>
  <c r="AB500" i="6"/>
  <c r="AC500" i="6" s="1"/>
  <c r="AB501" i="6"/>
  <c r="AC501" i="6" s="1"/>
  <c r="AB502" i="6"/>
  <c r="AC502" i="6" s="1"/>
  <c r="AB503" i="6"/>
  <c r="AC503" i="6" s="1"/>
  <c r="AB504" i="6"/>
  <c r="AC504" i="6" s="1"/>
  <c r="AB505" i="6"/>
  <c r="AC505" i="6" s="1"/>
  <c r="AB506" i="6"/>
  <c r="AC506" i="6" s="1"/>
  <c r="AB507" i="6"/>
  <c r="AC507" i="6" s="1"/>
  <c r="AB508" i="6"/>
  <c r="AC508" i="6" s="1"/>
  <c r="AB509" i="6"/>
  <c r="AC509" i="6" s="1"/>
  <c r="AB510" i="6"/>
  <c r="AC510" i="6" s="1"/>
  <c r="AB511" i="6"/>
  <c r="AC511" i="6" s="1"/>
  <c r="AB512" i="6"/>
  <c r="AC512" i="6" s="1"/>
  <c r="AB513" i="6"/>
  <c r="AC513" i="6" s="1"/>
  <c r="AB514" i="6"/>
  <c r="AC514" i="6" s="1"/>
  <c r="AB515" i="6"/>
  <c r="AC515" i="6" s="1"/>
  <c r="AB516" i="6"/>
  <c r="AC516" i="6" s="1"/>
  <c r="AB517" i="6"/>
  <c r="AC517" i="6" s="1"/>
  <c r="AB518" i="6"/>
  <c r="AC518" i="6" s="1"/>
  <c r="AB519" i="6"/>
  <c r="AC519" i="6" s="1"/>
  <c r="AB520" i="6"/>
  <c r="AC520" i="6" s="1"/>
  <c r="AB521" i="6"/>
  <c r="AC521" i="6" s="1"/>
  <c r="AB522" i="6"/>
  <c r="AC522" i="6" s="1"/>
  <c r="AB523" i="6"/>
  <c r="AC523" i="6" s="1"/>
  <c r="AB524" i="6"/>
  <c r="AC524" i="6" s="1"/>
  <c r="AB525" i="6"/>
  <c r="AC525" i="6" s="1"/>
  <c r="AB526" i="6"/>
  <c r="AC526" i="6" s="1"/>
  <c r="AB527" i="6"/>
  <c r="AC527" i="6" s="1"/>
  <c r="AB528" i="6"/>
  <c r="AC528" i="6" s="1"/>
  <c r="AB529" i="6"/>
  <c r="AC529" i="6" s="1"/>
  <c r="AB530" i="6"/>
  <c r="AC530" i="6" s="1"/>
  <c r="AB531" i="6"/>
  <c r="AC531" i="6" s="1"/>
  <c r="AB532" i="6"/>
  <c r="AC532" i="6" s="1"/>
  <c r="AB533" i="6"/>
  <c r="AC533" i="6" s="1"/>
  <c r="AB534" i="6"/>
  <c r="AC534" i="6" s="1"/>
  <c r="AB535" i="6"/>
  <c r="AC535" i="6" s="1"/>
  <c r="AB536" i="6"/>
  <c r="AC536" i="6" s="1"/>
  <c r="AB537" i="6"/>
  <c r="AC537" i="6" s="1"/>
  <c r="AB538" i="6"/>
  <c r="AC538" i="6" s="1"/>
  <c r="AB539" i="6"/>
  <c r="AC539" i="6" s="1"/>
  <c r="AB540" i="6"/>
  <c r="AC540" i="6" s="1"/>
  <c r="AB541" i="6"/>
  <c r="AC541" i="6" s="1"/>
  <c r="AB542" i="6"/>
  <c r="AC542" i="6" s="1"/>
  <c r="AB543" i="6"/>
  <c r="AC543" i="6" s="1"/>
  <c r="AB544" i="6"/>
  <c r="AC544" i="6" s="1"/>
  <c r="AB545" i="6"/>
  <c r="AC545" i="6" s="1"/>
  <c r="AB546" i="6"/>
  <c r="AC546" i="6" s="1"/>
  <c r="AB547" i="6"/>
  <c r="AC547" i="6" s="1"/>
  <c r="AB548" i="6"/>
  <c r="AC548" i="6" s="1"/>
  <c r="AB549" i="6"/>
  <c r="AC549" i="6" s="1"/>
  <c r="AB550" i="6"/>
  <c r="AC550" i="6" s="1"/>
  <c r="AB551" i="6"/>
  <c r="AC551" i="6" s="1"/>
  <c r="AB552" i="6"/>
  <c r="AC552" i="6" s="1"/>
  <c r="AB553" i="6"/>
  <c r="AC553" i="6" s="1"/>
  <c r="AB554" i="6"/>
  <c r="AC554" i="6" s="1"/>
  <c r="AB555" i="6"/>
  <c r="AC555" i="6" s="1"/>
  <c r="AB556" i="6"/>
  <c r="AC556" i="6" s="1"/>
  <c r="AB557" i="6"/>
  <c r="AC557" i="6" s="1"/>
  <c r="AB558" i="6"/>
  <c r="AC558" i="6" s="1"/>
  <c r="AB559" i="6"/>
  <c r="AC559" i="6" s="1"/>
  <c r="AB560" i="6"/>
  <c r="AC560" i="6" s="1"/>
  <c r="AB561" i="6"/>
  <c r="AC561" i="6" s="1"/>
  <c r="AB562" i="6"/>
  <c r="AC562" i="6" s="1"/>
  <c r="AB563" i="6"/>
  <c r="AC563" i="6" s="1"/>
  <c r="AB564" i="6"/>
  <c r="AC564" i="6" s="1"/>
  <c r="AB565" i="6"/>
  <c r="AC565" i="6" s="1"/>
  <c r="AB566" i="6"/>
  <c r="AC566" i="6" s="1"/>
  <c r="AB567" i="6"/>
  <c r="AC567" i="6" s="1"/>
  <c r="AB568" i="6"/>
  <c r="AC568" i="6" s="1"/>
  <c r="AB569" i="6"/>
  <c r="AC569" i="6" s="1"/>
  <c r="AB570" i="6"/>
  <c r="AC570" i="6" s="1"/>
  <c r="AB571" i="6"/>
  <c r="AC571" i="6" s="1"/>
  <c r="AB572" i="6"/>
  <c r="AC572" i="6" s="1"/>
  <c r="AB573" i="6"/>
  <c r="AC573" i="6" s="1"/>
  <c r="AB574" i="6"/>
  <c r="AC574" i="6" s="1"/>
  <c r="AB575" i="6"/>
  <c r="AC575" i="6" s="1"/>
  <c r="AB576" i="6"/>
  <c r="AC576" i="6" s="1"/>
  <c r="AB577" i="6"/>
  <c r="AC577" i="6" s="1"/>
  <c r="AB578" i="6"/>
  <c r="AC578" i="6" s="1"/>
  <c r="AB579" i="6"/>
  <c r="AC579" i="6" s="1"/>
  <c r="AB580" i="6"/>
  <c r="AC580" i="6" s="1"/>
  <c r="AB581" i="6"/>
  <c r="AC581" i="6" s="1"/>
  <c r="AB582" i="6"/>
  <c r="AC582" i="6" s="1"/>
  <c r="AB583" i="6"/>
  <c r="AC583" i="6" s="1"/>
  <c r="AB584" i="6"/>
  <c r="AC584" i="6" s="1"/>
  <c r="AB585" i="6"/>
  <c r="AC585" i="6" s="1"/>
  <c r="AB586" i="6"/>
  <c r="AC586" i="6" s="1"/>
  <c r="AB587" i="6"/>
  <c r="AC587" i="6" s="1"/>
  <c r="AB588" i="6"/>
  <c r="AC588" i="6" s="1"/>
  <c r="AB589" i="6"/>
  <c r="AC589" i="6" s="1"/>
  <c r="AB590" i="6"/>
  <c r="AC590" i="6" s="1"/>
  <c r="AB591" i="6"/>
  <c r="AC591" i="6" s="1"/>
  <c r="AB592" i="6"/>
  <c r="AC592" i="6" s="1"/>
  <c r="AB593" i="6"/>
  <c r="AC593" i="6" s="1"/>
  <c r="AB594" i="6"/>
  <c r="AC594" i="6" s="1"/>
  <c r="AB595" i="6"/>
  <c r="AC595" i="6" s="1"/>
  <c r="AB596" i="6"/>
  <c r="AC596" i="6" s="1"/>
  <c r="AB597" i="6"/>
  <c r="AC597" i="6" s="1"/>
  <c r="AB598" i="6"/>
  <c r="AC598" i="6" s="1"/>
  <c r="AB599" i="6"/>
  <c r="AC599" i="6" s="1"/>
  <c r="AB600" i="6"/>
  <c r="AC600" i="6" s="1"/>
  <c r="AB601" i="6"/>
  <c r="AC601" i="6" s="1"/>
  <c r="AB602" i="6"/>
  <c r="AC602" i="6" s="1"/>
  <c r="AB603" i="6"/>
  <c r="AC603" i="6" s="1"/>
  <c r="AB604" i="6"/>
  <c r="AC604" i="6" s="1"/>
  <c r="AB605" i="6"/>
  <c r="AC605" i="6" s="1"/>
  <c r="AB606" i="6"/>
  <c r="AC606" i="6" s="1"/>
  <c r="AB607" i="6"/>
  <c r="AC607" i="6" s="1"/>
  <c r="AB608" i="6"/>
  <c r="AC608" i="6" s="1"/>
  <c r="AB609" i="6"/>
  <c r="AC609" i="6" s="1"/>
  <c r="AB610" i="6"/>
  <c r="AC610" i="6" s="1"/>
  <c r="AB611" i="6"/>
  <c r="AC611" i="6" s="1"/>
  <c r="AB612" i="6"/>
  <c r="AC612" i="6" s="1"/>
  <c r="AB613" i="6"/>
  <c r="AC613" i="6" s="1"/>
  <c r="AB614" i="6"/>
  <c r="AC614" i="6" s="1"/>
  <c r="AB615" i="6"/>
  <c r="AC615" i="6" s="1"/>
  <c r="AB616" i="6"/>
  <c r="AC616" i="6" s="1"/>
  <c r="AB617" i="6"/>
  <c r="AC617" i="6" s="1"/>
  <c r="AB618" i="6"/>
  <c r="AC618" i="6" s="1"/>
  <c r="AB619" i="6"/>
  <c r="AC619" i="6" s="1"/>
  <c r="AB620" i="6"/>
  <c r="AC620" i="6" s="1"/>
  <c r="AB621" i="6"/>
  <c r="AC621" i="6" s="1"/>
  <c r="AB622" i="6"/>
  <c r="AC622" i="6" s="1"/>
  <c r="AB623" i="6"/>
  <c r="AC623" i="6" s="1"/>
  <c r="AB624" i="6"/>
  <c r="AC624" i="6" s="1"/>
  <c r="AB625" i="6"/>
  <c r="AC625" i="6" s="1"/>
  <c r="AB626" i="6"/>
  <c r="AC626" i="6" s="1"/>
  <c r="AB627" i="6"/>
  <c r="AC627" i="6" s="1"/>
  <c r="AB628" i="6"/>
  <c r="AC628" i="6" s="1"/>
  <c r="AB629" i="6"/>
  <c r="AC629" i="6" s="1"/>
  <c r="AB630" i="6"/>
  <c r="AC630" i="6" s="1"/>
  <c r="AB631" i="6"/>
  <c r="AC631" i="6" s="1"/>
  <c r="AB632" i="6"/>
  <c r="AC632" i="6" s="1"/>
  <c r="AB633" i="6"/>
  <c r="AC633" i="6" s="1"/>
  <c r="AB634" i="6"/>
  <c r="AC634" i="6" s="1"/>
  <c r="AB635" i="6"/>
  <c r="AC635" i="6" s="1"/>
  <c r="AB636" i="6"/>
  <c r="AC636" i="6" s="1"/>
  <c r="AB637" i="6"/>
  <c r="AC637" i="6" s="1"/>
  <c r="AB638" i="6"/>
  <c r="AC638" i="6" s="1"/>
  <c r="AB639" i="6"/>
  <c r="AC639" i="6" s="1"/>
  <c r="AB640" i="6"/>
  <c r="AC640" i="6" s="1"/>
  <c r="AB641" i="6"/>
  <c r="AC641" i="6" s="1"/>
  <c r="AB642" i="6"/>
  <c r="AC642" i="6" s="1"/>
  <c r="AB643" i="6"/>
  <c r="AC643" i="6" s="1"/>
  <c r="AB644" i="6"/>
  <c r="AC644" i="6" s="1"/>
  <c r="AB645" i="6"/>
  <c r="AC645" i="6" s="1"/>
  <c r="AB646" i="6"/>
  <c r="AC646" i="6" s="1"/>
  <c r="AB647" i="6"/>
  <c r="AC647" i="6" s="1"/>
  <c r="AB648" i="6"/>
  <c r="AC648" i="6" s="1"/>
  <c r="AB649" i="6"/>
  <c r="AC649" i="6" s="1"/>
  <c r="AB650" i="6"/>
  <c r="AC650" i="6" s="1"/>
  <c r="AB651" i="6"/>
  <c r="AC651" i="6" s="1"/>
  <c r="AB652" i="6"/>
  <c r="AC652" i="6" s="1"/>
  <c r="AB653" i="6"/>
  <c r="AC653" i="6" s="1"/>
  <c r="AB654" i="6"/>
  <c r="AC654" i="6" s="1"/>
  <c r="AB655" i="6"/>
  <c r="AC655" i="6" s="1"/>
  <c r="AB656" i="6"/>
  <c r="AC656" i="6" s="1"/>
  <c r="AB657" i="6"/>
  <c r="AC657" i="6" s="1"/>
  <c r="AB658" i="6"/>
  <c r="AC658" i="6" s="1"/>
  <c r="AB659" i="6"/>
  <c r="AC659" i="6" s="1"/>
  <c r="AB660" i="6"/>
  <c r="AC660" i="6" s="1"/>
  <c r="AB661" i="6"/>
  <c r="AC661" i="6" s="1"/>
  <c r="AB662" i="6"/>
  <c r="AC662" i="6" s="1"/>
  <c r="AB663" i="6"/>
  <c r="AC663" i="6" s="1"/>
  <c r="AB664" i="6"/>
  <c r="AC664" i="6" s="1"/>
  <c r="AB665" i="6"/>
  <c r="AC665" i="6" s="1"/>
  <c r="AB666" i="6"/>
  <c r="AC666" i="6" s="1"/>
  <c r="AB667" i="6"/>
  <c r="AC667" i="6" s="1"/>
  <c r="AB668" i="6"/>
  <c r="AC668" i="6" s="1"/>
  <c r="AB669" i="6"/>
  <c r="AC669" i="6" s="1"/>
  <c r="AB670" i="6"/>
  <c r="AC670" i="6" s="1"/>
  <c r="AB671" i="6"/>
  <c r="AC671" i="6" s="1"/>
  <c r="AB672" i="6"/>
  <c r="AC672" i="6" s="1"/>
  <c r="AB673" i="6"/>
  <c r="AC673" i="6" s="1"/>
  <c r="AB674" i="6"/>
  <c r="AC674" i="6" s="1"/>
  <c r="AB675" i="6"/>
  <c r="AC675" i="6" s="1"/>
  <c r="AB676" i="6"/>
  <c r="AC676" i="6" s="1"/>
  <c r="AB677" i="6"/>
  <c r="AC677" i="6" s="1"/>
  <c r="AB678" i="6"/>
  <c r="AC678" i="6" s="1"/>
  <c r="AB679" i="6"/>
  <c r="AC679" i="6" s="1"/>
  <c r="AB680" i="6"/>
  <c r="AC680" i="6" s="1"/>
  <c r="AB681" i="6"/>
  <c r="AC681" i="6" s="1"/>
  <c r="AB682" i="6"/>
  <c r="AC682" i="6" s="1"/>
  <c r="AB683" i="6"/>
  <c r="AC683" i="6" s="1"/>
  <c r="AB684" i="6"/>
  <c r="AC684" i="6" s="1"/>
  <c r="AB685" i="6"/>
  <c r="AC685" i="6" s="1"/>
  <c r="AB686" i="6"/>
  <c r="AC686" i="6" s="1"/>
  <c r="AB687" i="6"/>
  <c r="AC687" i="6" s="1"/>
  <c r="AB688" i="6"/>
  <c r="AC688" i="6" s="1"/>
  <c r="AB689" i="6"/>
  <c r="AC689" i="6" s="1"/>
  <c r="AB690" i="6"/>
  <c r="AC690" i="6" s="1"/>
  <c r="AB691" i="6"/>
  <c r="AC691" i="6" s="1"/>
  <c r="AB692" i="6"/>
  <c r="AC692" i="6" s="1"/>
  <c r="AB693" i="6"/>
  <c r="AC693" i="6" s="1"/>
  <c r="AB694" i="6"/>
  <c r="AC694" i="6" s="1"/>
  <c r="AB695" i="6"/>
  <c r="AC695" i="6" s="1"/>
  <c r="AB696" i="6"/>
  <c r="AC696" i="6" s="1"/>
  <c r="AB697" i="6"/>
  <c r="AC697" i="6" s="1"/>
  <c r="AB698" i="6"/>
  <c r="AC698" i="6" s="1"/>
  <c r="AB699" i="6"/>
  <c r="AC699" i="6" s="1"/>
  <c r="AB700" i="6"/>
  <c r="AC700" i="6" s="1"/>
  <c r="AB701" i="6"/>
  <c r="AC701" i="6" s="1"/>
  <c r="AB702" i="6"/>
  <c r="AC702" i="6" s="1"/>
  <c r="AB703" i="6"/>
  <c r="AC703" i="6" s="1"/>
  <c r="AB704" i="6"/>
  <c r="AC704" i="6" s="1"/>
  <c r="AB705" i="6"/>
  <c r="AC705" i="6" s="1"/>
  <c r="AB706" i="6"/>
  <c r="AC706" i="6" s="1"/>
  <c r="AB707" i="6"/>
  <c r="AC707" i="6" s="1"/>
  <c r="AB708" i="6"/>
  <c r="AC708" i="6" s="1"/>
  <c r="AB709" i="6"/>
  <c r="AC709" i="6" s="1"/>
  <c r="AB710" i="6"/>
  <c r="AC710" i="6" s="1"/>
  <c r="AB711" i="6"/>
  <c r="AC711" i="6" s="1"/>
  <c r="AB712" i="6"/>
  <c r="AC712" i="6" s="1"/>
  <c r="AB713" i="6"/>
  <c r="AC713" i="6" s="1"/>
  <c r="AB714" i="6"/>
  <c r="AC714" i="6" s="1"/>
  <c r="AB715" i="6"/>
  <c r="AC715" i="6" s="1"/>
  <c r="AB716" i="6"/>
  <c r="AC716" i="6" s="1"/>
  <c r="AB717" i="6"/>
  <c r="AC717" i="6" s="1"/>
  <c r="AB718" i="6"/>
  <c r="AC718" i="6" s="1"/>
  <c r="AB719" i="6"/>
  <c r="AC719" i="6" s="1"/>
  <c r="AB720" i="6"/>
  <c r="AC720" i="6" s="1"/>
  <c r="AB721" i="6"/>
  <c r="AC721" i="6" s="1"/>
  <c r="AB722" i="6"/>
  <c r="AC722" i="6" s="1"/>
  <c r="AB723" i="6"/>
  <c r="AC723" i="6" s="1"/>
  <c r="AB724" i="6"/>
  <c r="AC724" i="6" s="1"/>
  <c r="AB725" i="6"/>
  <c r="AC725" i="6" s="1"/>
  <c r="AB726" i="6"/>
  <c r="AC726" i="6" s="1"/>
  <c r="AB727" i="6"/>
  <c r="AC727" i="6" s="1"/>
  <c r="AB728" i="6"/>
  <c r="AC728" i="6" s="1"/>
  <c r="AB729" i="6"/>
  <c r="AC729" i="6" s="1"/>
  <c r="AB730" i="6"/>
  <c r="AC730" i="6" s="1"/>
  <c r="AB731" i="6"/>
  <c r="AC731" i="6" s="1"/>
  <c r="AB732" i="6"/>
  <c r="AC732" i="6" s="1"/>
  <c r="AB733" i="6"/>
  <c r="AC733" i="6" s="1"/>
  <c r="AB734" i="6"/>
  <c r="AC734" i="6" s="1"/>
  <c r="AB735" i="6"/>
  <c r="AC735" i="6" s="1"/>
  <c r="AB736" i="6"/>
  <c r="AC736" i="6" s="1"/>
  <c r="AB737" i="6"/>
  <c r="AC737" i="6" s="1"/>
  <c r="AB738" i="6"/>
  <c r="AC738" i="6" s="1"/>
  <c r="AB739" i="6"/>
  <c r="AC739" i="6" s="1"/>
  <c r="AB740" i="6"/>
  <c r="AC740" i="6" s="1"/>
  <c r="AB741" i="6"/>
  <c r="AC741" i="6" s="1"/>
  <c r="AB742" i="6"/>
  <c r="AC742" i="6" s="1"/>
  <c r="AB743" i="6"/>
  <c r="AC743" i="6" s="1"/>
  <c r="AB744" i="6"/>
  <c r="AC744" i="6" s="1"/>
  <c r="AB745" i="6"/>
  <c r="AC745" i="6" s="1"/>
  <c r="AB746" i="6"/>
  <c r="AC746" i="6" s="1"/>
  <c r="AB747" i="6"/>
  <c r="AC747" i="6" s="1"/>
  <c r="AB748" i="6"/>
  <c r="AC748" i="6" s="1"/>
  <c r="AB749" i="6"/>
  <c r="AC749" i="6" s="1"/>
  <c r="AB750" i="6"/>
  <c r="AC750" i="6" s="1"/>
  <c r="AB751" i="6"/>
  <c r="AC751" i="6" s="1"/>
  <c r="AB752" i="6"/>
  <c r="AC752" i="6" s="1"/>
  <c r="AB753" i="6"/>
  <c r="AC753" i="6" s="1"/>
  <c r="AB754" i="6"/>
  <c r="AC754" i="6" s="1"/>
  <c r="AB755" i="6"/>
  <c r="AC755" i="6" s="1"/>
  <c r="AB756" i="6"/>
  <c r="AC756" i="6" s="1"/>
  <c r="AB757" i="6"/>
  <c r="AC757" i="6" s="1"/>
  <c r="AB758" i="6"/>
  <c r="AC758" i="6" s="1"/>
  <c r="AB759" i="6"/>
  <c r="AC759" i="6" s="1"/>
  <c r="AB760" i="6"/>
  <c r="AC760" i="6" s="1"/>
  <c r="AB761" i="6"/>
  <c r="AC761" i="6" s="1"/>
  <c r="AB762" i="6"/>
  <c r="AC762" i="6" s="1"/>
  <c r="AB763" i="6"/>
  <c r="AC763" i="6" s="1"/>
  <c r="AB764" i="6"/>
  <c r="AC764" i="6" s="1"/>
  <c r="AB765" i="6"/>
  <c r="AC765" i="6" s="1"/>
  <c r="AB766" i="6"/>
  <c r="AC766" i="6" s="1"/>
  <c r="AB767" i="6"/>
  <c r="AC767" i="6" s="1"/>
  <c r="AB768" i="6"/>
  <c r="AC768" i="6" s="1"/>
  <c r="AB769" i="6"/>
  <c r="AC769" i="6" s="1"/>
  <c r="AB770" i="6"/>
  <c r="AC770" i="6" s="1"/>
  <c r="AB771" i="6"/>
  <c r="AC771" i="6" s="1"/>
  <c r="AB772" i="6"/>
  <c r="AC772" i="6" s="1"/>
  <c r="AB773" i="6"/>
  <c r="AC773" i="6" s="1"/>
  <c r="AB774" i="6"/>
  <c r="AC774" i="6" s="1"/>
  <c r="AB775" i="6"/>
  <c r="AC775" i="6" s="1"/>
  <c r="AB776" i="6"/>
  <c r="AC776" i="6" s="1"/>
  <c r="AB777" i="6"/>
  <c r="AC777" i="6" s="1"/>
  <c r="AB778" i="6"/>
  <c r="AC778" i="6" s="1"/>
  <c r="AB779" i="6"/>
  <c r="AC779" i="6" s="1"/>
  <c r="AB780" i="6"/>
  <c r="AC780" i="6" s="1"/>
  <c r="AB781" i="6"/>
  <c r="AC781" i="6" s="1"/>
  <c r="AB782" i="6"/>
  <c r="AC782" i="6" s="1"/>
  <c r="AB783" i="6"/>
  <c r="AC783" i="6" s="1"/>
  <c r="AB784" i="6"/>
  <c r="AC784" i="6" s="1"/>
  <c r="AB785" i="6"/>
  <c r="AC785" i="6" s="1"/>
  <c r="AB786" i="6"/>
  <c r="AC786" i="6" s="1"/>
  <c r="AB787" i="6"/>
  <c r="AC787" i="6" s="1"/>
  <c r="AB788" i="6"/>
  <c r="AC788" i="6" s="1"/>
  <c r="AB789" i="6"/>
  <c r="AC789" i="6" s="1"/>
  <c r="AB790" i="6"/>
  <c r="AC790" i="6" s="1"/>
  <c r="AB791" i="6"/>
  <c r="AC791" i="6" s="1"/>
  <c r="AB792" i="6"/>
  <c r="AC792" i="6" s="1"/>
  <c r="AB793" i="6"/>
  <c r="AC793" i="6" s="1"/>
  <c r="AB794" i="6"/>
  <c r="AC794" i="6" s="1"/>
  <c r="AB795" i="6"/>
  <c r="AC795" i="6" s="1"/>
  <c r="AB796" i="6"/>
  <c r="AC796" i="6" s="1"/>
  <c r="AB797" i="6"/>
  <c r="AC797" i="6" s="1"/>
  <c r="AB798" i="6"/>
  <c r="AC798" i="6" s="1"/>
  <c r="AB799" i="6"/>
  <c r="AC799" i="6" s="1"/>
  <c r="AB800" i="6"/>
  <c r="AC800" i="6" s="1"/>
  <c r="AB801" i="6"/>
  <c r="AC801" i="6" s="1"/>
  <c r="AB802" i="6"/>
  <c r="AC802" i="6" s="1"/>
  <c r="AB803" i="6"/>
  <c r="AC803" i="6" s="1"/>
  <c r="AB804" i="6"/>
  <c r="AC804" i="6" s="1"/>
  <c r="AB805" i="6"/>
  <c r="AC805" i="6" s="1"/>
  <c r="AB806" i="6"/>
  <c r="AC806" i="6" s="1"/>
  <c r="AB807" i="6"/>
  <c r="AC807" i="6" s="1"/>
  <c r="AB808" i="6"/>
  <c r="AC808" i="6" s="1"/>
  <c r="AB809" i="6"/>
  <c r="AC809" i="6" s="1"/>
  <c r="AB810" i="6"/>
  <c r="AC810" i="6" s="1"/>
  <c r="AB811" i="6"/>
  <c r="AC811" i="6" s="1"/>
  <c r="AB812" i="6"/>
  <c r="AC812" i="6" s="1"/>
  <c r="AB813" i="6"/>
  <c r="AC813" i="6" s="1"/>
  <c r="AB814" i="6"/>
  <c r="AC814" i="6" s="1"/>
  <c r="AB815" i="6"/>
  <c r="AC815" i="6" s="1"/>
  <c r="AB816" i="6"/>
  <c r="AC816" i="6" s="1"/>
  <c r="AB817" i="6"/>
  <c r="AC817" i="6" s="1"/>
  <c r="AB818" i="6"/>
  <c r="AC818" i="6" s="1"/>
  <c r="AB819" i="6"/>
  <c r="AC819" i="6" s="1"/>
  <c r="AB820" i="6"/>
  <c r="AC820" i="6" s="1"/>
  <c r="AB821" i="6"/>
  <c r="AC821" i="6" s="1"/>
  <c r="AB822" i="6"/>
  <c r="AC822" i="6" s="1"/>
  <c r="AB823" i="6"/>
  <c r="AC823" i="6" s="1"/>
  <c r="AB824" i="6"/>
  <c r="AC824" i="6" s="1"/>
  <c r="AB825" i="6"/>
  <c r="AC825" i="6" s="1"/>
  <c r="AB826" i="6"/>
  <c r="AC826" i="6" s="1"/>
  <c r="AB827" i="6"/>
  <c r="AC827" i="6" s="1"/>
  <c r="AB828" i="6"/>
  <c r="AC828" i="6" s="1"/>
  <c r="AB829" i="6"/>
  <c r="AC829" i="6" s="1"/>
  <c r="AB830" i="6"/>
  <c r="AC830" i="6" s="1"/>
  <c r="AB831" i="6"/>
  <c r="AC831" i="6" s="1"/>
  <c r="AB832" i="6"/>
  <c r="AC832" i="6" s="1"/>
  <c r="AB833" i="6"/>
  <c r="AC833" i="6" s="1"/>
  <c r="AB834" i="6"/>
  <c r="AC834" i="6" s="1"/>
  <c r="AB835" i="6"/>
  <c r="AC835" i="6" s="1"/>
  <c r="AB836" i="6"/>
  <c r="AC836" i="6" s="1"/>
  <c r="AB837" i="6"/>
  <c r="AC837" i="6" s="1"/>
  <c r="AB838" i="6"/>
  <c r="AC838" i="6" s="1"/>
  <c r="AB839" i="6"/>
  <c r="AC839" i="6" s="1"/>
  <c r="AB840" i="6"/>
  <c r="AC840" i="6" s="1"/>
  <c r="AB841" i="6"/>
  <c r="AC841" i="6" s="1"/>
  <c r="AB842" i="6"/>
  <c r="AC842" i="6" s="1"/>
  <c r="AB843" i="6"/>
  <c r="AC843" i="6" s="1"/>
  <c r="AB844" i="6"/>
  <c r="AC844" i="6" s="1"/>
  <c r="AB845" i="6"/>
  <c r="AC845" i="6" s="1"/>
  <c r="AB846" i="6"/>
  <c r="AC846" i="6" s="1"/>
  <c r="AB847" i="6"/>
  <c r="AC847" i="6" s="1"/>
  <c r="AB848" i="6"/>
  <c r="AC848" i="6" s="1"/>
  <c r="AB849" i="6"/>
  <c r="AC849" i="6" s="1"/>
  <c r="AB850" i="6"/>
  <c r="AC850" i="6" s="1"/>
  <c r="AB851" i="6"/>
  <c r="AC851" i="6" s="1"/>
  <c r="AB852" i="6"/>
  <c r="AC852" i="6" s="1"/>
  <c r="AB853" i="6"/>
  <c r="AC853" i="6" s="1"/>
  <c r="AB854" i="6"/>
  <c r="AC854" i="6" s="1"/>
  <c r="AB855" i="6"/>
  <c r="AC855" i="6" s="1"/>
  <c r="AB856" i="6"/>
  <c r="AC856" i="6" s="1"/>
  <c r="AB857" i="6"/>
  <c r="AC857" i="6" s="1"/>
  <c r="AB858" i="6"/>
  <c r="AC858" i="6" s="1"/>
  <c r="AB859" i="6"/>
  <c r="AC859" i="6" s="1"/>
  <c r="AB860" i="6"/>
  <c r="AC860" i="6" s="1"/>
  <c r="AB861" i="6"/>
  <c r="AC861" i="6" s="1"/>
  <c r="AB862" i="6"/>
  <c r="AC862" i="6" s="1"/>
  <c r="AB863" i="6"/>
  <c r="AC863" i="6" s="1"/>
  <c r="AB864" i="6"/>
  <c r="AC864" i="6" s="1"/>
  <c r="AB865" i="6"/>
  <c r="AC865" i="6" s="1"/>
  <c r="AB866" i="6"/>
  <c r="AC866" i="6" s="1"/>
  <c r="AB867" i="6"/>
  <c r="AC867" i="6" s="1"/>
  <c r="AB868" i="6"/>
  <c r="AC868" i="6" s="1"/>
  <c r="AB869" i="6"/>
  <c r="AC869" i="6" s="1"/>
  <c r="AB870" i="6"/>
  <c r="AC870" i="6" s="1"/>
  <c r="AB871" i="6"/>
  <c r="AC871" i="6" s="1"/>
  <c r="AB872" i="6"/>
  <c r="AC872" i="6" s="1"/>
  <c r="AB873" i="6"/>
  <c r="AC873" i="6" s="1"/>
  <c r="AB874" i="6"/>
  <c r="AC874" i="6" s="1"/>
  <c r="AB875" i="6"/>
  <c r="AC875" i="6" s="1"/>
  <c r="AB876" i="6"/>
  <c r="AC876" i="6" s="1"/>
  <c r="AB877" i="6"/>
  <c r="AC877" i="6" s="1"/>
  <c r="AB878" i="6"/>
  <c r="AC878" i="6" s="1"/>
  <c r="AB879" i="6"/>
  <c r="AC879" i="6" s="1"/>
  <c r="AB880" i="6"/>
  <c r="AC880" i="6" s="1"/>
  <c r="AB881" i="6"/>
  <c r="AC881" i="6" s="1"/>
  <c r="AB882" i="6"/>
  <c r="AC882" i="6" s="1"/>
  <c r="AB883" i="6"/>
  <c r="AC883" i="6" s="1"/>
  <c r="AB884" i="6"/>
  <c r="AC884" i="6" s="1"/>
  <c r="AB885" i="6"/>
  <c r="AC885" i="6" s="1"/>
  <c r="AB886" i="6"/>
  <c r="AC886" i="6" s="1"/>
  <c r="AB887" i="6"/>
  <c r="AC887" i="6" s="1"/>
  <c r="AB888" i="6"/>
  <c r="AC888" i="6" s="1"/>
  <c r="AB889" i="6"/>
  <c r="AC889" i="6" s="1"/>
  <c r="AB890" i="6"/>
  <c r="AC890" i="6" s="1"/>
  <c r="AB891" i="6"/>
  <c r="AC891" i="6" s="1"/>
  <c r="AB892" i="6"/>
  <c r="AC892" i="6" s="1"/>
  <c r="AB893" i="6"/>
  <c r="AC893" i="6" s="1"/>
  <c r="AB894" i="6"/>
  <c r="AC894" i="6" s="1"/>
  <c r="AB895" i="6"/>
  <c r="AC895" i="6" s="1"/>
  <c r="AB896" i="6"/>
  <c r="AC896" i="6" s="1"/>
  <c r="AB897" i="6"/>
  <c r="AC897" i="6" s="1"/>
  <c r="AB898" i="6"/>
  <c r="AC898" i="6" s="1"/>
  <c r="AB899" i="6"/>
  <c r="AC899" i="6" s="1"/>
  <c r="AB900" i="6"/>
  <c r="AC900" i="6" s="1"/>
  <c r="AB901" i="6"/>
  <c r="AC901" i="6" s="1"/>
  <c r="AB902" i="6"/>
  <c r="AC902" i="6" s="1"/>
  <c r="AB903" i="6"/>
  <c r="AC903" i="6" s="1"/>
  <c r="AB904" i="6"/>
  <c r="AC904" i="6" s="1"/>
  <c r="AB905" i="6"/>
  <c r="AC905" i="6" s="1"/>
  <c r="AB906" i="6"/>
  <c r="AC906" i="6" s="1"/>
  <c r="AB907" i="6"/>
  <c r="AC907" i="6" s="1"/>
  <c r="AB908" i="6"/>
  <c r="AC908" i="6" s="1"/>
  <c r="AB909" i="6"/>
  <c r="AC909" i="6" s="1"/>
  <c r="AB910" i="6"/>
  <c r="AC910" i="6" s="1"/>
  <c r="AB911" i="6"/>
  <c r="AC911" i="6" s="1"/>
  <c r="AB912" i="6"/>
  <c r="AC912" i="6" s="1"/>
  <c r="AB913" i="6"/>
  <c r="AC913" i="6" s="1"/>
  <c r="AB914" i="6"/>
  <c r="AC914" i="6" s="1"/>
  <c r="AB915" i="6"/>
  <c r="AC915" i="6" s="1"/>
  <c r="AB916" i="6"/>
  <c r="AC916" i="6" s="1"/>
  <c r="AB917" i="6"/>
  <c r="AC917" i="6" s="1"/>
  <c r="AB918" i="6"/>
  <c r="AC918" i="6" s="1"/>
  <c r="AB919" i="6"/>
  <c r="AC919" i="6" s="1"/>
  <c r="AB920" i="6"/>
  <c r="AC920" i="6" s="1"/>
  <c r="AB921" i="6"/>
  <c r="AC921" i="6" s="1"/>
  <c r="AB922" i="6"/>
  <c r="AC922" i="6" s="1"/>
  <c r="AB923" i="6"/>
  <c r="AC923" i="6" s="1"/>
  <c r="AB924" i="6"/>
  <c r="AC924" i="6" s="1"/>
  <c r="AB925" i="6"/>
  <c r="AC925" i="6" s="1"/>
  <c r="AB926" i="6"/>
  <c r="AC926" i="6" s="1"/>
  <c r="AB927" i="6"/>
  <c r="AC927" i="6" s="1"/>
  <c r="AB928" i="6"/>
  <c r="AC928" i="6" s="1"/>
  <c r="AB929" i="6"/>
  <c r="AC929" i="6" s="1"/>
  <c r="AB930" i="6"/>
  <c r="AC930" i="6" s="1"/>
  <c r="AB931" i="6"/>
  <c r="AC931" i="6" s="1"/>
  <c r="AB932" i="6"/>
  <c r="AC932" i="6" s="1"/>
  <c r="AB933" i="6"/>
  <c r="AC933" i="6" s="1"/>
  <c r="AB934" i="6"/>
  <c r="AC934" i="6" s="1"/>
  <c r="AB935" i="6"/>
  <c r="AC935" i="6" s="1"/>
  <c r="AB936" i="6"/>
  <c r="AC936" i="6" s="1"/>
  <c r="AB937" i="6"/>
  <c r="AC937" i="6" s="1"/>
  <c r="AB938" i="6"/>
  <c r="AC938" i="6" s="1"/>
  <c r="AB939" i="6"/>
  <c r="AC939" i="6" s="1"/>
  <c r="AB940" i="6"/>
  <c r="AC940" i="6" s="1"/>
  <c r="AB941" i="6"/>
  <c r="AC941" i="6" s="1"/>
  <c r="AB942" i="6"/>
  <c r="AC942" i="6" s="1"/>
  <c r="AB943" i="6"/>
  <c r="AC943" i="6" s="1"/>
  <c r="AB944" i="6"/>
  <c r="AC944" i="6" s="1"/>
  <c r="AB945" i="6"/>
  <c r="AC945" i="6" s="1"/>
  <c r="AB946" i="6"/>
  <c r="AC946" i="6" s="1"/>
  <c r="AB947" i="6"/>
  <c r="AC947" i="6" s="1"/>
  <c r="AB948" i="6"/>
  <c r="AC948" i="6" s="1"/>
  <c r="AB949" i="6"/>
  <c r="AC949" i="6" s="1"/>
  <c r="AB950" i="6"/>
  <c r="AC950" i="6" s="1"/>
  <c r="AB951" i="6"/>
  <c r="AC951" i="6" s="1"/>
  <c r="AB952" i="6"/>
  <c r="AC952" i="6" s="1"/>
  <c r="AB953" i="6"/>
  <c r="AC953" i="6" s="1"/>
  <c r="AB954" i="6"/>
  <c r="AC954" i="6" s="1"/>
  <c r="AB955" i="6"/>
  <c r="AC955" i="6" s="1"/>
  <c r="AB956" i="6"/>
  <c r="AC956" i="6" s="1"/>
  <c r="AB957" i="6"/>
  <c r="AC957" i="6" s="1"/>
  <c r="AB958" i="6"/>
  <c r="AC958" i="6" s="1"/>
  <c r="AB959" i="6"/>
  <c r="AC959" i="6" s="1"/>
  <c r="AB960" i="6"/>
  <c r="AC960" i="6" s="1"/>
  <c r="AB961" i="6"/>
  <c r="AC961" i="6" s="1"/>
  <c r="AB962" i="6"/>
  <c r="AC962" i="6" s="1"/>
  <c r="AB963" i="6"/>
  <c r="AC963" i="6" s="1"/>
  <c r="AB964" i="6"/>
  <c r="AC964" i="6" s="1"/>
  <c r="AB965" i="6"/>
  <c r="AC965" i="6" s="1"/>
  <c r="AB966" i="6"/>
  <c r="AC966" i="6" s="1"/>
  <c r="AB967" i="6"/>
  <c r="AC967" i="6" s="1"/>
  <c r="AB968" i="6"/>
  <c r="AC968" i="6" s="1"/>
  <c r="AB969" i="6"/>
  <c r="AC969" i="6" s="1"/>
  <c r="AB970" i="6"/>
  <c r="AC970" i="6" s="1"/>
  <c r="AB971" i="6"/>
  <c r="AC971" i="6" s="1"/>
  <c r="AB972" i="6"/>
  <c r="AC972" i="6" s="1"/>
  <c r="AB973" i="6"/>
  <c r="AC973" i="6" s="1"/>
  <c r="AB974" i="6"/>
  <c r="AC974" i="6" s="1"/>
  <c r="AB975" i="6"/>
  <c r="AC975" i="6" s="1"/>
  <c r="AB976" i="6"/>
  <c r="AC976" i="6" s="1"/>
  <c r="AB977" i="6"/>
  <c r="AC977" i="6" s="1"/>
  <c r="AB978" i="6"/>
  <c r="AC978" i="6" s="1"/>
  <c r="AB979" i="6"/>
  <c r="AC979" i="6" s="1"/>
  <c r="AB980" i="6"/>
  <c r="AC980" i="6" s="1"/>
  <c r="AB981" i="6"/>
  <c r="AC981" i="6" s="1"/>
  <c r="AB982" i="6"/>
  <c r="AC982" i="6" s="1"/>
  <c r="AB983" i="6"/>
  <c r="AC983" i="6" s="1"/>
  <c r="AB984" i="6"/>
  <c r="AC984" i="6" s="1"/>
  <c r="AB985" i="6"/>
  <c r="AC985" i="6" s="1"/>
  <c r="AB986" i="6"/>
  <c r="AC986" i="6" s="1"/>
  <c r="AB987" i="6"/>
  <c r="AC987" i="6" s="1"/>
  <c r="AB988" i="6"/>
  <c r="AC988" i="6" s="1"/>
  <c r="AB989" i="6"/>
  <c r="AC989" i="6" s="1"/>
  <c r="AB990" i="6"/>
  <c r="AC990" i="6" s="1"/>
  <c r="AB991" i="6"/>
  <c r="AC991" i="6" s="1"/>
  <c r="AB992" i="6"/>
  <c r="AC992" i="6" s="1"/>
  <c r="AB993" i="6"/>
  <c r="AC993" i="6" s="1"/>
  <c r="AB994" i="6"/>
  <c r="AC994" i="6" s="1"/>
  <c r="AB995" i="6"/>
  <c r="AC995" i="6" s="1"/>
  <c r="AB996" i="6"/>
  <c r="AC996" i="6" s="1"/>
  <c r="AB997" i="6"/>
  <c r="AC997" i="6" s="1"/>
  <c r="AB998" i="6"/>
  <c r="AC998" i="6" s="1"/>
  <c r="AB999" i="6"/>
  <c r="AC999" i="6" s="1"/>
  <c r="AB1000" i="6"/>
  <c r="AC1000" i="6" s="1"/>
  <c r="AB1001" i="6"/>
  <c r="AC1001" i="6" s="1"/>
  <c r="AB1002" i="6"/>
  <c r="AC1002" i="6" s="1"/>
  <c r="AB1003" i="6"/>
  <c r="AC1003" i="6" s="1"/>
  <c r="AB1004" i="6"/>
  <c r="AC1004" i="6" s="1"/>
  <c r="AB1005" i="6"/>
  <c r="AC1005" i="6" s="1"/>
  <c r="AB1006" i="6"/>
  <c r="AC1006" i="6" s="1"/>
  <c r="AB1007" i="6"/>
  <c r="AC1007" i="6" s="1"/>
  <c r="AB1008" i="6"/>
  <c r="AC1008" i="6" s="1"/>
  <c r="AB1009" i="6"/>
  <c r="AC1009" i="6" s="1"/>
  <c r="AB1010" i="6"/>
  <c r="AC1010" i="6" s="1"/>
  <c r="AB1011" i="6"/>
  <c r="AC1011" i="6" s="1"/>
  <c r="AB1012" i="6"/>
  <c r="AC1012" i="6" s="1"/>
  <c r="AB1013" i="6"/>
  <c r="AC1013" i="6" s="1"/>
  <c r="AB1014" i="6"/>
  <c r="AC1014" i="6" s="1"/>
  <c r="AB1015" i="6"/>
  <c r="AC1015" i="6" s="1"/>
  <c r="AB1016" i="6"/>
  <c r="AC1016" i="6" s="1"/>
  <c r="AB1017" i="6"/>
  <c r="AC1017" i="6" s="1"/>
  <c r="AB1018" i="6"/>
  <c r="AC1018" i="6" s="1"/>
  <c r="AB1019" i="6"/>
  <c r="AC1019" i="6" s="1"/>
  <c r="AB1020" i="6"/>
  <c r="AC1020" i="6" s="1"/>
  <c r="AB1021" i="6"/>
  <c r="AC1021" i="6" s="1"/>
  <c r="AB1022" i="6"/>
  <c r="AC1022" i="6" s="1"/>
  <c r="AB1023" i="6"/>
  <c r="AC1023" i="6" s="1"/>
  <c r="AB1024" i="6"/>
  <c r="AC1024" i="6" s="1"/>
  <c r="AB1025" i="6"/>
  <c r="AC1025" i="6" s="1"/>
  <c r="AB1026" i="6"/>
  <c r="AC1026" i="6" s="1"/>
  <c r="AB1027" i="6"/>
  <c r="AC1027" i="6" s="1"/>
  <c r="AB1028" i="6"/>
  <c r="AC1028" i="6" s="1"/>
  <c r="AB1029" i="6"/>
  <c r="AC1029" i="6" s="1"/>
  <c r="AB1030" i="6"/>
  <c r="AC1030" i="6" s="1"/>
  <c r="AB1031" i="6"/>
  <c r="AC1031" i="6" s="1"/>
  <c r="AB1032" i="6"/>
  <c r="AC1032" i="6" s="1"/>
  <c r="AB1033" i="6"/>
  <c r="AC1033" i="6" s="1"/>
  <c r="AB1034" i="6"/>
  <c r="AC1034" i="6" s="1"/>
  <c r="AB1035" i="6"/>
  <c r="AC1035" i="6" s="1"/>
  <c r="AB1036" i="6"/>
  <c r="AC1036" i="6" s="1"/>
  <c r="AB1037" i="6"/>
  <c r="AC1037" i="6" s="1"/>
  <c r="AB1038" i="6"/>
  <c r="AC1038" i="6" s="1"/>
  <c r="AB1039" i="6"/>
  <c r="AC1039" i="6" s="1"/>
  <c r="AB1040" i="6"/>
  <c r="AC1040" i="6" s="1"/>
  <c r="AB1041" i="6"/>
  <c r="AC1041" i="6" s="1"/>
  <c r="AB1042" i="6"/>
  <c r="AC1042" i="6" s="1"/>
  <c r="AB1043" i="6"/>
  <c r="AC1043" i="6" s="1"/>
  <c r="AB1044" i="6"/>
  <c r="AC1044" i="6" s="1"/>
  <c r="AB1045" i="6"/>
  <c r="AC1045" i="6" s="1"/>
  <c r="AB1046" i="6"/>
  <c r="AC1046" i="6" s="1"/>
  <c r="AB1047" i="6"/>
  <c r="AC1047" i="6" s="1"/>
  <c r="AB1048" i="6"/>
  <c r="AC1048" i="6" s="1"/>
  <c r="AB1049" i="6"/>
  <c r="AC1049" i="6" s="1"/>
  <c r="AB1050" i="6"/>
  <c r="AC1050" i="6" s="1"/>
  <c r="AB1051" i="6"/>
  <c r="AC1051" i="6" s="1"/>
  <c r="AB1052" i="6"/>
  <c r="AC1052" i="6" s="1"/>
  <c r="AB1053" i="6"/>
  <c r="AC1053" i="6" s="1"/>
  <c r="AB1054" i="6"/>
  <c r="AC1054" i="6" s="1"/>
  <c r="AB1055" i="6"/>
  <c r="AC1055" i="6" s="1"/>
  <c r="AB1056" i="6"/>
  <c r="AC1056" i="6" s="1"/>
  <c r="AB1057" i="6"/>
  <c r="AC1057" i="6" s="1"/>
  <c r="AB1058" i="6"/>
  <c r="AC1058" i="6" s="1"/>
  <c r="AB1059" i="6"/>
  <c r="AC1059" i="6" s="1"/>
  <c r="AB1060" i="6"/>
  <c r="AC1060" i="6" s="1"/>
  <c r="AB1061" i="6"/>
  <c r="AC1061" i="6" s="1"/>
  <c r="AB1062" i="6"/>
  <c r="AC1062" i="6" s="1"/>
  <c r="AB1063" i="6"/>
  <c r="AC1063" i="6" s="1"/>
  <c r="AB1064" i="6"/>
  <c r="AC1064" i="6" s="1"/>
  <c r="AB1065" i="6"/>
  <c r="AC1065" i="6" s="1"/>
  <c r="AB1066" i="6"/>
  <c r="AC1066" i="6" s="1"/>
  <c r="AB1067" i="6"/>
  <c r="AC1067" i="6" s="1"/>
  <c r="AB1068" i="6"/>
  <c r="AC1068" i="6" s="1"/>
  <c r="AB1069" i="6"/>
  <c r="AC1069" i="6" s="1"/>
  <c r="AB1070" i="6"/>
  <c r="AC1070" i="6" s="1"/>
  <c r="AB1071" i="6"/>
  <c r="AC1071" i="6" s="1"/>
  <c r="AB1072" i="6"/>
  <c r="AC1072" i="6" s="1"/>
  <c r="AB1073" i="6"/>
  <c r="AC1073" i="6" s="1"/>
  <c r="AB1074" i="6"/>
  <c r="AC1074" i="6" s="1"/>
  <c r="AB1075" i="6"/>
  <c r="AC1075" i="6" s="1"/>
  <c r="AB1076" i="6"/>
  <c r="AC1076" i="6" s="1"/>
  <c r="AB1077" i="6"/>
  <c r="AC1077" i="6" s="1"/>
  <c r="AB1078" i="6"/>
  <c r="AC1078" i="6" s="1"/>
  <c r="AB1079" i="6"/>
  <c r="AC1079" i="6" s="1"/>
  <c r="AB1080" i="6"/>
  <c r="AC1080" i="6" s="1"/>
  <c r="AB1081" i="6"/>
  <c r="AC1081" i="6" s="1"/>
  <c r="AB1082" i="6"/>
  <c r="AC1082" i="6" s="1"/>
  <c r="AB1083" i="6"/>
  <c r="AC1083" i="6" s="1"/>
  <c r="AB1084" i="6"/>
  <c r="AC1084" i="6" s="1"/>
  <c r="AB1085" i="6"/>
  <c r="AC1085" i="6" s="1"/>
  <c r="AB1086" i="6"/>
  <c r="AC1086" i="6" s="1"/>
  <c r="AB1087" i="6"/>
  <c r="AC1087" i="6" s="1"/>
  <c r="AB1088" i="6"/>
  <c r="AC1088" i="6" s="1"/>
  <c r="AB1089" i="6"/>
  <c r="AC1089" i="6" s="1"/>
  <c r="AB1090" i="6"/>
  <c r="AC1090" i="6" s="1"/>
  <c r="AB1091" i="6"/>
  <c r="AC1091" i="6" s="1"/>
  <c r="AB1092" i="6"/>
  <c r="AC1092" i="6" s="1"/>
  <c r="AB1093" i="6"/>
  <c r="AC1093" i="6" s="1"/>
  <c r="AB1094" i="6"/>
  <c r="AC1094" i="6" s="1"/>
  <c r="AB1095" i="6"/>
  <c r="AC1095" i="6" s="1"/>
  <c r="AB1096" i="6"/>
  <c r="AC1096" i="6" s="1"/>
  <c r="AB1097" i="6"/>
  <c r="AC1097" i="6" s="1"/>
  <c r="AB1098" i="6"/>
  <c r="AC1098" i="6" s="1"/>
  <c r="AB1099" i="6"/>
  <c r="AC1099" i="6" s="1"/>
  <c r="AB1100" i="6"/>
  <c r="AC1100" i="6" s="1"/>
  <c r="AB1101" i="6"/>
  <c r="AC1101" i="6" s="1"/>
  <c r="AB1102" i="6"/>
  <c r="AC1102" i="6" s="1"/>
  <c r="AB1103" i="6"/>
  <c r="AC1103" i="6" s="1"/>
  <c r="AB1104" i="6"/>
  <c r="AC1104" i="6" s="1"/>
  <c r="AB1105" i="6"/>
  <c r="AC1105" i="6" s="1"/>
  <c r="AB1106" i="6"/>
  <c r="AC1106" i="6" s="1"/>
  <c r="AB1107" i="6"/>
  <c r="AC1107" i="6" s="1"/>
  <c r="AB1108" i="6"/>
  <c r="AC1108" i="6" s="1"/>
  <c r="AB1109" i="6"/>
  <c r="AC1109" i="6" s="1"/>
  <c r="AB1110" i="6"/>
  <c r="AC1110" i="6" s="1"/>
  <c r="AB1111" i="6"/>
  <c r="AC1111" i="6" s="1"/>
  <c r="AB1112" i="6"/>
  <c r="AC1112" i="6" s="1"/>
  <c r="AB1113" i="6"/>
  <c r="AC1113" i="6" s="1"/>
  <c r="AB1114" i="6"/>
  <c r="AC1114" i="6" s="1"/>
  <c r="AB1115" i="6"/>
  <c r="AC1115" i="6" s="1"/>
  <c r="AB1116" i="6"/>
  <c r="AC1116" i="6" s="1"/>
  <c r="AB1117" i="6"/>
  <c r="AC1117" i="6" s="1"/>
  <c r="AB1118" i="6"/>
  <c r="AC1118" i="6" s="1"/>
  <c r="AB1119" i="6"/>
  <c r="AC1119" i="6" s="1"/>
  <c r="AB1120" i="6"/>
  <c r="AC1120" i="6" s="1"/>
  <c r="AB1121" i="6"/>
  <c r="AC1121" i="6" s="1"/>
  <c r="AB1122" i="6"/>
  <c r="AC1122" i="6" s="1"/>
  <c r="AB1123" i="6"/>
  <c r="AC1123" i="6" s="1"/>
  <c r="AB1124" i="6"/>
  <c r="AC1124" i="6" s="1"/>
  <c r="AB1125" i="6"/>
  <c r="AC1125" i="6" s="1"/>
  <c r="AB1126" i="6"/>
  <c r="AC1126" i="6" s="1"/>
  <c r="AB1127" i="6"/>
  <c r="AC1127" i="6" s="1"/>
  <c r="AB1128" i="6"/>
  <c r="AC1128" i="6" s="1"/>
  <c r="AB1129" i="6"/>
  <c r="AC1129" i="6" s="1"/>
  <c r="AB1130" i="6"/>
  <c r="AC1130" i="6" s="1"/>
  <c r="AB1131" i="6"/>
  <c r="AC1131" i="6" s="1"/>
  <c r="AB1132" i="6"/>
  <c r="AC1132" i="6" s="1"/>
  <c r="AB1133" i="6"/>
  <c r="AC1133" i="6" s="1"/>
  <c r="AB1134" i="6"/>
  <c r="AC1134" i="6" s="1"/>
  <c r="AB1135" i="6"/>
  <c r="AC1135" i="6" s="1"/>
  <c r="AB1136" i="6"/>
  <c r="AC1136" i="6" s="1"/>
  <c r="AB1137" i="6"/>
  <c r="AC1137" i="6" s="1"/>
  <c r="AB1138" i="6"/>
  <c r="AC1138" i="6" s="1"/>
  <c r="AB1139" i="6"/>
  <c r="AC1139" i="6" s="1"/>
  <c r="AB1140" i="6"/>
  <c r="AC1140" i="6" s="1"/>
  <c r="AB1141" i="6"/>
  <c r="AC1141" i="6" s="1"/>
  <c r="AB1142" i="6"/>
  <c r="AC1142" i="6" s="1"/>
  <c r="AB1143" i="6"/>
  <c r="AC1143" i="6" s="1"/>
  <c r="AB1144" i="6"/>
  <c r="AC1144" i="6" s="1"/>
  <c r="AB1145" i="6"/>
  <c r="AC1145" i="6" s="1"/>
  <c r="AB1146" i="6"/>
  <c r="AC1146" i="6" s="1"/>
  <c r="AB1147" i="6"/>
  <c r="AC1147" i="6" s="1"/>
  <c r="AB1148" i="6"/>
  <c r="AC1148" i="6" s="1"/>
  <c r="AB1149" i="6"/>
  <c r="AC1149" i="6" s="1"/>
  <c r="AB1150" i="6"/>
  <c r="AC1150" i="6" s="1"/>
  <c r="AB1151" i="6"/>
  <c r="AC1151" i="6" s="1"/>
  <c r="AB1152" i="6"/>
  <c r="AC1152" i="6" s="1"/>
  <c r="AB1153" i="6"/>
  <c r="AC1153" i="6" s="1"/>
  <c r="AB1154" i="6"/>
  <c r="AC1154" i="6" s="1"/>
  <c r="AB1155" i="6"/>
  <c r="AC1155" i="6" s="1"/>
  <c r="AB1156" i="6"/>
  <c r="AC1156" i="6" s="1"/>
  <c r="AB1157" i="6"/>
  <c r="AC1157" i="6" s="1"/>
  <c r="AB1158" i="6"/>
  <c r="AC1158" i="6" s="1"/>
  <c r="AB1159" i="6"/>
  <c r="AC1159" i="6" s="1"/>
  <c r="AB1160" i="6"/>
  <c r="AC1160" i="6" s="1"/>
  <c r="AB1161" i="6"/>
  <c r="AC1161" i="6" s="1"/>
  <c r="AB1162" i="6"/>
  <c r="AC1162" i="6" s="1"/>
  <c r="AB1163" i="6"/>
  <c r="AC1163" i="6" s="1"/>
  <c r="AB1164" i="6"/>
  <c r="AC1164" i="6" s="1"/>
  <c r="AB1165" i="6"/>
  <c r="AC1165" i="6" s="1"/>
  <c r="AB1166" i="6"/>
  <c r="AC1166" i="6" s="1"/>
  <c r="AB1167" i="6"/>
  <c r="AC1167" i="6" s="1"/>
  <c r="AB1168" i="6"/>
  <c r="AC1168" i="6" s="1"/>
  <c r="AB1169" i="6"/>
  <c r="AC1169" i="6" s="1"/>
  <c r="AB1170" i="6"/>
  <c r="AC1170" i="6" s="1"/>
  <c r="AB1171" i="6"/>
  <c r="AC1171" i="6" s="1"/>
  <c r="AB1172" i="6"/>
  <c r="AC1172" i="6" s="1"/>
  <c r="AB1173" i="6"/>
  <c r="AC1173" i="6" s="1"/>
  <c r="AB1174" i="6"/>
  <c r="AC1174" i="6" s="1"/>
  <c r="AB1175" i="6"/>
  <c r="AC1175" i="6" s="1"/>
  <c r="AB1176" i="6"/>
  <c r="AC1176" i="6" s="1"/>
  <c r="AB1177" i="6"/>
  <c r="AC1177" i="6" s="1"/>
  <c r="AB1178" i="6"/>
  <c r="AC1178" i="6" s="1"/>
  <c r="AB1179" i="6"/>
  <c r="AC1179" i="6" s="1"/>
  <c r="AB1180" i="6"/>
  <c r="AC1180" i="6" s="1"/>
  <c r="AB1181" i="6"/>
  <c r="AC1181" i="6" s="1"/>
  <c r="AB1182" i="6"/>
  <c r="AC1182" i="6" s="1"/>
  <c r="AB1183" i="6"/>
  <c r="AC1183" i="6" s="1"/>
  <c r="AB1184" i="6"/>
  <c r="AC1184" i="6" s="1"/>
  <c r="AB1185" i="6"/>
  <c r="AC1185" i="6" s="1"/>
  <c r="AB1186" i="6"/>
  <c r="AC1186" i="6" s="1"/>
  <c r="AB1187" i="6"/>
  <c r="AC1187" i="6" s="1"/>
  <c r="AB1188" i="6"/>
  <c r="AC1188" i="6" s="1"/>
  <c r="AB1189" i="6"/>
  <c r="AC1189" i="6" s="1"/>
  <c r="AB1190" i="6"/>
  <c r="AC1190" i="6" s="1"/>
  <c r="AB1191" i="6"/>
  <c r="AC1191" i="6" s="1"/>
  <c r="AB1192" i="6"/>
  <c r="AC1192" i="6" s="1"/>
  <c r="AB1193" i="6"/>
  <c r="AC1193" i="6" s="1"/>
  <c r="AB1194" i="6"/>
  <c r="AC1194" i="6" s="1"/>
  <c r="AB1195" i="6"/>
  <c r="AC1195" i="6" s="1"/>
  <c r="AB1196" i="6"/>
  <c r="AC1196" i="6" s="1"/>
  <c r="AB1197" i="6"/>
  <c r="AC1197" i="6" s="1"/>
  <c r="AB1198" i="6"/>
  <c r="AC1198" i="6" s="1"/>
  <c r="AB1199" i="6"/>
  <c r="AC1199" i="6" s="1"/>
  <c r="AB1200" i="6"/>
  <c r="AC1200" i="6" s="1"/>
  <c r="AB1201" i="6"/>
  <c r="AC1201" i="6" s="1"/>
  <c r="AB1202" i="6"/>
  <c r="AC1202" i="6" s="1"/>
  <c r="AB1203" i="6"/>
  <c r="AC1203" i="6" s="1"/>
  <c r="AB1204" i="6"/>
  <c r="AC1204" i="6" s="1"/>
  <c r="AB1205" i="6"/>
  <c r="AC1205" i="6" s="1"/>
  <c r="AB1206" i="6"/>
  <c r="AC1206" i="6" s="1"/>
  <c r="AB1207" i="6"/>
  <c r="AC1207" i="6" s="1"/>
  <c r="AB1208" i="6"/>
  <c r="AC1208" i="6" s="1"/>
  <c r="AB1209" i="6"/>
  <c r="AC1209" i="6" s="1"/>
  <c r="AB1210" i="6"/>
  <c r="AC1210" i="6" s="1"/>
  <c r="AB1211" i="6"/>
  <c r="AC1211" i="6" s="1"/>
  <c r="AB1212" i="6"/>
  <c r="AC1212" i="6" s="1"/>
  <c r="AB1213" i="6"/>
  <c r="AC1213" i="6" s="1"/>
  <c r="AB1214" i="6"/>
  <c r="AC1214" i="6" s="1"/>
  <c r="AB1215" i="6"/>
  <c r="AC1215" i="6" s="1"/>
  <c r="AB1216" i="6"/>
  <c r="AC1216" i="6" s="1"/>
  <c r="AB1217" i="6"/>
  <c r="AC1217" i="6" s="1"/>
  <c r="AB1218" i="6"/>
  <c r="AC1218" i="6" s="1"/>
  <c r="AB1219" i="6"/>
  <c r="AC1219" i="6" s="1"/>
  <c r="AB1220" i="6"/>
  <c r="AC1220" i="6" s="1"/>
  <c r="AB1221" i="6"/>
  <c r="AC1221" i="6" s="1"/>
  <c r="AB1222" i="6"/>
  <c r="AC1222" i="6" s="1"/>
  <c r="AB1223" i="6"/>
  <c r="AC1223" i="6" s="1"/>
  <c r="AB1224" i="6"/>
  <c r="AC1224" i="6" s="1"/>
  <c r="AB1225" i="6"/>
  <c r="AC1225" i="6" s="1"/>
  <c r="AB1226" i="6"/>
  <c r="AC1226" i="6" s="1"/>
  <c r="AB1227" i="6"/>
  <c r="AC1227" i="6" s="1"/>
  <c r="AB1228" i="6"/>
  <c r="AC1228" i="6" s="1"/>
  <c r="AB1229" i="6"/>
  <c r="AC1229" i="6" s="1"/>
  <c r="AB1230" i="6"/>
  <c r="AC1230" i="6" s="1"/>
  <c r="AB1231" i="6"/>
  <c r="AC1231" i="6" s="1"/>
  <c r="AB1232" i="6"/>
  <c r="AC1232" i="6" s="1"/>
  <c r="AB1233" i="6"/>
  <c r="AC1233" i="6" s="1"/>
  <c r="AB1234" i="6"/>
  <c r="AC1234" i="6" s="1"/>
  <c r="AB1235" i="6"/>
  <c r="AC1235" i="6" s="1"/>
  <c r="AB1236" i="6"/>
  <c r="AC1236" i="6" s="1"/>
  <c r="AB1237" i="6"/>
  <c r="AC1237" i="6" s="1"/>
  <c r="AB1238" i="6"/>
  <c r="AC1238" i="6" s="1"/>
  <c r="AB1239" i="6"/>
  <c r="AC1239" i="6" s="1"/>
  <c r="AB1240" i="6"/>
  <c r="AC1240" i="6" s="1"/>
  <c r="AB1241" i="6"/>
  <c r="AC1241" i="6" s="1"/>
  <c r="AB1242" i="6"/>
  <c r="AC1242" i="6" s="1"/>
  <c r="AB1243" i="6"/>
  <c r="AC1243" i="6" s="1"/>
  <c r="AB1244" i="6"/>
  <c r="AC1244" i="6" s="1"/>
  <c r="AB1245" i="6"/>
  <c r="AC1245" i="6" s="1"/>
  <c r="AB1246" i="6"/>
  <c r="AC1246" i="6" s="1"/>
  <c r="AB1247" i="6"/>
  <c r="AC1247" i="6" s="1"/>
  <c r="AB1248" i="6"/>
  <c r="AC1248" i="6" s="1"/>
  <c r="AB1249" i="6"/>
  <c r="AC1249" i="6" s="1"/>
  <c r="AB1250" i="6"/>
  <c r="AC1250" i="6" s="1"/>
  <c r="AB1251" i="6"/>
  <c r="AC1251" i="6" s="1"/>
  <c r="AB1252" i="6"/>
  <c r="AC1252" i="6" s="1"/>
  <c r="AB1253" i="6"/>
  <c r="AC1253" i="6" s="1"/>
  <c r="AB1254" i="6"/>
  <c r="AC1254" i="6" s="1"/>
  <c r="AB1255" i="6"/>
  <c r="AC1255" i="6" s="1"/>
  <c r="AB1256" i="6"/>
  <c r="AC1256" i="6" s="1"/>
  <c r="AB1257" i="6"/>
  <c r="AC1257" i="6" s="1"/>
  <c r="AB1258" i="6"/>
  <c r="AC1258" i="6" s="1"/>
  <c r="AB1259" i="6"/>
  <c r="AC1259" i="6" s="1"/>
  <c r="AB1260" i="6"/>
  <c r="AC1260" i="6" s="1"/>
  <c r="AB1261" i="6"/>
  <c r="AC1261" i="6" s="1"/>
  <c r="AB1262" i="6"/>
  <c r="AC1262" i="6" s="1"/>
  <c r="AB1263" i="6"/>
  <c r="AC1263" i="6" s="1"/>
  <c r="AB1264" i="6"/>
  <c r="AC1264" i="6" s="1"/>
  <c r="AB1265" i="6"/>
  <c r="AC1265" i="6" s="1"/>
  <c r="AB1266" i="6"/>
  <c r="AC1266" i="6" s="1"/>
  <c r="AB1267" i="6"/>
  <c r="AC1267" i="6" s="1"/>
  <c r="AB1268" i="6"/>
  <c r="AC1268" i="6" s="1"/>
  <c r="AB1269" i="6"/>
  <c r="AC1269" i="6" s="1"/>
  <c r="AB1270" i="6"/>
  <c r="AC1270" i="6" s="1"/>
  <c r="AB1271" i="6"/>
  <c r="AC1271" i="6" s="1"/>
  <c r="AB1272" i="6"/>
  <c r="AC1272" i="6" s="1"/>
  <c r="AB1273" i="6"/>
  <c r="AC1273" i="6" s="1"/>
  <c r="AB1274" i="6"/>
  <c r="AC1274" i="6" s="1"/>
  <c r="AB1275" i="6"/>
  <c r="AC1275" i="6" s="1"/>
  <c r="AB1276" i="6"/>
  <c r="AC1276" i="6" s="1"/>
  <c r="AB1277" i="6"/>
  <c r="AC1277" i="6" s="1"/>
  <c r="AB1278" i="6"/>
  <c r="AC1278" i="6" s="1"/>
  <c r="AB1279" i="6"/>
  <c r="AC1279" i="6" s="1"/>
  <c r="AB1280" i="6"/>
  <c r="AC1280" i="6" s="1"/>
  <c r="AB1281" i="6"/>
  <c r="AC1281" i="6" s="1"/>
  <c r="AB1282" i="6"/>
  <c r="AC1282" i="6" s="1"/>
  <c r="AB1283" i="6"/>
  <c r="AC1283" i="6" s="1"/>
  <c r="AB1284" i="6"/>
  <c r="AC1284" i="6" s="1"/>
  <c r="AB1285" i="6"/>
  <c r="AC1285" i="6" s="1"/>
  <c r="AB1286" i="6"/>
  <c r="AC1286" i="6" s="1"/>
  <c r="AB1287" i="6"/>
  <c r="AC1287" i="6" s="1"/>
  <c r="AB1288" i="6"/>
  <c r="AC1288" i="6" s="1"/>
  <c r="AB1289" i="6"/>
  <c r="AC1289" i="6" s="1"/>
  <c r="AB1290" i="6"/>
  <c r="AC1290" i="6" s="1"/>
  <c r="AB1291" i="6"/>
  <c r="AC1291" i="6" s="1"/>
  <c r="AB1292" i="6"/>
  <c r="AC1292" i="6" s="1"/>
  <c r="AB1293" i="6"/>
  <c r="AC1293" i="6" s="1"/>
  <c r="AB1294" i="6"/>
  <c r="AC1294" i="6" s="1"/>
  <c r="AB1295" i="6"/>
  <c r="AC1295" i="6" s="1"/>
  <c r="AB1296" i="6"/>
  <c r="AC1296" i="6" s="1"/>
  <c r="AB1297" i="6"/>
  <c r="AC1297" i="6" s="1"/>
  <c r="AB1298" i="6"/>
  <c r="AC1298" i="6" s="1"/>
  <c r="AB1299" i="6"/>
  <c r="AC1299" i="6" s="1"/>
  <c r="AB1300" i="6"/>
  <c r="AC1300" i="6" s="1"/>
  <c r="AB1301" i="6"/>
  <c r="AC1301" i="6" s="1"/>
  <c r="AB1302" i="6"/>
  <c r="AC1302" i="6" s="1"/>
  <c r="AB1303" i="6"/>
  <c r="AC1303" i="6" s="1"/>
  <c r="AB1304" i="6"/>
  <c r="AC1304" i="6" s="1"/>
  <c r="AB1305" i="6"/>
  <c r="AC1305" i="6" s="1"/>
  <c r="AB1306" i="6"/>
  <c r="AC1306" i="6" s="1"/>
  <c r="AB1307" i="6"/>
  <c r="AC1307" i="6" s="1"/>
  <c r="AB1308" i="6"/>
  <c r="AC1308" i="6" s="1"/>
  <c r="AB1309" i="6"/>
  <c r="AC1309" i="6" s="1"/>
  <c r="AB1310" i="6"/>
  <c r="AC1310" i="6" s="1"/>
  <c r="AB1311" i="6"/>
  <c r="AC1311" i="6" s="1"/>
  <c r="AB1312" i="6"/>
  <c r="AC1312" i="6" s="1"/>
  <c r="AB1313" i="6"/>
  <c r="AC1313" i="6" s="1"/>
  <c r="AB1314" i="6"/>
  <c r="AC1314" i="6" s="1"/>
  <c r="AB1315" i="6"/>
  <c r="AC1315" i="6" s="1"/>
  <c r="AB1316" i="6"/>
  <c r="AC1316" i="6" s="1"/>
  <c r="AB1317" i="6"/>
  <c r="AC1317" i="6" s="1"/>
  <c r="AB1318" i="6"/>
  <c r="AC1318" i="6" s="1"/>
  <c r="AB1319" i="6"/>
  <c r="AC1319" i="6" s="1"/>
  <c r="AB1320" i="6"/>
  <c r="AC1320" i="6" s="1"/>
  <c r="AB1321" i="6"/>
  <c r="AC1321" i="6" s="1"/>
  <c r="AB1322" i="6"/>
  <c r="AC1322" i="6" s="1"/>
  <c r="AB1323" i="6"/>
  <c r="AC1323" i="6" s="1"/>
  <c r="AB1324" i="6"/>
  <c r="AC1324" i="6" s="1"/>
  <c r="AB1325" i="6"/>
  <c r="AC1325" i="6" s="1"/>
  <c r="AB1326" i="6"/>
  <c r="AC1326" i="6" s="1"/>
  <c r="AB1327" i="6"/>
  <c r="AC1327" i="6" s="1"/>
  <c r="AB1328" i="6"/>
  <c r="AC1328" i="6" s="1"/>
  <c r="AB1329" i="6"/>
  <c r="AC1329" i="6" s="1"/>
  <c r="AB1330" i="6"/>
  <c r="AC1330" i="6" s="1"/>
  <c r="AB1331" i="6"/>
  <c r="AC1331" i="6" s="1"/>
  <c r="AB1332" i="6"/>
  <c r="AC1332" i="6" s="1"/>
  <c r="AB1333" i="6"/>
  <c r="AC1333" i="6" s="1"/>
  <c r="AB1334" i="6"/>
  <c r="AC1334" i="6" s="1"/>
  <c r="AB1335" i="6"/>
  <c r="AC1335" i="6" s="1"/>
  <c r="AB1336" i="6"/>
  <c r="AC1336" i="6" s="1"/>
  <c r="AB1337" i="6"/>
  <c r="AC1337" i="6" s="1"/>
  <c r="AB1338" i="6"/>
  <c r="AC1338" i="6" s="1"/>
  <c r="AB1339" i="6"/>
  <c r="AC1339" i="6" s="1"/>
  <c r="AB1340" i="6"/>
  <c r="AC1340" i="6" s="1"/>
  <c r="AB1341" i="6"/>
  <c r="AC1341" i="6" s="1"/>
  <c r="AB1342" i="6"/>
  <c r="AC1342" i="6" s="1"/>
  <c r="AB1343" i="6"/>
  <c r="AC1343" i="6" s="1"/>
  <c r="AB1344" i="6"/>
  <c r="AC1344" i="6" s="1"/>
  <c r="AB1345" i="6"/>
  <c r="AC1345" i="6" s="1"/>
  <c r="AB1346" i="6"/>
  <c r="AC1346" i="6" s="1"/>
  <c r="AB1347" i="6"/>
  <c r="AC1347" i="6" s="1"/>
  <c r="AB1348" i="6"/>
  <c r="AC1348" i="6" s="1"/>
  <c r="AB1349" i="6"/>
  <c r="AC1349" i="6" s="1"/>
  <c r="AB1350" i="6"/>
  <c r="AC1350" i="6" s="1"/>
  <c r="AB1351" i="6"/>
  <c r="AC1351" i="6" s="1"/>
  <c r="AB1352" i="6"/>
  <c r="AC1352" i="6" s="1"/>
  <c r="AB1353" i="6"/>
  <c r="AC1353" i="6" s="1"/>
  <c r="AB1354" i="6"/>
  <c r="AC1354" i="6" s="1"/>
  <c r="AB1355" i="6"/>
  <c r="AC1355" i="6" s="1"/>
  <c r="AB1356" i="6"/>
  <c r="AC1356" i="6" s="1"/>
  <c r="AB1357" i="6"/>
  <c r="AC1357" i="6" s="1"/>
  <c r="AB1358" i="6"/>
  <c r="AC1358" i="6" s="1"/>
  <c r="AB1359" i="6"/>
  <c r="AC1359" i="6" s="1"/>
  <c r="AB1360" i="6"/>
  <c r="AC1360" i="6" s="1"/>
  <c r="AB1361" i="6"/>
  <c r="AC1361" i="6" s="1"/>
  <c r="AB1362" i="6"/>
  <c r="AC1362" i="6" s="1"/>
  <c r="AB1363" i="6"/>
  <c r="AC1363" i="6" s="1"/>
  <c r="AB1364" i="6"/>
  <c r="AC1364" i="6" s="1"/>
  <c r="AB1365" i="6"/>
  <c r="AC1365" i="6" s="1"/>
  <c r="AB1366" i="6"/>
  <c r="AC1366" i="6" s="1"/>
  <c r="AB1367" i="6"/>
  <c r="AC1367" i="6" s="1"/>
  <c r="AB1368" i="6"/>
  <c r="AC1368" i="6" s="1"/>
  <c r="AB1369" i="6"/>
  <c r="AC1369" i="6" s="1"/>
  <c r="AB1370" i="6"/>
  <c r="AC1370" i="6" s="1"/>
  <c r="AB1371" i="6"/>
  <c r="AC1371" i="6" s="1"/>
  <c r="AB1372" i="6"/>
  <c r="AC1372" i="6" s="1"/>
  <c r="AB1373" i="6"/>
  <c r="AC1373" i="6" s="1"/>
  <c r="AB1374" i="6"/>
  <c r="AC1374" i="6" s="1"/>
  <c r="AB1375" i="6"/>
  <c r="AC1375" i="6" s="1"/>
  <c r="AB1376" i="6"/>
  <c r="AC1376" i="6" s="1"/>
  <c r="AB1377" i="6"/>
  <c r="AC1377" i="6" s="1"/>
  <c r="AB1378" i="6"/>
  <c r="AC1378" i="6" s="1"/>
  <c r="AB1379" i="6"/>
  <c r="AC1379" i="6" s="1"/>
  <c r="AB1380" i="6"/>
  <c r="AC1380" i="6" s="1"/>
  <c r="AB1381" i="6"/>
  <c r="AC1381" i="6" s="1"/>
  <c r="AB1382" i="6"/>
  <c r="AC1382" i="6" s="1"/>
  <c r="AB1383" i="6"/>
  <c r="AC1383" i="6" s="1"/>
  <c r="AB1384" i="6"/>
  <c r="AC1384" i="6" s="1"/>
  <c r="AB1385" i="6"/>
  <c r="AC1385" i="6" s="1"/>
  <c r="AB1386" i="6"/>
  <c r="AC1386" i="6" s="1"/>
  <c r="AB1387" i="6"/>
  <c r="AC1387" i="6" s="1"/>
  <c r="AB1388" i="6"/>
  <c r="AC1388" i="6" s="1"/>
  <c r="AB1389" i="6"/>
  <c r="AC1389" i="6" s="1"/>
  <c r="AB1390" i="6"/>
  <c r="AC1390" i="6" s="1"/>
  <c r="AB1391" i="6"/>
  <c r="AC1391" i="6" s="1"/>
  <c r="AB1392" i="6"/>
  <c r="AC1392" i="6" s="1"/>
  <c r="AB1393" i="6"/>
  <c r="AC1393" i="6" s="1"/>
  <c r="AB1394" i="6"/>
  <c r="AC1394" i="6" s="1"/>
  <c r="AB1395" i="6"/>
  <c r="AC1395" i="6" s="1"/>
  <c r="AB1396" i="6"/>
  <c r="AC1396" i="6" s="1"/>
  <c r="AB1397" i="6"/>
  <c r="AC1397" i="6" s="1"/>
  <c r="AB1398" i="6"/>
  <c r="AC1398" i="6" s="1"/>
  <c r="AB1399" i="6"/>
  <c r="AC1399" i="6" s="1"/>
  <c r="AB1400" i="6"/>
  <c r="AC1400" i="6" s="1"/>
  <c r="AB1401" i="6"/>
  <c r="AC1401" i="6" s="1"/>
  <c r="AB1402" i="6"/>
  <c r="AC1402" i="6" s="1"/>
  <c r="AB1403" i="6"/>
  <c r="AC1403" i="6" s="1"/>
  <c r="AB1404" i="6"/>
  <c r="AC1404" i="6" s="1"/>
  <c r="AB1405" i="6"/>
  <c r="AC1405" i="6" s="1"/>
  <c r="AB1406" i="6"/>
  <c r="AC1406" i="6" s="1"/>
  <c r="AB1407" i="6"/>
  <c r="AC1407" i="6" s="1"/>
  <c r="AB1408" i="6"/>
  <c r="AC1408" i="6" s="1"/>
  <c r="AB1409" i="6"/>
  <c r="AC1409" i="6" s="1"/>
  <c r="AB1410" i="6"/>
  <c r="AC1410" i="6" s="1"/>
  <c r="AB1411" i="6"/>
  <c r="AC1411" i="6" s="1"/>
  <c r="AB1412" i="6"/>
  <c r="AC1412" i="6" s="1"/>
  <c r="AB1413" i="6"/>
  <c r="AC1413" i="6" s="1"/>
  <c r="AB1414" i="6"/>
  <c r="AC1414" i="6" s="1"/>
  <c r="AB1415" i="6"/>
  <c r="AC1415" i="6" s="1"/>
  <c r="AB1416" i="6"/>
  <c r="AC1416" i="6" s="1"/>
  <c r="AB1417" i="6"/>
  <c r="AC1417" i="6" s="1"/>
  <c r="AB1418" i="6"/>
  <c r="AC1418" i="6" s="1"/>
  <c r="AB1419" i="6"/>
  <c r="AC1419" i="6" s="1"/>
  <c r="AB1420" i="6"/>
  <c r="AC1420" i="6" s="1"/>
  <c r="AB1421" i="6"/>
  <c r="AC1421" i="6" s="1"/>
  <c r="AB1422" i="6"/>
  <c r="AC1422" i="6" s="1"/>
  <c r="AB1423" i="6"/>
  <c r="AC1423" i="6" s="1"/>
  <c r="AB1424" i="6"/>
  <c r="AC1424" i="6" s="1"/>
  <c r="AB1425" i="6"/>
  <c r="AC1425" i="6" s="1"/>
  <c r="AB1426" i="6"/>
  <c r="AC1426" i="6" s="1"/>
  <c r="AB1427" i="6"/>
  <c r="AC1427" i="6" s="1"/>
  <c r="AB1428" i="6"/>
  <c r="AC1428" i="6" s="1"/>
  <c r="AB1429" i="6"/>
  <c r="AC1429" i="6" s="1"/>
  <c r="AB1430" i="6"/>
  <c r="AC1430" i="6" s="1"/>
  <c r="AB1431" i="6"/>
  <c r="AC1431" i="6" s="1"/>
  <c r="AB1432" i="6"/>
  <c r="AC1432" i="6" s="1"/>
  <c r="AB1433" i="6"/>
  <c r="AC1433" i="6" s="1"/>
  <c r="AB1434" i="6"/>
  <c r="AC1434" i="6" s="1"/>
  <c r="AB1435" i="6"/>
  <c r="AC1435" i="6" s="1"/>
  <c r="AB1436" i="6"/>
  <c r="AC1436" i="6" s="1"/>
  <c r="AB1437" i="6"/>
  <c r="AC1437" i="6" s="1"/>
  <c r="AB1438" i="6"/>
  <c r="AC1438" i="6" s="1"/>
  <c r="AB1439" i="6"/>
  <c r="AC1439" i="6" s="1"/>
  <c r="AB1440" i="6"/>
  <c r="AC1440" i="6" s="1"/>
  <c r="AB1441" i="6"/>
  <c r="AC1441" i="6" s="1"/>
  <c r="AB1442" i="6"/>
  <c r="AC1442" i="6" s="1"/>
  <c r="AB1443" i="6"/>
  <c r="AC1443" i="6" s="1"/>
  <c r="AB1444" i="6"/>
  <c r="AC1444" i="6" s="1"/>
  <c r="AB1445" i="6"/>
  <c r="AC1445" i="6" s="1"/>
  <c r="AB1446" i="6"/>
  <c r="AC1446" i="6" s="1"/>
  <c r="AB1447" i="6"/>
  <c r="AC1447" i="6" s="1"/>
  <c r="AB1448" i="6"/>
  <c r="AC1448" i="6" s="1"/>
  <c r="AB1449" i="6"/>
  <c r="AC1449" i="6" s="1"/>
  <c r="AB1450" i="6"/>
  <c r="AC1450" i="6" s="1"/>
  <c r="AB1451" i="6"/>
  <c r="AC1451" i="6" s="1"/>
  <c r="AB1452" i="6"/>
  <c r="AC1452" i="6" s="1"/>
  <c r="AB1453" i="6"/>
  <c r="AC1453" i="6" s="1"/>
  <c r="AB1454" i="6"/>
  <c r="AC1454" i="6" s="1"/>
  <c r="AB1455" i="6"/>
  <c r="AC1455" i="6" s="1"/>
  <c r="AB1456" i="6"/>
  <c r="AC1456" i="6" s="1"/>
  <c r="AB1457" i="6"/>
  <c r="AC1457" i="6" s="1"/>
  <c r="AB1458" i="6"/>
  <c r="AC1458" i="6" s="1"/>
  <c r="AB1459" i="6"/>
  <c r="AC1459" i="6" s="1"/>
  <c r="AB1460" i="6"/>
  <c r="AC1460" i="6" s="1"/>
  <c r="AB1461" i="6"/>
  <c r="AC1461" i="6" s="1"/>
  <c r="AB1462" i="6"/>
  <c r="AC1462" i="6" s="1"/>
  <c r="AB1463" i="6"/>
  <c r="AC1463" i="6" s="1"/>
  <c r="AB1464" i="6"/>
  <c r="AC1464" i="6" s="1"/>
  <c r="AB1465" i="6"/>
  <c r="AC1465" i="6" s="1"/>
  <c r="AB1466" i="6"/>
  <c r="AC1466" i="6" s="1"/>
  <c r="AB1467" i="6"/>
  <c r="AC1467" i="6" s="1"/>
  <c r="AB1468" i="6"/>
  <c r="AC1468" i="6" s="1"/>
  <c r="AB1469" i="6"/>
  <c r="AC1469" i="6" s="1"/>
  <c r="AB1470" i="6"/>
  <c r="AC1470" i="6" s="1"/>
  <c r="AB1471" i="6"/>
  <c r="AC1471" i="6" s="1"/>
  <c r="AB1472" i="6"/>
  <c r="AC1472" i="6" s="1"/>
  <c r="AB1473" i="6"/>
  <c r="AC1473" i="6" s="1"/>
  <c r="AB1474" i="6"/>
  <c r="AC1474" i="6" s="1"/>
  <c r="AB1475" i="6"/>
  <c r="AC1475" i="6" s="1"/>
  <c r="AB1476" i="6"/>
  <c r="AC1476" i="6" s="1"/>
  <c r="AB1477" i="6"/>
  <c r="AC1477" i="6" s="1"/>
  <c r="AB1478" i="6"/>
  <c r="AC1478" i="6" s="1"/>
  <c r="AB1479" i="6"/>
  <c r="AC1479" i="6" s="1"/>
  <c r="AB1480" i="6"/>
  <c r="AC1480" i="6" s="1"/>
  <c r="AB1481" i="6"/>
  <c r="AC1481" i="6" s="1"/>
  <c r="AB1482" i="6"/>
  <c r="AC1482" i="6" s="1"/>
  <c r="AB1483" i="6"/>
  <c r="AC1483" i="6" s="1"/>
  <c r="AB1484" i="6"/>
  <c r="AC1484" i="6" s="1"/>
  <c r="AB1485" i="6"/>
  <c r="AC1485" i="6" s="1"/>
  <c r="AB1486" i="6"/>
  <c r="AC1486" i="6" s="1"/>
  <c r="AB1487" i="6"/>
  <c r="AC1487" i="6" s="1"/>
  <c r="AB1488" i="6"/>
  <c r="AC1488" i="6" s="1"/>
  <c r="AB1489" i="6"/>
  <c r="AC1489" i="6" s="1"/>
  <c r="AB1490" i="6"/>
  <c r="AC1490" i="6" s="1"/>
  <c r="AB1491" i="6"/>
  <c r="AC1491" i="6" s="1"/>
  <c r="AB1492" i="6"/>
  <c r="AC1492" i="6" s="1"/>
  <c r="AB1493" i="6"/>
  <c r="AC1493" i="6" s="1"/>
  <c r="AB1494" i="6"/>
  <c r="AC1494" i="6" s="1"/>
  <c r="AB1495" i="6"/>
  <c r="AC1495" i="6" s="1"/>
  <c r="AB1496" i="6"/>
  <c r="AC1496" i="6" s="1"/>
  <c r="AB1497" i="6"/>
  <c r="AC1497" i="6" s="1"/>
  <c r="AB1498" i="6"/>
  <c r="AC1498" i="6" s="1"/>
  <c r="AB1499" i="6"/>
  <c r="AC1499" i="6" s="1"/>
  <c r="AB1500" i="6"/>
  <c r="AC1500" i="6" s="1"/>
  <c r="AB1501" i="6"/>
  <c r="AC1501" i="6" s="1"/>
  <c r="AB1502" i="6"/>
  <c r="AC1502" i="6" s="1"/>
  <c r="AB1503" i="6"/>
  <c r="AC1503" i="6" s="1"/>
  <c r="AB1504" i="6"/>
  <c r="AC1504" i="6" s="1"/>
  <c r="AB1505" i="6"/>
  <c r="AC1505" i="6" s="1"/>
  <c r="AB1506" i="6"/>
  <c r="AC1506" i="6" s="1"/>
  <c r="AB1507" i="6"/>
  <c r="AC1507" i="6" s="1"/>
  <c r="AB1508" i="6"/>
  <c r="AC1508" i="6" s="1"/>
  <c r="AB1509" i="6"/>
  <c r="AC1509" i="6" s="1"/>
  <c r="AB1510" i="6"/>
  <c r="AC1510" i="6" s="1"/>
  <c r="AB1511" i="6"/>
  <c r="AC1511" i="6" s="1"/>
  <c r="AB1512" i="6"/>
  <c r="AC1512" i="6" s="1"/>
  <c r="AB1513" i="6"/>
  <c r="AC1513" i="6" s="1"/>
  <c r="AB1514" i="6"/>
  <c r="AC1514" i="6" s="1"/>
  <c r="AB1515" i="6"/>
  <c r="AC1515" i="6" s="1"/>
  <c r="AB1516" i="6"/>
  <c r="AC1516" i="6" s="1"/>
  <c r="AB1517" i="6"/>
  <c r="AC1517" i="6" s="1"/>
  <c r="AB1518" i="6"/>
  <c r="AC1518" i="6" s="1"/>
  <c r="AB1519" i="6"/>
  <c r="AC1519" i="6" s="1"/>
  <c r="AB1520" i="6"/>
  <c r="AC1520" i="6" s="1"/>
  <c r="AB1521" i="6"/>
  <c r="AC1521" i="6" s="1"/>
  <c r="AB1522" i="6"/>
  <c r="AC1522" i="6" s="1"/>
  <c r="AB1523" i="6"/>
  <c r="AC1523" i="6" s="1"/>
  <c r="AB1524" i="6"/>
  <c r="AC1524" i="6" s="1"/>
  <c r="AB1525" i="6"/>
  <c r="AC1525" i="6" s="1"/>
  <c r="AB1526" i="6"/>
  <c r="AC1526" i="6" s="1"/>
  <c r="AB1527" i="6"/>
  <c r="AC1527" i="6" s="1"/>
  <c r="AB1528" i="6"/>
  <c r="AC1528" i="6" s="1"/>
  <c r="AB1529" i="6"/>
  <c r="AC1529" i="6" s="1"/>
  <c r="AB1530" i="6"/>
  <c r="AC1530" i="6" s="1"/>
  <c r="AB1531" i="6"/>
  <c r="AC1531" i="6" s="1"/>
  <c r="AB1532" i="6"/>
  <c r="AC1532" i="6" s="1"/>
  <c r="AB1533" i="6"/>
  <c r="AC1533" i="6" s="1"/>
  <c r="AB1534" i="6"/>
  <c r="AC1534" i="6" s="1"/>
  <c r="AB1535" i="6"/>
  <c r="AC1535" i="6" s="1"/>
  <c r="AB1536" i="6"/>
  <c r="AC1536" i="6" s="1"/>
  <c r="AB1537" i="6"/>
  <c r="AC1537" i="6" s="1"/>
  <c r="AB1538" i="6"/>
  <c r="AC1538" i="6" s="1"/>
  <c r="AB1539" i="6"/>
  <c r="AC1539" i="6" s="1"/>
  <c r="AB1540" i="6"/>
  <c r="AC1540" i="6" s="1"/>
  <c r="AB1541" i="6"/>
  <c r="AC1541" i="6" s="1"/>
  <c r="AB1542" i="6"/>
  <c r="AC1542" i="6" s="1"/>
  <c r="AB1543" i="6"/>
  <c r="AC1543" i="6" s="1"/>
  <c r="AB1544" i="6"/>
  <c r="AC1544" i="6" s="1"/>
  <c r="AB1545" i="6"/>
  <c r="AC1545" i="6" s="1"/>
  <c r="AB1546" i="6"/>
  <c r="AC1546" i="6" s="1"/>
  <c r="AB1547" i="6"/>
  <c r="AC1547" i="6" s="1"/>
  <c r="AB1548" i="6"/>
  <c r="AC1548" i="6" s="1"/>
  <c r="AB1549" i="6"/>
  <c r="AC1549" i="6" s="1"/>
  <c r="AB1550" i="6"/>
  <c r="AC1550" i="6" s="1"/>
  <c r="AB1551" i="6"/>
  <c r="AC1551" i="6" s="1"/>
  <c r="AB1552" i="6"/>
  <c r="AC1552" i="6" s="1"/>
  <c r="AB1553" i="6"/>
  <c r="AC1553" i="6" s="1"/>
  <c r="AB1554" i="6"/>
  <c r="AC1554" i="6" s="1"/>
  <c r="AB1555" i="6"/>
  <c r="AC1555" i="6" s="1"/>
  <c r="AB1556" i="6"/>
  <c r="AC1556" i="6" s="1"/>
  <c r="AB1557" i="6"/>
  <c r="AC1557" i="6" s="1"/>
  <c r="AB1558" i="6"/>
  <c r="AC1558" i="6" s="1"/>
  <c r="AB1559" i="6"/>
  <c r="AC1559" i="6" s="1"/>
  <c r="AB1560" i="6"/>
  <c r="AC1560" i="6" s="1"/>
  <c r="AB1561" i="6"/>
  <c r="AC1561" i="6" s="1"/>
  <c r="AB1562" i="6"/>
  <c r="AC1562" i="6" s="1"/>
  <c r="AB1563" i="6"/>
  <c r="AC1563" i="6" s="1"/>
  <c r="AB1564" i="6"/>
  <c r="AC1564" i="6" s="1"/>
  <c r="AB1565" i="6"/>
  <c r="AC1565" i="6" s="1"/>
  <c r="AB1566" i="6"/>
  <c r="AC1566" i="6" s="1"/>
  <c r="AB1567" i="6"/>
  <c r="AC1567" i="6" s="1"/>
  <c r="AB1568" i="6"/>
  <c r="AC1568" i="6" s="1"/>
  <c r="AB1569" i="6"/>
  <c r="AC1569" i="6" s="1"/>
  <c r="AB1570" i="6"/>
  <c r="AC1570" i="6" s="1"/>
  <c r="AB1571" i="6"/>
  <c r="AC1571" i="6" s="1"/>
  <c r="AB1572" i="6"/>
  <c r="AC1572" i="6" s="1"/>
  <c r="AB1573" i="6"/>
  <c r="AC1573" i="6" s="1"/>
  <c r="AB1574" i="6"/>
  <c r="AC1574" i="6" s="1"/>
  <c r="AB1575" i="6"/>
  <c r="AC1575" i="6" s="1"/>
  <c r="AB1576" i="6"/>
  <c r="AC1576" i="6" s="1"/>
  <c r="AB1577" i="6"/>
  <c r="AC1577" i="6" s="1"/>
  <c r="AB1578" i="6"/>
  <c r="AC1578" i="6" s="1"/>
  <c r="AB1579" i="6"/>
  <c r="AC1579" i="6" s="1"/>
  <c r="AB1580" i="6"/>
  <c r="AC1580" i="6" s="1"/>
  <c r="AB1581" i="6"/>
  <c r="AC1581" i="6" s="1"/>
  <c r="AB1582" i="6"/>
  <c r="AC1582" i="6" s="1"/>
  <c r="AB1583" i="6"/>
  <c r="AC1583" i="6" s="1"/>
  <c r="AB1584" i="6"/>
  <c r="AC1584" i="6" s="1"/>
  <c r="AB1585" i="6"/>
  <c r="AC1585" i="6" s="1"/>
  <c r="AB1586" i="6"/>
  <c r="AC1586" i="6" s="1"/>
  <c r="AB1587" i="6"/>
  <c r="AC1587" i="6" s="1"/>
  <c r="AB1588" i="6"/>
  <c r="AC1588" i="6" s="1"/>
  <c r="AB1589" i="6"/>
  <c r="AC1589" i="6" s="1"/>
  <c r="AB1590" i="6"/>
  <c r="AC1590" i="6" s="1"/>
  <c r="AB1591" i="6"/>
  <c r="AC1591" i="6" s="1"/>
  <c r="AB1592" i="6"/>
  <c r="AC1592" i="6" s="1"/>
  <c r="AB1593" i="6"/>
  <c r="AC1593" i="6" s="1"/>
  <c r="AB1594" i="6"/>
  <c r="AC1594" i="6" s="1"/>
  <c r="AB1595" i="6"/>
  <c r="AC1595" i="6" s="1"/>
  <c r="AB1596" i="6"/>
  <c r="AC1596" i="6" s="1"/>
  <c r="AB1597" i="6"/>
  <c r="AC1597" i="6" s="1"/>
  <c r="AB1598" i="6"/>
  <c r="AC1598" i="6" s="1"/>
  <c r="AB1599" i="6"/>
  <c r="AC1599" i="6" s="1"/>
  <c r="AB1600" i="6"/>
  <c r="AC1600" i="6" s="1"/>
  <c r="AB1601" i="6"/>
  <c r="AC1601" i="6" s="1"/>
  <c r="AB1602" i="6"/>
  <c r="AC1602" i="6" s="1"/>
  <c r="AB1603" i="6"/>
  <c r="AC1603" i="6" s="1"/>
  <c r="AB1604" i="6"/>
  <c r="AC1604" i="6" s="1"/>
  <c r="AB1605" i="6"/>
  <c r="AC1605" i="6" s="1"/>
  <c r="AB1606" i="6"/>
  <c r="AC1606" i="6" s="1"/>
  <c r="AB1607" i="6"/>
  <c r="AC1607" i="6" s="1"/>
  <c r="AB1608" i="6"/>
  <c r="AC1608" i="6" s="1"/>
  <c r="AB1609" i="6"/>
  <c r="AC1609" i="6" s="1"/>
  <c r="AB1610" i="6"/>
  <c r="AC1610" i="6" s="1"/>
  <c r="AB1611" i="6"/>
  <c r="AC1611" i="6" s="1"/>
  <c r="AB1612" i="6"/>
  <c r="AC1612" i="6" s="1"/>
  <c r="AB1613" i="6"/>
  <c r="AC1613" i="6" s="1"/>
  <c r="AB1614" i="6"/>
  <c r="AC1614" i="6" s="1"/>
  <c r="AB1615" i="6"/>
  <c r="AC1615" i="6" s="1"/>
  <c r="AB1616" i="6"/>
  <c r="AC1616" i="6" s="1"/>
  <c r="AB1617" i="6"/>
  <c r="AC1617" i="6" s="1"/>
  <c r="AB1618" i="6"/>
  <c r="AC1618" i="6" s="1"/>
  <c r="AB1619" i="6"/>
  <c r="AC1619" i="6" s="1"/>
  <c r="AB1620" i="6"/>
  <c r="AC1620" i="6" s="1"/>
  <c r="AB1621" i="6"/>
  <c r="AC1621" i="6" s="1"/>
  <c r="AB1622" i="6"/>
  <c r="AC1622" i="6" s="1"/>
  <c r="AB1623" i="6"/>
  <c r="AC1623" i="6" s="1"/>
  <c r="AB1624" i="6"/>
  <c r="AC1624" i="6" s="1"/>
  <c r="AB1625" i="6"/>
  <c r="AC1625" i="6" s="1"/>
  <c r="AB1626" i="6"/>
  <c r="AC1626" i="6" s="1"/>
  <c r="AB1627" i="6"/>
  <c r="AC1627" i="6" s="1"/>
  <c r="AB1628" i="6"/>
  <c r="AC1628" i="6" s="1"/>
  <c r="AB1629" i="6"/>
  <c r="AC1629" i="6" s="1"/>
  <c r="AB1630" i="6"/>
  <c r="AC1630" i="6" s="1"/>
  <c r="AB1631" i="6"/>
  <c r="AC1631" i="6" s="1"/>
  <c r="AB1632" i="6"/>
  <c r="AC1632" i="6" s="1"/>
  <c r="AB1633" i="6"/>
  <c r="AC1633" i="6" s="1"/>
  <c r="AB1634" i="6"/>
  <c r="AC1634" i="6" s="1"/>
  <c r="AB1635" i="6"/>
  <c r="AC1635" i="6" s="1"/>
  <c r="AB1636" i="6"/>
  <c r="AC1636" i="6" s="1"/>
  <c r="AB1637" i="6"/>
  <c r="AC1637" i="6" s="1"/>
  <c r="AB1638" i="6"/>
  <c r="AC1638" i="6" s="1"/>
  <c r="AB1639" i="6"/>
  <c r="AC1639" i="6" s="1"/>
  <c r="AB1640" i="6"/>
  <c r="AC1640" i="6" s="1"/>
  <c r="AB1641" i="6"/>
  <c r="AC1641" i="6" s="1"/>
  <c r="AB1642" i="6"/>
  <c r="AC1642" i="6" s="1"/>
  <c r="AB1643" i="6"/>
  <c r="AC1643" i="6" s="1"/>
  <c r="AB1644" i="6"/>
  <c r="AC1644" i="6" s="1"/>
  <c r="AB1645" i="6"/>
  <c r="AC1645" i="6" s="1"/>
  <c r="AB1646" i="6"/>
  <c r="AC1646" i="6" s="1"/>
  <c r="AB1647" i="6"/>
  <c r="AC1647" i="6" s="1"/>
  <c r="AB1648" i="6"/>
  <c r="AC1648" i="6" s="1"/>
  <c r="AB1649" i="6"/>
  <c r="AC1649" i="6" s="1"/>
  <c r="AB1650" i="6"/>
  <c r="AC1650" i="6" s="1"/>
  <c r="AB1651" i="6"/>
  <c r="AC1651" i="6" s="1"/>
  <c r="AB1652" i="6"/>
  <c r="AC1652" i="6" s="1"/>
  <c r="AB1653" i="6"/>
  <c r="AC1653" i="6" s="1"/>
  <c r="AB1654" i="6"/>
  <c r="AC1654" i="6" s="1"/>
  <c r="AB1655" i="6"/>
  <c r="AC1655" i="6" s="1"/>
  <c r="AB1656" i="6"/>
  <c r="AC1656" i="6" s="1"/>
  <c r="AB1657" i="6"/>
  <c r="AC1657" i="6" s="1"/>
  <c r="AB1658" i="6"/>
  <c r="AC1658" i="6" s="1"/>
  <c r="AB1659" i="6"/>
  <c r="AC1659" i="6" s="1"/>
  <c r="AB1660" i="6"/>
  <c r="AC1660" i="6" s="1"/>
  <c r="AB1661" i="6"/>
  <c r="AC1661" i="6" s="1"/>
  <c r="AB1662" i="6"/>
  <c r="AC1662" i="6" s="1"/>
  <c r="AB1663" i="6"/>
  <c r="AC1663" i="6" s="1"/>
  <c r="AB1664" i="6"/>
  <c r="AC1664" i="6" s="1"/>
  <c r="AB1665" i="6"/>
  <c r="AC1665" i="6" s="1"/>
  <c r="AB1666" i="6"/>
  <c r="AC1666" i="6" s="1"/>
  <c r="AB1667" i="6"/>
  <c r="AC1667" i="6" s="1"/>
  <c r="AB1668" i="6"/>
  <c r="AC1668" i="6" s="1"/>
  <c r="AB1669" i="6"/>
  <c r="AC1669" i="6" s="1"/>
  <c r="AB1670" i="6"/>
  <c r="AC1670" i="6" s="1"/>
  <c r="AB1671" i="6"/>
  <c r="AC1671" i="6" s="1"/>
  <c r="AB1672" i="6"/>
  <c r="AC1672" i="6" s="1"/>
  <c r="AB1673" i="6"/>
  <c r="AC1673" i="6" s="1"/>
  <c r="AB1674" i="6"/>
  <c r="AC1674" i="6" s="1"/>
  <c r="AB1675" i="6"/>
  <c r="AC1675" i="6" s="1"/>
  <c r="AB1676" i="6"/>
  <c r="AC1676" i="6" s="1"/>
  <c r="AB1677" i="6"/>
  <c r="AC1677" i="6" s="1"/>
  <c r="AB1678" i="6"/>
  <c r="AC1678" i="6" s="1"/>
  <c r="AB1679" i="6"/>
  <c r="AC1679" i="6" s="1"/>
  <c r="AB1680" i="6"/>
  <c r="AC1680" i="6" s="1"/>
  <c r="AB1681" i="6"/>
  <c r="AC1681" i="6" s="1"/>
  <c r="AB1682" i="6"/>
  <c r="AC1682" i="6" s="1"/>
  <c r="AB1683" i="6"/>
  <c r="AC1683" i="6" s="1"/>
  <c r="AB1684" i="6"/>
  <c r="AC1684" i="6" s="1"/>
  <c r="AB1685" i="6"/>
  <c r="AC1685" i="6" s="1"/>
  <c r="AB1686" i="6"/>
  <c r="AC1686" i="6" s="1"/>
  <c r="AB1687" i="6"/>
  <c r="AC1687" i="6" s="1"/>
  <c r="AB1688" i="6"/>
  <c r="AC1688" i="6" s="1"/>
  <c r="AB1689" i="6"/>
  <c r="AC1689" i="6" s="1"/>
  <c r="AB1690" i="6"/>
  <c r="AC1690" i="6" s="1"/>
  <c r="AB1691" i="6"/>
  <c r="AC1691" i="6" s="1"/>
  <c r="AB1692" i="6"/>
  <c r="AC1692" i="6" s="1"/>
  <c r="AB1693" i="6"/>
  <c r="AC1693" i="6" s="1"/>
  <c r="AB1694" i="6"/>
  <c r="AC1694" i="6" s="1"/>
  <c r="AB1695" i="6"/>
  <c r="AC1695" i="6" s="1"/>
  <c r="AB1696" i="6"/>
  <c r="AC1696" i="6" s="1"/>
  <c r="AB1697" i="6"/>
  <c r="AC1697" i="6" s="1"/>
  <c r="AB1698" i="6"/>
  <c r="AC1698" i="6" s="1"/>
  <c r="AB1699" i="6"/>
  <c r="AC1699" i="6" s="1"/>
  <c r="AB1700" i="6"/>
  <c r="AC1700" i="6" s="1"/>
  <c r="AB1701" i="6"/>
  <c r="AC1701" i="6" s="1"/>
  <c r="AB1702" i="6"/>
  <c r="AC1702" i="6" s="1"/>
  <c r="AB1703" i="6"/>
  <c r="AC1703" i="6" s="1"/>
  <c r="AB1704" i="6"/>
  <c r="AC1704" i="6" s="1"/>
  <c r="AB1705" i="6"/>
  <c r="AC1705" i="6" s="1"/>
  <c r="AB1706" i="6"/>
  <c r="AC1706" i="6" s="1"/>
  <c r="AB1707" i="6"/>
  <c r="AC1707" i="6" s="1"/>
  <c r="AB1708" i="6"/>
  <c r="AC1708" i="6" s="1"/>
  <c r="AB1709" i="6"/>
  <c r="AC1709" i="6" s="1"/>
  <c r="AB1710" i="6"/>
  <c r="AC1710" i="6" s="1"/>
  <c r="AB1711" i="6"/>
  <c r="AC1711" i="6" s="1"/>
  <c r="AB1712" i="6"/>
  <c r="AC1712" i="6" s="1"/>
  <c r="AB1713" i="6"/>
  <c r="AC1713" i="6" s="1"/>
  <c r="AB1714" i="6"/>
  <c r="AC1714" i="6" s="1"/>
  <c r="AB1715" i="6"/>
  <c r="AC1715" i="6" s="1"/>
  <c r="AB1716" i="6"/>
  <c r="AC1716" i="6" s="1"/>
  <c r="AB1717" i="6"/>
  <c r="AC1717" i="6" s="1"/>
  <c r="AB1718" i="6"/>
  <c r="AC1718" i="6" s="1"/>
  <c r="AB1719" i="6"/>
  <c r="AC1719" i="6" s="1"/>
  <c r="AB1720" i="6"/>
  <c r="AC1720" i="6" s="1"/>
  <c r="AB1721" i="6"/>
  <c r="AC1721" i="6" s="1"/>
  <c r="AB1722" i="6"/>
  <c r="AC1722" i="6" s="1"/>
  <c r="AB1723" i="6"/>
  <c r="AC1723" i="6" s="1"/>
  <c r="AB1724" i="6"/>
  <c r="AC1724" i="6" s="1"/>
  <c r="AB1725" i="6"/>
  <c r="AC1725" i="6" s="1"/>
  <c r="AB1726" i="6"/>
  <c r="AC1726" i="6" s="1"/>
  <c r="AB1727" i="6"/>
  <c r="AC1727" i="6" s="1"/>
  <c r="AB1728" i="6"/>
  <c r="AC1728" i="6" s="1"/>
  <c r="AB1729" i="6"/>
  <c r="AC1729" i="6" s="1"/>
  <c r="AB1730" i="6"/>
  <c r="AC1730" i="6" s="1"/>
  <c r="AB1731" i="6"/>
  <c r="AC1731" i="6" s="1"/>
  <c r="AB1732" i="6"/>
  <c r="AC1732" i="6" s="1"/>
  <c r="AB1733" i="6"/>
  <c r="AC1733" i="6" s="1"/>
  <c r="AB1734" i="6"/>
  <c r="AC1734" i="6" s="1"/>
  <c r="AB1735" i="6"/>
  <c r="AC1735" i="6" s="1"/>
  <c r="AB1736" i="6"/>
  <c r="AC1736" i="6" s="1"/>
  <c r="AB1737" i="6"/>
  <c r="AC1737" i="6" s="1"/>
  <c r="AB1738" i="6"/>
  <c r="AC1738" i="6" s="1"/>
  <c r="AB1739" i="6"/>
  <c r="AC1739" i="6" s="1"/>
  <c r="AB1740" i="6"/>
  <c r="AC1740" i="6" s="1"/>
  <c r="AB1741" i="6"/>
  <c r="AC1741" i="6" s="1"/>
  <c r="AB1742" i="6"/>
  <c r="AC1742" i="6" s="1"/>
  <c r="AB1743" i="6"/>
  <c r="AC1743" i="6" s="1"/>
  <c r="AB1744" i="6"/>
  <c r="AC1744" i="6" s="1"/>
  <c r="AB1745" i="6"/>
  <c r="AC1745" i="6" s="1"/>
  <c r="AB1746" i="6"/>
  <c r="AC1746" i="6" s="1"/>
  <c r="AB1747" i="6"/>
  <c r="AC1747" i="6" s="1"/>
  <c r="AB1748" i="6"/>
  <c r="AC1748" i="6" s="1"/>
  <c r="AB1749" i="6"/>
  <c r="AC1749" i="6" s="1"/>
  <c r="AB1750" i="6"/>
  <c r="AC1750" i="6" s="1"/>
  <c r="AB1751" i="6"/>
  <c r="AC1751" i="6" s="1"/>
  <c r="AB1752" i="6"/>
  <c r="AC1752" i="6" s="1"/>
  <c r="AB1753" i="6"/>
  <c r="AC1753" i="6" s="1"/>
  <c r="AB1754" i="6"/>
  <c r="AC1754" i="6" s="1"/>
  <c r="AB1755" i="6"/>
  <c r="AC1755" i="6" s="1"/>
  <c r="AB1756" i="6"/>
  <c r="AC1756" i="6" s="1"/>
  <c r="AB1757" i="6"/>
  <c r="AC1757" i="6" s="1"/>
  <c r="AB1758" i="6"/>
  <c r="AC1758" i="6" s="1"/>
  <c r="AB1759" i="6"/>
  <c r="AC1759" i="6" s="1"/>
  <c r="AB1760" i="6"/>
  <c r="AC1760" i="6" s="1"/>
  <c r="AB1761" i="6"/>
  <c r="AC1761" i="6" s="1"/>
  <c r="AB1762" i="6"/>
  <c r="AC1762" i="6" s="1"/>
  <c r="AB1763" i="6"/>
  <c r="AC1763" i="6" s="1"/>
  <c r="AB1764" i="6"/>
  <c r="AC1764" i="6" s="1"/>
  <c r="AB1765" i="6"/>
  <c r="AC1765" i="6" s="1"/>
  <c r="AB1766" i="6"/>
  <c r="AC1766" i="6" s="1"/>
  <c r="AB1767" i="6"/>
  <c r="AC1767" i="6" s="1"/>
  <c r="AB1768" i="6"/>
  <c r="AC1768" i="6" s="1"/>
  <c r="AB1769" i="6"/>
  <c r="AC1769" i="6" s="1"/>
  <c r="AB1770" i="6"/>
  <c r="AC1770" i="6" s="1"/>
  <c r="AB1771" i="6"/>
  <c r="AC1771" i="6" s="1"/>
  <c r="AB1772" i="6"/>
  <c r="AC1772" i="6" s="1"/>
  <c r="AB1773" i="6"/>
  <c r="AC1773" i="6" s="1"/>
  <c r="AB1774" i="6"/>
  <c r="AC1774" i="6" s="1"/>
  <c r="AB1775" i="6"/>
  <c r="AC1775" i="6" s="1"/>
  <c r="AB1776" i="6"/>
  <c r="AC1776" i="6" s="1"/>
  <c r="AB1777" i="6"/>
  <c r="AC1777" i="6" s="1"/>
  <c r="AB1778" i="6"/>
  <c r="AC1778" i="6" s="1"/>
  <c r="AB1779" i="6"/>
  <c r="AC1779" i="6" s="1"/>
  <c r="AB1780" i="6"/>
  <c r="AC1780" i="6" s="1"/>
  <c r="AB1781" i="6"/>
  <c r="AC1781" i="6" s="1"/>
  <c r="AB1782" i="6"/>
  <c r="AC1782" i="6" s="1"/>
  <c r="AB1783" i="6"/>
  <c r="AC1783" i="6" s="1"/>
  <c r="AB1784" i="6"/>
  <c r="AC1784" i="6" s="1"/>
  <c r="AB1785" i="6"/>
  <c r="AC1785" i="6" s="1"/>
  <c r="AB1786" i="6"/>
  <c r="AC1786" i="6" s="1"/>
  <c r="AB1787" i="6"/>
  <c r="AC1787" i="6" s="1"/>
  <c r="AB1788" i="6"/>
  <c r="AC1788" i="6" s="1"/>
  <c r="AB1789" i="6"/>
  <c r="AC1789" i="6" s="1"/>
  <c r="AB1790" i="6"/>
  <c r="AC1790" i="6" s="1"/>
  <c r="AB1791" i="6"/>
  <c r="AC1791" i="6" s="1"/>
  <c r="AB1792" i="6"/>
  <c r="AC1792" i="6" s="1"/>
  <c r="AB1793" i="6"/>
  <c r="AC1793" i="6" s="1"/>
  <c r="AB1794" i="6"/>
  <c r="AC1794" i="6" s="1"/>
  <c r="AB1795" i="6"/>
  <c r="AC1795" i="6" s="1"/>
  <c r="AB1796" i="6"/>
  <c r="AC1796" i="6" s="1"/>
  <c r="AB1797" i="6"/>
  <c r="AC1797" i="6" s="1"/>
  <c r="AB1798" i="6"/>
  <c r="AC1798" i="6" s="1"/>
  <c r="AB1799" i="6"/>
  <c r="AC1799" i="6" s="1"/>
  <c r="AB1800" i="6"/>
  <c r="AC1800" i="6" s="1"/>
  <c r="AB1801" i="6"/>
  <c r="AC1801" i="6" s="1"/>
  <c r="AB1802" i="6"/>
  <c r="AC1802" i="6" s="1"/>
  <c r="AB1803" i="6"/>
  <c r="AC1803" i="6" s="1"/>
  <c r="AB1804" i="6"/>
  <c r="AC1804" i="6" s="1"/>
  <c r="AB1805" i="6"/>
  <c r="AC1805" i="6" s="1"/>
  <c r="AB1806" i="6"/>
  <c r="AC1806" i="6" s="1"/>
  <c r="AB1807" i="6"/>
  <c r="AC1807" i="6" s="1"/>
  <c r="AB1808" i="6"/>
  <c r="AC1808" i="6" s="1"/>
  <c r="AB1809" i="6"/>
  <c r="AC1809" i="6" s="1"/>
  <c r="AB1810" i="6"/>
  <c r="AC1810" i="6" s="1"/>
  <c r="AB1811" i="6"/>
  <c r="AC1811" i="6" s="1"/>
  <c r="AB1812" i="6"/>
  <c r="AC1812" i="6" s="1"/>
  <c r="AB1813" i="6"/>
  <c r="AC1813" i="6" s="1"/>
  <c r="AB1814" i="6"/>
  <c r="AC1814" i="6" s="1"/>
  <c r="AB1815" i="6"/>
  <c r="AC1815" i="6" s="1"/>
  <c r="AB1816" i="6"/>
  <c r="AC1816" i="6" s="1"/>
  <c r="AB1817" i="6"/>
  <c r="AC1817" i="6" s="1"/>
  <c r="AB1818" i="6"/>
  <c r="AC1818" i="6" s="1"/>
  <c r="AB1819" i="6"/>
  <c r="AC1819" i="6" s="1"/>
  <c r="AB1820" i="6"/>
  <c r="AC1820" i="6" s="1"/>
  <c r="AB1821" i="6"/>
  <c r="AC1821" i="6" s="1"/>
  <c r="AB1822" i="6"/>
  <c r="AC1822" i="6" s="1"/>
  <c r="AB1823" i="6"/>
  <c r="AC1823" i="6" s="1"/>
  <c r="AB1824" i="6"/>
  <c r="AC1824" i="6" s="1"/>
  <c r="AB1825" i="6"/>
  <c r="AC1825" i="6" s="1"/>
  <c r="AB1826" i="6"/>
  <c r="AC1826" i="6" s="1"/>
  <c r="AB1827" i="6"/>
  <c r="AC1827" i="6" s="1"/>
  <c r="AB1828" i="6"/>
  <c r="AC1828" i="6" s="1"/>
  <c r="AB1829" i="6"/>
  <c r="AC1829" i="6" s="1"/>
  <c r="AB1830" i="6"/>
  <c r="AC1830" i="6" s="1"/>
  <c r="AB1831" i="6"/>
  <c r="AC1831" i="6" s="1"/>
  <c r="AB1832" i="6"/>
  <c r="AC1832" i="6" s="1"/>
  <c r="AB1833" i="6"/>
  <c r="AC1833" i="6" s="1"/>
  <c r="AB1834" i="6"/>
  <c r="AC1834" i="6" s="1"/>
  <c r="AB1835" i="6"/>
  <c r="AC1835" i="6" s="1"/>
  <c r="AB1836" i="6"/>
  <c r="AC1836" i="6" s="1"/>
  <c r="AB1837" i="6"/>
  <c r="AC1837" i="6" s="1"/>
  <c r="AB1838" i="6"/>
  <c r="AC1838" i="6" s="1"/>
  <c r="AB1839" i="6"/>
  <c r="AC1839" i="6" s="1"/>
  <c r="AB1840" i="6"/>
  <c r="AC1840" i="6" s="1"/>
  <c r="AB1841" i="6"/>
  <c r="AC1841" i="6" s="1"/>
  <c r="AB1842" i="6"/>
  <c r="AC1842" i="6" s="1"/>
  <c r="AB1843" i="6"/>
  <c r="AC1843" i="6" s="1"/>
  <c r="AB1844" i="6"/>
  <c r="AC1844" i="6" s="1"/>
  <c r="AB1845" i="6"/>
  <c r="AC1845" i="6" s="1"/>
  <c r="AB1846" i="6"/>
  <c r="AC1846" i="6" s="1"/>
  <c r="AB1847" i="6"/>
  <c r="AC1847" i="6" s="1"/>
  <c r="AB1848" i="6"/>
  <c r="AC1848" i="6" s="1"/>
  <c r="AB1849" i="6"/>
  <c r="AC1849" i="6" s="1"/>
  <c r="AB1850" i="6"/>
  <c r="AC1850" i="6" s="1"/>
  <c r="AB1851" i="6"/>
  <c r="AC1851" i="6" s="1"/>
  <c r="AB1852" i="6"/>
  <c r="AC1852" i="6" s="1"/>
  <c r="AB1853" i="6"/>
  <c r="AC1853" i="6" s="1"/>
  <c r="AB1854" i="6"/>
  <c r="AC1854" i="6" s="1"/>
  <c r="AB1855" i="6"/>
  <c r="AC1855" i="6" s="1"/>
  <c r="AB1856" i="6"/>
  <c r="AC1856" i="6" s="1"/>
  <c r="AB1857" i="6"/>
  <c r="AC1857" i="6" s="1"/>
  <c r="AB1858" i="6"/>
  <c r="AC1858" i="6" s="1"/>
  <c r="AB1859" i="6"/>
  <c r="AC1859" i="6" s="1"/>
  <c r="AB1860" i="6"/>
  <c r="AC1860" i="6" s="1"/>
  <c r="AB1861" i="6"/>
  <c r="AC1861" i="6" s="1"/>
  <c r="AB1862" i="6"/>
  <c r="AC1862" i="6" s="1"/>
  <c r="AB1863" i="6"/>
  <c r="AC1863" i="6" s="1"/>
  <c r="AB1864" i="6"/>
  <c r="AC1864" i="6" s="1"/>
  <c r="AB1865" i="6"/>
  <c r="AC1865" i="6" s="1"/>
  <c r="AB1866" i="6"/>
  <c r="AC1866" i="6" s="1"/>
  <c r="AB1867" i="6"/>
  <c r="AC1867" i="6" s="1"/>
  <c r="AB1868" i="6"/>
  <c r="AC1868" i="6" s="1"/>
  <c r="AB1869" i="6"/>
  <c r="AC1869" i="6" s="1"/>
  <c r="AB1870" i="6"/>
  <c r="AC1870" i="6" s="1"/>
  <c r="AB1871" i="6"/>
  <c r="AC1871" i="6" s="1"/>
  <c r="AB1872" i="6"/>
  <c r="AC1872" i="6" s="1"/>
  <c r="AB1873" i="6"/>
  <c r="AC1873" i="6" s="1"/>
  <c r="AB1874" i="6"/>
  <c r="AC1874" i="6" s="1"/>
  <c r="AB1875" i="6"/>
  <c r="AC1875" i="6" s="1"/>
  <c r="AB1876" i="6"/>
  <c r="AC1876" i="6" s="1"/>
  <c r="AB1877" i="6"/>
  <c r="AC1877" i="6" s="1"/>
  <c r="AB1878" i="6"/>
  <c r="AC1878" i="6" s="1"/>
  <c r="AB1879" i="6"/>
  <c r="AC1879" i="6" s="1"/>
  <c r="V1698" i="6" l="1"/>
  <c r="R1698" i="6" s="1"/>
  <c r="V1667" i="6" l="1"/>
  <c r="R1667" i="6" s="1"/>
  <c r="T1666" i="6" l="1"/>
  <c r="R1666" i="6" s="1"/>
  <c r="V1657" i="6"/>
  <c r="T1657" i="6"/>
  <c r="T1656" i="6"/>
  <c r="R1656" i="6" s="1"/>
  <c r="T1653" i="6"/>
  <c r="R1653" i="6" s="1"/>
  <c r="V1650" i="6"/>
  <c r="R1650" i="6" s="1"/>
  <c r="V1648" i="6"/>
  <c r="R1648" i="6" s="1"/>
  <c r="R1657" i="6" l="1"/>
  <c r="V1643" i="6"/>
  <c r="R1643" i="6" s="1"/>
  <c r="V1641" i="6"/>
  <c r="R1641" i="6" s="1"/>
  <c r="V1639" i="6" l="1"/>
  <c r="R1639" i="6" s="1"/>
  <c r="W1629" i="6"/>
  <c r="V1629" i="6"/>
  <c r="T1629" i="6"/>
  <c r="W1623" i="6"/>
  <c r="V1623" i="6"/>
  <c r="R1623" i="6" s="1"/>
  <c r="W1618" i="6"/>
  <c r="T1618" i="6"/>
  <c r="R1618" i="6" s="1"/>
  <c r="W1616" i="6"/>
  <c r="V1616" i="6"/>
  <c r="R1616" i="6" s="1"/>
  <c r="W1611" i="6"/>
  <c r="V1611" i="6"/>
  <c r="R1611" i="6" s="1"/>
  <c r="W1606" i="6"/>
  <c r="T1606" i="6"/>
  <c r="R1606" i="6" s="1"/>
  <c r="V1603" i="6"/>
  <c r="R1603" i="6" s="1"/>
  <c r="V1598" i="6"/>
  <c r="R1598" i="6" s="1"/>
  <c r="R1629" i="6" l="1"/>
  <c r="V1586" i="6"/>
  <c r="R1586" i="6" s="1"/>
  <c r="V1585" i="6"/>
  <c r="R1585" i="6" s="1"/>
  <c r="T1577" i="6" l="1"/>
  <c r="R1577" i="6" s="1"/>
  <c r="V1573" i="6"/>
  <c r="R1573" i="6" s="1"/>
  <c r="V1571" i="6"/>
  <c r="R1571" i="6" s="1"/>
  <c r="V1568" i="6"/>
  <c r="R1568" i="6" s="1"/>
  <c r="V1566" i="6"/>
  <c r="R1566" i="6" s="1"/>
  <c r="AD1562" i="6"/>
  <c r="V1562" i="6"/>
  <c r="R1562" i="6" s="1"/>
  <c r="T1561" i="6"/>
  <c r="R1561" i="6" s="1"/>
  <c r="T1560" i="6"/>
  <c r="R1560" i="6" s="1"/>
  <c r="T1556" i="6"/>
  <c r="R1556" i="6" s="1"/>
  <c r="T1551" i="6"/>
  <c r="R1551" i="6" s="1"/>
  <c r="V1550" i="6"/>
  <c r="R1550" i="6" s="1"/>
  <c r="T1510" i="6" l="1"/>
  <c r="R1510" i="6" s="1"/>
  <c r="V1515" i="6" l="1"/>
  <c r="R1515" i="6" s="1"/>
  <c r="T1509" i="6" l="1"/>
  <c r="R1509" i="6" s="1"/>
  <c r="V1508" i="6"/>
  <c r="R1508" i="6" s="1"/>
  <c r="T1507" i="6"/>
  <c r="R1507" i="6" s="1"/>
  <c r="V1503" i="6"/>
  <c r="R1503" i="6" s="1"/>
  <c r="V1499" i="6" l="1"/>
  <c r="R1499" i="6" s="1"/>
  <c r="V1497" i="6"/>
  <c r="R1497" i="6" s="1"/>
  <c r="V1491" i="6"/>
  <c r="R1491" i="6" s="1"/>
  <c r="V1489" i="6"/>
  <c r="R1489" i="6" s="1"/>
  <c r="V1464" i="6"/>
  <c r="R1464" i="6" s="1"/>
  <c r="T1459" i="6"/>
  <c r="R1459" i="6" s="1"/>
  <c r="V1457" i="6"/>
  <c r="R1457" i="6" s="1"/>
  <c r="V1451" i="6" l="1"/>
  <c r="R1451" i="6" s="1"/>
  <c r="V1449" i="6"/>
  <c r="R1449" i="6" s="1"/>
  <c r="V1447" i="6"/>
  <c r="R1447" i="6" s="1"/>
  <c r="V1444" i="6"/>
  <c r="R1444" i="6" s="1"/>
  <c r="V1443" i="6"/>
  <c r="R1443" i="6" s="1"/>
  <c r="V1437" i="6"/>
  <c r="R1437" i="6" s="1"/>
  <c r="T1432" i="6" l="1"/>
  <c r="R1432" i="6" s="1"/>
  <c r="V1429" i="6"/>
  <c r="R1429" i="6" s="1"/>
  <c r="V1427" i="6"/>
  <c r="R1427" i="6" s="1"/>
  <c r="T1425" i="6"/>
  <c r="R1425" i="6" s="1"/>
  <c r="V1423" i="6"/>
  <c r="R1423" i="6" s="1"/>
  <c r="V1421" i="6"/>
  <c r="R1421" i="6" s="1"/>
  <c r="V1420" i="6"/>
  <c r="R1420" i="6" s="1"/>
  <c r="V1419" i="6"/>
  <c r="R1419" i="6" s="1"/>
  <c r="V1417" i="6"/>
  <c r="R1417" i="6" s="1"/>
  <c r="V1414" i="6"/>
  <c r="R1414" i="6" s="1"/>
  <c r="V1412" i="6"/>
  <c r="R1412" i="6" s="1"/>
  <c r="T1411" i="6"/>
  <c r="R1411" i="6" s="1"/>
  <c r="V1409" i="6"/>
  <c r="R1409" i="6" s="1"/>
  <c r="K1407" i="6"/>
  <c r="L1407" i="6"/>
  <c r="T1406" i="6"/>
  <c r="R1406" i="6" s="1"/>
  <c r="K1406" i="6"/>
  <c r="L1406" i="6"/>
  <c r="V1405" i="6" l="1"/>
  <c r="R1405" i="6" s="1"/>
  <c r="V1404" i="6"/>
  <c r="R1404" i="6" s="1"/>
  <c r="V1403" i="6"/>
  <c r="R1403" i="6" s="1"/>
  <c r="T1398" i="6" l="1"/>
  <c r="R1398" i="6" s="1"/>
  <c r="V1395" i="6"/>
  <c r="R1395" i="6" s="1"/>
  <c r="V1392" i="6"/>
  <c r="R1392" i="6" s="1"/>
  <c r="V1388" i="6"/>
  <c r="R1388" i="6" s="1"/>
  <c r="V1385" i="6"/>
  <c r="R1385" i="6" s="1"/>
  <c r="V1383" i="6"/>
  <c r="R1383" i="6" s="1"/>
  <c r="V1282" i="6" l="1"/>
  <c r="R1282" i="6" s="1"/>
  <c r="T1281" i="6"/>
  <c r="R1281" i="6" s="1"/>
  <c r="T1264" i="6" l="1"/>
  <c r="R1264" i="6" s="1"/>
  <c r="V1262" i="6"/>
  <c r="R1262" i="6" s="1"/>
  <c r="T1258" i="6" l="1"/>
  <c r="R1258" i="6" s="1"/>
  <c r="V1257" i="6"/>
  <c r="R1257" i="6" s="1"/>
  <c r="T1253" i="6"/>
  <c r="R1253" i="6" s="1"/>
  <c r="T1251" i="6"/>
  <c r="R1251" i="6" s="1"/>
  <c r="T1249" i="6"/>
  <c r="R1249" i="6" s="1"/>
  <c r="V1228" i="6" l="1"/>
  <c r="R1228" i="6" s="1"/>
  <c r="V1227" i="6"/>
  <c r="R1227" i="6" s="1"/>
  <c r="V1220" i="6"/>
  <c r="R1220" i="6" s="1"/>
  <c r="T1218" i="6"/>
  <c r="R1218" i="6" s="1"/>
  <c r="T1213" i="6"/>
  <c r="R1213" i="6" s="1"/>
  <c r="V1206" i="6"/>
  <c r="R1206" i="6" s="1"/>
  <c r="V1205" i="6"/>
  <c r="R1205" i="6" s="1"/>
  <c r="V1204" i="6"/>
  <c r="R1204" i="6" s="1"/>
  <c r="T1190" i="6" l="1"/>
  <c r="R1190" i="6" s="1"/>
  <c r="V1187" i="6"/>
  <c r="R1187" i="6" s="1"/>
  <c r="V1186" i="6"/>
  <c r="R1186" i="6" s="1"/>
  <c r="V1175" i="6"/>
  <c r="R1175" i="6" s="1"/>
  <c r="V1174" i="6"/>
  <c r="R1174" i="6" s="1"/>
  <c r="V1173" i="6"/>
  <c r="R1173" i="6" s="1"/>
  <c r="V1166" i="6"/>
  <c r="R1166" i="6" s="1"/>
  <c r="V1165" i="6"/>
  <c r="R1165" i="6" s="1"/>
  <c r="V1164" i="6"/>
  <c r="R1164" i="6" s="1"/>
  <c r="V1162" i="6"/>
  <c r="R1162" i="6" s="1"/>
  <c r="V1161" i="6"/>
  <c r="R1161" i="6" s="1"/>
  <c r="T1157" i="6" l="1"/>
  <c r="R1157" i="6" s="1"/>
  <c r="T1156" i="6"/>
  <c r="R1156" i="6" s="1"/>
  <c r="T1154" i="6"/>
  <c r="R1154" i="6" s="1"/>
  <c r="V1151" i="6"/>
  <c r="R1151" i="6" s="1"/>
  <c r="T1126" i="6" l="1"/>
  <c r="R1126" i="6" s="1"/>
  <c r="V1123" i="6"/>
  <c r="R1123" i="6" s="1"/>
  <c r="V1121" i="6"/>
  <c r="R1121" i="6" s="1"/>
  <c r="V1120" i="6"/>
  <c r="R1120" i="6" s="1"/>
  <c r="V1119" i="6"/>
  <c r="R1119" i="6" s="1"/>
  <c r="V1118" i="6"/>
  <c r="R1118" i="6" s="1"/>
  <c r="T1117" i="6"/>
  <c r="R1117" i="6" s="1"/>
  <c r="T1115" i="6"/>
  <c r="R1115" i="6" s="1"/>
  <c r="V1113" i="6"/>
  <c r="R1113" i="6" s="1"/>
  <c r="AD1112" i="6"/>
  <c r="T1111" i="6"/>
  <c r="R1111" i="6" s="1"/>
  <c r="V1108" i="6"/>
  <c r="R1108" i="6" s="1"/>
  <c r="V1107" i="6" l="1"/>
  <c r="R1107" i="6" s="1"/>
  <c r="V1105" i="6"/>
  <c r="R1105" i="6" s="1"/>
  <c r="AD1104" i="6"/>
  <c r="W1104" i="6"/>
  <c r="AD1103" i="6"/>
  <c r="W1103" i="6"/>
  <c r="V1103" i="6"/>
  <c r="R1103" i="6" s="1"/>
  <c r="T1076" i="6" l="1"/>
  <c r="R1076" i="6" s="1"/>
  <c r="T1071" i="6"/>
  <c r="R1071" i="6" s="1"/>
  <c r="T1068" i="6"/>
  <c r="R1068" i="6" s="1"/>
  <c r="T1067" i="6"/>
  <c r="R1067" i="6" s="1"/>
  <c r="V1066" i="6" l="1"/>
  <c r="R1066" i="6" s="1"/>
  <c r="V1065" i="6"/>
  <c r="R1065" i="6" s="1"/>
  <c r="V1064" i="6"/>
  <c r="R1064" i="6" s="1"/>
  <c r="T1062" i="6"/>
  <c r="R1062" i="6" s="1"/>
  <c r="V1061" i="6"/>
  <c r="R1061" i="6" s="1"/>
  <c r="T1060" i="6"/>
  <c r="R1060" i="6" s="1"/>
  <c r="T1056" i="6"/>
  <c r="R1056" i="6" s="1"/>
  <c r="V1057" i="6"/>
  <c r="R1057" i="6" s="1"/>
  <c r="V1055" i="6"/>
  <c r="R1055" i="6" s="1"/>
  <c r="V1053" i="6"/>
  <c r="R1053" i="6" s="1"/>
  <c r="V1042" i="6"/>
  <c r="R1042" i="6" s="1"/>
  <c r="T1040" i="6" l="1"/>
  <c r="R1040" i="6" s="1"/>
  <c r="T1038" i="6" l="1"/>
  <c r="R1038" i="6" s="1"/>
  <c r="V1036" i="6"/>
  <c r="R1036" i="6" s="1"/>
  <c r="T1034" i="6"/>
  <c r="R1034" i="6" s="1"/>
  <c r="V1032" i="6"/>
  <c r="R1032" i="6" s="1"/>
  <c r="V1031" i="6"/>
  <c r="R1031" i="6" s="1"/>
  <c r="V1029" i="6"/>
  <c r="R1029" i="6" s="1"/>
  <c r="V1013" i="6" l="1"/>
  <c r="R1013" i="6" s="1"/>
  <c r="V1010" i="6"/>
  <c r="R1010" i="6" s="1"/>
  <c r="V987" i="6" l="1"/>
  <c r="R987" i="6" s="1"/>
  <c r="V985" i="6"/>
  <c r="R985" i="6" s="1"/>
  <c r="V983" i="6"/>
  <c r="R983" i="6" s="1"/>
  <c r="V977" i="6"/>
  <c r="R977" i="6" s="1"/>
  <c r="T975" i="6"/>
  <c r="R975" i="6" s="1"/>
  <c r="T970" i="6"/>
  <c r="R970" i="6" s="1"/>
  <c r="T968" i="6"/>
  <c r="R968" i="6" s="1"/>
  <c r="T966" i="6"/>
  <c r="R966" i="6" s="1"/>
  <c r="T963" i="6"/>
  <c r="R963" i="6" s="1"/>
  <c r="V952" i="6"/>
  <c r="R952" i="6" s="1"/>
  <c r="V950" i="6" l="1"/>
  <c r="R950" i="6" s="1"/>
  <c r="V949" i="6"/>
  <c r="R949" i="6" s="1"/>
  <c r="V792" i="6" l="1"/>
  <c r="R792" i="6" s="1"/>
  <c r="V674" i="6" l="1"/>
  <c r="R674" i="6" s="1"/>
  <c r="V668" i="6"/>
  <c r="R668" i="6" s="1"/>
  <c r="V664" i="6"/>
  <c r="R664" i="6" s="1"/>
  <c r="T661" i="6"/>
  <c r="R661" i="6" s="1"/>
  <c r="T660" i="6"/>
  <c r="R660" i="6" s="1"/>
  <c r="V658" i="6"/>
  <c r="R658" i="6" s="1"/>
  <c r="V657" i="6"/>
  <c r="R657" i="6" s="1"/>
  <c r="V654" i="6"/>
  <c r="R654" i="6" s="1"/>
  <c r="V650" i="6"/>
  <c r="R650" i="6" s="1"/>
  <c r="V498" i="6" l="1"/>
  <c r="R498" i="6" s="1"/>
  <c r="V497" i="6"/>
  <c r="R497" i="6" s="1"/>
  <c r="V495" i="6"/>
  <c r="R495" i="6" s="1"/>
  <c r="V475" i="6"/>
  <c r="R475" i="6" s="1"/>
  <c r="V492" i="6"/>
  <c r="R492" i="6" s="1"/>
  <c r="V490" i="6" l="1"/>
  <c r="R490" i="6" s="1"/>
  <c r="T488" i="6"/>
  <c r="R488" i="6" s="1"/>
  <c r="V485" i="6"/>
  <c r="R485" i="6" s="1"/>
  <c r="V484" i="6"/>
  <c r="R484" i="6" s="1"/>
  <c r="V483" i="6"/>
  <c r="R483" i="6" s="1"/>
  <c r="V482" i="6"/>
  <c r="R482" i="6" s="1"/>
  <c r="V479" i="6"/>
  <c r="R479" i="6" s="1"/>
  <c r="T418" i="6" l="1"/>
  <c r="R418" i="6" s="1"/>
  <c r="T416" i="6"/>
  <c r="R416" i="6" s="1"/>
  <c r="V413" i="6"/>
  <c r="R413" i="6" s="1"/>
  <c r="T409" i="6"/>
  <c r="R409" i="6" s="1"/>
  <c r="V408" i="6"/>
  <c r="R408" i="6" s="1"/>
  <c r="V407" i="6"/>
  <c r="R407" i="6" s="1"/>
  <c r="V406" i="6"/>
  <c r="R406" i="6" s="1"/>
  <c r="T404" i="6"/>
  <c r="R404" i="6" s="1"/>
  <c r="V401" i="6"/>
  <c r="R401" i="6" s="1"/>
  <c r="V400" i="6"/>
  <c r="R400" i="6" s="1"/>
  <c r="V399" i="6"/>
  <c r="R399" i="6" s="1"/>
  <c r="V398" i="6"/>
  <c r="R398" i="6" s="1"/>
  <c r="V396" i="6"/>
  <c r="R396" i="6" s="1"/>
  <c r="V395" i="6"/>
  <c r="R395" i="6" s="1"/>
  <c r="V263" i="6" l="1"/>
  <c r="R263" i="6" s="1"/>
  <c r="V259" i="6"/>
  <c r="R259" i="6" s="1"/>
  <c r="V165" i="6" l="1"/>
  <c r="R165" i="6" s="1"/>
  <c r="V207" i="6" l="1"/>
  <c r="R207" i="6" s="1"/>
  <c r="V169" i="6" l="1"/>
  <c r="R169" i="6" s="1"/>
  <c r="V57" i="6" l="1"/>
  <c r="R57" i="6" s="1"/>
  <c r="V56" i="6"/>
  <c r="R56" i="6" s="1"/>
  <c r="V55" i="6"/>
  <c r="R55" i="6" s="1"/>
  <c r="V54" i="6"/>
  <c r="R54" i="6" s="1"/>
  <c r="V3" i="6" l="1"/>
  <c r="R3" i="6" s="1"/>
  <c r="R2" i="6" l="1"/>
  <c r="Q2" i="6"/>
  <c r="AM2" i="6" l="1"/>
  <c r="AB2" i="6"/>
  <c r="AC2" i="6" s="1"/>
  <c r="R2122" i="6" l="1"/>
  <c r="R2179" i="6"/>
</calcChain>
</file>

<file path=xl/sharedStrings.xml><?xml version="1.0" encoding="utf-8"?>
<sst xmlns="http://schemas.openxmlformats.org/spreadsheetml/2006/main" count="48908" uniqueCount="5541">
  <si>
    <t>PENDING SHIPMENT REPORT</t>
  </si>
  <si>
    <t>S:NO</t>
  </si>
  <si>
    <t>DATE OF ARRIVAL</t>
  </si>
  <si>
    <t>UNLODING 
START TIME</t>
  </si>
  <si>
    <t xml:space="preserve"> UNLODING 
END TIME</t>
  </si>
  <si>
    <t>FRD TIME</t>
  </si>
  <si>
    <t>TRUCK NUM</t>
  </si>
  <si>
    <t>SHIPPER NAME</t>
  </si>
  <si>
    <t>CONSIGNEE
 NAME</t>
  </si>
  <si>
    <t>DESTINATION</t>
  </si>
  <si>
    <t>HAWB</t>
  </si>
  <si>
    <t>INVOICE NUM</t>
  </si>
  <si>
    <t>CASE NO</t>
  </si>
  <si>
    <t>NO OF CARTONS</t>
  </si>
  <si>
    <t>NO OF WOODEN CASE</t>
  </si>
  <si>
    <t>CUSTOMER SERVICE NAME</t>
  </si>
  <si>
    <t>INVOICE WEIGHT</t>
  </si>
  <si>
    <t>L CMS</t>
  </si>
  <si>
    <t>B CMS</t>
  </si>
  <si>
    <t>H CMS</t>
  </si>
  <si>
    <t>VOLUME WEIGHT</t>
  </si>
  <si>
    <t>CBM</t>
  </si>
  <si>
    <t>E-WAY BILL NO</t>
  </si>
  <si>
    <t>INVOICE VALUE</t>
  </si>
  <si>
    <t>DOCS RECD</t>
  </si>
  <si>
    <t>LOCATION</t>
  </si>
  <si>
    <t>DAYS IN WAREHOUSE</t>
  </si>
  <si>
    <t>REMARKS</t>
  </si>
  <si>
    <t>FUMIGATION STATUS</t>
  </si>
  <si>
    <t>MAWB</t>
  </si>
  <si>
    <t>SHIP DATE</t>
  </si>
  <si>
    <t>TRUCK TYPE</t>
  </si>
  <si>
    <t>NO OF TRIP</t>
  </si>
  <si>
    <t>TRUCK OUT TIME - WH</t>
  </si>
  <si>
    <t>TRUCK IN TIME - AIRPORT</t>
  </si>
  <si>
    <t>TRUCK OUT TIME - AIRPORT</t>
  </si>
  <si>
    <t>LABELS PASTED BY</t>
  </si>
  <si>
    <t>YES</t>
  </si>
  <si>
    <t>UK</t>
  </si>
  <si>
    <t>R4</t>
  </si>
  <si>
    <t>CAMERON</t>
  </si>
  <si>
    <t>NO</t>
  </si>
  <si>
    <t>USA</t>
  </si>
  <si>
    <t>AUSTRALIA</t>
  </si>
  <si>
    <t>CHINA</t>
  </si>
  <si>
    <t>RABWIN</t>
  </si>
  <si>
    <t>SRI RANGANATHAR</t>
  </si>
  <si>
    <t>R5</t>
  </si>
  <si>
    <t>NIL</t>
  </si>
  <si>
    <t>R3</t>
  </si>
  <si>
    <t>R6</t>
  </si>
  <si>
    <t>R8</t>
  </si>
  <si>
    <t>L3</t>
  </si>
  <si>
    <t>PVG</t>
  </si>
  <si>
    <t>R2</t>
  </si>
  <si>
    <t>ANUGRAHA</t>
  </si>
  <si>
    <t>R7</t>
  </si>
  <si>
    <t>GE OIL &amp; GAS</t>
  </si>
  <si>
    <t>R1</t>
  </si>
  <si>
    <t>FRANCE</t>
  </si>
  <si>
    <t>Carton in DIM</t>
  </si>
  <si>
    <t>PARTHA</t>
  </si>
  <si>
    <t>HONEYWELL</t>
  </si>
  <si>
    <t>CJB</t>
  </si>
  <si>
    <t>GERMANY</t>
  </si>
  <si>
    <t>20FT</t>
  </si>
  <si>
    <t>WH</t>
  </si>
  <si>
    <t>MAN</t>
  </si>
  <si>
    <t>AMS</t>
  </si>
  <si>
    <t>CUMMINS</t>
  </si>
  <si>
    <t>CDG</t>
  </si>
  <si>
    <t>DRESSER ITALIA</t>
  </si>
  <si>
    <t>FCO</t>
  </si>
  <si>
    <t>DRESSER PRODUITS</t>
  </si>
  <si>
    <t>CANADA</t>
  </si>
  <si>
    <t>IGP</t>
  </si>
  <si>
    <t>BRAZIL</t>
  </si>
  <si>
    <t>FRA</t>
  </si>
  <si>
    <t>PIT</t>
  </si>
  <si>
    <t>ATL</t>
  </si>
  <si>
    <t>GUESS</t>
  </si>
  <si>
    <t>HKG</t>
  </si>
  <si>
    <t>SOORAJ</t>
  </si>
  <si>
    <t>MCO</t>
  </si>
  <si>
    <t>YYZ</t>
  </si>
  <si>
    <t>EATON</t>
  </si>
  <si>
    <t>COOPER</t>
  </si>
  <si>
    <t>STL</t>
  </si>
  <si>
    <t>TN11AL0141</t>
  </si>
  <si>
    <t>BNA</t>
  </si>
  <si>
    <t>LIL</t>
  </si>
  <si>
    <t>NOKIA</t>
  </si>
  <si>
    <t>DRESSER LLC</t>
  </si>
  <si>
    <t>SDF</t>
  </si>
  <si>
    <t>L2</t>
  </si>
  <si>
    <t>TN22DF6750</t>
  </si>
  <si>
    <t>MEM</t>
  </si>
  <si>
    <t>C.R.GARMENTS</t>
  </si>
  <si>
    <t>ICN</t>
  </si>
  <si>
    <t>ROOTS</t>
  </si>
  <si>
    <t>GAP</t>
  </si>
  <si>
    <t>TN11U5974</t>
  </si>
  <si>
    <t>PARKER</t>
  </si>
  <si>
    <t>CTNS ACTUAL WEIGHT</t>
  </si>
  <si>
    <t>W.C ACTUAL WEIGHT</t>
  </si>
  <si>
    <t>S.BILL NO 2</t>
  </si>
  <si>
    <t>L1</t>
  </si>
  <si>
    <t>IND</t>
  </si>
  <si>
    <t>AMOUNT IN</t>
  </si>
  <si>
    <t>USD</t>
  </si>
  <si>
    <t>BAKER</t>
  </si>
  <si>
    <t>EURO</t>
  </si>
  <si>
    <t>DIESEL</t>
  </si>
  <si>
    <t>TOTAL NO OF PCS</t>
  </si>
  <si>
    <t>TOTAL WEIGHT</t>
  </si>
  <si>
    <t xml:space="preserve">S.BILL NO </t>
  </si>
  <si>
    <t>S.BILL DATE</t>
  </si>
  <si>
    <t>TN11P4655</t>
  </si>
  <si>
    <t>SANMINA</t>
  </si>
  <si>
    <t>MIP</t>
  </si>
  <si>
    <t>IAH</t>
  </si>
  <si>
    <t>YUL</t>
  </si>
  <si>
    <t>17FT</t>
  </si>
  <si>
    <t>MAO</t>
  </si>
  <si>
    <t>DRESSER</t>
  </si>
  <si>
    <t>BELGIUM</t>
  </si>
  <si>
    <t>TN22DF8334</t>
  </si>
  <si>
    <t>DFW</t>
  </si>
  <si>
    <t>ORD</t>
  </si>
  <si>
    <t>PEEKAY STEEL</t>
  </si>
  <si>
    <t>ROYAL CLASSIC</t>
  </si>
  <si>
    <t>SIN</t>
  </si>
  <si>
    <t>MKE</t>
  </si>
  <si>
    <t>TN22DD1020</t>
  </si>
  <si>
    <t>MSP</t>
  </si>
  <si>
    <t>JFK</t>
  </si>
  <si>
    <t>TN22DF7308</t>
  </si>
  <si>
    <t>LAX</t>
  </si>
  <si>
    <t>SUSIN</t>
  </si>
  <si>
    <t>ITALY</t>
  </si>
  <si>
    <t>SUNDRAM FASTENERS</t>
  </si>
  <si>
    <t>GE GRID</t>
  </si>
  <si>
    <t>BRU</t>
  </si>
  <si>
    <t>DXB</t>
  </si>
  <si>
    <t>SUNDARAM CLAYTON</t>
  </si>
  <si>
    <t>NASER BALI</t>
  </si>
  <si>
    <t>ACUSHNET</t>
  </si>
  <si>
    <t>LHR</t>
  </si>
  <si>
    <t>TN22DF4606</t>
  </si>
  <si>
    <t>ARMSTRONG</t>
  </si>
  <si>
    <t>MEX</t>
  </si>
  <si>
    <t>TN22CQ9156</t>
  </si>
  <si>
    <t>AIRPORT</t>
  </si>
  <si>
    <t>DRESSER MASONEILAN</t>
  </si>
  <si>
    <t>MEXICO</t>
  </si>
  <si>
    <t>UAE</t>
  </si>
  <si>
    <t>VEEYES ALLOYS</t>
  </si>
  <si>
    <t>CHS</t>
  </si>
  <si>
    <t>JAPAN</t>
  </si>
  <si>
    <t>NRT</t>
  </si>
  <si>
    <t>MALAYSIA</t>
  </si>
  <si>
    <t>PER</t>
  </si>
  <si>
    <t>DRESSER JAPAN</t>
  </si>
  <si>
    <t>GRU</t>
  </si>
  <si>
    <t>JAIN OVERSEAS</t>
  </si>
  <si>
    <t>TN22CR3117</t>
  </si>
  <si>
    <t>KLINGER</t>
  </si>
  <si>
    <t>PERTH</t>
  </si>
  <si>
    <t>TRANSPORTERS</t>
  </si>
  <si>
    <t>SHIPPER OWN</t>
  </si>
  <si>
    <t>CENTRAL</t>
  </si>
  <si>
    <t>BVM</t>
  </si>
  <si>
    <t>FAIVELEY</t>
  </si>
  <si>
    <t>TN11P1969</t>
  </si>
  <si>
    <t>GARRETT</t>
  </si>
  <si>
    <t>HUNGARY</t>
  </si>
  <si>
    <t>TN22DF7231</t>
  </si>
  <si>
    <t>ELP</t>
  </si>
  <si>
    <t>KMF</t>
  </si>
  <si>
    <t>BNE</t>
  </si>
  <si>
    <t>TCS</t>
  </si>
  <si>
    <t>BUD</t>
  </si>
  <si>
    <t>R9</t>
  </si>
  <si>
    <t>TN11P7353</t>
  </si>
  <si>
    <t>K H EXPORTS</t>
  </si>
  <si>
    <t>EGSTON</t>
  </si>
  <si>
    <t>SINGAPORE</t>
  </si>
  <si>
    <t>BARANI</t>
  </si>
  <si>
    <t>BORGWARNER</t>
  </si>
  <si>
    <t>TRITIUM</t>
  </si>
  <si>
    <t>SYD</t>
  </si>
  <si>
    <t>AMBATTUR FASHION</t>
  </si>
  <si>
    <t>THE GAP</t>
  </si>
  <si>
    <t>TN04AT4623</t>
  </si>
  <si>
    <t>MTY</t>
  </si>
  <si>
    <t>DANFOSS</t>
  </si>
  <si>
    <t>PEK</t>
  </si>
  <si>
    <t>PHILIPS</t>
  </si>
  <si>
    <t>KONE</t>
  </si>
  <si>
    <t>ABI-SHOWATECH</t>
  </si>
  <si>
    <t>TN01AC4376</t>
  </si>
  <si>
    <t>XPO</t>
  </si>
  <si>
    <t>DMM</t>
  </si>
  <si>
    <t>TN22CQ9033</t>
  </si>
  <si>
    <t>ARUNA ALLOY</t>
  </si>
  <si>
    <t>CHA</t>
  </si>
  <si>
    <t>TRO</t>
  </si>
  <si>
    <t>GREAT</t>
  </si>
  <si>
    <t>TRIWAY</t>
  </si>
  <si>
    <t>SNS</t>
  </si>
  <si>
    <t>LEO</t>
  </si>
  <si>
    <t>JAI LOG</t>
  </si>
  <si>
    <t>ESWA</t>
  </si>
  <si>
    <t>CLE</t>
  </si>
  <si>
    <t>BALA</t>
  </si>
  <si>
    <t>AMOGHA</t>
  </si>
  <si>
    <t>GARUDA</t>
  </si>
  <si>
    <t>GE POWER</t>
  </si>
  <si>
    <t>TN22DL6059</t>
  </si>
  <si>
    <t>RIGHTWAY</t>
  </si>
  <si>
    <t>STAR</t>
  </si>
  <si>
    <t>SUNVIEW</t>
  </si>
  <si>
    <t>AMOGA</t>
  </si>
  <si>
    <t>MANDI</t>
  </si>
  <si>
    <t>ST JOHN</t>
  </si>
  <si>
    <t>DD</t>
  </si>
  <si>
    <t>HIKO</t>
  </si>
  <si>
    <t>SAKVINYL SOLUTIONS</t>
  </si>
  <si>
    <t>FLOW LINK </t>
  </si>
  <si>
    <t>PEN</t>
  </si>
  <si>
    <t>PENGUIN GARMENTS</t>
  </si>
  <si>
    <t>SHANGHAI</t>
  </si>
  <si>
    <t>SAN</t>
  </si>
  <si>
    <t>GOWTHAM</t>
  </si>
  <si>
    <t>BRAY CONTROLS</t>
  </si>
  <si>
    <t>TN30BM9830</t>
  </si>
  <si>
    <t>INDIA NIPPON</t>
  </si>
  <si>
    <t>KOHLER</t>
  </si>
  <si>
    <t>FACTORY</t>
  </si>
  <si>
    <t>MSY</t>
  </si>
  <si>
    <t>TN85J7198</t>
  </si>
  <si>
    <t>SAMSON</t>
  </si>
  <si>
    <t>SLC</t>
  </si>
  <si>
    <t>CLR</t>
  </si>
  <si>
    <t>TN22DV7358</t>
  </si>
  <si>
    <t>PY01J8125</t>
  </si>
  <si>
    <t>CMB</t>
  </si>
  <si>
    <t>RDU</t>
  </si>
  <si>
    <t>SAKTHI INFRA</t>
  </si>
  <si>
    <t>WTS</t>
  </si>
  <si>
    <t>WIN (INDIA)</t>
  </si>
  <si>
    <t>JABIL CIRCUIT</t>
  </si>
  <si>
    <t>TN22DE7866</t>
  </si>
  <si>
    <t>INGERSOLL</t>
  </si>
  <si>
    <t>GE T&amp;D</t>
  </si>
  <si>
    <t>CLT</t>
  </si>
  <si>
    <t>TELAMON</t>
  </si>
  <si>
    <t>NEW REAL APPARELS</t>
  </si>
  <si>
    <t>ARIAT</t>
  </si>
  <si>
    <t>MCI</t>
  </si>
  <si>
    <t>PRACHI EXPORTS</t>
  </si>
  <si>
    <t>TN12AP8527</t>
  </si>
  <si>
    <t>RASIM EXPORTS</t>
  </si>
  <si>
    <t>TN11AK5617</t>
  </si>
  <si>
    <t>POLAND</t>
  </si>
  <si>
    <t>TN22DF7290</t>
  </si>
  <si>
    <t>SEVERN GLOCON</t>
  </si>
  <si>
    <t>TN09BQ7789</t>
  </si>
  <si>
    <t>FLYJACK</t>
  </si>
  <si>
    <t>TN18F8976</t>
  </si>
  <si>
    <t>DUBAI</t>
  </si>
  <si>
    <t>GRAVITY</t>
  </si>
  <si>
    <t>TAO</t>
  </si>
  <si>
    <t>TN05BT2194</t>
  </si>
  <si>
    <t>TN20CW3570</t>
  </si>
  <si>
    <t>TN22DD1012</t>
  </si>
  <si>
    <t>TN39CS7647</t>
  </si>
  <si>
    <t>AUTOTECH</t>
  </si>
  <si>
    <t>TN11P1942</t>
  </si>
  <si>
    <t>TN22CQ9094</t>
  </si>
  <si>
    <t>TN22DJ2724</t>
  </si>
  <si>
    <t>AIRBORNE</t>
  </si>
  <si>
    <t>MOHIB SHOES</t>
  </si>
  <si>
    <t>SAUDI ARABIA</t>
  </si>
  <si>
    <t>MRL</t>
  </si>
  <si>
    <t>JS</t>
  </si>
  <si>
    <t>MXP</t>
  </si>
  <si>
    <t>FLEXTRONICS</t>
  </si>
  <si>
    <t>TN20BU3605</t>
  </si>
  <si>
    <t>TN22DF8533</t>
  </si>
  <si>
    <t>TN22CS7066</t>
  </si>
  <si>
    <t>DELTA CNC</t>
  </si>
  <si>
    <t>AMPHENOL</t>
  </si>
  <si>
    <t>TN11R6340</t>
  </si>
  <si>
    <t>GDL</t>
  </si>
  <si>
    <t>TN32C5160</t>
  </si>
  <si>
    <t>G-PLAST</t>
  </si>
  <si>
    <t>TN22CZ5621</t>
  </si>
  <si>
    <t>TN85D3948</t>
  </si>
  <si>
    <t>HAYLEYS</t>
  </si>
  <si>
    <t>M/S.P.A.FOOTWEAR</t>
  </si>
  <si>
    <t>OXFORD APPARELS</t>
  </si>
  <si>
    <t>TALEMA ELECTRONIC</t>
  </si>
  <si>
    <t>FLYJAC</t>
  </si>
  <si>
    <t>TN22DB0292</t>
  </si>
  <si>
    <t>EVOLV CLOTHING</t>
  </si>
  <si>
    <t>OWN</t>
  </si>
  <si>
    <t>TN22DE6594</t>
  </si>
  <si>
    <t>OPEN</t>
  </si>
  <si>
    <t>TN22DD0921</t>
  </si>
  <si>
    <t>TATA ACE</t>
  </si>
  <si>
    <t>COACH</t>
  </si>
  <si>
    <t>INDIA YAMAHA</t>
  </si>
  <si>
    <t>YAMAHA</t>
  </si>
  <si>
    <t>TN73AC4689</t>
  </si>
  <si>
    <t>SRIVARI</t>
  </si>
  <si>
    <t>1 TO 3</t>
  </si>
  <si>
    <t>WAITING</t>
  </si>
  <si>
    <t>SCHENKER LOGISTICS</t>
  </si>
  <si>
    <t>RB AGENCY </t>
  </si>
  <si>
    <t>SWITZERLAND</t>
  </si>
  <si>
    <t>TN04AL0289</t>
  </si>
  <si>
    <t>HGH</t>
  </si>
  <si>
    <t>SZV</t>
  </si>
  <si>
    <t>TN12F7065</t>
  </si>
  <si>
    <t>PSKT LOGISTICS </t>
  </si>
  <si>
    <t>TN22DB0348</t>
  </si>
  <si>
    <t>TN22DF6223</t>
  </si>
  <si>
    <t>TN58BA2511</t>
  </si>
  <si>
    <t>TN22DF8344</t>
  </si>
  <si>
    <t>TN11AY3165</t>
  </si>
  <si>
    <t>TN85 7957</t>
  </si>
  <si>
    <t>SANMAR MATRIX</t>
  </si>
  <si>
    <t>TN37BX0676</t>
  </si>
  <si>
    <t>NS INSTRUMENTS</t>
  </si>
  <si>
    <t>NIPPON</t>
  </si>
  <si>
    <t>KHIMJEE HUNSRAJ</t>
  </si>
  <si>
    <t>ERIC SCOTT</t>
  </si>
  <si>
    <t>JABIL</t>
  </si>
  <si>
    <t>SANMINA-SCI INDIA PVT</t>
  </si>
  <si>
    <t>HONG KONG</t>
  </si>
  <si>
    <t>TN85C3103</t>
  </si>
  <si>
    <t>ALLISON</t>
  </si>
  <si>
    <t>YET TO</t>
  </si>
  <si>
    <t>ORIENT</t>
  </si>
  <si>
    <t>TN93D6703</t>
  </si>
  <si>
    <t>DED2837</t>
  </si>
  <si>
    <t>KRK</t>
  </si>
  <si>
    <t>GE ENERGY</t>
  </si>
  <si>
    <t>TN04AD8548</t>
  </si>
  <si>
    <t>FREUDENBERG</t>
  </si>
  <si>
    <t>3DB18141AAAA</t>
  </si>
  <si>
    <t>BECKMAN</t>
  </si>
  <si>
    <t>ASCO</t>
  </si>
  <si>
    <t>BASS PRO</t>
  </si>
  <si>
    <t>HTL</t>
  </si>
  <si>
    <t>LAKSHMI RING</t>
  </si>
  <si>
    <t>SUPRIME ENGINEERING</t>
  </si>
  <si>
    <t>KF VALVES</t>
  </si>
  <si>
    <t>D81211</t>
  </si>
  <si>
    <t>TN39CR3205</t>
  </si>
  <si>
    <t>BRAY</t>
  </si>
  <si>
    <t>TN37CU8888</t>
  </si>
  <si>
    <t>1 OFF 1</t>
  </si>
  <si>
    <t>1 TO 2</t>
  </si>
  <si>
    <t>EXP-014</t>
  </si>
  <si>
    <t>TN09BP4987</t>
  </si>
  <si>
    <t>1 TO 4</t>
  </si>
  <si>
    <t>MIA</t>
  </si>
  <si>
    <t>TN54M9606</t>
  </si>
  <si>
    <t>AB GLOBAL</t>
  </si>
  <si>
    <t>NEIMAN MARCUS</t>
  </si>
  <si>
    <t>M/S.KLINGER</t>
  </si>
  <si>
    <t>TN39CS6084</t>
  </si>
  <si>
    <t>EXTERRAN MIDDLE</t>
  </si>
  <si>
    <t>OMAN</t>
  </si>
  <si>
    <t>TN04AC0914</t>
  </si>
  <si>
    <t>HARLEY DAVIDSON</t>
  </si>
  <si>
    <t>TN79K1607</t>
  </si>
  <si>
    <t>MCT</t>
  </si>
  <si>
    <t>1 TO 5</t>
  </si>
  <si>
    <t>TN10AF1838</t>
  </si>
  <si>
    <t>TN73C1321</t>
  </si>
  <si>
    <t>ROOP POLYMERS</t>
  </si>
  <si>
    <t>ZF COMMERCIAL</t>
  </si>
  <si>
    <t>TN22DF6799</t>
  </si>
  <si>
    <t>BOS</t>
  </si>
  <si>
    <t>TN69BE6477</t>
  </si>
  <si>
    <t>TN11AZ6222</t>
  </si>
  <si>
    <t>HABASIT</t>
  </si>
  <si>
    <t>TN22DF6750/TN22DF7308</t>
  </si>
  <si>
    <t>ABZ</t>
  </si>
  <si>
    <t>TN11P4720</t>
  </si>
  <si>
    <t>KONE ELEVATOR</t>
  </si>
  <si>
    <t>KONE INC</t>
  </si>
  <si>
    <t>PETER MILLAR</t>
  </si>
  <si>
    <t>ATV PRECISION</t>
  </si>
  <si>
    <t>TN39AH5828</t>
  </si>
  <si>
    <t>TVS SRICHAKRA</t>
  </si>
  <si>
    <t>PRONAR</t>
  </si>
  <si>
    <t>SVM</t>
  </si>
  <si>
    <t>PLEXUS</t>
  </si>
  <si>
    <t>MLH</t>
  </si>
  <si>
    <t>TN11P4655/TN11P1969</t>
  </si>
  <si>
    <t>WAW</t>
  </si>
  <si>
    <t>KENSHO</t>
  </si>
  <si>
    <t>NA</t>
  </si>
  <si>
    <t>VINEYARD</t>
  </si>
  <si>
    <t>CVG</t>
  </si>
  <si>
    <t>DTW</t>
  </si>
  <si>
    <t>INDIA SHOES</t>
  </si>
  <si>
    <t>PAUL SMITH</t>
  </si>
  <si>
    <t>TN39CR3288</t>
  </si>
  <si>
    <t>TN04J0022</t>
  </si>
  <si>
    <t>TN23U6707</t>
  </si>
  <si>
    <t>ROMANIA</t>
  </si>
  <si>
    <t>SRG APPARELS</t>
  </si>
  <si>
    <t>JETZ</t>
  </si>
  <si>
    <t>PMS</t>
  </si>
  <si>
    <t>CACPL GLOBAL</t>
  </si>
  <si>
    <t>1 TO 6</t>
  </si>
  <si>
    <t>1 TO 8</t>
  </si>
  <si>
    <t>SMITA EXPORTS</t>
  </si>
  <si>
    <t>PT.GOLDEN</t>
  </si>
  <si>
    <t>INDONESIA</t>
  </si>
  <si>
    <t>YESGCARGO</t>
  </si>
  <si>
    <t>ATLANTA</t>
  </si>
  <si>
    <t>EMA</t>
  </si>
  <si>
    <t>SUB</t>
  </si>
  <si>
    <t>CAM ENGINEERED</t>
  </si>
  <si>
    <t>TN22DF9697</t>
  </si>
  <si>
    <t>KARNATAKA TURNED</t>
  </si>
  <si>
    <t>1 TO 7</t>
  </si>
  <si>
    <t>475587A</t>
  </si>
  <si>
    <t>TN07CC0203</t>
  </si>
  <si>
    <t>TN37DW1886</t>
  </si>
  <si>
    <t>SKYLINE EXPORTS</t>
  </si>
  <si>
    <t>TN39CU0671</t>
  </si>
  <si>
    <t>TN12Q2979</t>
  </si>
  <si>
    <t>TN28 3357</t>
  </si>
  <si>
    <t>QATAR</t>
  </si>
  <si>
    <t>HYDRIL</t>
  </si>
  <si>
    <t>DELPHI-TVS</t>
  </si>
  <si>
    <t>JOHNSON&amp;JOHNSON</t>
  </si>
  <si>
    <t>J P BODEN</t>
  </si>
  <si>
    <t>THERMO KING</t>
  </si>
  <si>
    <t>DOH</t>
  </si>
  <si>
    <t>TN04AZ6562</t>
  </si>
  <si>
    <t>TN42AA5827</t>
  </si>
  <si>
    <t>TN22DF7308/TN11P1969</t>
  </si>
  <si>
    <t>RETURN TO WH</t>
  </si>
  <si>
    <t>TAIWAN</t>
  </si>
  <si>
    <t>TN37DL0859</t>
  </si>
  <si>
    <t>NETHERLANDS</t>
  </si>
  <si>
    <t>TN39CJ1683</t>
  </si>
  <si>
    <t>TPE</t>
  </si>
  <si>
    <t xml:space="preserve">BY HAND </t>
  </si>
  <si>
    <t>THERMAL BLANKETS</t>
  </si>
  <si>
    <t>RAJARAM</t>
  </si>
  <si>
    <t>SUEERAA ALLOY</t>
  </si>
  <si>
    <t>TN76A4560</t>
  </si>
  <si>
    <t>TN21AH3855</t>
  </si>
  <si>
    <t>THAILAND</t>
  </si>
  <si>
    <t>TN22DH4564</t>
  </si>
  <si>
    <t>RUHRPUMPEN</t>
  </si>
  <si>
    <t xml:space="preserve">TRO </t>
  </si>
  <si>
    <t>ZMY</t>
  </si>
  <si>
    <t>BKK</t>
  </si>
  <si>
    <t>P01034924</t>
  </si>
  <si>
    <t>BAH</t>
  </si>
  <si>
    <t>PY01AM5031</t>
  </si>
  <si>
    <t>WILLAMS</t>
  </si>
  <si>
    <t>SANMINA-SCI</t>
  </si>
  <si>
    <t>29542280/29545469</t>
  </si>
  <si>
    <t>KUL</t>
  </si>
  <si>
    <t>TN22CQ9441</t>
  </si>
  <si>
    <t>TN04K8992</t>
  </si>
  <si>
    <t>3729/3737</t>
  </si>
  <si>
    <t>TN13X3991</t>
  </si>
  <si>
    <t>STANFAB APPARELS</t>
  </si>
  <si>
    <t>TN23W5607</t>
  </si>
  <si>
    <t>TN48BB9851</t>
  </si>
  <si>
    <t>JIANGSU</t>
  </si>
  <si>
    <t>TN22DF8358</t>
  </si>
  <si>
    <t>TN32AT9092</t>
  </si>
  <si>
    <t>MICROTECH</t>
  </si>
  <si>
    <t>SWEDEN</t>
  </si>
  <si>
    <t>TN11P4655 / TN22DF7308</t>
  </si>
  <si>
    <t>TN22DF7308 / TN11P1969</t>
  </si>
  <si>
    <t>SIMPSON</t>
  </si>
  <si>
    <t>BANGLADESH</t>
  </si>
  <si>
    <t>TN22DT2914</t>
  </si>
  <si>
    <t>TN22BM5715</t>
  </si>
  <si>
    <t>GOT</t>
  </si>
  <si>
    <t>EASTMAN EXPORTS</t>
  </si>
  <si>
    <t>DAC</t>
  </si>
  <si>
    <t>TN11P1969 / TN22DF7308</t>
  </si>
  <si>
    <t>IKONKM1331426G02</t>
  </si>
  <si>
    <t>TN22DF9614</t>
  </si>
  <si>
    <t>531425134598/</t>
  </si>
  <si>
    <t>42G0071782</t>
  </si>
  <si>
    <t>CIRCOR FLOW</t>
  </si>
  <si>
    <t>DIEBOLD</t>
  </si>
  <si>
    <t>VIETNAM</t>
  </si>
  <si>
    <t>42G0071801</t>
  </si>
  <si>
    <t>IN-XD 2340138</t>
  </si>
  <si>
    <t>P64264</t>
  </si>
  <si>
    <t>531425572152/</t>
  </si>
  <si>
    <t>VERIS FLOW</t>
  </si>
  <si>
    <t>KIX</t>
  </si>
  <si>
    <t>29545469/29542280</t>
  </si>
  <si>
    <t>DUS</t>
  </si>
  <si>
    <t>TN11P1969 / TN22DF6750</t>
  </si>
  <si>
    <t>TN02A8116</t>
  </si>
  <si>
    <t>ZETWERK</t>
  </si>
  <si>
    <t>EST ANALYTICAL</t>
  </si>
  <si>
    <t>AKA/UM/2223/02410</t>
  </si>
  <si>
    <t>INSAPLEX</t>
  </si>
  <si>
    <t>42G0071825</t>
  </si>
  <si>
    <t>B062</t>
  </si>
  <si>
    <t>531426104996/</t>
  </si>
  <si>
    <t>42G0071834</t>
  </si>
  <si>
    <t>HAN</t>
  </si>
  <si>
    <t>TN01AT5212</t>
  </si>
  <si>
    <t>42G0071828</t>
  </si>
  <si>
    <t>IV5512300669</t>
  </si>
  <si>
    <t>541426021122/</t>
  </si>
  <si>
    <t>IV5512300670</t>
  </si>
  <si>
    <t>571426021121/</t>
  </si>
  <si>
    <t>TN05CJ8730</t>
  </si>
  <si>
    <t>42G0071824</t>
  </si>
  <si>
    <t>551425995087/</t>
  </si>
  <si>
    <t>MYCO INDUSTRY</t>
  </si>
  <si>
    <t>IMI ORTON</t>
  </si>
  <si>
    <t>42G0071823</t>
  </si>
  <si>
    <t>V5BD003347352</t>
  </si>
  <si>
    <t>591426178861/</t>
  </si>
  <si>
    <t>AVIRAM KNITTERS</t>
  </si>
  <si>
    <t>B.N.T. INNOVATIONS</t>
  </si>
  <si>
    <t>M/S.AROPARK</t>
  </si>
  <si>
    <t>KNIT PRIME</t>
  </si>
  <si>
    <t>KAY VEE FASHION</t>
  </si>
  <si>
    <t>TN22CU9364</t>
  </si>
  <si>
    <t>42G0071672</t>
  </si>
  <si>
    <t>C-057</t>
  </si>
  <si>
    <t>521426154170/</t>
  </si>
  <si>
    <t>42G0071671</t>
  </si>
  <si>
    <t>C-056</t>
  </si>
  <si>
    <t>591426150533/</t>
  </si>
  <si>
    <t>42G0071670</t>
  </si>
  <si>
    <t>C-055</t>
  </si>
  <si>
    <t>551426149104/</t>
  </si>
  <si>
    <t>TN73AE0232</t>
  </si>
  <si>
    <t>ATV</t>
  </si>
  <si>
    <t>TN56K5547</t>
  </si>
  <si>
    <t>42G0071838</t>
  </si>
  <si>
    <t>B/HI/EX/23</t>
  </si>
  <si>
    <t>531426377952/</t>
  </si>
  <si>
    <t>42G0071831</t>
  </si>
  <si>
    <t>531426421866/</t>
  </si>
  <si>
    <t>5600007027A</t>
  </si>
  <si>
    <t>5600007027B</t>
  </si>
  <si>
    <t>TN31BF8843</t>
  </si>
  <si>
    <t>42G0071851</t>
  </si>
  <si>
    <t>EP06153</t>
  </si>
  <si>
    <t>8733-8734</t>
  </si>
  <si>
    <t>571426487295/</t>
  </si>
  <si>
    <t>TN14R8992</t>
  </si>
  <si>
    <t>42G0071863</t>
  </si>
  <si>
    <t>WIN/9312</t>
  </si>
  <si>
    <t>293/293/295</t>
  </si>
  <si>
    <t>501426741918/</t>
  </si>
  <si>
    <t>42G0071848</t>
  </si>
  <si>
    <t>5097289 </t>
  </si>
  <si>
    <t>28.10.2022</t>
  </si>
  <si>
    <t>5096379 </t>
  </si>
  <si>
    <t>531426105931/</t>
  </si>
  <si>
    <t>TN32T2802</t>
  </si>
  <si>
    <t>42G0071859</t>
  </si>
  <si>
    <t>1310009296-1310009344</t>
  </si>
  <si>
    <t>PL-487</t>
  </si>
  <si>
    <t>551426329272/</t>
  </si>
  <si>
    <t>1310009345-1310009352</t>
  </si>
  <si>
    <t>PL-492</t>
  </si>
  <si>
    <t>501426335302/</t>
  </si>
  <si>
    <t>1310009374-1310009379</t>
  </si>
  <si>
    <t>PL-496</t>
  </si>
  <si>
    <t>561526345114/</t>
  </si>
  <si>
    <t>1310009493-1310009527</t>
  </si>
  <si>
    <t>PL-508</t>
  </si>
  <si>
    <t>511426417421/</t>
  </si>
  <si>
    <t>1310009385-1310009417</t>
  </si>
  <si>
    <t>PL-497</t>
  </si>
  <si>
    <t>581426349646/</t>
  </si>
  <si>
    <t>1310009454-1310009458</t>
  </si>
  <si>
    <t>PL-501</t>
  </si>
  <si>
    <t>581426360126/</t>
  </si>
  <si>
    <t>1310009459-1310009467</t>
  </si>
  <si>
    <t>PL-502</t>
  </si>
  <si>
    <t>521426411442/</t>
  </si>
  <si>
    <t>42G0071857</t>
  </si>
  <si>
    <t>EX0622200034</t>
  </si>
  <si>
    <t>551426803747/</t>
  </si>
  <si>
    <t>42G0071865</t>
  </si>
  <si>
    <t>42G0071864</t>
  </si>
  <si>
    <t>42G0071850</t>
  </si>
  <si>
    <t>K70FGE2200116</t>
  </si>
  <si>
    <t>501426858809/</t>
  </si>
  <si>
    <t>K70FGE2200118</t>
  </si>
  <si>
    <t>561426859558/</t>
  </si>
  <si>
    <t>K70FGE2200119</t>
  </si>
  <si>
    <t>551426859919/</t>
  </si>
  <si>
    <t>K70FGE2200117</t>
  </si>
  <si>
    <t>501426859097/</t>
  </si>
  <si>
    <t>K70FGE2200121</t>
  </si>
  <si>
    <t>LFIALC3KC69993AAAE</t>
  </si>
  <si>
    <t>581426860275/</t>
  </si>
  <si>
    <t>K70FGE2200115</t>
  </si>
  <si>
    <t>LFIALC8DG63207AANE</t>
  </si>
  <si>
    <t>551426860601/</t>
  </si>
  <si>
    <t>ES0000885174</t>
  </si>
  <si>
    <t>501426804534/</t>
  </si>
  <si>
    <t>42G0071858</t>
  </si>
  <si>
    <t>ES0000885173</t>
  </si>
  <si>
    <t>531426804492/</t>
  </si>
  <si>
    <t>ES0000885175</t>
  </si>
  <si>
    <t>561426838094/</t>
  </si>
  <si>
    <t>TN11AW5240</t>
  </si>
  <si>
    <t>42G0071869</t>
  </si>
  <si>
    <t>EXPV03892223</t>
  </si>
  <si>
    <t>521426815587/</t>
  </si>
  <si>
    <t>EXPV03902223</t>
  </si>
  <si>
    <t>561426816074/</t>
  </si>
  <si>
    <t>EXPV03932223</t>
  </si>
  <si>
    <t>561426816706/</t>
  </si>
  <si>
    <t>805/807</t>
  </si>
  <si>
    <t>561427010237/</t>
  </si>
  <si>
    <t>42G0071868 </t>
  </si>
  <si>
    <t>591426773343/</t>
  </si>
  <si>
    <t>571426767902/</t>
  </si>
  <si>
    <t>571426770728/</t>
  </si>
  <si>
    <t>531426772256/</t>
  </si>
  <si>
    <t>501426771506/</t>
  </si>
  <si>
    <t>561426769819/</t>
  </si>
  <si>
    <t>591426768901/</t>
  </si>
  <si>
    <t>42G0071886</t>
  </si>
  <si>
    <t>521426860914/</t>
  </si>
  <si>
    <t>TN01P1432</t>
  </si>
  <si>
    <t>42G0071674 </t>
  </si>
  <si>
    <t>C-059</t>
  </si>
  <si>
    <t>541426912280/</t>
  </si>
  <si>
    <t>42G0071673 </t>
  </si>
  <si>
    <t>C-058</t>
  </si>
  <si>
    <t>561426910686/</t>
  </si>
  <si>
    <t>42G0071885</t>
  </si>
  <si>
    <t>42G0071643</t>
  </si>
  <si>
    <t>EU3400001674</t>
  </si>
  <si>
    <t>521427378290/</t>
  </si>
  <si>
    <t>EU3400001672</t>
  </si>
  <si>
    <t>501427375716/</t>
  </si>
  <si>
    <t>42G0071642</t>
  </si>
  <si>
    <t>EU3400001673</t>
  </si>
  <si>
    <t>571427382085/</t>
  </si>
  <si>
    <t>42G0071644</t>
  </si>
  <si>
    <t>TN3300036591</t>
  </si>
  <si>
    <t>521427383997/</t>
  </si>
  <si>
    <t>42G0071889</t>
  </si>
  <si>
    <t>SVE/G1037</t>
  </si>
  <si>
    <t>531427465201/</t>
  </si>
  <si>
    <t>SVE/G1039</t>
  </si>
  <si>
    <t>551427466622/</t>
  </si>
  <si>
    <t>SVE/G1040</t>
  </si>
  <si>
    <t>541427469912/</t>
  </si>
  <si>
    <t>SVE/G1044</t>
  </si>
  <si>
    <t>521427468364/</t>
  </si>
  <si>
    <t>SVE/G1042</t>
  </si>
  <si>
    <t>591427463641/</t>
  </si>
  <si>
    <t>42G0071873</t>
  </si>
  <si>
    <t>591427360920/</t>
  </si>
  <si>
    <t>42G0071871 </t>
  </si>
  <si>
    <t>EXP/554</t>
  </si>
  <si>
    <t>541427414194/</t>
  </si>
  <si>
    <t>42G0071883</t>
  </si>
  <si>
    <t>RV0922102589</t>
  </si>
  <si>
    <t>501427337745/</t>
  </si>
  <si>
    <t>42G0071878 </t>
  </si>
  <si>
    <t>581427400140/</t>
  </si>
  <si>
    <t>ROOTS INDUSTRIES</t>
  </si>
  <si>
    <t>42G0071888</t>
  </si>
  <si>
    <t>ISRAEL</t>
  </si>
  <si>
    <t>521427447813/</t>
  </si>
  <si>
    <t>42G0071875</t>
  </si>
  <si>
    <t>531427385251/</t>
  </si>
  <si>
    <t>42G0071879</t>
  </si>
  <si>
    <t>581427319437/</t>
  </si>
  <si>
    <t>42G0071880</t>
  </si>
  <si>
    <t>561427320657/</t>
  </si>
  <si>
    <t>TN86H2023</t>
  </si>
  <si>
    <t>M/S.WEICO</t>
  </si>
  <si>
    <t>42G0071892 </t>
  </si>
  <si>
    <t>652/22-23</t>
  </si>
  <si>
    <t>571427464198/</t>
  </si>
  <si>
    <t>42G0071877 </t>
  </si>
  <si>
    <t>F25511220918</t>
  </si>
  <si>
    <t>541427344284/</t>
  </si>
  <si>
    <t>42G0071884</t>
  </si>
  <si>
    <t>F25511220920</t>
  </si>
  <si>
    <t>511427344285/</t>
  </si>
  <si>
    <t>F25511220900</t>
  </si>
  <si>
    <t>581427344260/</t>
  </si>
  <si>
    <t>F25511220883</t>
  </si>
  <si>
    <t>521427344259/</t>
  </si>
  <si>
    <t>42G0071870</t>
  </si>
  <si>
    <t>F25511220922</t>
  </si>
  <si>
    <t>571427344308/</t>
  </si>
  <si>
    <t>235-06048803</t>
  </si>
  <si>
    <t>607-28061681</t>
  </si>
  <si>
    <t>176-59616141</t>
  </si>
  <si>
    <t>157-81364603</t>
  </si>
  <si>
    <t>160-48702091</t>
  </si>
  <si>
    <t>176-55021702</t>
  </si>
  <si>
    <t>618-24836755</t>
  </si>
  <si>
    <t>618-24631434</t>
  </si>
  <si>
    <t>860-03126082</t>
  </si>
  <si>
    <t>TN22DF7308 / TN11P4655</t>
  </si>
  <si>
    <t>TN05CC6099/TN39CU4830</t>
  </si>
  <si>
    <t>42G0071894</t>
  </si>
  <si>
    <t>2476/3737/4799/197</t>
  </si>
  <si>
    <t>581427621332/</t>
  </si>
  <si>
    <t>42G0071895 </t>
  </si>
  <si>
    <t>29699/29737/34101/31817/32406/2808936064</t>
  </si>
  <si>
    <t>561427625114/</t>
  </si>
  <si>
    <t>42G0071895</t>
  </si>
  <si>
    <t>24557/28999/24560</t>
  </si>
  <si>
    <t>521427624911/</t>
  </si>
  <si>
    <t>42G0071901</t>
  </si>
  <si>
    <t>EOUEXP0334</t>
  </si>
  <si>
    <t>561427795587/</t>
  </si>
  <si>
    <t>42G0071898</t>
  </si>
  <si>
    <t>NSSEX-220076</t>
  </si>
  <si>
    <t>151549151738/</t>
  </si>
  <si>
    <t>42G0071881</t>
  </si>
  <si>
    <t>A0379</t>
  </si>
  <si>
    <t>571427432661/</t>
  </si>
  <si>
    <t>42G0071874 </t>
  </si>
  <si>
    <t>A0380</t>
  </si>
  <si>
    <t>531427435217/</t>
  </si>
  <si>
    <t>42G0071893</t>
  </si>
  <si>
    <t>551427644637/</t>
  </si>
  <si>
    <t>581427644636/</t>
  </si>
  <si>
    <t>511427644635/</t>
  </si>
  <si>
    <t>42G0071890</t>
  </si>
  <si>
    <t>541427644634/</t>
  </si>
  <si>
    <t>JIAN MANKUN</t>
  </si>
  <si>
    <t>42G0071659</t>
  </si>
  <si>
    <t>TN23PSB-95000008</t>
  </si>
  <si>
    <t>591427885478/</t>
  </si>
  <si>
    <t>42G0071905</t>
  </si>
  <si>
    <t>IGP07592/22-23</t>
  </si>
  <si>
    <t>21018276-REV.1</t>
  </si>
  <si>
    <t>531427904379/</t>
  </si>
  <si>
    <t>501427644632/</t>
  </si>
  <si>
    <t>571427644633/</t>
  </si>
  <si>
    <t>531427644631/</t>
  </si>
  <si>
    <t>PEGATRON</t>
  </si>
  <si>
    <t>SCHENKER AUSTRALIA</t>
  </si>
  <si>
    <t>42G0071707</t>
  </si>
  <si>
    <t>IN221100002</t>
  </si>
  <si>
    <t>K70FGE2200122</t>
  </si>
  <si>
    <t>591427837648/</t>
  </si>
  <si>
    <t>TN04AL5672</t>
  </si>
  <si>
    <t>42G0071906</t>
  </si>
  <si>
    <t>BDJRW003</t>
  </si>
  <si>
    <t>BDJRW0</t>
  </si>
  <si>
    <t>521427887080/</t>
  </si>
  <si>
    <t>42G0071902</t>
  </si>
  <si>
    <t>CCEXP027</t>
  </si>
  <si>
    <t>29545469/29545926/23049392</t>
  </si>
  <si>
    <t>541427863776/</t>
  </si>
  <si>
    <t>42G0071903</t>
  </si>
  <si>
    <t>CCEXP029</t>
  </si>
  <si>
    <t>551427869355/</t>
  </si>
  <si>
    <t>42G0071904</t>
  </si>
  <si>
    <t>CCEXP028</t>
  </si>
  <si>
    <t>511427865760/</t>
  </si>
  <si>
    <t>42G0071926</t>
  </si>
  <si>
    <t>NRA/064</t>
  </si>
  <si>
    <t>521428081665/</t>
  </si>
  <si>
    <t>42G0071896</t>
  </si>
  <si>
    <t>TN22DE7978/TN20AM2841</t>
  </si>
  <si>
    <t>SHANGHAI TIANYUXIN</t>
  </si>
  <si>
    <t>F25511220693</t>
  </si>
  <si>
    <t>551427858366/</t>
  </si>
  <si>
    <t>SHANGHAI MERIMAX</t>
  </si>
  <si>
    <t>F25511220954</t>
  </si>
  <si>
    <t>551427858395/</t>
  </si>
  <si>
    <t>TN20AM2841</t>
  </si>
  <si>
    <t>42G0071826</t>
  </si>
  <si>
    <t>E01874</t>
  </si>
  <si>
    <t>521427856697/</t>
  </si>
  <si>
    <t>42G0071882</t>
  </si>
  <si>
    <t>EXPV03882223</t>
  </si>
  <si>
    <t>511427891400/</t>
  </si>
  <si>
    <t>42G0071907</t>
  </si>
  <si>
    <t>511427980104/</t>
  </si>
  <si>
    <t>42G0071909</t>
  </si>
  <si>
    <t>824/842/844/845</t>
  </si>
  <si>
    <t>24557/24560/33923/29737/31802/</t>
  </si>
  <si>
    <t>511427978958/</t>
  </si>
  <si>
    <t>42G0071914</t>
  </si>
  <si>
    <t>501427979844/</t>
  </si>
  <si>
    <t>TN11AW5229</t>
  </si>
  <si>
    <t>42G0071899</t>
  </si>
  <si>
    <t>KMF/EX/22-23/14</t>
  </si>
  <si>
    <t>531428177219/</t>
  </si>
  <si>
    <t>42G0071919</t>
  </si>
  <si>
    <t>IGP07691</t>
  </si>
  <si>
    <t>511428181397/</t>
  </si>
  <si>
    <t>42G0071927</t>
  </si>
  <si>
    <t>581428126258/</t>
  </si>
  <si>
    <t>160-45382282</t>
  </si>
  <si>
    <t>057-10255206</t>
  </si>
  <si>
    <t>157-81364824</t>
  </si>
  <si>
    <t>603-47973940</t>
  </si>
  <si>
    <t>42G0071877</t>
  </si>
  <si>
    <t>615-38163381</t>
  </si>
  <si>
    <t>157-75831210</t>
  </si>
  <si>
    <t>OPEN 20FT</t>
  </si>
  <si>
    <t>160-48701435</t>
  </si>
  <si>
    <t>264-42723402</t>
  </si>
  <si>
    <t>42G0071868</t>
  </si>
  <si>
    <t>42G0071874</t>
  </si>
  <si>
    <t>42G0071878</t>
  </si>
  <si>
    <t>157-75830370</t>
  </si>
  <si>
    <t>125-52391603</t>
  </si>
  <si>
    <t>618-24836405</t>
  </si>
  <si>
    <t>TN05BU9579 / TN22CQ9094</t>
  </si>
  <si>
    <t>157-40407146</t>
  </si>
  <si>
    <t>125-52391894</t>
  </si>
  <si>
    <t>42G0071892</t>
  </si>
  <si>
    <t>160-48701472</t>
  </si>
  <si>
    <t>42G0071646</t>
  </si>
  <si>
    <t>EU3400001692</t>
  </si>
  <si>
    <t>541428238072/</t>
  </si>
  <si>
    <t>TN22 7066</t>
  </si>
  <si>
    <t>42G0071645</t>
  </si>
  <si>
    <t>EU3400001693</t>
  </si>
  <si>
    <t>501428234416/</t>
  </si>
  <si>
    <t>42G0071932</t>
  </si>
  <si>
    <t>551428266584/</t>
  </si>
  <si>
    <t>42G0071913</t>
  </si>
  <si>
    <t>A0391</t>
  </si>
  <si>
    <t>581428218708/</t>
  </si>
  <si>
    <t>42G0071915</t>
  </si>
  <si>
    <t>A0393</t>
  </si>
  <si>
    <t>42G0071931</t>
  </si>
  <si>
    <t>EP06168</t>
  </si>
  <si>
    <t>8830-8833</t>
  </si>
  <si>
    <t>581428228605/</t>
  </si>
  <si>
    <t>42G0071930</t>
  </si>
  <si>
    <t>191549638824/</t>
  </si>
  <si>
    <t>TN39CS6095</t>
  </si>
  <si>
    <t>42G0071936</t>
  </si>
  <si>
    <t>561428309233/</t>
  </si>
  <si>
    <t>42G0071934</t>
  </si>
  <si>
    <t>541428208947/</t>
  </si>
  <si>
    <t>42G0071928</t>
  </si>
  <si>
    <t>551428174513/</t>
  </si>
  <si>
    <t>42G0071929</t>
  </si>
  <si>
    <t>501428175339/</t>
  </si>
  <si>
    <t>42G0071911</t>
  </si>
  <si>
    <t>571428172162/</t>
  </si>
  <si>
    <t>42G0071910</t>
  </si>
  <si>
    <t>511428171372/</t>
  </si>
  <si>
    <t>581428208022/</t>
  </si>
  <si>
    <t>581428170680/</t>
  </si>
  <si>
    <t>581428173704/</t>
  </si>
  <si>
    <t>42G0071922</t>
  </si>
  <si>
    <t>F25511220953</t>
  </si>
  <si>
    <t>501428165286/</t>
  </si>
  <si>
    <t>F25511220961</t>
  </si>
  <si>
    <t>501428165257/</t>
  </si>
  <si>
    <t>F25511220947</t>
  </si>
  <si>
    <t>F25511220948</t>
  </si>
  <si>
    <t>571428165258/</t>
  </si>
  <si>
    <t>TN31BE1721</t>
  </si>
  <si>
    <t>42G0071944 </t>
  </si>
  <si>
    <t>28999/36241</t>
  </si>
  <si>
    <t>531428337219/</t>
  </si>
  <si>
    <t>42G0071923</t>
  </si>
  <si>
    <t>EXP/061</t>
  </si>
  <si>
    <t>571428228759/</t>
  </si>
  <si>
    <t>42G0071798</t>
  </si>
  <si>
    <t>E01865</t>
  </si>
  <si>
    <t>4891/4892</t>
  </si>
  <si>
    <t>501428206499/</t>
  </si>
  <si>
    <t>42G0071920</t>
  </si>
  <si>
    <t>E01894</t>
  </si>
  <si>
    <t>501428207070/</t>
  </si>
  <si>
    <t>42G0071949</t>
  </si>
  <si>
    <t>CCEXP030</t>
  </si>
  <si>
    <t>561428535713/</t>
  </si>
  <si>
    <t>607-26774484</t>
  </si>
  <si>
    <t>TN11P1969 / TN11P4655</t>
  </si>
  <si>
    <t>125-52391555</t>
  </si>
  <si>
    <t>618-24836781</t>
  </si>
  <si>
    <t>176-55021923</t>
  </si>
  <si>
    <t>157-81364920</t>
  </si>
  <si>
    <t>IGP07725/22-23</t>
  </si>
  <si>
    <t>531428571114/</t>
  </si>
  <si>
    <t>42G0071945</t>
  </si>
  <si>
    <t>42G0071871</t>
  </si>
  <si>
    <t>176-55021772</t>
  </si>
  <si>
    <t>157-77989623</t>
  </si>
  <si>
    <t>160-48701450</t>
  </si>
  <si>
    <t>020-94843405</t>
  </si>
  <si>
    <t>53A</t>
  </si>
  <si>
    <t>42G0071891</t>
  </si>
  <si>
    <t>HI3322200797</t>
  </si>
  <si>
    <t>551428140291/</t>
  </si>
  <si>
    <t>057-10255416</t>
  </si>
  <si>
    <t>157-84061751</t>
  </si>
  <si>
    <t>TLV</t>
  </si>
  <si>
    <t>176-55021886</t>
  </si>
  <si>
    <t>157-18287964</t>
  </si>
  <si>
    <t>SHANDONG CAMERON</t>
  </si>
  <si>
    <t>42G0071959</t>
  </si>
  <si>
    <t>SPE-22-23-1704</t>
  </si>
  <si>
    <t>521428611433/</t>
  </si>
  <si>
    <t>42G0071956</t>
  </si>
  <si>
    <t>SPE-22-23-1730</t>
  </si>
  <si>
    <t>561428611930/</t>
  </si>
  <si>
    <t>42G0071887</t>
  </si>
  <si>
    <t>E01909</t>
  </si>
  <si>
    <t>581428607331/</t>
  </si>
  <si>
    <t>42G0071940</t>
  </si>
  <si>
    <t>571428602896/</t>
  </si>
  <si>
    <t>42G0071937</t>
  </si>
  <si>
    <t>511428599293/</t>
  </si>
  <si>
    <t>42G0071938</t>
  </si>
  <si>
    <t>501428601467/</t>
  </si>
  <si>
    <t>IV5512300812</t>
  </si>
  <si>
    <t>571428616475/</t>
  </si>
  <si>
    <t>42G0071908</t>
  </si>
  <si>
    <t>591428516100/</t>
  </si>
  <si>
    <t>TN23BW1777</t>
  </si>
  <si>
    <t>C-061</t>
  </si>
  <si>
    <t>581428678043/</t>
  </si>
  <si>
    <t>TN02L9866</t>
  </si>
  <si>
    <t>42G0071979</t>
  </si>
  <si>
    <t>1310009678-1310009694</t>
  </si>
  <si>
    <t>PL-532</t>
  </si>
  <si>
    <t>571428624241/</t>
  </si>
  <si>
    <t>1310009617-1310009675</t>
  </si>
  <si>
    <t>PL-523</t>
  </si>
  <si>
    <t>551428645457/</t>
  </si>
  <si>
    <t>1310009578-1310009603</t>
  </si>
  <si>
    <t>PL-517</t>
  </si>
  <si>
    <t>531428095474/</t>
  </si>
  <si>
    <t>1310009666-1310009669</t>
  </si>
  <si>
    <t>PL-527</t>
  </si>
  <si>
    <t>531428635366/</t>
  </si>
  <si>
    <t>1310009626-1310009638</t>
  </si>
  <si>
    <t>PL-525</t>
  </si>
  <si>
    <t>561428610739/</t>
  </si>
  <si>
    <t>1310009605-1310009609</t>
  </si>
  <si>
    <t>PL-520</t>
  </si>
  <si>
    <t>551428598812/</t>
  </si>
  <si>
    <t>TN85L3154</t>
  </si>
  <si>
    <t>OLSEN</t>
  </si>
  <si>
    <t>42G0071972</t>
  </si>
  <si>
    <t>KV-S027</t>
  </si>
  <si>
    <t>4.11.2022</t>
  </si>
  <si>
    <t>TN39CQ8707</t>
  </si>
  <si>
    <t>VEE CEE EXPORTS</t>
  </si>
  <si>
    <t>42G0071568</t>
  </si>
  <si>
    <t>VC-150</t>
  </si>
  <si>
    <t>39898/39915</t>
  </si>
  <si>
    <t>551428319903/</t>
  </si>
  <si>
    <t>42G0071567</t>
  </si>
  <si>
    <t>VC-151</t>
  </si>
  <si>
    <t>1511/1521/1610/1019/1104/1012</t>
  </si>
  <si>
    <t>581428320889/</t>
  </si>
  <si>
    <t>42G0071969</t>
  </si>
  <si>
    <t>42G0071976</t>
  </si>
  <si>
    <t>AVR/S/073</t>
  </si>
  <si>
    <t>501428695600/</t>
  </si>
  <si>
    <t>TN11AR4727</t>
  </si>
  <si>
    <t>42G0071974</t>
  </si>
  <si>
    <t>APC/033</t>
  </si>
  <si>
    <t>501428673341/</t>
  </si>
  <si>
    <t>42G0071973</t>
  </si>
  <si>
    <t>KP/NL/SMP/19</t>
  </si>
  <si>
    <t>11100579/13001705</t>
  </si>
  <si>
    <t>571428650204/</t>
  </si>
  <si>
    <t>531428974029/</t>
  </si>
  <si>
    <t>42G0071971 </t>
  </si>
  <si>
    <t>42G0071970</t>
  </si>
  <si>
    <t>541428974019/</t>
  </si>
  <si>
    <t>EU3400001714</t>
  </si>
  <si>
    <t>581428934057/</t>
  </si>
  <si>
    <t>EU3400001713</t>
  </si>
  <si>
    <t>541428934815/</t>
  </si>
  <si>
    <t>42G0071648</t>
  </si>
  <si>
    <t>42G0071647</t>
  </si>
  <si>
    <t>TN73AB1569</t>
  </si>
  <si>
    <t>42G0072010</t>
  </si>
  <si>
    <t>2000073432-2000073440</t>
  </si>
  <si>
    <t>551429089795/</t>
  </si>
  <si>
    <t>TN73A8359</t>
  </si>
  <si>
    <t>2000073429-2000073431</t>
  </si>
  <si>
    <t>581429089794/</t>
  </si>
  <si>
    <t>2000073423-2000073427</t>
  </si>
  <si>
    <t>511429089793/</t>
  </si>
  <si>
    <t>42G0071990</t>
  </si>
  <si>
    <t>CCEXP032</t>
  </si>
  <si>
    <t>531429017633/</t>
  </si>
  <si>
    <t>42G0071989</t>
  </si>
  <si>
    <t>CCEXP031</t>
  </si>
  <si>
    <t>541429012008/</t>
  </si>
  <si>
    <t>42G0071946</t>
  </si>
  <si>
    <t>42G0071963</t>
  </si>
  <si>
    <t>581428769967/</t>
  </si>
  <si>
    <t>42G0071992</t>
  </si>
  <si>
    <t>NSS-TN-10001597</t>
  </si>
  <si>
    <t>531428947638/</t>
  </si>
  <si>
    <t>TN73AB9492</t>
  </si>
  <si>
    <t>42G0072013</t>
  </si>
  <si>
    <t>ABG-E-322</t>
  </si>
  <si>
    <t>1714-1715</t>
  </si>
  <si>
    <t>541429045116/</t>
  </si>
  <si>
    <t>42G0072012</t>
  </si>
  <si>
    <t>ABG-E-323</t>
  </si>
  <si>
    <t>1716-1723</t>
  </si>
  <si>
    <t>551429047298/</t>
  </si>
  <si>
    <t>42G0072014</t>
  </si>
  <si>
    <t>ABG-E-321</t>
  </si>
  <si>
    <t>1692-1713</t>
  </si>
  <si>
    <t>591429041768/</t>
  </si>
  <si>
    <t>TN12K1031</t>
  </si>
  <si>
    <t>42G0071962</t>
  </si>
  <si>
    <t>28999/24557/31817</t>
  </si>
  <si>
    <t>521428769646/</t>
  </si>
  <si>
    <t>C.R.I.PUMPS</t>
  </si>
  <si>
    <t>F.I.P.S.GABRICA</t>
  </si>
  <si>
    <t>42G0071988</t>
  </si>
  <si>
    <t>MILAN ITALY</t>
  </si>
  <si>
    <t>591429002848/</t>
  </si>
  <si>
    <t>607-26774591</t>
  </si>
  <si>
    <t>176-55021816</t>
  </si>
  <si>
    <t>618-24836663</t>
  </si>
  <si>
    <t>057-10255545</t>
  </si>
  <si>
    <t>160-48701881</t>
  </si>
  <si>
    <t>157-84062020</t>
  </si>
  <si>
    <t>618-24836674</t>
  </si>
  <si>
    <t>160-48702290</t>
  </si>
  <si>
    <t>603-47974006</t>
  </si>
  <si>
    <t>125-52391636</t>
  </si>
  <si>
    <t>125-52391614</t>
  </si>
  <si>
    <t>176-55021901</t>
  </si>
  <si>
    <t>42G0071971</t>
  </si>
  <si>
    <t>42G0071944</t>
  </si>
  <si>
    <t>618-24836630</t>
  </si>
  <si>
    <t>235-06048792</t>
  </si>
  <si>
    <t>TN85J7198/ TN11AL0141</t>
  </si>
  <si>
    <t>217-30381820</t>
  </si>
  <si>
    <t>157-84061946</t>
  </si>
  <si>
    <t>42G0071953</t>
  </si>
  <si>
    <t>E01940</t>
  </si>
  <si>
    <t>511428984981/</t>
  </si>
  <si>
    <t>42G0071991</t>
  </si>
  <si>
    <t>F25511221017</t>
  </si>
  <si>
    <t>551429006369/</t>
  </si>
  <si>
    <t>42G0071978</t>
  </si>
  <si>
    <t>F25511221012</t>
  </si>
  <si>
    <t>581429006368/</t>
  </si>
  <si>
    <t>42G0071967</t>
  </si>
  <si>
    <t>RV0922102587</t>
  </si>
  <si>
    <t>541428979423/</t>
  </si>
  <si>
    <t>42G0071958</t>
  </si>
  <si>
    <t>RV0922102586</t>
  </si>
  <si>
    <t>541428977315/</t>
  </si>
  <si>
    <t>42G0071965</t>
  </si>
  <si>
    <t>EXP/593</t>
  </si>
  <si>
    <t>591429082741/</t>
  </si>
  <si>
    <t>42G0071966</t>
  </si>
  <si>
    <t>561428926087/</t>
  </si>
  <si>
    <t>42G0071960</t>
  </si>
  <si>
    <t>541428923941/</t>
  </si>
  <si>
    <t>TN73AB3496</t>
  </si>
  <si>
    <t>42G0072019 </t>
  </si>
  <si>
    <t>591429049564/</t>
  </si>
  <si>
    <t>TN48AD1847</t>
  </si>
  <si>
    <t>42G0071961</t>
  </si>
  <si>
    <t>EXP/599</t>
  </si>
  <si>
    <t>511429015181/</t>
  </si>
  <si>
    <t>TN456R1021</t>
  </si>
  <si>
    <t> 42G0072016</t>
  </si>
  <si>
    <t>571429144157/</t>
  </si>
  <si>
    <t>42G0072015</t>
  </si>
  <si>
    <t>29000/31817/30845</t>
  </si>
  <si>
    <t>521429140121/</t>
  </si>
  <si>
    <t>ST JOHNS FIRST</t>
  </si>
  <si>
    <t>HAPPY PHARMA</t>
  </si>
  <si>
    <t>42G0071975</t>
  </si>
  <si>
    <t>BAHRAIN</t>
  </si>
  <si>
    <t>SJF/EI-4</t>
  </si>
  <si>
    <t>1 TO 54</t>
  </si>
  <si>
    <t>551429343563/</t>
  </si>
  <si>
    <t>TN73J6521</t>
  </si>
  <si>
    <t>42G0071993</t>
  </si>
  <si>
    <t>2000073457-2000073458</t>
  </si>
  <si>
    <t>591429296090/</t>
  </si>
  <si>
    <t>TN22CS9033</t>
  </si>
  <si>
    <t>42G0072020</t>
  </si>
  <si>
    <t>2139-2142</t>
  </si>
  <si>
    <t>TN05CF9641/TN38AJ5023</t>
  </si>
  <si>
    <t>29000/31817/27614/29737</t>
  </si>
  <si>
    <t>541429478552/</t>
  </si>
  <si>
    <t>PALLETS ARE FUNGUS CONDITION</t>
  </si>
  <si>
    <t>541429479430/</t>
  </si>
  <si>
    <t>TN22CR7287</t>
  </si>
  <si>
    <t>SPARTRONICS</t>
  </si>
  <si>
    <t>42G0072034</t>
  </si>
  <si>
    <t>JJSVEXPORT202205</t>
  </si>
  <si>
    <t>5294734 </t>
  </si>
  <si>
    <t>07.11.22</t>
  </si>
  <si>
    <t>521429763270/</t>
  </si>
  <si>
    <t>615-38164011</t>
  </si>
  <si>
    <t>615-38164022</t>
  </si>
  <si>
    <t>618-24836560</t>
  </si>
  <si>
    <t>42G0072016</t>
  </si>
  <si>
    <t>125-52391920</t>
  </si>
  <si>
    <t>42G0071649</t>
  </si>
  <si>
    <t>E3400001736</t>
  </si>
  <si>
    <t>591429792428/</t>
  </si>
  <si>
    <t>E3400001737</t>
  </si>
  <si>
    <t>591429794060/</t>
  </si>
  <si>
    <t>42G0072022</t>
  </si>
  <si>
    <t>42G0071650</t>
  </si>
  <si>
    <t>TN3300037595</t>
  </si>
  <si>
    <t>531429862835/</t>
  </si>
  <si>
    <t>TN3300037596</t>
  </si>
  <si>
    <t>591429863708/</t>
  </si>
  <si>
    <t>KONE </t>
  </si>
  <si>
    <t>42G0072025</t>
  </si>
  <si>
    <t>K70FGE2200124</t>
  </si>
  <si>
    <t>IKONKM500734</t>
  </si>
  <si>
    <t>571429851976/</t>
  </si>
  <si>
    <t>K70FGE2200125</t>
  </si>
  <si>
    <t>531429852584/</t>
  </si>
  <si>
    <t>K70FGE2200126</t>
  </si>
  <si>
    <t>561429853078/</t>
  </si>
  <si>
    <t>TN2DF7308</t>
  </si>
  <si>
    <t>K70FGE2200123</t>
  </si>
  <si>
    <t>581429851474/</t>
  </si>
  <si>
    <t>K70FGE2200127</t>
  </si>
  <si>
    <t>501429853687/</t>
  </si>
  <si>
    <t>TN31CD1148</t>
  </si>
  <si>
    <t>42G0072035</t>
  </si>
  <si>
    <t>EP06177</t>
  </si>
  <si>
    <t>8859-8861</t>
  </si>
  <si>
    <t>551429789217/</t>
  </si>
  <si>
    <t>TN02BV6432</t>
  </si>
  <si>
    <t>42G0072040</t>
  </si>
  <si>
    <t>22-23/880</t>
  </si>
  <si>
    <t>531429952574/</t>
  </si>
  <si>
    <t>22-23/871,873,874,876,880</t>
  </si>
  <si>
    <t>29000/31817/28957/34101</t>
  </si>
  <si>
    <t>521429947663/</t>
  </si>
  <si>
    <t>TN39CS9560</t>
  </si>
  <si>
    <t>42G0072041</t>
  </si>
  <si>
    <t>22-23/872,875,877,878</t>
  </si>
  <si>
    <t>3729/3737/4797/4798</t>
  </si>
  <si>
    <t>581429948846/</t>
  </si>
  <si>
    <t>22-23/879</t>
  </si>
  <si>
    <t>541429953864/</t>
  </si>
  <si>
    <t>42G0071950</t>
  </si>
  <si>
    <t>E01919</t>
  </si>
  <si>
    <t>561429744532/</t>
  </si>
  <si>
    <t>42G0072026</t>
  </si>
  <si>
    <t>E01905</t>
  </si>
  <si>
    <t>571429745765/</t>
  </si>
  <si>
    <t>42G0072024</t>
  </si>
  <si>
    <t>EXP/574</t>
  </si>
  <si>
    <t>591429749536/</t>
  </si>
  <si>
    <t>42G0072029</t>
  </si>
  <si>
    <t>EXP/603</t>
  </si>
  <si>
    <t>541429752063/</t>
  </si>
  <si>
    <t>42G0072027</t>
  </si>
  <si>
    <t>E1918</t>
  </si>
  <si>
    <t>5029-5035</t>
  </si>
  <si>
    <t>531429745143/</t>
  </si>
  <si>
    <t>42G0072031</t>
  </si>
  <si>
    <t>581429705733/</t>
  </si>
  <si>
    <t>42G0072032</t>
  </si>
  <si>
    <t>F2551121047</t>
  </si>
  <si>
    <t>521429832736/</t>
  </si>
  <si>
    <t>F2551121029</t>
  </si>
  <si>
    <t>571429832731/</t>
  </si>
  <si>
    <t>42G0072030</t>
  </si>
  <si>
    <t>RV0922102592</t>
  </si>
  <si>
    <t>561429671920/</t>
  </si>
  <si>
    <t>TN22DD0964</t>
  </si>
  <si>
    <t>42G0072039</t>
  </si>
  <si>
    <t>511429974530/</t>
  </si>
  <si>
    <t>551429974532/</t>
  </si>
  <si>
    <t>42G0072038</t>
  </si>
  <si>
    <t>551429974529/</t>
  </si>
  <si>
    <t>581429974531/</t>
  </si>
  <si>
    <t>42G0072051</t>
  </si>
  <si>
    <t>C-062</t>
  </si>
  <si>
    <t>521429861194/</t>
  </si>
  <si>
    <t>42G0072043</t>
  </si>
  <si>
    <t>531430148117/</t>
  </si>
  <si>
    <t>42G0072044</t>
  </si>
  <si>
    <t>IGP07934</t>
  </si>
  <si>
    <t>551430135199/</t>
  </si>
  <si>
    <t>TN20BE7030</t>
  </si>
  <si>
    <t>JK FENNER</t>
  </si>
  <si>
    <t>ADVENTRY</t>
  </si>
  <si>
    <t>42G0072036</t>
  </si>
  <si>
    <t>501430091081/</t>
  </si>
  <si>
    <t>03.11.2022</t>
  </si>
  <si>
    <t>42G0072037</t>
  </si>
  <si>
    <t>541429974526/</t>
  </si>
  <si>
    <t>511429974527/</t>
  </si>
  <si>
    <t>581429974528/</t>
  </si>
  <si>
    <t>531429974523/</t>
  </si>
  <si>
    <t>571429974525/</t>
  </si>
  <si>
    <t>501428874524/</t>
  </si>
  <si>
    <t>42G0072011</t>
  </si>
  <si>
    <t>HI3322200748</t>
  </si>
  <si>
    <t>541429790641/</t>
  </si>
  <si>
    <t>828-15297984</t>
  </si>
  <si>
    <t>176-55021750</t>
  </si>
  <si>
    <t>176-55021794</t>
  </si>
  <si>
    <t>42G0071673</t>
  </si>
  <si>
    <t>235-06065463</t>
  </si>
  <si>
    <t>42G0071674</t>
  </si>
  <si>
    <t>235-06048825</t>
  </si>
  <si>
    <t>057-10255486</t>
  </si>
  <si>
    <t>157-84062311</t>
  </si>
  <si>
    <t>157-84062300</t>
  </si>
  <si>
    <t>125-52391813</t>
  </si>
  <si>
    <t>615-38164000</t>
  </si>
  <si>
    <t>618-24836700</t>
  </si>
  <si>
    <t>TN11P1969/TN22DF7308</t>
  </si>
  <si>
    <t>125-52391953</t>
  </si>
  <si>
    <t>618-23254103</t>
  </si>
  <si>
    <t>42G0072048</t>
  </si>
  <si>
    <t>571430162515/</t>
  </si>
  <si>
    <t>531430162513/</t>
  </si>
  <si>
    <t>TN29K1607</t>
  </si>
  <si>
    <t>42G0072057 </t>
  </si>
  <si>
    <t>14541/14542</t>
  </si>
  <si>
    <t>501430321889/</t>
  </si>
  <si>
    <t>14543/14544/14545</t>
  </si>
  <si>
    <t>511430322182/</t>
  </si>
  <si>
    <t>TN11AL0141/TN96 9108</t>
  </si>
  <si>
    <t>42G0072045</t>
  </si>
  <si>
    <t>561430162679/</t>
  </si>
  <si>
    <t>TN21AU7681</t>
  </si>
  <si>
    <t>BESTITCH KNITS</t>
  </si>
  <si>
    <t>INKWRIGHT</t>
  </si>
  <si>
    <t>AIRLEFT</t>
  </si>
  <si>
    <t>42G0072060</t>
  </si>
  <si>
    <t>EXP/089</t>
  </si>
  <si>
    <t>40539-01</t>
  </si>
  <si>
    <t>8.1.2022</t>
  </si>
  <si>
    <t>531430124683/</t>
  </si>
  <si>
    <t>TN01P2141</t>
  </si>
  <si>
    <t>42G0072076</t>
  </si>
  <si>
    <t>P/E/22-23/1861</t>
  </si>
  <si>
    <t>561430448678/</t>
  </si>
  <si>
    <t>42G0072053</t>
  </si>
  <si>
    <t>E25076</t>
  </si>
  <si>
    <t>521430474879/</t>
  </si>
  <si>
    <t>E25075</t>
  </si>
  <si>
    <t>581430476521/</t>
  </si>
  <si>
    <t>42G0072056</t>
  </si>
  <si>
    <t>E25071</t>
  </si>
  <si>
    <t>571430473334/</t>
  </si>
  <si>
    <t>E25072</t>
  </si>
  <si>
    <t>551430471725/</t>
  </si>
  <si>
    <t>42G0072074</t>
  </si>
  <si>
    <t>E25074</t>
  </si>
  <si>
    <t>E25073</t>
  </si>
  <si>
    <t>42G0072017</t>
  </si>
  <si>
    <t>LONDON</t>
  </si>
  <si>
    <t>2676-2223EXP</t>
  </si>
  <si>
    <t>10099460/462-464</t>
  </si>
  <si>
    <t>9.11.2022</t>
  </si>
  <si>
    <t>551430458629/</t>
  </si>
  <si>
    <t>TN59CM3715</t>
  </si>
  <si>
    <t>TRILLIUM VALVES</t>
  </si>
  <si>
    <t>42G0072033</t>
  </si>
  <si>
    <t>A0396</t>
  </si>
  <si>
    <t>511430218216/</t>
  </si>
  <si>
    <t>WELL PUMPS</t>
  </si>
  <si>
    <t>42G0072052 </t>
  </si>
  <si>
    <t>CHILE</t>
  </si>
  <si>
    <t>571430189837/</t>
  </si>
  <si>
    <t>42G0072059 </t>
  </si>
  <si>
    <t>22-23/882,883,885</t>
  </si>
  <si>
    <t>3729/3737/2197</t>
  </si>
  <si>
    <t>501430350106/</t>
  </si>
  <si>
    <t>42G0072058 </t>
  </si>
  <si>
    <t>22-23/881,884</t>
  </si>
  <si>
    <t>29000/31817</t>
  </si>
  <si>
    <t>521430349634/</t>
  </si>
  <si>
    <t>42G0072061</t>
  </si>
  <si>
    <t>541430377347/</t>
  </si>
  <si>
    <t>521430377341/</t>
  </si>
  <si>
    <t>541430377334/</t>
  </si>
  <si>
    <t>42G0071651</t>
  </si>
  <si>
    <t>EU3400001761</t>
  </si>
  <si>
    <t>521430526563/</t>
  </si>
  <si>
    <t>EU3400001760</t>
  </si>
  <si>
    <t>511430524519/</t>
  </si>
  <si>
    <t>921-43026804</t>
  </si>
  <si>
    <t>921-43026793</t>
  </si>
  <si>
    <t>921-43026782</t>
  </si>
  <si>
    <t>618-24836711</t>
  </si>
  <si>
    <t>TN11AL0141/TN969108</t>
  </si>
  <si>
    <t>TN969108</t>
  </si>
  <si>
    <t>176-55021864</t>
  </si>
  <si>
    <t>057-10255383</t>
  </si>
  <si>
    <t>615-38164291</t>
  </si>
  <si>
    <t>176-55021956</t>
  </si>
  <si>
    <t>157-84061806</t>
  </si>
  <si>
    <t>264-42723601</t>
  </si>
  <si>
    <t>CAN</t>
  </si>
  <si>
    <t>618-24836545</t>
  </si>
  <si>
    <t>618-24836825</t>
  </si>
  <si>
    <t>157-84061832</t>
  </si>
  <si>
    <t>42G0072059</t>
  </si>
  <si>
    <t>125-52391732</t>
  </si>
  <si>
    <t>125-52391931</t>
  </si>
  <si>
    <t>42G0072058</t>
  </si>
  <si>
    <t>618-24836696</t>
  </si>
  <si>
    <t>TN48AK9271</t>
  </si>
  <si>
    <t>HARIHAR ALLOYS</t>
  </si>
  <si>
    <t>FACTORY OF BAKER</t>
  </si>
  <si>
    <t>U3/G251</t>
  </si>
  <si>
    <t>531430654445/</t>
  </si>
  <si>
    <t>42G0072078</t>
  </si>
  <si>
    <t>864/867/868/869/870</t>
  </si>
  <si>
    <t>541430587959/</t>
  </si>
  <si>
    <t>561430590094/</t>
  </si>
  <si>
    <t>42G0072080</t>
  </si>
  <si>
    <t>42G0072081</t>
  </si>
  <si>
    <t>EP06183</t>
  </si>
  <si>
    <t>511430619732/</t>
  </si>
  <si>
    <t>42G0072082</t>
  </si>
  <si>
    <t>TN03AD0702</t>
  </si>
  <si>
    <t>511430509350/</t>
  </si>
  <si>
    <t>BS&amp;B</t>
  </si>
  <si>
    <t>IRELAND</t>
  </si>
  <si>
    <t>581430470990/</t>
  </si>
  <si>
    <t>PACIFICORP</t>
  </si>
  <si>
    <t>F25511220999</t>
  </si>
  <si>
    <t>561430539381/</t>
  </si>
  <si>
    <t>42G0072077</t>
  </si>
  <si>
    <t>42G0072065</t>
  </si>
  <si>
    <t>42G0072063</t>
  </si>
  <si>
    <t>TN31CX1716/TN20AM2841</t>
  </si>
  <si>
    <t>887/889/891</t>
  </si>
  <si>
    <t>24557/28957/31817</t>
  </si>
  <si>
    <t>561430752496/</t>
  </si>
  <si>
    <t>888/890</t>
  </si>
  <si>
    <t>3737/3721</t>
  </si>
  <si>
    <t>581430754047/</t>
  </si>
  <si>
    <t>TN04AC3859</t>
  </si>
  <si>
    <t>RIAAN TEXPORT</t>
  </si>
  <si>
    <t>PRANA LIVING</t>
  </si>
  <si>
    <t>42G0072094</t>
  </si>
  <si>
    <t>RT/849</t>
  </si>
  <si>
    <t>35406-03</t>
  </si>
  <si>
    <t>5324551 </t>
  </si>
  <si>
    <t>08.11.2022</t>
  </si>
  <si>
    <t>561430858398/</t>
  </si>
  <si>
    <t>828-15297973</t>
  </si>
  <si>
    <t>42G0072019</t>
  </si>
  <si>
    <t>860-03126093</t>
  </si>
  <si>
    <t>42G0072023</t>
  </si>
  <si>
    <t>160-45382993</t>
  </si>
  <si>
    <t>057-10255490</t>
  </si>
  <si>
    <t>618-24836641</t>
  </si>
  <si>
    <t>42G0071675</t>
  </si>
  <si>
    <t>072-71515426</t>
  </si>
  <si>
    <t>SCL</t>
  </si>
  <si>
    <t>42G0072052</t>
  </si>
  <si>
    <t>157-84062580</t>
  </si>
  <si>
    <t xml:space="preserve">176-55021960
</t>
  </si>
  <si>
    <t xml:space="preserve">HAWB NO REVISED </t>
  </si>
  <si>
    <t>125-52391684</t>
  </si>
  <si>
    <t>42G0072057</t>
  </si>
  <si>
    <t>HI332200837</t>
  </si>
  <si>
    <t>591430933003/</t>
  </si>
  <si>
    <t xml:space="preserve">42G0072071 </t>
  </si>
  <si>
    <t>511430778525/</t>
  </si>
  <si>
    <t>581430778526/</t>
  </si>
  <si>
    <t>551430778527/</t>
  </si>
  <si>
    <t>42G0072086</t>
  </si>
  <si>
    <t>TN18AA8290</t>
  </si>
  <si>
    <t>BASSPRO</t>
  </si>
  <si>
    <t>ASIA</t>
  </si>
  <si>
    <t>521430913848/</t>
  </si>
  <si>
    <t>42G0072101</t>
  </si>
  <si>
    <t>WIPRO</t>
  </si>
  <si>
    <t>FUJITSU</t>
  </si>
  <si>
    <t>521430971891/</t>
  </si>
  <si>
    <t>42G0072075</t>
  </si>
  <si>
    <t>BANGKOK</t>
  </si>
  <si>
    <t xml:space="preserve">42G0072097 </t>
  </si>
  <si>
    <t>42G0072099</t>
  </si>
  <si>
    <t>521430974311/</t>
  </si>
  <si>
    <t>42G0072088</t>
  </si>
  <si>
    <t>TN22DW7349</t>
  </si>
  <si>
    <t>YANMAR</t>
  </si>
  <si>
    <t>JOHN DEERE</t>
  </si>
  <si>
    <t>3TNV88F-EPJT2S</t>
  </si>
  <si>
    <t>10.11.2022</t>
  </si>
  <si>
    <t>42G0072085</t>
  </si>
  <si>
    <t>PROSPERITY DIELECTRICS</t>
  </si>
  <si>
    <t>TAOYUAN</t>
  </si>
  <si>
    <t>WRONG INVOICE NO PASTED IN BOXES</t>
  </si>
  <si>
    <t>541430929164/</t>
  </si>
  <si>
    <t>42G0071373</t>
  </si>
  <si>
    <t>TN10BQ3679</t>
  </si>
  <si>
    <t>ASIA APPARELS</t>
  </si>
  <si>
    <t>GIORGIO</t>
  </si>
  <si>
    <t>501431032456/</t>
  </si>
  <si>
    <t>42G0072095</t>
  </si>
  <si>
    <t>42G0072098</t>
  </si>
  <si>
    <t>501430965575/</t>
  </si>
  <si>
    <t>42G0072089</t>
  </si>
  <si>
    <t>A0407</t>
  </si>
  <si>
    <t>531431045266/</t>
  </si>
  <si>
    <t>E22000586</t>
  </si>
  <si>
    <t>591431192773/</t>
  </si>
  <si>
    <t>TN03AC7356</t>
  </si>
  <si>
    <t>STARLINE ENTERPRISES</t>
  </si>
  <si>
    <t>AL SALEM</t>
  </si>
  <si>
    <t>42G0072103</t>
  </si>
  <si>
    <t>CEI-2223-024</t>
  </si>
  <si>
    <t>541430891045/</t>
  </si>
  <si>
    <t>TN18K0618</t>
  </si>
  <si>
    <t>42G0072123 </t>
  </si>
  <si>
    <t>22-23/895</t>
  </si>
  <si>
    <t>561431156783/</t>
  </si>
  <si>
    <t>TN02AC4376</t>
  </si>
  <si>
    <t>42G0072102</t>
  </si>
  <si>
    <t>581431264938/</t>
  </si>
  <si>
    <t>TN10AU2959</t>
  </si>
  <si>
    <t>42G0072131</t>
  </si>
  <si>
    <t>5334928  </t>
  </si>
  <si>
    <t>09.11.2022</t>
  </si>
  <si>
    <t>581431279297/</t>
  </si>
  <si>
    <t>KA01AM7162</t>
  </si>
  <si>
    <t>ALUTECH</t>
  </si>
  <si>
    <t>42G0072093</t>
  </si>
  <si>
    <t>EXP10083</t>
  </si>
  <si>
    <t>571431093227/</t>
  </si>
  <si>
    <t>EXP10084</t>
  </si>
  <si>
    <t>CC992365</t>
  </si>
  <si>
    <t>511431093683/</t>
  </si>
  <si>
    <t>EXP10082</t>
  </si>
  <si>
    <t>C992167</t>
  </si>
  <si>
    <t>561431092458/</t>
  </si>
  <si>
    <t>42G0072090</t>
  </si>
  <si>
    <t>EXPV04142223</t>
  </si>
  <si>
    <t>531431070611/</t>
  </si>
  <si>
    <t>42G0072091</t>
  </si>
  <si>
    <t>EXPV04132223</t>
  </si>
  <si>
    <t>591431069860/</t>
  </si>
  <si>
    <t>42G0071653</t>
  </si>
  <si>
    <t>EU3400001781</t>
  </si>
  <si>
    <t>521431347455/</t>
  </si>
  <si>
    <t>EU3400001784</t>
  </si>
  <si>
    <t>541431348157/</t>
  </si>
  <si>
    <t>42G0071652</t>
  </si>
  <si>
    <t>EU3400001782</t>
  </si>
  <si>
    <t>591431349580/</t>
  </si>
  <si>
    <t>EU3400001783</t>
  </si>
  <si>
    <t>TN18K0618/TN37CU8888</t>
  </si>
  <si>
    <t>3728/3721</t>
  </si>
  <si>
    <t>591431157066/</t>
  </si>
  <si>
    <t>42G0072122</t>
  </si>
  <si>
    <t>521431155986/</t>
  </si>
  <si>
    <t>42G0072135</t>
  </si>
  <si>
    <t>521431388128/</t>
  </si>
  <si>
    <t>42G0072134</t>
  </si>
  <si>
    <t>531431379097/</t>
  </si>
  <si>
    <t>42G0072133</t>
  </si>
  <si>
    <t>EOUEXP0345</t>
  </si>
  <si>
    <t>521431380083/</t>
  </si>
  <si>
    <t> 42G0072127</t>
  </si>
  <si>
    <t>521431284318/</t>
  </si>
  <si>
    <t>551431284317/</t>
  </si>
  <si>
    <t>581431284316/</t>
  </si>
  <si>
    <t>511431284315/</t>
  </si>
  <si>
    <t>42G0072130</t>
  </si>
  <si>
    <t>521431413181/</t>
  </si>
  <si>
    <t>618-24836486</t>
  </si>
  <si>
    <t>176-55021713</t>
  </si>
  <si>
    <t>160-48701505</t>
  </si>
  <si>
    <t>SNN</t>
  </si>
  <si>
    <t>157-84062031</t>
  </si>
  <si>
    <t>160-48702393</t>
  </si>
  <si>
    <t>160-48701844</t>
  </si>
  <si>
    <t>42G0072097</t>
  </si>
  <si>
    <t>618-24836604</t>
  </si>
  <si>
    <t>125-52391721</t>
  </si>
  <si>
    <t>125-52391872</t>
  </si>
  <si>
    <t>PDX</t>
  </si>
  <si>
    <t>057-10255151</t>
  </si>
  <si>
    <t>42G0072104</t>
  </si>
  <si>
    <t>615-38164711</t>
  </si>
  <si>
    <t>157-81364883</t>
  </si>
  <si>
    <t>157-81364791</t>
  </si>
  <si>
    <t>217-30381702</t>
  </si>
  <si>
    <t>157-84061972</t>
  </si>
  <si>
    <t>157-84062042</t>
  </si>
  <si>
    <t>42G0072071</t>
  </si>
  <si>
    <t>893/894/900</t>
  </si>
  <si>
    <t>TN12AM5262</t>
  </si>
  <si>
    <t>42G0072124</t>
  </si>
  <si>
    <t>2000073448-73449</t>
  </si>
  <si>
    <t>501431362254/</t>
  </si>
  <si>
    <t>2000073569-73580</t>
  </si>
  <si>
    <t>541431363361/</t>
  </si>
  <si>
    <t>531431362253/</t>
  </si>
  <si>
    <t>561431362252/</t>
  </si>
  <si>
    <t>2000073453-73454</t>
  </si>
  <si>
    <t>571431362255/</t>
  </si>
  <si>
    <t>TN22DT8764</t>
  </si>
  <si>
    <t>42G0072067</t>
  </si>
  <si>
    <t>E01982</t>
  </si>
  <si>
    <t>5233/5234</t>
  </si>
  <si>
    <t>541431397935/</t>
  </si>
  <si>
    <t>42G0072106</t>
  </si>
  <si>
    <t>22-23/E010</t>
  </si>
  <si>
    <t>541431364348/</t>
  </si>
  <si>
    <t>42G0072129</t>
  </si>
  <si>
    <t>22-23/NC1046</t>
  </si>
  <si>
    <t>501431403131/</t>
  </si>
  <si>
    <t>42G0072136</t>
  </si>
  <si>
    <t>4912201733499/</t>
  </si>
  <si>
    <t>541431458609/</t>
  </si>
  <si>
    <t>42G0072132</t>
  </si>
  <si>
    <t>PERU</t>
  </si>
  <si>
    <t>4912201733503/</t>
  </si>
  <si>
    <t>541431455134/</t>
  </si>
  <si>
    <t>42G0072137</t>
  </si>
  <si>
    <t>BDM9W001</t>
  </si>
  <si>
    <t>BDM9W</t>
  </si>
  <si>
    <t>581431378114/</t>
  </si>
  <si>
    <t>TN38CS5481</t>
  </si>
  <si>
    <t>591431505236/</t>
  </si>
  <si>
    <t>57143150488/</t>
  </si>
  <si>
    <t>531431503133/</t>
  </si>
  <si>
    <t>TN97C1190</t>
  </si>
  <si>
    <t>INDIAN HAIR</t>
  </si>
  <si>
    <t>XUCHANG SHIYUAN</t>
  </si>
  <si>
    <t>BASHA</t>
  </si>
  <si>
    <t>XSHI</t>
  </si>
  <si>
    <t>131552511585/</t>
  </si>
  <si>
    <t>REPACKING DONE 11/12/2022</t>
  </si>
  <si>
    <t>176-55021735</t>
  </si>
  <si>
    <t>176-55021805</t>
  </si>
  <si>
    <t>125-52391861</t>
  </si>
  <si>
    <t>618-24836814</t>
  </si>
  <si>
    <t>42G0072127</t>
  </si>
  <si>
    <t>JED</t>
  </si>
  <si>
    <t>065-30446861</t>
  </si>
  <si>
    <t>TN85 J 7198</t>
  </si>
  <si>
    <t>618-24836733</t>
  </si>
  <si>
    <t>42G0072123</t>
  </si>
  <si>
    <t>020-94843626</t>
  </si>
  <si>
    <t>160-48701531</t>
  </si>
  <si>
    <t>TN14AB4767</t>
  </si>
  <si>
    <t>42G0072068</t>
  </si>
  <si>
    <t>E01963</t>
  </si>
  <si>
    <t>531431640146/</t>
  </si>
  <si>
    <t>42G0072047</t>
  </si>
  <si>
    <t>E01969</t>
  </si>
  <si>
    <t>5191/5192/5193</t>
  </si>
  <si>
    <t>501431641108/</t>
  </si>
  <si>
    <t>ORTON S.R.L</t>
  </si>
  <si>
    <t>42G0072100</t>
  </si>
  <si>
    <t>531431329047/</t>
  </si>
  <si>
    <t>42G0072125</t>
  </si>
  <si>
    <t>F2551220921</t>
  </si>
  <si>
    <t>561431398301/</t>
  </si>
  <si>
    <t>42G0072158</t>
  </si>
  <si>
    <t>591431731604/</t>
  </si>
  <si>
    <t>561431731605/</t>
  </si>
  <si>
    <t>TN31CX1716</t>
  </si>
  <si>
    <t>511431825479/</t>
  </si>
  <si>
    <t>561431825713/</t>
  </si>
  <si>
    <t>551431824890/</t>
  </si>
  <si>
    <t xml:space="preserve">42G0072157 </t>
  </si>
  <si>
    <t xml:space="preserve">42G0072161 </t>
  </si>
  <si>
    <t>42G0072161</t>
  </si>
  <si>
    <t>TN12AV2578</t>
  </si>
  <si>
    <t>F25511221055</t>
  </si>
  <si>
    <t>541431690751/</t>
  </si>
  <si>
    <t>F25511221151</t>
  </si>
  <si>
    <t>571431690750/</t>
  </si>
  <si>
    <t xml:space="preserve">42G0072162 </t>
  </si>
  <si>
    <t>REPACKED</t>
  </si>
  <si>
    <t>PALLET DAMAGE CONDITION/REPACKED</t>
  </si>
  <si>
    <t>42G0072140</t>
  </si>
  <si>
    <t>125-52391566</t>
  </si>
  <si>
    <t>615-38164744</t>
  </si>
  <si>
    <t>057-10255556</t>
  </si>
  <si>
    <t>057-10255394</t>
  </si>
  <si>
    <t>157-84061961</t>
  </si>
  <si>
    <t>618-24836626</t>
  </si>
  <si>
    <t>125-52391905</t>
  </si>
  <si>
    <t>CGO</t>
  </si>
  <si>
    <t>160-48701461</t>
  </si>
  <si>
    <t>TN96 9108/TN22DD0921</t>
  </si>
  <si>
    <t>GB3322202161</t>
  </si>
  <si>
    <t>1000472555-563</t>
  </si>
  <si>
    <t>581432160507/</t>
  </si>
  <si>
    <t>42G0072166</t>
  </si>
  <si>
    <t>571432158583/</t>
  </si>
  <si>
    <t>511432114574/</t>
  </si>
  <si>
    <t>521432112133/</t>
  </si>
  <si>
    <t>42G0072174</t>
  </si>
  <si>
    <t>42G0072176</t>
  </si>
  <si>
    <t xml:space="preserve">42G0072177 </t>
  </si>
  <si>
    <t>TN25BM9475</t>
  </si>
  <si>
    <t>42G0072160</t>
  </si>
  <si>
    <t>420/55-17</t>
  </si>
  <si>
    <t>TN76AW5171</t>
  </si>
  <si>
    <t>42G0072163</t>
  </si>
  <si>
    <t>A0412</t>
  </si>
  <si>
    <t>531432142807/</t>
  </si>
  <si>
    <t>42G0072107</t>
  </si>
  <si>
    <t>EU3400001820</t>
  </si>
  <si>
    <t>591423181741/</t>
  </si>
  <si>
    <t>42G0072108</t>
  </si>
  <si>
    <t>TN3300038354</t>
  </si>
  <si>
    <t>501432187346/</t>
  </si>
  <si>
    <t>TN3300038353</t>
  </si>
  <si>
    <t>501432185311/</t>
  </si>
  <si>
    <t>TN16H3015</t>
  </si>
  <si>
    <t>42G0072178</t>
  </si>
  <si>
    <t>EP06193</t>
  </si>
  <si>
    <t>8881-8883</t>
  </si>
  <si>
    <t>591432220747/</t>
  </si>
  <si>
    <t>603-47973984</t>
  </si>
  <si>
    <t>157-84062134</t>
  </si>
  <si>
    <t>42G0072138</t>
  </si>
  <si>
    <t>160-45382260</t>
  </si>
  <si>
    <t>42G0072157</t>
  </si>
  <si>
    <t>157-84062016</t>
  </si>
  <si>
    <t>057-10255265</t>
  </si>
  <si>
    <t>42G0072170</t>
  </si>
  <si>
    <t>RCEX/05342</t>
  </si>
  <si>
    <t>K9NUOFA</t>
  </si>
  <si>
    <t>571432200208/</t>
  </si>
  <si>
    <t>42G0072168</t>
  </si>
  <si>
    <t>RCEX/05343</t>
  </si>
  <si>
    <t>K90E3VA</t>
  </si>
  <si>
    <t>521432021024/</t>
  </si>
  <si>
    <t>42G0072180</t>
  </si>
  <si>
    <t>VC-156</t>
  </si>
  <si>
    <t>39897/40326</t>
  </si>
  <si>
    <t>571432242844/</t>
  </si>
  <si>
    <t>42G0072084</t>
  </si>
  <si>
    <t>VC-157</t>
  </si>
  <si>
    <t>1510/1945/1008</t>
  </si>
  <si>
    <t>571432238533/</t>
  </si>
  <si>
    <t>BORGEWARNER</t>
  </si>
  <si>
    <t>42G0072175</t>
  </si>
  <si>
    <t>KMF/EX/22-23/15</t>
  </si>
  <si>
    <t>501432453614/</t>
  </si>
  <si>
    <t>TN73C4689/TN39CS7697</t>
  </si>
  <si>
    <t>42G0072194 </t>
  </si>
  <si>
    <t>561432304985/</t>
  </si>
  <si>
    <t>TN39CS7697</t>
  </si>
  <si>
    <t>591432305578/</t>
  </si>
  <si>
    <t>42G0072193 </t>
  </si>
  <si>
    <t>3721/3737</t>
  </si>
  <si>
    <t>511432306676/</t>
  </si>
  <si>
    <t>591432304801/</t>
  </si>
  <si>
    <t>42G0072182</t>
  </si>
  <si>
    <t>IGP08086</t>
  </si>
  <si>
    <t>561432477881/</t>
  </si>
  <si>
    <t>42G0072186</t>
  </si>
  <si>
    <t>IGP07351</t>
  </si>
  <si>
    <t>50143248732/</t>
  </si>
  <si>
    <t>TN07AH7690</t>
  </si>
  <si>
    <t>42G0072196</t>
  </si>
  <si>
    <t>1310009784-1310009804</t>
  </si>
  <si>
    <t>PL-540</t>
  </si>
  <si>
    <t>591431947610/</t>
  </si>
  <si>
    <t>1310009733-1310009768</t>
  </si>
  <si>
    <t>PL-537</t>
  </si>
  <si>
    <t>591431968624/</t>
  </si>
  <si>
    <t>1310009789-1310009802</t>
  </si>
  <si>
    <t>PL-539</t>
  </si>
  <si>
    <t>541431955254/</t>
  </si>
  <si>
    <t>232-53016526</t>
  </si>
  <si>
    <t>125-52391581</t>
  </si>
  <si>
    <t>PRITHII</t>
  </si>
  <si>
    <t>BLUEBERRY</t>
  </si>
  <si>
    <t>42G0072199</t>
  </si>
  <si>
    <t>84-4497412</t>
  </si>
  <si>
    <t>TN13P7932</t>
  </si>
  <si>
    <t>42G0072164</t>
  </si>
  <si>
    <t>RV0922102729</t>
  </si>
  <si>
    <t>541432248591/</t>
  </si>
  <si>
    <t>42G0072165</t>
  </si>
  <si>
    <t>F25511221061</t>
  </si>
  <si>
    <t>551432097897/</t>
  </si>
  <si>
    <t>42G0072169</t>
  </si>
  <si>
    <t>F25511221109</t>
  </si>
  <si>
    <t>521432097898/</t>
  </si>
  <si>
    <t>42G0072173</t>
  </si>
  <si>
    <t>581432226841/</t>
  </si>
  <si>
    <t>42G0072179</t>
  </si>
  <si>
    <t>4912201733366/</t>
  </si>
  <si>
    <t>P01035281</t>
  </si>
  <si>
    <t>571427588638/</t>
  </si>
  <si>
    <t>4912201733365/</t>
  </si>
  <si>
    <t>P01035063</t>
  </si>
  <si>
    <t>541427587817/</t>
  </si>
  <si>
    <t>TN45BB9851</t>
  </si>
  <si>
    <t>42G0072066</t>
  </si>
  <si>
    <t>E01972</t>
  </si>
  <si>
    <t>551432605575/</t>
  </si>
  <si>
    <t>42G0072191</t>
  </si>
  <si>
    <t>EXP04492223</t>
  </si>
  <si>
    <t>571432580591/</t>
  </si>
  <si>
    <t>EXP04482223</t>
  </si>
  <si>
    <t>521432578476/</t>
  </si>
  <si>
    <t>42G0072185</t>
  </si>
  <si>
    <t>F25511221148</t>
  </si>
  <si>
    <t>581432487071/</t>
  </si>
  <si>
    <t>F25511221133</t>
  </si>
  <si>
    <t>571432487049/</t>
  </si>
  <si>
    <t>F25511221185</t>
  </si>
  <si>
    <t>521432487073/</t>
  </si>
  <si>
    <t>F25511221147</t>
  </si>
  <si>
    <t>531432487050/</t>
  </si>
  <si>
    <t>42G0072211</t>
  </si>
  <si>
    <t>3737/4798</t>
  </si>
  <si>
    <t>561432711718/</t>
  </si>
  <si>
    <t>42G0072210</t>
  </si>
  <si>
    <t>511432709479/</t>
  </si>
  <si>
    <t>TN42AK4554</t>
  </si>
  <si>
    <t>42G0072167</t>
  </si>
  <si>
    <t>541432444074/</t>
  </si>
  <si>
    <t>TN39CX3504</t>
  </si>
  <si>
    <t>RO.D.I SRL</t>
  </si>
  <si>
    <t>42G0072192</t>
  </si>
  <si>
    <t>8190 TO 8198</t>
  </si>
  <si>
    <t>561432489969/</t>
  </si>
  <si>
    <t>42G0072195</t>
  </si>
  <si>
    <t>TN21A4912</t>
  </si>
  <si>
    <t>42G0072215</t>
  </si>
  <si>
    <t>5475084 </t>
  </si>
  <si>
    <t>15.11.2022</t>
  </si>
  <si>
    <t>501432191222/</t>
  </si>
  <si>
    <t>42G0072217</t>
  </si>
  <si>
    <t>5479688 </t>
  </si>
  <si>
    <t>501431729839/</t>
  </si>
  <si>
    <t>5479536 </t>
  </si>
  <si>
    <t>42G0072207</t>
  </si>
  <si>
    <t>E-25092</t>
  </si>
  <si>
    <t>531432955908/</t>
  </si>
  <si>
    <t>42G0072208</t>
  </si>
  <si>
    <t>E-25093</t>
  </si>
  <si>
    <t>42G0072209</t>
  </si>
  <si>
    <t>E-25094</t>
  </si>
  <si>
    <t>561432958810/</t>
  </si>
  <si>
    <t>E-25095</t>
  </si>
  <si>
    <t>E-25096</t>
  </si>
  <si>
    <t>531432962940/</t>
  </si>
  <si>
    <t>E-25097</t>
  </si>
  <si>
    <t>501432961258/</t>
  </si>
  <si>
    <t>42G0072219</t>
  </si>
  <si>
    <t>K70FGE2200128</t>
  </si>
  <si>
    <t>521432956643/</t>
  </si>
  <si>
    <t>K70FGE2200129</t>
  </si>
  <si>
    <t>531432957579/</t>
  </si>
  <si>
    <t>160-48702242</t>
  </si>
  <si>
    <t>176-55021853</t>
  </si>
  <si>
    <t>42G0072194</t>
  </si>
  <si>
    <t>618-24836685</t>
  </si>
  <si>
    <t>42G0072193</t>
  </si>
  <si>
    <t>125-52391673</t>
  </si>
  <si>
    <t>125-52391511</t>
  </si>
  <si>
    <t>LIM</t>
  </si>
  <si>
    <t>157-84062285</t>
  </si>
  <si>
    <t>057-10255534</t>
  </si>
  <si>
    <t>232-53016692</t>
  </si>
  <si>
    <t>157-84061950</t>
  </si>
  <si>
    <t>157-84061994</t>
  </si>
  <si>
    <t>TN23AD8995</t>
  </si>
  <si>
    <t>42G0072222</t>
  </si>
  <si>
    <t>2000073631-73641</t>
  </si>
  <si>
    <t>501433059945/</t>
  </si>
  <si>
    <t>2000073620-73630</t>
  </si>
  <si>
    <t>531433059944/</t>
  </si>
  <si>
    <t>TN93A7125</t>
  </si>
  <si>
    <t>42G0072214</t>
  </si>
  <si>
    <t>591432702951/</t>
  </si>
  <si>
    <t>541432702590/</t>
  </si>
  <si>
    <t>42G0072221</t>
  </si>
  <si>
    <t>SHANGGAI</t>
  </si>
  <si>
    <t>CCEXP040</t>
  </si>
  <si>
    <t>591432995366/</t>
  </si>
  <si>
    <t>42G0072223</t>
  </si>
  <si>
    <t>CCEXP041</t>
  </si>
  <si>
    <t>541432998089/</t>
  </si>
  <si>
    <t>42G0072212</t>
  </si>
  <si>
    <t>571432858865/</t>
  </si>
  <si>
    <t>42G0072109</t>
  </si>
  <si>
    <t>EU3400001840</t>
  </si>
  <si>
    <t>551433007217/</t>
  </si>
  <si>
    <t>42G0072110</t>
  </si>
  <si>
    <t>EU3400001841</t>
  </si>
  <si>
    <t>521433005168/</t>
  </si>
  <si>
    <t>EU3400001842</t>
  </si>
  <si>
    <t>531433009402/</t>
  </si>
  <si>
    <t>TN39CR3214</t>
  </si>
  <si>
    <t>42G0072172</t>
  </si>
  <si>
    <t>571433095052/</t>
  </si>
  <si>
    <t>571433091568/</t>
  </si>
  <si>
    <t>581433090878/</t>
  </si>
  <si>
    <t>511433092972/</t>
  </si>
  <si>
    <t>42G0072184</t>
  </si>
  <si>
    <t>551433089947/</t>
  </si>
  <si>
    <t>531433089280/</t>
  </si>
  <si>
    <t>541433088615/</t>
  </si>
  <si>
    <t>NIO</t>
  </si>
  <si>
    <t>42G0072187</t>
  </si>
  <si>
    <t>EXP0V4182223</t>
  </si>
  <si>
    <t>521433031697/</t>
  </si>
  <si>
    <t>42G0072198</t>
  </si>
  <si>
    <t>EXP0V4212223</t>
  </si>
  <si>
    <t>561433032580/</t>
  </si>
  <si>
    <t>BAKR</t>
  </si>
  <si>
    <t>42G0072213</t>
  </si>
  <si>
    <t>F25511221031</t>
  </si>
  <si>
    <t>551432911034/</t>
  </si>
  <si>
    <t>F25511221032</t>
  </si>
  <si>
    <t>581432911033/</t>
  </si>
  <si>
    <t>42G0072218</t>
  </si>
  <si>
    <t>531432879950/</t>
  </si>
  <si>
    <t>42G0072226</t>
  </si>
  <si>
    <t>591433092062/</t>
  </si>
  <si>
    <t>TN39CQ9399</t>
  </si>
  <si>
    <t>42G0072220</t>
  </si>
  <si>
    <t>EEG22010104</t>
  </si>
  <si>
    <t>501433057019/</t>
  </si>
  <si>
    <t>NI</t>
  </si>
  <si>
    <t>42G0072234 </t>
  </si>
  <si>
    <t>ES0000885181</t>
  </si>
  <si>
    <t>581433329714/</t>
  </si>
  <si>
    <t>42G0072229</t>
  </si>
  <si>
    <t>K70FGE2200130</t>
  </si>
  <si>
    <t>591433337174/</t>
  </si>
  <si>
    <t>42G0072232</t>
  </si>
  <si>
    <t>AFD223569</t>
  </si>
  <si>
    <t>LOKU5VA</t>
  </si>
  <si>
    <t>521433345598/</t>
  </si>
  <si>
    <t>615-38165691</t>
  </si>
  <si>
    <t>603-47973925</t>
  </si>
  <si>
    <t>057-10255243</t>
  </si>
  <si>
    <t>157-84062064</t>
  </si>
  <si>
    <t>157-84062053</t>
  </si>
  <si>
    <t>157-84062005</t>
  </si>
  <si>
    <t>VRN</t>
  </si>
  <si>
    <t>176-55021820</t>
  </si>
  <si>
    <t>42G0072177</t>
  </si>
  <si>
    <t>125-52391743</t>
  </si>
  <si>
    <t>125-52391942</t>
  </si>
  <si>
    <t>615-38165680</t>
  </si>
  <si>
    <t>176-55021680</t>
  </si>
  <si>
    <t>176-55021842</t>
  </si>
  <si>
    <t>176-55021691</t>
  </si>
  <si>
    <t>176-55021875</t>
  </si>
  <si>
    <t>264-42723704</t>
  </si>
  <si>
    <t>42G0072162</t>
  </si>
  <si>
    <t>157-84062473</t>
  </si>
  <si>
    <t>157-84062403</t>
  </si>
  <si>
    <t>618-24836652</t>
  </si>
  <si>
    <t>42G0072238</t>
  </si>
  <si>
    <t>CCEXP042</t>
  </si>
  <si>
    <t>29545469/29545926</t>
  </si>
  <si>
    <t>511433387021/</t>
  </si>
  <si>
    <t>EOUEXP0351</t>
  </si>
  <si>
    <t>521433449890/</t>
  </si>
  <si>
    <t>42G0072203</t>
  </si>
  <si>
    <t>ES/114</t>
  </si>
  <si>
    <t>541433476638/</t>
  </si>
  <si>
    <t>GOOGLE INDIA</t>
  </si>
  <si>
    <t>GOOGLE ASIA</t>
  </si>
  <si>
    <t>42G0072231</t>
  </si>
  <si>
    <t>125156428118/</t>
  </si>
  <si>
    <t>42G0072202</t>
  </si>
  <si>
    <t>SVE/G1141</t>
  </si>
  <si>
    <t>551433502473/</t>
  </si>
  <si>
    <t>SVE/G1136</t>
  </si>
  <si>
    <t>541433500937/</t>
  </si>
  <si>
    <t>SVE/G1135</t>
  </si>
  <si>
    <t>521433499147/</t>
  </si>
  <si>
    <t>SVE/G1143</t>
  </si>
  <si>
    <t>551433504073/</t>
  </si>
  <si>
    <t>SVE/G1134</t>
  </si>
  <si>
    <t>561433496603/</t>
  </si>
  <si>
    <t>42G0072235</t>
  </si>
  <si>
    <t>42G0072241</t>
  </si>
  <si>
    <t>561433551209/</t>
  </si>
  <si>
    <t>42G0072240</t>
  </si>
  <si>
    <t>29852/30894</t>
  </si>
  <si>
    <t>551433529766/</t>
  </si>
  <si>
    <t>42G0072227</t>
  </si>
  <si>
    <t>F25511221200</t>
  </si>
  <si>
    <t>581433366513/</t>
  </si>
  <si>
    <t>618-24836571</t>
  </si>
  <si>
    <t>125-52391640</t>
  </si>
  <si>
    <t>607-28061670</t>
  </si>
  <si>
    <t>157-84062112</t>
  </si>
  <si>
    <t>157-84062160</t>
  </si>
  <si>
    <t>057-10255184</t>
  </si>
  <si>
    <t>157-84062230</t>
  </si>
  <si>
    <t>WIPRO </t>
  </si>
  <si>
    <t>42G0072230</t>
  </si>
  <si>
    <t>501433707077/</t>
  </si>
  <si>
    <t>42G0072246</t>
  </si>
  <si>
    <t>42G0072237</t>
  </si>
  <si>
    <t>HI3322200833</t>
  </si>
  <si>
    <t>571433838556/</t>
  </si>
  <si>
    <t>42G0072250</t>
  </si>
  <si>
    <t>IGP08281</t>
  </si>
  <si>
    <t>591433854714/</t>
  </si>
  <si>
    <t>42G0072252</t>
  </si>
  <si>
    <t>IGP08306</t>
  </si>
  <si>
    <t>501433856320/</t>
  </si>
  <si>
    <t>EU3400001873</t>
  </si>
  <si>
    <t>571433867675/</t>
  </si>
  <si>
    <t>EU3400001861</t>
  </si>
  <si>
    <t>581433863577/</t>
  </si>
  <si>
    <t>EU3400001872</t>
  </si>
  <si>
    <t>511433846717/</t>
  </si>
  <si>
    <t>42G0072111</t>
  </si>
  <si>
    <t>42G0072112</t>
  </si>
  <si>
    <t>A0424</t>
  </si>
  <si>
    <t>521433805373/</t>
  </si>
  <si>
    <t>TN31BE8893</t>
  </si>
  <si>
    <t>EP06211</t>
  </si>
  <si>
    <t>8987-8988</t>
  </si>
  <si>
    <t>531433833843/</t>
  </si>
  <si>
    <t>42G0072256</t>
  </si>
  <si>
    <t>42G0072247</t>
  </si>
  <si>
    <t>521433810351/</t>
  </si>
  <si>
    <t>42G0072253</t>
  </si>
  <si>
    <t>TN73J1210</t>
  </si>
  <si>
    <t>541433803216/</t>
  </si>
  <si>
    <t>42G0072266</t>
  </si>
  <si>
    <t>TN34AF5207</t>
  </si>
  <si>
    <t>42G0072267</t>
  </si>
  <si>
    <t>29852/31802</t>
  </si>
  <si>
    <t>561433949701/</t>
  </si>
  <si>
    <t>511433950175/</t>
  </si>
  <si>
    <t>TN39CL2082</t>
  </si>
  <si>
    <t>42G0072265</t>
  </si>
  <si>
    <t>EEG22010103</t>
  </si>
  <si>
    <t>501433883485/</t>
  </si>
  <si>
    <t>860-03223544</t>
  </si>
  <si>
    <t>057-10255136</t>
  </si>
  <si>
    <t xml:space="preserve">176-55021724
</t>
  </si>
  <si>
    <t>157-84062156</t>
  </si>
  <si>
    <t>14FT</t>
  </si>
  <si>
    <t>618-24836615</t>
  </si>
  <si>
    <t>571434123505/</t>
  </si>
  <si>
    <t>42G0072270</t>
  </si>
  <si>
    <t>TN46Y8154</t>
  </si>
  <si>
    <t>E02049</t>
  </si>
  <si>
    <t>5382/5383/5384</t>
  </si>
  <si>
    <t>501433888857/</t>
  </si>
  <si>
    <t>E02042</t>
  </si>
  <si>
    <t>531433888281/</t>
  </si>
  <si>
    <t>511433806539/</t>
  </si>
  <si>
    <t>511433804814/</t>
  </si>
  <si>
    <t>581433693680/</t>
  </si>
  <si>
    <t>561433804088/</t>
  </si>
  <si>
    <t>561433805135/</t>
  </si>
  <si>
    <t>531433802265/</t>
  </si>
  <si>
    <t>581433799540/</t>
  </si>
  <si>
    <t>GE MEASUREMENT</t>
  </si>
  <si>
    <t>501433858933/</t>
  </si>
  <si>
    <t>42G0072225</t>
  </si>
  <si>
    <t>42G0072236</t>
  </si>
  <si>
    <t>42G0072248</t>
  </si>
  <si>
    <t>42G0072249</t>
  </si>
  <si>
    <t>42G0072242</t>
  </si>
  <si>
    <t>42G0072251</t>
  </si>
  <si>
    <t>42G0072244</t>
  </si>
  <si>
    <t>42G0072272</t>
  </si>
  <si>
    <t>2000073740-73745</t>
  </si>
  <si>
    <t>531434323426/</t>
  </si>
  <si>
    <t>2000073757-73764</t>
  </si>
  <si>
    <t>591434323677/</t>
  </si>
  <si>
    <t>42G0072197</t>
  </si>
  <si>
    <t>E02050</t>
  </si>
  <si>
    <t>5385/5386</t>
  </si>
  <si>
    <t>531434227285/</t>
  </si>
  <si>
    <t>42G0072188</t>
  </si>
  <si>
    <t>E02045</t>
  </si>
  <si>
    <t>5372/5373</t>
  </si>
  <si>
    <t>521434225356/</t>
  </si>
  <si>
    <t>42G0072216</t>
  </si>
  <si>
    <t>E02061</t>
  </si>
  <si>
    <t>5444-5449</t>
  </si>
  <si>
    <t>551434228156/</t>
  </si>
  <si>
    <t>42G0072276 </t>
  </si>
  <si>
    <t>591434338936/</t>
  </si>
  <si>
    <t>TN22M9639</t>
  </si>
  <si>
    <t>42G0072278</t>
  </si>
  <si>
    <t>EEG22010101</t>
  </si>
  <si>
    <t>551434255349/</t>
  </si>
  <si>
    <t>AXLES</t>
  </si>
  <si>
    <t>TMBP </t>
  </si>
  <si>
    <t>42G0072271</t>
  </si>
  <si>
    <t>E23/00000388</t>
  </si>
  <si>
    <t>4750/5447/5450</t>
  </si>
  <si>
    <t>511434422376/</t>
  </si>
  <si>
    <t>BROWNFIELD</t>
  </si>
  <si>
    <t>42G0072274</t>
  </si>
  <si>
    <t>GB3322202187</t>
  </si>
  <si>
    <t>531434614403/</t>
  </si>
  <si>
    <t>42G0072275</t>
  </si>
  <si>
    <t>GB3322202181</t>
  </si>
  <si>
    <t>1000471710-471711</t>
  </si>
  <si>
    <t>521434613816/</t>
  </si>
  <si>
    <t>232-62281623</t>
  </si>
  <si>
    <t>125-52391710</t>
  </si>
  <si>
    <t>42G0072276</t>
  </si>
  <si>
    <t>160-48702592</t>
  </si>
  <si>
    <t>217-30381831</t>
  </si>
  <si>
    <t>607-26774580</t>
  </si>
  <si>
    <t>TN22DC6059</t>
  </si>
  <si>
    <t>42G0072283 </t>
  </si>
  <si>
    <t>521434558588/</t>
  </si>
  <si>
    <t>TN07AE1143</t>
  </si>
  <si>
    <t>FLAMAGAS</t>
  </si>
  <si>
    <t>42G0072289</t>
  </si>
  <si>
    <t>SPAIN</t>
  </si>
  <si>
    <t>E-05</t>
  </si>
  <si>
    <t>CP22</t>
  </si>
  <si>
    <t>501434603048/</t>
  </si>
  <si>
    <t>E-06</t>
  </si>
  <si>
    <t>CP11</t>
  </si>
  <si>
    <t>591434608503/</t>
  </si>
  <si>
    <t>42G0072281</t>
  </si>
  <si>
    <t>581434585670/</t>
  </si>
  <si>
    <t>HANON</t>
  </si>
  <si>
    <t>A&amp;M TOOL</t>
  </si>
  <si>
    <t>42G0072294</t>
  </si>
  <si>
    <t>CE220717</t>
  </si>
  <si>
    <t>7846/7847</t>
  </si>
  <si>
    <t>501434666926/</t>
  </si>
  <si>
    <t>42G0072201</t>
  </si>
  <si>
    <t>ES/130</t>
  </si>
  <si>
    <t>531434591529/</t>
  </si>
  <si>
    <t>42G0072204</t>
  </si>
  <si>
    <t>ES/125</t>
  </si>
  <si>
    <t>521434589408/</t>
  </si>
  <si>
    <t>42G0072284</t>
  </si>
  <si>
    <t>IN-XD 2340161</t>
  </si>
  <si>
    <t>Q07802</t>
  </si>
  <si>
    <t>571434712668/</t>
  </si>
  <si>
    <t>42G0072113</t>
  </si>
  <si>
    <t>TN3300039188</t>
  </si>
  <si>
    <t>581434697678/</t>
  </si>
  <si>
    <t>TN31CC8957</t>
  </si>
  <si>
    <t>42G0072304</t>
  </si>
  <si>
    <t>511434659507/</t>
  </si>
  <si>
    <t>TN12AS6394</t>
  </si>
  <si>
    <t>42G0072285</t>
  </si>
  <si>
    <t>E23/00000389</t>
  </si>
  <si>
    <t>501434838710/</t>
  </si>
  <si>
    <t>42G0072301 </t>
  </si>
  <si>
    <t>551434817938/</t>
  </si>
  <si>
    <t>42G0072300 </t>
  </si>
  <si>
    <t>581434817362/</t>
  </si>
  <si>
    <t>TN10BJ1831</t>
  </si>
  <si>
    <t>42G0072279</t>
  </si>
  <si>
    <t>E02034</t>
  </si>
  <si>
    <t>5339/5340</t>
  </si>
  <si>
    <t>551434654322/</t>
  </si>
  <si>
    <t>42G0072287</t>
  </si>
  <si>
    <t>541434750528/</t>
  </si>
  <si>
    <t>42G0072290</t>
  </si>
  <si>
    <t>SPE-22-23-1826</t>
  </si>
  <si>
    <t>541434779510/</t>
  </si>
  <si>
    <t>42G0072286</t>
  </si>
  <si>
    <t>SPE-22-23-1818</t>
  </si>
  <si>
    <t>531434778600/</t>
  </si>
  <si>
    <t>SPE-22-23-1824</t>
  </si>
  <si>
    <t>511434778956/</t>
  </si>
  <si>
    <t>42G0072291</t>
  </si>
  <si>
    <t>SPE-22-23-1823</t>
  </si>
  <si>
    <t>551434778325/</t>
  </si>
  <si>
    <t>SPE-22-23-1825</t>
  </si>
  <si>
    <t>521434779220/</t>
  </si>
  <si>
    <t>42G0072280</t>
  </si>
  <si>
    <t>F25511221068</t>
  </si>
  <si>
    <t>521434720299/</t>
  </si>
  <si>
    <t>F25511221082</t>
  </si>
  <si>
    <t>551434720300/</t>
  </si>
  <si>
    <t>ZAMAN &amp; BROTHERS</t>
  </si>
  <si>
    <t>42G0072277</t>
  </si>
  <si>
    <t>F25511221131</t>
  </si>
  <si>
    <t>521434604612/</t>
  </si>
  <si>
    <t>42G0072292</t>
  </si>
  <si>
    <t>5561942 </t>
  </si>
  <si>
    <t>18.11.2022 </t>
  </si>
  <si>
    <t>551433391223/</t>
  </si>
  <si>
    <t>5561987 </t>
  </si>
  <si>
    <t>5561982 </t>
  </si>
  <si>
    <t>TN01BE0299</t>
  </si>
  <si>
    <t>42G0072243</t>
  </si>
  <si>
    <t>A0420</t>
  </si>
  <si>
    <t>531434195218/</t>
  </si>
  <si>
    <t>TN12AF4169</t>
  </si>
  <si>
    <t>42G0072316</t>
  </si>
  <si>
    <t>1310009832-1310009839</t>
  </si>
  <si>
    <t>PL-543</t>
  </si>
  <si>
    <t>501433509705/</t>
  </si>
  <si>
    <t>1310009834-1310009880</t>
  </si>
  <si>
    <t>PL-544</t>
  </si>
  <si>
    <t>561433524061/</t>
  </si>
  <si>
    <t>1310009876-1310009882</t>
  </si>
  <si>
    <t>PL-547</t>
  </si>
  <si>
    <t>581433518466/</t>
  </si>
  <si>
    <t>42G0072307</t>
  </si>
  <si>
    <t>5114435006195/</t>
  </si>
  <si>
    <t>42G0072299</t>
  </si>
  <si>
    <t>IGP08320</t>
  </si>
  <si>
    <t>571434960069/</t>
  </si>
  <si>
    <t>42G0072298</t>
  </si>
  <si>
    <t>IGP08118</t>
  </si>
  <si>
    <t>571434953689/</t>
  </si>
  <si>
    <t>42G0072302 </t>
  </si>
  <si>
    <t>IGP08492</t>
  </si>
  <si>
    <t>541434961500/</t>
  </si>
  <si>
    <t>42G0072311</t>
  </si>
  <si>
    <t>E22000616</t>
  </si>
  <si>
    <t>VIOLIN</t>
  </si>
  <si>
    <t>42G0072288</t>
  </si>
  <si>
    <t>COSTA RICA</t>
  </si>
  <si>
    <t>XM/2223/0240</t>
  </si>
  <si>
    <t>591435071593/</t>
  </si>
  <si>
    <t>TN22DT8716</t>
  </si>
  <si>
    <t>42G0072318</t>
  </si>
  <si>
    <t>NSSEX-220087</t>
  </si>
  <si>
    <t>41206/41102</t>
  </si>
  <si>
    <t>121558605441/</t>
  </si>
  <si>
    <t>NSSEX-220088</t>
  </si>
  <si>
    <t>141558612450/</t>
  </si>
  <si>
    <t>235-06048814</t>
  </si>
  <si>
    <t>232-49032546</t>
  </si>
  <si>
    <t>160-48701520</t>
  </si>
  <si>
    <t>157-84062554</t>
  </si>
  <si>
    <t>125-52391835</t>
  </si>
  <si>
    <t>217-30381750</t>
  </si>
  <si>
    <t>828-15298754</t>
  </si>
  <si>
    <t>GIG</t>
  </si>
  <si>
    <t>176-55032390</t>
  </si>
  <si>
    <t>42G0072300</t>
  </si>
  <si>
    <t>618-24836722</t>
  </si>
  <si>
    <t>42G0072301</t>
  </si>
  <si>
    <t>125-52391706</t>
  </si>
  <si>
    <t>235-06065485</t>
  </si>
  <si>
    <t>160-48701634</t>
  </si>
  <si>
    <t>157-84061935</t>
  </si>
  <si>
    <t>42G0072283</t>
  </si>
  <si>
    <t>125-52391791</t>
  </si>
  <si>
    <t>42G0072312</t>
  </si>
  <si>
    <t>571435090943/</t>
  </si>
  <si>
    <t>42G0072317</t>
  </si>
  <si>
    <t>591435053140/</t>
  </si>
  <si>
    <t>42G0072314</t>
  </si>
  <si>
    <t>511435171464/</t>
  </si>
  <si>
    <t>501435193481/</t>
  </si>
  <si>
    <t>42G0072313</t>
  </si>
  <si>
    <t>521435187675/</t>
  </si>
  <si>
    <t>561435193517/</t>
  </si>
  <si>
    <t>511435174827/</t>
  </si>
  <si>
    <t>521435174817/</t>
  </si>
  <si>
    <t>42G0072319</t>
  </si>
  <si>
    <t>K70FGE2200132</t>
  </si>
  <si>
    <t>521435180067/</t>
  </si>
  <si>
    <t>42G0072324</t>
  </si>
  <si>
    <t>541435204037/</t>
  </si>
  <si>
    <t>TN05CE5492</t>
  </si>
  <si>
    <t>42G0072306</t>
  </si>
  <si>
    <t>F25511221140</t>
  </si>
  <si>
    <t>531435052673/</t>
  </si>
  <si>
    <t>42G0072308</t>
  </si>
  <si>
    <t>F25511221253</t>
  </si>
  <si>
    <t>511435052651/</t>
  </si>
  <si>
    <t>F25511221250</t>
  </si>
  <si>
    <t>511435052677/</t>
  </si>
  <si>
    <t>42G0072297</t>
  </si>
  <si>
    <t>F25511221256</t>
  </si>
  <si>
    <t>511435052617/</t>
  </si>
  <si>
    <t>F25511221254</t>
  </si>
  <si>
    <t>591435052655/</t>
  </si>
  <si>
    <t>F25511221255</t>
  </si>
  <si>
    <t>571435052620/</t>
  </si>
  <si>
    <t>TN09BD0904</t>
  </si>
  <si>
    <t>42G0072338</t>
  </si>
  <si>
    <t>1201-1228</t>
  </si>
  <si>
    <t>5633603 </t>
  </si>
  <si>
    <t>22.11.2022 </t>
  </si>
  <si>
    <t>541435412573/</t>
  </si>
  <si>
    <t>TN42AC9181</t>
  </si>
  <si>
    <t>VYSHAK GARMENTS</t>
  </si>
  <si>
    <t>42G0072336</t>
  </si>
  <si>
    <t>VG-102</t>
  </si>
  <si>
    <t>822/823</t>
  </si>
  <si>
    <t>23.11.2022</t>
  </si>
  <si>
    <t>521434846904/</t>
  </si>
  <si>
    <t>TN12Q2979/TN22CQ9033</t>
  </si>
  <si>
    <t>42G0072329</t>
  </si>
  <si>
    <t>EXP/0142</t>
  </si>
  <si>
    <t>501435192967/</t>
  </si>
  <si>
    <t>42G0072305</t>
  </si>
  <si>
    <t>EXP/1163</t>
  </si>
  <si>
    <t>581435186935/</t>
  </si>
  <si>
    <t>EXP/0127</t>
  </si>
  <si>
    <t>501435190677/</t>
  </si>
  <si>
    <t>EXP/0143</t>
  </si>
  <si>
    <t>EXP/0144</t>
  </si>
  <si>
    <t>561435193801/</t>
  </si>
  <si>
    <t>EXP/0162</t>
  </si>
  <si>
    <t>571435189030/</t>
  </si>
  <si>
    <t>EXP/0126</t>
  </si>
  <si>
    <t>561435188133/</t>
  </si>
  <si>
    <t>EXP/0128</t>
  </si>
  <si>
    <t>591435185597/</t>
  </si>
  <si>
    <t>TN11SAW5229</t>
  </si>
  <si>
    <t>42G0072322</t>
  </si>
  <si>
    <t>561435307444/</t>
  </si>
  <si>
    <t>42G0072346</t>
  </si>
  <si>
    <t>RE/050</t>
  </si>
  <si>
    <t>571435507894/</t>
  </si>
  <si>
    <t>921-43026992</t>
  </si>
  <si>
    <t>603-47973951</t>
  </si>
  <si>
    <t>42G0072302</t>
  </si>
  <si>
    <t>618-24836556</t>
  </si>
  <si>
    <t>157-84062440</t>
  </si>
  <si>
    <t>057-10255125</t>
  </si>
  <si>
    <t>125-52391850</t>
  </si>
  <si>
    <t>057-10255453</t>
  </si>
  <si>
    <t>125-52391776</t>
  </si>
  <si>
    <t>057-10255280</t>
  </si>
  <si>
    <t>EU3400001923</t>
  </si>
  <si>
    <t>591435489808/</t>
  </si>
  <si>
    <t>42G0062332</t>
  </si>
  <si>
    <t>42G0072331</t>
  </si>
  <si>
    <t>EP06222</t>
  </si>
  <si>
    <t>9007-9009</t>
  </si>
  <si>
    <t>571435500059/</t>
  </si>
  <si>
    <t>TRIGO</t>
  </si>
  <si>
    <t>42G0072328</t>
  </si>
  <si>
    <t>511435604803/</t>
  </si>
  <si>
    <t>42G0072349 </t>
  </si>
  <si>
    <t>E-25123</t>
  </si>
  <si>
    <t>E-25124</t>
  </si>
  <si>
    <t>E-25125</t>
  </si>
  <si>
    <t>E-25126</t>
  </si>
  <si>
    <t>42G0072344 </t>
  </si>
  <si>
    <t>E-25109</t>
  </si>
  <si>
    <t>E-25120</t>
  </si>
  <si>
    <t>551435571822/</t>
  </si>
  <si>
    <t>E-25121</t>
  </si>
  <si>
    <t>42G0072339 </t>
  </si>
  <si>
    <t>E-25122</t>
  </si>
  <si>
    <t>571435573952/</t>
  </si>
  <si>
    <t>42G0072345 </t>
  </si>
  <si>
    <t>E-25119</t>
  </si>
  <si>
    <t>591435569887/</t>
  </si>
  <si>
    <t>42G0072355</t>
  </si>
  <si>
    <t>511435676183/</t>
  </si>
  <si>
    <t>TN39CS9500</t>
  </si>
  <si>
    <t>42G0072354 </t>
  </si>
  <si>
    <t>571435674651/</t>
  </si>
  <si>
    <t>42G0072353</t>
  </si>
  <si>
    <t>521435670386/</t>
  </si>
  <si>
    <t>176-55032294</t>
  </si>
  <si>
    <t>264-42723763</t>
  </si>
  <si>
    <t>603-47961384</t>
  </si>
  <si>
    <t>125-52391916</t>
  </si>
  <si>
    <t>157-84062602</t>
  </si>
  <si>
    <t>42G0072234</t>
  </si>
  <si>
    <t>176-55032386</t>
  </si>
  <si>
    <t>TN11V6517</t>
  </si>
  <si>
    <t>AUTOBAHN</t>
  </si>
  <si>
    <t>42G0072358</t>
  </si>
  <si>
    <t>551435806401/</t>
  </si>
  <si>
    <t>MOTHERSON</t>
  </si>
  <si>
    <t>42G0072350</t>
  </si>
  <si>
    <t>65101361/1362/1363/0654/0655/0656/0657</t>
  </si>
  <si>
    <t>B1-B171/P2-P4</t>
  </si>
  <si>
    <t>511435669477/</t>
  </si>
  <si>
    <t>42G0072352</t>
  </si>
  <si>
    <t>NIL </t>
  </si>
  <si>
    <t>501435291389/</t>
  </si>
  <si>
    <t>42G0072351</t>
  </si>
  <si>
    <t>944,945,946,950,951,952,953/</t>
  </si>
  <si>
    <t>57435293331/</t>
  </si>
  <si>
    <t>42G0072323</t>
  </si>
  <si>
    <t>501435486844/</t>
  </si>
  <si>
    <t>42G0072334</t>
  </si>
  <si>
    <t>RV0922102945</t>
  </si>
  <si>
    <t>551435522916/</t>
  </si>
  <si>
    <t>RV0922102946</t>
  </si>
  <si>
    <t>581435586908/</t>
  </si>
  <si>
    <t>42G0072330</t>
  </si>
  <si>
    <t>541435528739/</t>
  </si>
  <si>
    <t>MUC</t>
  </si>
  <si>
    <t>176-55032235</t>
  </si>
  <si>
    <t>615-35024220</t>
  </si>
  <si>
    <t>42G0072339</t>
  </si>
  <si>
    <t>42G0072344</t>
  </si>
  <si>
    <t>42G0072345</t>
  </si>
  <si>
    <t>42G0072349</t>
  </si>
  <si>
    <t>125-52391883</t>
  </si>
  <si>
    <t>125-52391662</t>
  </si>
  <si>
    <t>42G0072354</t>
  </si>
  <si>
    <t>125-52391964</t>
  </si>
  <si>
    <t>TRO </t>
  </si>
  <si>
    <t>42G0072356</t>
  </si>
  <si>
    <t>SL0/22020270</t>
  </si>
  <si>
    <t>501435890368/</t>
  </si>
  <si>
    <t>FLXEITALLIC</t>
  </si>
  <si>
    <t>42G0072364</t>
  </si>
  <si>
    <t>IGP08443</t>
  </si>
  <si>
    <t>551435994566/</t>
  </si>
  <si>
    <t>ROTORK CONTROLS</t>
  </si>
  <si>
    <t>FIRE PROTECTION</t>
  </si>
  <si>
    <t>42G0072363</t>
  </si>
  <si>
    <t>EXP053</t>
  </si>
  <si>
    <t>541436031195/</t>
  </si>
  <si>
    <t>42G0072362</t>
  </si>
  <si>
    <t>CCEXP047</t>
  </si>
  <si>
    <t>531435900398/</t>
  </si>
  <si>
    <t>42G0072361</t>
  </si>
  <si>
    <t>CCEXP050</t>
  </si>
  <si>
    <t>581435902609/</t>
  </si>
  <si>
    <t>42G0072360</t>
  </si>
  <si>
    <t>CCEXP048</t>
  </si>
  <si>
    <t>511435905508/</t>
  </si>
  <si>
    <t>TN73F5208</t>
  </si>
  <si>
    <t>42G0072375</t>
  </si>
  <si>
    <t>14896/14897</t>
  </si>
  <si>
    <t>571436068121/</t>
  </si>
  <si>
    <t>42G0072375 </t>
  </si>
  <si>
    <t>521436074800/</t>
  </si>
  <si>
    <t>42G0072375  </t>
  </si>
  <si>
    <t>14898-14903</t>
  </si>
  <si>
    <t>551436067205/</t>
  </si>
  <si>
    <t>42G0072379 </t>
  </si>
  <si>
    <t>521436117259/</t>
  </si>
  <si>
    <t>42G0072340</t>
  </si>
  <si>
    <t>F25511221287</t>
  </si>
  <si>
    <t>511435892846/</t>
  </si>
  <si>
    <t>42G0072342</t>
  </si>
  <si>
    <t>591435851122/</t>
  </si>
  <si>
    <t>42G0072333</t>
  </si>
  <si>
    <t>E02122</t>
  </si>
  <si>
    <t>501435947239/</t>
  </si>
  <si>
    <t>42G0072359</t>
  </si>
  <si>
    <t>CKE10515</t>
  </si>
  <si>
    <t>571435815698/</t>
  </si>
  <si>
    <t>TN45BR3647</t>
  </si>
  <si>
    <t>42G0072383</t>
  </si>
  <si>
    <t>2360-2361</t>
  </si>
  <si>
    <t>5662795 </t>
  </si>
  <si>
    <t>42G0072341</t>
  </si>
  <si>
    <t>TN05CC6099</t>
  </si>
  <si>
    <t>42G0072381 </t>
  </si>
  <si>
    <t>521436139790/</t>
  </si>
  <si>
    <t>42G0072377</t>
  </si>
  <si>
    <t>561436139060/</t>
  </si>
  <si>
    <t>160-48701800</t>
  </si>
  <si>
    <t>160-45382923</t>
  </si>
  <si>
    <t>607-28067104</t>
  </si>
  <si>
    <t>057-10255560</t>
  </si>
  <si>
    <t>057-10255173</t>
  </si>
  <si>
    <t>BCN</t>
  </si>
  <si>
    <t>235-06065496</t>
  </si>
  <si>
    <t>157-84061865</t>
  </si>
  <si>
    <t>615-35024356</t>
  </si>
  <si>
    <t>618-24836836</t>
  </si>
  <si>
    <t>618-24836593</t>
  </si>
  <si>
    <t>42G0072370</t>
  </si>
  <si>
    <t>541436231485/</t>
  </si>
  <si>
    <t>TN22DD2197</t>
  </si>
  <si>
    <t>VIKRAM SOLAR</t>
  </si>
  <si>
    <t>SCHLEIFERSTRABE</t>
  </si>
  <si>
    <t>EX3322900105</t>
  </si>
  <si>
    <t>1000239961-9964</t>
  </si>
  <si>
    <t>521436008333/</t>
  </si>
  <si>
    <t>42G0070582</t>
  </si>
  <si>
    <t>EU3400001974</t>
  </si>
  <si>
    <t>571436355726/</t>
  </si>
  <si>
    <t>EU3400001975</t>
  </si>
  <si>
    <t>591436357869/</t>
  </si>
  <si>
    <t>42G0072389</t>
  </si>
  <si>
    <t>USE</t>
  </si>
  <si>
    <t>E22000612</t>
  </si>
  <si>
    <t>YYC</t>
  </si>
  <si>
    <t>014-64747141</t>
  </si>
  <si>
    <t>157-84062355</t>
  </si>
  <si>
    <t>42G0072397</t>
  </si>
  <si>
    <t>511436348463/</t>
  </si>
  <si>
    <t>551436351153/</t>
  </si>
  <si>
    <t>42G0072390</t>
  </si>
  <si>
    <t>KMF/EX/22-23/16</t>
  </si>
  <si>
    <t>581436403057/</t>
  </si>
  <si>
    <t>42G0072387</t>
  </si>
  <si>
    <t>K70FGE2200134</t>
  </si>
  <si>
    <t>551436484462/</t>
  </si>
  <si>
    <t>42G0072386</t>
  </si>
  <si>
    <t>K70FGE2200133</t>
  </si>
  <si>
    <t>541436484117/</t>
  </si>
  <si>
    <t>42G0072385</t>
  </si>
  <si>
    <t>541436285099/</t>
  </si>
  <si>
    <t>501436285097/</t>
  </si>
  <si>
    <t>42G0072376</t>
  </si>
  <si>
    <t>541436152441/</t>
  </si>
  <si>
    <t>MSSL CMBH</t>
  </si>
  <si>
    <t>42G0072393</t>
  </si>
  <si>
    <t>41100664,665,65101378,1379,1380/</t>
  </si>
  <si>
    <t>7181720/28535063</t>
  </si>
  <si>
    <t>581436514461/</t>
  </si>
  <si>
    <t>TN05CB6759/TN34AF5207</t>
  </si>
  <si>
    <t>42G0072400</t>
  </si>
  <si>
    <t>571436555706/</t>
  </si>
  <si>
    <t>42G0072398 </t>
  </si>
  <si>
    <t>501436555495/</t>
  </si>
  <si>
    <t>42G0072400 </t>
  </si>
  <si>
    <t>521436554948/</t>
  </si>
  <si>
    <t>TN49CV0310</t>
  </si>
  <si>
    <t>42G0072380</t>
  </si>
  <si>
    <t>EXPV04412223</t>
  </si>
  <si>
    <t>571436284941/</t>
  </si>
  <si>
    <t>42G0072372</t>
  </si>
  <si>
    <t>581436370610/</t>
  </si>
  <si>
    <t>42G0072326</t>
  </si>
  <si>
    <t>E02119</t>
  </si>
  <si>
    <t>5559/5560</t>
  </si>
  <si>
    <t>581436395361/</t>
  </si>
  <si>
    <t>42G0072325</t>
  </si>
  <si>
    <t>E02123</t>
  </si>
  <si>
    <t>5565/5566</t>
  </si>
  <si>
    <t>511436396334/</t>
  </si>
  <si>
    <t>42G0072282</t>
  </si>
  <si>
    <t>E02126</t>
  </si>
  <si>
    <t>5569-5570</t>
  </si>
  <si>
    <t>561436397163/</t>
  </si>
  <si>
    <t>42G0072382</t>
  </si>
  <si>
    <t>E02124</t>
  </si>
  <si>
    <t>5566-5567</t>
  </si>
  <si>
    <t>551436399728/</t>
  </si>
  <si>
    <t>42G0072384</t>
  </si>
  <si>
    <t>F25511221318</t>
  </si>
  <si>
    <t>581436368909/</t>
  </si>
  <si>
    <t>42G0072365</t>
  </si>
  <si>
    <t>F25511221303</t>
  </si>
  <si>
    <t>531436402231/</t>
  </si>
  <si>
    <t>42G0072366</t>
  </si>
  <si>
    <t>F25511221309</t>
  </si>
  <si>
    <t>511436402264/</t>
  </si>
  <si>
    <t>42G0072369</t>
  </si>
  <si>
    <t>F25511221223</t>
  </si>
  <si>
    <t>581436433054/</t>
  </si>
  <si>
    <t>F25511221304</t>
  </si>
  <si>
    <t>501436402261/</t>
  </si>
  <si>
    <t>SHANGHAI NATURAL SYATERM</t>
  </si>
  <si>
    <t>42G0072373</t>
  </si>
  <si>
    <t>F25511220462</t>
  </si>
  <si>
    <t>511436409971/</t>
  </si>
  <si>
    <t>42G0072228</t>
  </si>
  <si>
    <t>F25511221077</t>
  </si>
  <si>
    <t>521436424977/</t>
  </si>
  <si>
    <t>F25511221278</t>
  </si>
  <si>
    <t>551436402224/</t>
  </si>
  <si>
    <t>F25511221266</t>
  </si>
  <si>
    <t>581436402252/</t>
  </si>
  <si>
    <t>125-52391544</t>
  </si>
  <si>
    <t>157-84062226</t>
  </si>
  <si>
    <t>607-28067126</t>
  </si>
  <si>
    <t>42G0072379</t>
  </si>
  <si>
    <t>125-52391802</t>
  </si>
  <si>
    <t>42G0072381</t>
  </si>
  <si>
    <t>160-48701494</t>
  </si>
  <si>
    <t>176-55032331</t>
  </si>
  <si>
    <t>615-35024496</t>
  </si>
  <si>
    <t>125-52391592</t>
  </si>
  <si>
    <t>235-06320506</t>
  </si>
  <si>
    <t>618-23254033</t>
  </si>
  <si>
    <t>SJO</t>
  </si>
  <si>
    <t>157-84062650</t>
  </si>
  <si>
    <t>020-94843442 </t>
  </si>
  <si>
    <t>42G0072398</t>
  </si>
  <si>
    <t>618-24836383 </t>
  </si>
  <si>
    <t>42G0072401</t>
  </si>
  <si>
    <t>511436670197/</t>
  </si>
  <si>
    <t>42G0072332</t>
  </si>
  <si>
    <t>E02116</t>
  </si>
  <si>
    <t>5551-5553</t>
  </si>
  <si>
    <t>591436707473/</t>
  </si>
  <si>
    <t>42G0072296</t>
  </si>
  <si>
    <t>E02114</t>
  </si>
  <si>
    <t>511436706942/</t>
  </si>
  <si>
    <t>42G0072399</t>
  </si>
  <si>
    <t>K70FGE2200139</t>
  </si>
  <si>
    <t>541436884177/</t>
  </si>
  <si>
    <t>K70FGE2200142</t>
  </si>
  <si>
    <t>531436887230/</t>
  </si>
  <si>
    <t>TN96 9108</t>
  </si>
  <si>
    <t>K70FGE2200137</t>
  </si>
  <si>
    <t>541436882874/</t>
  </si>
  <si>
    <t>K70FGE2200141</t>
  </si>
  <si>
    <t>571436886932/</t>
  </si>
  <si>
    <t>K70FGE2200140</t>
  </si>
  <si>
    <t>551436884505/</t>
  </si>
  <si>
    <t>K70FGE2200136</t>
  </si>
  <si>
    <t>591436882163/</t>
  </si>
  <si>
    <t>TN12Q2979 </t>
  </si>
  <si>
    <t>K70FGE2200138</t>
  </si>
  <si>
    <t>571436883454/</t>
  </si>
  <si>
    <t>42G0072411 </t>
  </si>
  <si>
    <t>511436938462/</t>
  </si>
  <si>
    <t>42G0072412 </t>
  </si>
  <si>
    <t>581436940455/</t>
  </si>
  <si>
    <t>42G0072410</t>
  </si>
  <si>
    <t>551436940654/</t>
  </si>
  <si>
    <t>TN11AR4074</t>
  </si>
  <si>
    <t>PEARL GLOBAL</t>
  </si>
  <si>
    <t>42G0072419</t>
  </si>
  <si>
    <t>PGCE20041622</t>
  </si>
  <si>
    <t>52143711155/</t>
  </si>
  <si>
    <t>42G0062333</t>
  </si>
  <si>
    <t>EU3400002015</t>
  </si>
  <si>
    <t>521437289049/</t>
  </si>
  <si>
    <t>EU3400002014</t>
  </si>
  <si>
    <t>571437285604/</t>
  </si>
  <si>
    <t>618-24836372</t>
  </si>
  <si>
    <t>603-47973914</t>
  </si>
  <si>
    <t>603-47973962</t>
  </si>
  <si>
    <t>42G0072412</t>
  </si>
  <si>
    <t>020-94843394</t>
  </si>
  <si>
    <t>42G0072411</t>
  </si>
  <si>
    <t>020-94843346</t>
  </si>
  <si>
    <t>TN22DF7308 / TN22DF6750</t>
  </si>
  <si>
    <t>160-48701704</t>
  </si>
  <si>
    <t>42G0072413 </t>
  </si>
  <si>
    <t>121561455903/</t>
  </si>
  <si>
    <t>921-43027154</t>
  </si>
  <si>
    <t>TN22DF8358/TN11P1969/TN22DF7308</t>
  </si>
  <si>
    <t>157-84062613</t>
  </si>
  <si>
    <t>42G0072413</t>
  </si>
  <si>
    <t>607-28067141</t>
  </si>
  <si>
    <t>42G0072426</t>
  </si>
  <si>
    <t>42G0072428</t>
  </si>
  <si>
    <t>65101398/1399</t>
  </si>
  <si>
    <t>C01-06</t>
  </si>
  <si>
    <t>534437387007/</t>
  </si>
  <si>
    <t>42G0072427</t>
  </si>
  <si>
    <t>65101401/402/403</t>
  </si>
  <si>
    <t>B1-B26/P01</t>
  </si>
  <si>
    <t>5714373787012/</t>
  </si>
  <si>
    <t>42G0072417</t>
  </si>
  <si>
    <t>F25511221313</t>
  </si>
  <si>
    <t>501437396835/</t>
  </si>
  <si>
    <t>42G0072415</t>
  </si>
  <si>
    <t>SPE-22-23-1895</t>
  </si>
  <si>
    <t>591437327720/</t>
  </si>
  <si>
    <t>42G0072416</t>
  </si>
  <si>
    <t>SPE-22-23-1890</t>
  </si>
  <si>
    <t>531437156113/</t>
  </si>
  <si>
    <t>TN73AC4689/TN60AE2986</t>
  </si>
  <si>
    <t>42G0072439 </t>
  </si>
  <si>
    <t>581437411851/</t>
  </si>
  <si>
    <t>TN60AE2986</t>
  </si>
  <si>
    <t>571437406346/</t>
  </si>
  <si>
    <t>541437410830/</t>
  </si>
  <si>
    <t>591437405394/</t>
  </si>
  <si>
    <t>TN22BL1869</t>
  </si>
  <si>
    <t>42G0072453</t>
  </si>
  <si>
    <t>0709/E/SIT/2223</t>
  </si>
  <si>
    <t>5783734 </t>
  </si>
  <si>
    <t>28.11.2022</t>
  </si>
  <si>
    <t>531437393356/</t>
  </si>
  <si>
    <t>42G0072442</t>
  </si>
  <si>
    <t>SVM1477</t>
  </si>
  <si>
    <t>825-9468274</t>
  </si>
  <si>
    <t>551437699908/</t>
  </si>
  <si>
    <t>42G0072448</t>
  </si>
  <si>
    <t>EOUEXP0372</t>
  </si>
  <si>
    <t>511437698958/</t>
  </si>
  <si>
    <t>42G0072115</t>
  </si>
  <si>
    <t>TN3300039317</t>
  </si>
  <si>
    <t>521437667245/</t>
  </si>
  <si>
    <t>157-84062344</t>
  </si>
  <si>
    <t>125-52391651</t>
  </si>
  <si>
    <t>057-11662350</t>
  </si>
  <si>
    <t>618-24836361</t>
  </si>
  <si>
    <t>157-84062635</t>
  </si>
  <si>
    <t>42G0072439</t>
  </si>
  <si>
    <t>125-52391695</t>
  </si>
  <si>
    <t>TN22DF9697/ TN22DF7290</t>
  </si>
  <si>
    <t>521437663800/</t>
  </si>
  <si>
    <t>511437665415/</t>
  </si>
  <si>
    <t>581437662181/</t>
  </si>
  <si>
    <t>42G0072451</t>
  </si>
  <si>
    <t>CCEXP053</t>
  </si>
  <si>
    <t>29545469/5926</t>
  </si>
  <si>
    <t>571437715552/</t>
  </si>
  <si>
    <t>42G0072452</t>
  </si>
  <si>
    <t>CCEXP052</t>
  </si>
  <si>
    <t>29542280/5469</t>
  </si>
  <si>
    <t>531437718364/</t>
  </si>
  <si>
    <t>9085-9089</t>
  </si>
  <si>
    <t>511437818150/</t>
  </si>
  <si>
    <t>42G0072449</t>
  </si>
  <si>
    <t>TN22CQ8995</t>
  </si>
  <si>
    <t>MILTONROY</t>
  </si>
  <si>
    <t>531437709962/</t>
  </si>
  <si>
    <t>521437713762/</t>
  </si>
  <si>
    <t>22003287/288/289</t>
  </si>
  <si>
    <t>22003290 TO 22003294</t>
  </si>
  <si>
    <t>42G0072446</t>
  </si>
  <si>
    <t>42G0072445</t>
  </si>
  <si>
    <t>TN3300040450</t>
  </si>
  <si>
    <t>571437804751/</t>
  </si>
  <si>
    <t>YES/NO</t>
  </si>
  <si>
    <t>42G0072114</t>
  </si>
  <si>
    <t>A0448</t>
  </si>
  <si>
    <t>511437758687/</t>
  </si>
  <si>
    <t>42G0072437</t>
  </si>
  <si>
    <t>TN19B8010</t>
  </si>
  <si>
    <t>YAMAHA MOTOR</t>
  </si>
  <si>
    <t>J122002010</t>
  </si>
  <si>
    <t>BDM9W002</t>
  </si>
  <si>
    <t>29.11.2022</t>
  </si>
  <si>
    <t>591437722673/</t>
  </si>
  <si>
    <t>TN21BQ4423</t>
  </si>
  <si>
    <t>YANMAR ENGINE</t>
  </si>
  <si>
    <t>YANMAR POWER</t>
  </si>
  <si>
    <t>NC1050</t>
  </si>
  <si>
    <t>4TNV98C(493)</t>
  </si>
  <si>
    <t>591437763106/</t>
  </si>
  <si>
    <t>NC1051</t>
  </si>
  <si>
    <t>729J30-51300</t>
  </si>
  <si>
    <t>591437761254/</t>
  </si>
  <si>
    <t>42G0072455</t>
  </si>
  <si>
    <t>42G0072456</t>
  </si>
  <si>
    <t>TN13T1759</t>
  </si>
  <si>
    <t>30.11.2022</t>
  </si>
  <si>
    <t>531437847767/</t>
  </si>
  <si>
    <t>42G0072477</t>
  </si>
  <si>
    <t>TN39BK5269</t>
  </si>
  <si>
    <t>CAPITAL KNIT</t>
  </si>
  <si>
    <t>KUHL REI</t>
  </si>
  <si>
    <t>CK-12</t>
  </si>
  <si>
    <t>4515593362/96640/98220/98730/99217/2711</t>
  </si>
  <si>
    <t>531437637803/</t>
  </si>
  <si>
    <t>42G0072368</t>
  </si>
  <si>
    <t>1610/1019/1104</t>
  </si>
  <si>
    <t>521437787949/</t>
  </si>
  <si>
    <t>42G0072414</t>
  </si>
  <si>
    <t>ROOTS CAST</t>
  </si>
  <si>
    <t>KOLLMORGEN</t>
  </si>
  <si>
    <t>10373-10390</t>
  </si>
  <si>
    <t>42G0072469</t>
  </si>
  <si>
    <t>501438057689/</t>
  </si>
  <si>
    <t>42G0072460</t>
  </si>
  <si>
    <t>TN02U3668</t>
  </si>
  <si>
    <t>M3007/A/M9356/PB</t>
  </si>
  <si>
    <t>541438027080/</t>
  </si>
  <si>
    <t>42G0072476</t>
  </si>
  <si>
    <t>TN05CE0444</t>
  </si>
  <si>
    <t>571437884612/</t>
  </si>
  <si>
    <t>996/997</t>
  </si>
  <si>
    <t>3737/2495</t>
  </si>
  <si>
    <t>561437889317/</t>
  </si>
  <si>
    <t>992/993/994/995/998/999/1000/1001</t>
  </si>
  <si>
    <t>31817/28987/28955/31802/32404/29699</t>
  </si>
  <si>
    <t>531437885019/</t>
  </si>
  <si>
    <t xml:space="preserve">42G0072470 </t>
  </si>
  <si>
    <t>42G0072467</t>
  </si>
  <si>
    <t>JSTI TRANSFORMERS</t>
  </si>
  <si>
    <t>571437684814/</t>
  </si>
  <si>
    <t>332200002244/</t>
  </si>
  <si>
    <t>42G0072423</t>
  </si>
  <si>
    <t>521437745934/</t>
  </si>
  <si>
    <t>42G0072418</t>
  </si>
  <si>
    <t>531437771185/</t>
  </si>
  <si>
    <t>561437621074/</t>
  </si>
  <si>
    <t>531437620225/</t>
  </si>
  <si>
    <t>DALIAN</t>
  </si>
  <si>
    <t>F25511221397</t>
  </si>
  <si>
    <t>511437702499/</t>
  </si>
  <si>
    <t>F25511221333</t>
  </si>
  <si>
    <t>541437702498/</t>
  </si>
  <si>
    <t>42G0072441</t>
  </si>
  <si>
    <t>42G0072420</t>
  </si>
  <si>
    <t>42G0072438</t>
  </si>
  <si>
    <t>501438094376/</t>
  </si>
  <si>
    <t>42G0072462</t>
  </si>
  <si>
    <t>561438165724/</t>
  </si>
  <si>
    <t>42G0072481</t>
  </si>
  <si>
    <t>160-48701741</t>
  </si>
  <si>
    <t>618-24836416</t>
  </si>
  <si>
    <t>157-84062576</t>
  </si>
  <si>
    <t>125-52391824</t>
  </si>
  <si>
    <t>TN22DF7308/TN22DF6750</t>
  </si>
  <si>
    <t>157-84062274</t>
  </si>
  <si>
    <t>157-84062241</t>
  </si>
  <si>
    <t>157-84062661</t>
  </si>
  <si>
    <t>LYS</t>
  </si>
  <si>
    <t>020-94843556</t>
  </si>
  <si>
    <t>157-84061880</t>
  </si>
  <si>
    <t>TN02BW5267</t>
  </si>
  <si>
    <t>DOOSAN</t>
  </si>
  <si>
    <t>42G0072478</t>
  </si>
  <si>
    <t>22IPSEXPINV1</t>
  </si>
  <si>
    <t>531438298881/</t>
  </si>
  <si>
    <t>42G0072468</t>
  </si>
  <si>
    <t>73978-73983</t>
  </si>
  <si>
    <t>591438241742/</t>
  </si>
  <si>
    <t>TN18AL7275</t>
  </si>
  <si>
    <t>42G0072464</t>
  </si>
  <si>
    <t>74165-74167</t>
  </si>
  <si>
    <t>501438239641/</t>
  </si>
  <si>
    <t>73984-73988</t>
  </si>
  <si>
    <t>511438240927/</t>
  </si>
  <si>
    <t>TN22DF7380</t>
  </si>
  <si>
    <t>42G0072488</t>
  </si>
  <si>
    <t>591438362270/</t>
  </si>
  <si>
    <t>511438362601/</t>
  </si>
  <si>
    <t>42G0062334</t>
  </si>
  <si>
    <t>EU3400002033</t>
  </si>
  <si>
    <t>511438134039/</t>
  </si>
  <si>
    <t>EU3400002034</t>
  </si>
  <si>
    <t>551438132259/</t>
  </si>
  <si>
    <t>TN22DF6799/TN01AC4376</t>
  </si>
  <si>
    <t>42G0072429</t>
  </si>
  <si>
    <t>65101421,1422,41100684,685,686,687/</t>
  </si>
  <si>
    <t>B1-B86,P1,P2</t>
  </si>
  <si>
    <t>591438368265/</t>
  </si>
  <si>
    <t>TN23S8343</t>
  </si>
  <si>
    <t>42G0072496</t>
  </si>
  <si>
    <t>2429-2432</t>
  </si>
  <si>
    <t>01.12.2022</t>
  </si>
  <si>
    <t>501438253782/</t>
  </si>
  <si>
    <t>TN23Z3175</t>
  </si>
  <si>
    <t>42G0072479</t>
  </si>
  <si>
    <t>511436851945/</t>
  </si>
  <si>
    <t>47195/12024/47913/12043</t>
  </si>
  <si>
    <t>42G0072484</t>
  </si>
  <si>
    <t>18843/11996</t>
  </si>
  <si>
    <t>18842/1195/19605/12040</t>
  </si>
  <si>
    <t>TN84P0450</t>
  </si>
  <si>
    <t>42G0072489</t>
  </si>
  <si>
    <t>581438381131/</t>
  </si>
  <si>
    <t>14994/14995</t>
  </si>
  <si>
    <t>571438381240/</t>
  </si>
  <si>
    <t>14996/14997</t>
  </si>
  <si>
    <t>501438381377/</t>
  </si>
  <si>
    <t>14998/14999</t>
  </si>
  <si>
    <t>521438381597/</t>
  </si>
  <si>
    <t>HANNA ANDERSSON</t>
  </si>
  <si>
    <t>42G0072189</t>
  </si>
  <si>
    <t>PES/383</t>
  </si>
  <si>
    <t>541438228328/</t>
  </si>
  <si>
    <t xml:space="preserve"> 42G0072491   </t>
  </si>
  <si>
    <t>551438381327/</t>
  </si>
  <si>
    <t>TN30BP6102</t>
  </si>
  <si>
    <t>TN39CS6084/TN30BP6102</t>
  </si>
  <si>
    <t>42G0072491 </t>
  </si>
  <si>
    <t>551438375669/</t>
  </si>
  <si>
    <t>42G0072491  </t>
  </si>
  <si>
    <t>501438375370/</t>
  </si>
  <si>
    <t>42G0072490 </t>
  </si>
  <si>
    <t>1010-1014,1016,1017</t>
  </si>
  <si>
    <t>571438378440/</t>
  </si>
  <si>
    <t>GUS CLOTHING</t>
  </si>
  <si>
    <t>TAPE</t>
  </si>
  <si>
    <t>42G0072509</t>
  </si>
  <si>
    <t>GPL/0324</t>
  </si>
  <si>
    <t>5848337 </t>
  </si>
  <si>
    <t>561437712985/</t>
  </si>
  <si>
    <t>42G0072470</t>
  </si>
  <si>
    <t>618-28802222</t>
  </si>
  <si>
    <t>618-24836420</t>
  </si>
  <si>
    <t>ORF</t>
  </si>
  <si>
    <t>157-84062565</t>
  </si>
  <si>
    <t>157-84062624</t>
  </si>
  <si>
    <t>057-11662324</t>
  </si>
  <si>
    <t>157-84062296</t>
  </si>
  <si>
    <t>42G0072490</t>
  </si>
  <si>
    <t>618-28802115</t>
  </si>
  <si>
    <t>SEA</t>
  </si>
  <si>
    <t>618-28802082</t>
  </si>
  <si>
    <t>901-40025506</t>
  </si>
  <si>
    <t>42G0072491</t>
  </si>
  <si>
    <t>020-94843416</t>
  </si>
  <si>
    <t>TN11P1942 / TN85J7198</t>
  </si>
  <si>
    <t>CET POWER</t>
  </si>
  <si>
    <t>SUZHOU CET POWER</t>
  </si>
  <si>
    <t>42G0072501</t>
  </si>
  <si>
    <t>EXG-22-220</t>
  </si>
  <si>
    <t>591438691765/</t>
  </si>
  <si>
    <t>42G0072508</t>
  </si>
  <si>
    <t>YEMI/22-23/NC1049</t>
  </si>
  <si>
    <t>591438706775/</t>
  </si>
  <si>
    <t>TN48BC9897</t>
  </si>
  <si>
    <t>42G0072494</t>
  </si>
  <si>
    <t>U3/G257</t>
  </si>
  <si>
    <t>R230367</t>
  </si>
  <si>
    <t>531438667630/</t>
  </si>
  <si>
    <t>42G0072493</t>
  </si>
  <si>
    <t>U3/G258</t>
  </si>
  <si>
    <t>561438671429/</t>
  </si>
  <si>
    <t>157-84062414</t>
  </si>
  <si>
    <t>157-84062451</t>
  </si>
  <si>
    <t>176-55032364</t>
  </si>
  <si>
    <t>TN87B4875</t>
  </si>
  <si>
    <t>42G0072480</t>
  </si>
  <si>
    <t>E02195</t>
  </si>
  <si>
    <t>551438200655/</t>
  </si>
  <si>
    <t>42G0072492</t>
  </si>
  <si>
    <t>E02178</t>
  </si>
  <si>
    <t>521438615397/</t>
  </si>
  <si>
    <t>42G0072482</t>
  </si>
  <si>
    <t>571438718518/</t>
  </si>
  <si>
    <t>42G0072485</t>
  </si>
  <si>
    <t>561438719224/</t>
  </si>
  <si>
    <t>42G0072450</t>
  </si>
  <si>
    <t>F25511221257</t>
  </si>
  <si>
    <t>561438762088/</t>
  </si>
  <si>
    <t>42G0072466</t>
  </si>
  <si>
    <t>F25511221391</t>
  </si>
  <si>
    <t>511438762096/</t>
  </si>
  <si>
    <t>F25511221312</t>
  </si>
  <si>
    <t>581438762097/</t>
  </si>
  <si>
    <t>42G0072495</t>
  </si>
  <si>
    <t>F25511221373</t>
  </si>
  <si>
    <t>531438762089/</t>
  </si>
  <si>
    <t>42G0072500</t>
  </si>
  <si>
    <t>551438645690/</t>
  </si>
  <si>
    <t>42G0072483</t>
  </si>
  <si>
    <t>EXPV04422223</t>
  </si>
  <si>
    <t>551438669294/</t>
  </si>
  <si>
    <t>42G0072502</t>
  </si>
  <si>
    <t>4912201733755/</t>
  </si>
  <si>
    <t>541438387030/</t>
  </si>
  <si>
    <t>PARNA LIVING</t>
  </si>
  <si>
    <t>42G0072487</t>
  </si>
  <si>
    <t>RT/883</t>
  </si>
  <si>
    <t>35405-01</t>
  </si>
  <si>
    <t>5859577 </t>
  </si>
  <si>
    <t>591438940609/</t>
  </si>
  <si>
    <t>42G0072510</t>
  </si>
  <si>
    <t>591438769679/</t>
  </si>
  <si>
    <t>42G0072512 </t>
  </si>
  <si>
    <t>1019-1020</t>
  </si>
  <si>
    <t>551438770710/</t>
  </si>
  <si>
    <t>TN56K5547/TN39BU4889</t>
  </si>
  <si>
    <t>42G0072510 </t>
  </si>
  <si>
    <t>531438770321/</t>
  </si>
  <si>
    <t>235-06320510</t>
  </si>
  <si>
    <t>160-48702006</t>
  </si>
  <si>
    <t>TN18 8976</t>
  </si>
  <si>
    <t>42G0072519</t>
  </si>
  <si>
    <t>K70FGE2200147</t>
  </si>
  <si>
    <t>561438905638/</t>
  </si>
  <si>
    <t>K70FGE2200146</t>
  </si>
  <si>
    <t>591438904915/</t>
  </si>
  <si>
    <t>42G0072512</t>
  </si>
  <si>
    <t>618-28802303</t>
  </si>
  <si>
    <t>020-94843475</t>
  </si>
  <si>
    <t>TN22DB0348 / TN22DF6750</t>
  </si>
  <si>
    <t>42G0072521 </t>
  </si>
  <si>
    <t>EX0622200036</t>
  </si>
  <si>
    <t>511438931852/</t>
  </si>
  <si>
    <t>TN12AL9509</t>
  </si>
  <si>
    <t>TORY BURCH</t>
  </si>
  <si>
    <t>42G0072513</t>
  </si>
  <si>
    <t>P/E/22-23/2060</t>
  </si>
  <si>
    <t>4400142271/2273/2517</t>
  </si>
  <si>
    <t>02.12.2022</t>
  </si>
  <si>
    <t>571438980216/</t>
  </si>
  <si>
    <t>P/E/22-23/2059</t>
  </si>
  <si>
    <t>4400142269/2271/2272/2273/2517</t>
  </si>
  <si>
    <t>531438979634/</t>
  </si>
  <si>
    <t>TN22DL1869</t>
  </si>
  <si>
    <t>JOCKEY</t>
  </si>
  <si>
    <t>42G0072538</t>
  </si>
  <si>
    <t>0725/E/SIT/2223</t>
  </si>
  <si>
    <t>94628/94627/94625</t>
  </si>
  <si>
    <t>551438763286/</t>
  </si>
  <si>
    <t>42G0072540</t>
  </si>
  <si>
    <t>IGP08660</t>
  </si>
  <si>
    <t>531439011274/</t>
  </si>
  <si>
    <t>42G0072534</t>
  </si>
  <si>
    <t>CCEXP054</t>
  </si>
  <si>
    <t>541439021362/</t>
  </si>
  <si>
    <t>42G0072537</t>
  </si>
  <si>
    <t>CCEXP055</t>
  </si>
  <si>
    <t>581439023021/</t>
  </si>
  <si>
    <t>42G0072116</t>
  </si>
  <si>
    <t>EU3400002040</t>
  </si>
  <si>
    <t>521439062253/</t>
  </si>
  <si>
    <t>EU3400002042</t>
  </si>
  <si>
    <t>581439063481/</t>
  </si>
  <si>
    <t>42G0072117</t>
  </si>
  <si>
    <t>EU3400002041</t>
  </si>
  <si>
    <t>501439059767/</t>
  </si>
  <si>
    <t>EU3400002043</t>
  </si>
  <si>
    <t>571439060898/</t>
  </si>
  <si>
    <t>42G0072539</t>
  </si>
  <si>
    <t>591439079324/</t>
  </si>
  <si>
    <t>42G0072497</t>
  </si>
  <si>
    <t>K70FGE2200144</t>
  </si>
  <si>
    <t>561439130437/</t>
  </si>
  <si>
    <t>TN02BS2763</t>
  </si>
  <si>
    <t>SULOCHANA COTTON</t>
  </si>
  <si>
    <t>42G0072530</t>
  </si>
  <si>
    <t>SRI LANKA</t>
  </si>
  <si>
    <t>SCSMED036</t>
  </si>
  <si>
    <t>PI-041</t>
  </si>
  <si>
    <t>511439161908/</t>
  </si>
  <si>
    <t>42G0072516</t>
  </si>
  <si>
    <t>531438957333/</t>
  </si>
  <si>
    <t>42G0072518</t>
  </si>
  <si>
    <t>RV0922103009</t>
  </si>
  <si>
    <t>551439049479/</t>
  </si>
  <si>
    <t>42G0072532</t>
  </si>
  <si>
    <t>EXPV04572223</t>
  </si>
  <si>
    <t>521439156725/</t>
  </si>
  <si>
    <t xml:space="preserve"> ULTIMATE ALLOYS</t>
  </si>
  <si>
    <t>ITT BLANKERS</t>
  </si>
  <si>
    <t>42G0072533</t>
  </si>
  <si>
    <t>WA</t>
  </si>
  <si>
    <t>501439069922/</t>
  </si>
  <si>
    <t>PROCEDYNE ENGINEERS</t>
  </si>
  <si>
    <t>METHODIC ENGINEERS</t>
  </si>
  <si>
    <t>42G0072520</t>
  </si>
  <si>
    <t>PF256/22-23</t>
  </si>
  <si>
    <t>C-095</t>
  </si>
  <si>
    <t>5114439038446/</t>
  </si>
  <si>
    <t>WEIGHT AMEMENT</t>
  </si>
  <si>
    <t>42G0072544 </t>
  </si>
  <si>
    <t>1023-1024</t>
  </si>
  <si>
    <t>541439179801/</t>
  </si>
  <si>
    <t>TN37DW1886/TN60AE2986</t>
  </si>
  <si>
    <t>42G0072543 </t>
  </si>
  <si>
    <t>1021-1022</t>
  </si>
  <si>
    <t>591439162905/</t>
  </si>
  <si>
    <t>42G0072503</t>
  </si>
  <si>
    <t>A0453</t>
  </si>
  <si>
    <t>581438055459/</t>
  </si>
  <si>
    <t>42G0072486</t>
  </si>
  <si>
    <t>42G0072507</t>
  </si>
  <si>
    <t>SRG-802</t>
  </si>
  <si>
    <t>25667/25669/25671</t>
  </si>
  <si>
    <t>5903872 </t>
  </si>
  <si>
    <t>03.12.2022 </t>
  </si>
  <si>
    <t>521439194457/</t>
  </si>
  <si>
    <t>FUMGUS CONDITION and repacking done on 3.12.2022</t>
  </si>
  <si>
    <t>603-47995415</t>
  </si>
  <si>
    <t>615-35025384</t>
  </si>
  <si>
    <t>615-35025395</t>
  </si>
  <si>
    <t>020-94843431</t>
  </si>
  <si>
    <t>176-55032445</t>
  </si>
  <si>
    <t>618-28802104</t>
  </si>
  <si>
    <t>TN11P4655/TN22DD0964</t>
  </si>
  <si>
    <t>42G0072521</t>
  </si>
  <si>
    <t>618-28802432</t>
  </si>
  <si>
    <t>42G0072544</t>
  </si>
  <si>
    <t>618-28802185</t>
  </si>
  <si>
    <t>42G0072543</t>
  </si>
  <si>
    <t>176-55032353</t>
  </si>
  <si>
    <t>TN11P1942/TN 96 9108</t>
  </si>
  <si>
    <t>020-94843641</t>
  </si>
  <si>
    <t>TN 96 9108</t>
  </si>
  <si>
    <t>057-11662604</t>
  </si>
  <si>
    <t>TN11P1969/TN22DF7231</t>
  </si>
  <si>
    <t>607-28067163</t>
  </si>
  <si>
    <t>TN22DF8390</t>
  </si>
  <si>
    <t>F25511221501</t>
  </si>
  <si>
    <t>42G0072547</t>
  </si>
  <si>
    <t>E02180/22-23</t>
  </si>
  <si>
    <t>42G0072465</t>
  </si>
  <si>
    <t>42G0072546</t>
  </si>
  <si>
    <t>ES0000885138/ES0000885146</t>
  </si>
  <si>
    <t>521439363466/</t>
  </si>
  <si>
    <t>ES0000885140/ES0000885143/ES0000885139</t>
  </si>
  <si>
    <t>3397-3399/3460-3471/</t>
  </si>
  <si>
    <t>581439364933/</t>
  </si>
  <si>
    <t xml:space="preserve">TN73AC4689 </t>
  </si>
  <si>
    <t>5687/5688/5689</t>
  </si>
  <si>
    <t>IGST</t>
  </si>
  <si>
    <t>561439438935/</t>
  </si>
  <si>
    <t>501439396763/</t>
  </si>
  <si>
    <t>22-23/1025/1026</t>
  </si>
  <si>
    <t>0003728/3729/</t>
  </si>
  <si>
    <t>511439531750/</t>
  </si>
  <si>
    <t>42G0072569</t>
  </si>
  <si>
    <t>22-23/1032/1033</t>
  </si>
  <si>
    <t>3738/3737</t>
  </si>
  <si>
    <t>521439533030/</t>
  </si>
  <si>
    <t>22-23/1027</t>
  </si>
  <si>
    <t>541439531928/</t>
  </si>
  <si>
    <t>42G0072570</t>
  </si>
  <si>
    <t>22-23/1030/1031/1034</t>
  </si>
  <si>
    <t>581439532808/</t>
  </si>
  <si>
    <t>TN87B5991</t>
  </si>
  <si>
    <t>22-23/1035</t>
  </si>
  <si>
    <t>541439533614/</t>
  </si>
  <si>
    <t>42G0072555</t>
  </si>
  <si>
    <t>4912201733629/</t>
  </si>
  <si>
    <t>541438367915/</t>
  </si>
  <si>
    <t>WILLIAMS</t>
  </si>
  <si>
    <t>42G0072545</t>
  </si>
  <si>
    <t>SE/246/22-23</t>
  </si>
  <si>
    <t>511439314036/</t>
  </si>
  <si>
    <t>TN04AU2738</t>
  </si>
  <si>
    <t>42G0072556</t>
  </si>
  <si>
    <t>1314-1321</t>
  </si>
  <si>
    <t>5881595 </t>
  </si>
  <si>
    <t>531439701630/</t>
  </si>
  <si>
    <t>42G0072579</t>
  </si>
  <si>
    <t>42G0072554</t>
  </si>
  <si>
    <t>511439631373/</t>
  </si>
  <si>
    <t>571439631371/</t>
  </si>
  <si>
    <t>501439631370/</t>
  </si>
  <si>
    <t>541439631369/</t>
  </si>
  <si>
    <t>42G0072550</t>
  </si>
  <si>
    <t>501439733001/</t>
  </si>
  <si>
    <t>TN1194655</t>
  </si>
  <si>
    <t>DATIAN</t>
  </si>
  <si>
    <t>42G0072568</t>
  </si>
  <si>
    <t>868-M4300158</t>
  </si>
  <si>
    <t>551439762563/</t>
  </si>
  <si>
    <t>42G0072575</t>
  </si>
  <si>
    <t>EI000009</t>
  </si>
  <si>
    <t>511439862957/</t>
  </si>
  <si>
    <t>607-28067152</t>
  </si>
  <si>
    <t>125-52391625</t>
  </si>
  <si>
    <t>TN22DF8344/TN22DF7308</t>
  </si>
  <si>
    <t>157-84062521</t>
  </si>
  <si>
    <t>618-28802336</t>
  </si>
  <si>
    <t>235-06344505</t>
  </si>
  <si>
    <t>125-52391765</t>
  </si>
  <si>
    <t>828-15297660</t>
  </si>
  <si>
    <t>618-28802292</t>
  </si>
  <si>
    <t>618-28802071</t>
  </si>
  <si>
    <t>160-45383004</t>
  </si>
  <si>
    <t>TN12AM8319</t>
  </si>
  <si>
    <t>42G0072560</t>
  </si>
  <si>
    <t>RV0922103065</t>
  </si>
  <si>
    <t>541439837462/</t>
  </si>
  <si>
    <t>42G0072559</t>
  </si>
  <si>
    <t>RV0922103064</t>
  </si>
  <si>
    <t>511439841518/</t>
  </si>
  <si>
    <t>42G0072561</t>
  </si>
  <si>
    <t>EXP/659</t>
  </si>
  <si>
    <t>541439797223/</t>
  </si>
  <si>
    <t>42G0072549</t>
  </si>
  <si>
    <t>EXP/668</t>
  </si>
  <si>
    <t>531439721232/</t>
  </si>
  <si>
    <t>42G0072118</t>
  </si>
  <si>
    <t>EU3400002077</t>
  </si>
  <si>
    <t>511439832752/</t>
  </si>
  <si>
    <t>EU3400002078</t>
  </si>
  <si>
    <t>551439833801/</t>
  </si>
  <si>
    <t>42G0072119</t>
  </si>
  <si>
    <t>EU3400002076</t>
  </si>
  <si>
    <t>501439826497/</t>
  </si>
  <si>
    <t>TN75AH6021</t>
  </si>
  <si>
    <t>42G0072557</t>
  </si>
  <si>
    <t>A0463</t>
  </si>
  <si>
    <t>531439855218/</t>
  </si>
  <si>
    <t>42G0072558</t>
  </si>
  <si>
    <t>A0460</t>
  </si>
  <si>
    <t>541439853297/</t>
  </si>
  <si>
    <t>42G0072551</t>
  </si>
  <si>
    <t>A0459</t>
  </si>
  <si>
    <t>501439851866/</t>
  </si>
  <si>
    <t>TN29H2406</t>
  </si>
  <si>
    <t>42G0072515</t>
  </si>
  <si>
    <t>74265-74271</t>
  </si>
  <si>
    <t>501439939290/</t>
  </si>
  <si>
    <t>74397-74402</t>
  </si>
  <si>
    <t>551439938908/</t>
  </si>
  <si>
    <t>42G0072574</t>
  </si>
  <si>
    <t>EP06252</t>
  </si>
  <si>
    <t>9170-9172</t>
  </si>
  <si>
    <t>531439814277/</t>
  </si>
  <si>
    <t>ORIENT COMPONENTS</t>
  </si>
  <si>
    <t>42G0072553</t>
  </si>
  <si>
    <t>INV/2956</t>
  </si>
  <si>
    <t>561439834216/</t>
  </si>
  <si>
    <t>TN13X3146</t>
  </si>
  <si>
    <t>42G0072692</t>
  </si>
  <si>
    <t>561439958334/</t>
  </si>
  <si>
    <t>1036-1037</t>
  </si>
  <si>
    <t>551439959222/</t>
  </si>
  <si>
    <t>521439959559/</t>
  </si>
  <si>
    <t>42G0072690</t>
  </si>
  <si>
    <t>591440108873/</t>
  </si>
  <si>
    <t>42G0072693</t>
  </si>
  <si>
    <t>42G0072577</t>
  </si>
  <si>
    <t>IGP08994</t>
  </si>
  <si>
    <t>531440164231/</t>
  </si>
  <si>
    <t>RETURN TO SHIPPER</t>
  </si>
  <si>
    <t>TN85P7521</t>
  </si>
  <si>
    <t>618-28802340</t>
  </si>
  <si>
    <t>615-35025550</t>
  </si>
  <si>
    <t>615-35025642</t>
  </si>
  <si>
    <t>157-84062683</t>
  </si>
  <si>
    <t>125-52391975</t>
  </si>
  <si>
    <t>551440273616/</t>
  </si>
  <si>
    <t>42G0072691</t>
  </si>
  <si>
    <t>ACE</t>
  </si>
  <si>
    <t>020-94843593</t>
  </si>
  <si>
    <t>618-28802152</t>
  </si>
  <si>
    <t>160-48702231</t>
  </si>
  <si>
    <t>531440233586/</t>
  </si>
  <si>
    <t>511440231810/</t>
  </si>
  <si>
    <t>TN04AL0289/TN12Q2979/TN11P1969/TN22DF6799</t>
  </si>
  <si>
    <t>531440227039/</t>
  </si>
  <si>
    <t>42G0072697</t>
  </si>
  <si>
    <t>42G0072698</t>
  </si>
  <si>
    <t>42G0072699</t>
  </si>
  <si>
    <t>42G0072682</t>
  </si>
  <si>
    <t>K70FGE2200150</t>
  </si>
  <si>
    <t>571440266696/</t>
  </si>
  <si>
    <t>K70FGE2200149</t>
  </si>
  <si>
    <t>591440266043/</t>
  </si>
  <si>
    <t>K70FGE2200148</t>
  </si>
  <si>
    <t>571440226786/</t>
  </si>
  <si>
    <t>TN69BP3853</t>
  </si>
  <si>
    <t>42G0072705 </t>
  </si>
  <si>
    <t>551440183513/</t>
  </si>
  <si>
    <t>521440185297/</t>
  </si>
  <si>
    <t>TN27T5712</t>
  </si>
  <si>
    <t>ULTIMATE ALLOYS</t>
  </si>
  <si>
    <t>42G0072689</t>
  </si>
  <si>
    <t>132248/423209</t>
  </si>
  <si>
    <t>511440175505/</t>
  </si>
  <si>
    <t>42G0072572</t>
  </si>
  <si>
    <t>E02230</t>
  </si>
  <si>
    <t>511440273250/</t>
  </si>
  <si>
    <t>42G0072564</t>
  </si>
  <si>
    <t>581440152116/</t>
  </si>
  <si>
    <t>42G0072565</t>
  </si>
  <si>
    <t>571440153129/</t>
  </si>
  <si>
    <t>42G0072573</t>
  </si>
  <si>
    <t>581440154167/</t>
  </si>
  <si>
    <t>42G0072563</t>
  </si>
  <si>
    <t>561440151360/</t>
  </si>
  <si>
    <t>42G0072695</t>
  </si>
  <si>
    <t>531440309902/</t>
  </si>
  <si>
    <t>42G0072531</t>
  </si>
  <si>
    <t>521440311199/</t>
  </si>
  <si>
    <t>591440312937/</t>
  </si>
  <si>
    <t>591440309067/</t>
  </si>
  <si>
    <t>591440308316/</t>
  </si>
  <si>
    <t>551440307100/</t>
  </si>
  <si>
    <t>42G0072694</t>
  </si>
  <si>
    <t>F25511221462</t>
  </si>
  <si>
    <t>521440217909/</t>
  </si>
  <si>
    <t>42G0072571</t>
  </si>
  <si>
    <t>531440301937/</t>
  </si>
  <si>
    <t>42G0072680</t>
  </si>
  <si>
    <t>551440300886/</t>
  </si>
  <si>
    <t>42G0072681</t>
  </si>
  <si>
    <t>EXP/075</t>
  </si>
  <si>
    <t>42G0072703</t>
  </si>
  <si>
    <t>1047/1049/1050/1051/1052</t>
  </si>
  <si>
    <t>541440374271/</t>
  </si>
  <si>
    <t>42G0072709</t>
  </si>
  <si>
    <t>1042/1043/1044/1046/1048/1053/1054</t>
  </si>
  <si>
    <t>521440378389/</t>
  </si>
  <si>
    <t>42G0072703 </t>
  </si>
  <si>
    <t>521440373876/</t>
  </si>
  <si>
    <t>157-84062495</t>
  </si>
  <si>
    <t>618-28802126</t>
  </si>
  <si>
    <t>157-84062182</t>
  </si>
  <si>
    <t>232-50250200</t>
  </si>
  <si>
    <t>157-84062215</t>
  </si>
  <si>
    <t>42G0062335</t>
  </si>
  <si>
    <t>TN3300041085</t>
  </si>
  <si>
    <t>521440582047/</t>
  </si>
  <si>
    <t>42G0072711</t>
  </si>
  <si>
    <t>TN3300041086</t>
  </si>
  <si>
    <t>591440581138/</t>
  </si>
  <si>
    <t>42G0072716</t>
  </si>
  <si>
    <t>5972426 </t>
  </si>
  <si>
    <t>06.12.2022 </t>
  </si>
  <si>
    <t>501439909248/</t>
  </si>
  <si>
    <t>5971771 </t>
  </si>
  <si>
    <t>5971965 </t>
  </si>
  <si>
    <t>42G0072713</t>
  </si>
  <si>
    <t>KOREA</t>
  </si>
  <si>
    <t>AFD223606</t>
  </si>
  <si>
    <t>L2RZ50A</t>
  </si>
  <si>
    <t>5995854 </t>
  </si>
  <si>
    <t>07.12.2022</t>
  </si>
  <si>
    <t>521440571326/</t>
  </si>
  <si>
    <t>42G0072704</t>
  </si>
  <si>
    <t>IN-XD2340149</t>
  </si>
  <si>
    <t>5993494 </t>
  </si>
  <si>
    <t>541440583765/</t>
  </si>
  <si>
    <t>IN-XD2340169</t>
  </si>
  <si>
    <t>501440582658/</t>
  </si>
  <si>
    <t>551440661217/</t>
  </si>
  <si>
    <t>42G0072706</t>
  </si>
  <si>
    <t>541440695101/</t>
  </si>
  <si>
    <t>591440678462/</t>
  </si>
  <si>
    <t>551440681947/</t>
  </si>
  <si>
    <t>511440681932/</t>
  </si>
  <si>
    <t>591440685277/</t>
  </si>
  <si>
    <t>531440691979/</t>
  </si>
  <si>
    <t>551440763638/</t>
  </si>
  <si>
    <t>511440763173/</t>
  </si>
  <si>
    <t>521440762834/</t>
  </si>
  <si>
    <t>SLOVAKIA</t>
  </si>
  <si>
    <t>501440771694/</t>
  </si>
  <si>
    <t>42G0072720</t>
  </si>
  <si>
    <t>R.K.EXPORTS</t>
  </si>
  <si>
    <t>LINUM</t>
  </si>
  <si>
    <t>SEVENSEAS</t>
  </si>
  <si>
    <t>000026/</t>
  </si>
  <si>
    <t>551440638240/</t>
  </si>
  <si>
    <t>42G0072714</t>
  </si>
  <si>
    <t xml:space="preserve">42G0072725 </t>
  </si>
  <si>
    <t xml:space="preserve">42G0072727 </t>
  </si>
  <si>
    <t xml:space="preserve">42G0072728 </t>
  </si>
  <si>
    <t>TNJ 6521</t>
  </si>
  <si>
    <t>42G0072541</t>
  </si>
  <si>
    <t>03.12.2022</t>
  </si>
  <si>
    <t>9187-9188</t>
  </si>
  <si>
    <t xml:space="preserve">42G0072712 </t>
  </si>
  <si>
    <t>581440624280/</t>
  </si>
  <si>
    <t>42G0072685</t>
  </si>
  <si>
    <t>SVE/G1267/22-23</t>
  </si>
  <si>
    <t>SVE/G1269/22-23</t>
  </si>
  <si>
    <t>SVE/G1270/22-23</t>
  </si>
  <si>
    <t>SVE/G1271/22-23</t>
  </si>
  <si>
    <t>SVE/G1266/22-23</t>
  </si>
  <si>
    <t>TN59M5676</t>
  </si>
  <si>
    <t>42G0072700</t>
  </si>
  <si>
    <t>F25511221507</t>
  </si>
  <si>
    <t>511440721142/</t>
  </si>
  <si>
    <t>42G0072696</t>
  </si>
  <si>
    <t>0464/22-23</t>
  </si>
  <si>
    <t>521440536383/</t>
  </si>
  <si>
    <t>42G0072578</t>
  </si>
  <si>
    <t>E02237</t>
  </si>
  <si>
    <t>551440642803/</t>
  </si>
  <si>
    <t>TN19P1251</t>
  </si>
  <si>
    <t>42G0072725 </t>
  </si>
  <si>
    <t>42G0072730</t>
  </si>
  <si>
    <t>1056-1057</t>
  </si>
  <si>
    <t>571440697669/</t>
  </si>
  <si>
    <t>42G0072731</t>
  </si>
  <si>
    <t>571440700491/</t>
  </si>
  <si>
    <t>511440695735/</t>
  </si>
  <si>
    <t>TN22CD3117</t>
  </si>
  <si>
    <t>42G0072721</t>
  </si>
  <si>
    <t>581440653143/</t>
  </si>
  <si>
    <t>42G0072723</t>
  </si>
  <si>
    <t>8.12.2022</t>
  </si>
  <si>
    <t>521440654276/</t>
  </si>
  <si>
    <t>42G0072722</t>
  </si>
  <si>
    <t>551440655872/</t>
  </si>
  <si>
    <t>22845268/</t>
  </si>
  <si>
    <t>22653012/</t>
  </si>
  <si>
    <t>TN09CY7915</t>
  </si>
  <si>
    <t>S.M.LULLA INDUSTRIES</t>
  </si>
  <si>
    <t>LONK THEROY</t>
  </si>
  <si>
    <t>42G0072734</t>
  </si>
  <si>
    <t>SL-180</t>
  </si>
  <si>
    <t>501441041637/</t>
  </si>
  <si>
    <t>603-47995485</t>
  </si>
  <si>
    <t>160-48702640</t>
  </si>
  <si>
    <t>125-52391533</t>
  </si>
  <si>
    <t>618-28802314</t>
  </si>
  <si>
    <t>603-47995430</t>
  </si>
  <si>
    <t>176-55032283</t>
  </si>
  <si>
    <t>618-28802196</t>
  </si>
  <si>
    <t>TN04Q5067</t>
  </si>
  <si>
    <t>20FT OPEN</t>
  </si>
  <si>
    <t>157-84062543</t>
  </si>
  <si>
    <t>42G0072725</t>
  </si>
  <si>
    <t>42G0072727</t>
  </si>
  <si>
    <t>42G0072728</t>
  </si>
  <si>
    <t>157-84061913</t>
  </si>
  <si>
    <t>125-52391485</t>
  </si>
  <si>
    <t>057-11662313</t>
  </si>
  <si>
    <t>42G0072737</t>
  </si>
  <si>
    <t>E22000660/665/657/658/659</t>
  </si>
  <si>
    <t>4513708821/4513695930/4513696402/4513688741/4513694346</t>
  </si>
  <si>
    <t>42G0072724</t>
  </si>
  <si>
    <t>HI3322201012</t>
  </si>
  <si>
    <t>521440993009/</t>
  </si>
  <si>
    <t>42G0072726</t>
  </si>
  <si>
    <t>HI3322200968</t>
  </si>
  <si>
    <t>581441023783/</t>
  </si>
  <si>
    <t>TN39CS7641</t>
  </si>
  <si>
    <t>42G0072740</t>
  </si>
  <si>
    <t>F25511221545</t>
  </si>
  <si>
    <t>561441187799/</t>
  </si>
  <si>
    <t>42G0072742</t>
  </si>
  <si>
    <t>511441073307/</t>
  </si>
  <si>
    <t>6031967 </t>
  </si>
  <si>
    <t>581441074637/</t>
  </si>
  <si>
    <t>42G0072744</t>
  </si>
  <si>
    <t>1061-1062</t>
  </si>
  <si>
    <t>581441161603/</t>
  </si>
  <si>
    <t>42G0072745 </t>
  </si>
  <si>
    <t>1063-1064</t>
  </si>
  <si>
    <t>571441159605/</t>
  </si>
  <si>
    <t>TN22DQ9734</t>
  </si>
  <si>
    <t>WIN INDIA</t>
  </si>
  <si>
    <t>42G0072747</t>
  </si>
  <si>
    <t>WIN/9366</t>
  </si>
  <si>
    <t>531441263339/</t>
  </si>
  <si>
    <t>TN05CE4453</t>
  </si>
  <si>
    <t>42G0072710</t>
  </si>
  <si>
    <t>561441086368/</t>
  </si>
  <si>
    <t>581441117130/</t>
  </si>
  <si>
    <t>511441118286/</t>
  </si>
  <si>
    <t>ALPHACRAFT</t>
  </si>
  <si>
    <t>42G0072732</t>
  </si>
  <si>
    <t>0132/2022-23</t>
  </si>
  <si>
    <t>531441079806/</t>
  </si>
  <si>
    <t>VINEYYARD</t>
  </si>
  <si>
    <t>42G0072746</t>
  </si>
  <si>
    <t>CZECH</t>
  </si>
  <si>
    <t>541441325166/</t>
  </si>
  <si>
    <t>176-55032272</t>
  </si>
  <si>
    <t>42G0072712</t>
  </si>
  <si>
    <t>235-06344520</t>
  </si>
  <si>
    <t>072-71515430</t>
  </si>
  <si>
    <t>057-11662394</t>
  </si>
  <si>
    <t>160-48702172</t>
  </si>
  <si>
    <t>603-47961432</t>
  </si>
  <si>
    <t>618-28802200</t>
  </si>
  <si>
    <t>42G0072705</t>
  </si>
  <si>
    <t>775-30536144</t>
  </si>
  <si>
    <t>TN33DD0984</t>
  </si>
  <si>
    <t>860-03223570</t>
  </si>
  <si>
    <t>603-47995496</t>
  </si>
  <si>
    <t>PRG</t>
  </si>
  <si>
    <t>615-35026320</t>
  </si>
  <si>
    <t>618-28802060</t>
  </si>
  <si>
    <t>42G0072745</t>
  </si>
  <si>
    <t>125-52397192</t>
  </si>
  <si>
    <t>42G0072756</t>
  </si>
  <si>
    <t>RCEX/05901</t>
  </si>
  <si>
    <t>541441111495/</t>
  </si>
  <si>
    <t>615-35026331</t>
  </si>
  <si>
    <t>42G0072749</t>
  </si>
  <si>
    <t>CCEXP060</t>
  </si>
  <si>
    <t>561441410567/</t>
  </si>
  <si>
    <t>TN24AX4732</t>
  </si>
  <si>
    <t>BRIGHT FOUNDRIES</t>
  </si>
  <si>
    <t>BFC/EX/258</t>
  </si>
  <si>
    <t>541441503704/</t>
  </si>
  <si>
    <t>1072-1073</t>
  </si>
  <si>
    <t>541441535004/</t>
  </si>
  <si>
    <t>42G0072750</t>
  </si>
  <si>
    <t>KARUNAGAREN</t>
  </si>
  <si>
    <t>176-55032434</t>
  </si>
  <si>
    <t>157-81364636</t>
  </si>
  <si>
    <t>SALZER ELETRONICS</t>
  </si>
  <si>
    <t>R/L JONES</t>
  </si>
  <si>
    <t>42G0072753</t>
  </si>
  <si>
    <t>561441764026/</t>
  </si>
  <si>
    <t>521441764024/</t>
  </si>
  <si>
    <t>531441764027/</t>
  </si>
  <si>
    <t>42G0072751</t>
  </si>
  <si>
    <t>SPE-22-23-2005</t>
  </si>
  <si>
    <t>561441647095/</t>
  </si>
  <si>
    <t>42G0072752</t>
  </si>
  <si>
    <t>SPE-22-23-2007</t>
  </si>
  <si>
    <t>591441647388/</t>
  </si>
  <si>
    <t>42G0072759</t>
  </si>
  <si>
    <t>22-23/1074</t>
  </si>
  <si>
    <t>571441782638/</t>
  </si>
  <si>
    <t>42G0072765</t>
  </si>
  <si>
    <t>NSS-TN-1001653</t>
  </si>
  <si>
    <t>511441618137/</t>
  </si>
  <si>
    <t xml:space="preserve">RE-PACKING DONE 12/12/2022 </t>
  </si>
  <si>
    <t>TN01AZ6274</t>
  </si>
  <si>
    <t>42G0072748</t>
  </si>
  <si>
    <t>A0475</t>
  </si>
  <si>
    <t>571441810900/</t>
  </si>
  <si>
    <t>157-84062425</t>
  </si>
  <si>
    <t>160-48702662</t>
  </si>
  <si>
    <t>160-48702651</t>
  </si>
  <si>
    <t>TN22DR7308/TN11P4655</t>
  </si>
  <si>
    <t>42G0072739</t>
  </si>
  <si>
    <t>GB3322202437</t>
  </si>
  <si>
    <t>1000477251-259</t>
  </si>
  <si>
    <t>551442158465/</t>
  </si>
  <si>
    <t>42G0072506</t>
  </si>
  <si>
    <t>4912201733638/</t>
  </si>
  <si>
    <t>P01035540</t>
  </si>
  <si>
    <t>KARUNAKARAN</t>
  </si>
  <si>
    <t>521438367638/</t>
  </si>
  <si>
    <t>12.12.2022</t>
  </si>
  <si>
    <t>TN56R1021</t>
  </si>
  <si>
    <t>42G0072762</t>
  </si>
  <si>
    <t>EXP/661</t>
  </si>
  <si>
    <t>561442217123/</t>
  </si>
  <si>
    <t>42G0072768</t>
  </si>
  <si>
    <t>541442253233/</t>
  </si>
  <si>
    <t>42G0072767</t>
  </si>
  <si>
    <t>511442252468/</t>
  </si>
  <si>
    <t>42G0072801</t>
  </si>
  <si>
    <t>511442244605/</t>
  </si>
  <si>
    <t>42G0072798</t>
  </si>
  <si>
    <t>521442236621/</t>
  </si>
  <si>
    <t>42G0072743</t>
  </si>
  <si>
    <t>08.12.2022</t>
  </si>
  <si>
    <t>TN55CS5398</t>
  </si>
  <si>
    <t>42G0072796</t>
  </si>
  <si>
    <t>511442287387/</t>
  </si>
  <si>
    <t>42G0072795</t>
  </si>
  <si>
    <t>15262-5264</t>
  </si>
  <si>
    <t>501442289070/</t>
  </si>
  <si>
    <t>TN52Y4863</t>
  </si>
  <si>
    <t>42G0072806</t>
  </si>
  <si>
    <t>C-067</t>
  </si>
  <si>
    <t>13.12.2022</t>
  </si>
  <si>
    <t>561441858019/</t>
  </si>
  <si>
    <t>42G0072760</t>
  </si>
  <si>
    <t>TN39CB3781</t>
  </si>
  <si>
    <t>42G0072814</t>
  </si>
  <si>
    <t>45412/45413/45414</t>
  </si>
  <si>
    <t>501442110738/</t>
  </si>
  <si>
    <t>PROTECK </t>
  </si>
  <si>
    <t>NLIGHT INC</t>
  </si>
  <si>
    <t>42G0072810</t>
  </si>
  <si>
    <t>541442400420/</t>
  </si>
  <si>
    <t>TN04BA6150</t>
  </si>
  <si>
    <t>42G0072773</t>
  </si>
  <si>
    <t>571442228157/</t>
  </si>
  <si>
    <t>42G0072774</t>
  </si>
  <si>
    <t>EP06268</t>
  </si>
  <si>
    <t>581442222938/</t>
  </si>
  <si>
    <t>42G0072791</t>
  </si>
  <si>
    <t>INV/3119</t>
  </si>
  <si>
    <t>591442272402/</t>
  </si>
  <si>
    <t>42G0072792</t>
  </si>
  <si>
    <t>INV/3121</t>
  </si>
  <si>
    <t>531442259168/</t>
  </si>
  <si>
    <t>42G0072790</t>
  </si>
  <si>
    <t>INV/3120</t>
  </si>
  <si>
    <t>591442265808/</t>
  </si>
  <si>
    <t>42G0072684</t>
  </si>
  <si>
    <t>ES/139</t>
  </si>
  <si>
    <t>7.12.2022</t>
  </si>
  <si>
    <t>501441833696/</t>
  </si>
  <si>
    <t>42G0072206</t>
  </si>
  <si>
    <t>ES/134</t>
  </si>
  <si>
    <t>BASHA </t>
  </si>
  <si>
    <t>TN85F4671</t>
  </si>
  <si>
    <t>42G0072820</t>
  </si>
  <si>
    <t>EEG22011632</t>
  </si>
  <si>
    <t>551442282700/</t>
  </si>
  <si>
    <t>42G0072819</t>
  </si>
  <si>
    <t>EEG22011733</t>
  </si>
  <si>
    <t>511442281532/</t>
  </si>
  <si>
    <t>42G0072794</t>
  </si>
  <si>
    <t>IN-XD 2340178</t>
  </si>
  <si>
    <t>R126618</t>
  </si>
  <si>
    <t>521442444464/</t>
  </si>
  <si>
    <t>42G0072771</t>
  </si>
  <si>
    <t>SRG-819</t>
  </si>
  <si>
    <t>561442362506/</t>
  </si>
  <si>
    <t>157-84061876</t>
  </si>
  <si>
    <t>603-47995474</t>
  </si>
  <si>
    <t>157-84181860</t>
  </si>
  <si>
    <t>235-06344531</t>
  </si>
  <si>
    <t>160-48702065</t>
  </si>
  <si>
    <t>618-28802325</t>
  </si>
  <si>
    <t>125-52397225</t>
  </si>
  <si>
    <t>TN85P7117</t>
  </si>
  <si>
    <t>K.R.INDUSTRIES</t>
  </si>
  <si>
    <t>42G0072738</t>
  </si>
  <si>
    <t>TN85J2161</t>
  </si>
  <si>
    <t>42G0072828</t>
  </si>
  <si>
    <t>501442547543/</t>
  </si>
  <si>
    <t>FIRST</t>
  </si>
  <si>
    <t>FIRST SOLAR</t>
  </si>
  <si>
    <t>561442625355/</t>
  </si>
  <si>
    <t>42G0072772</t>
  </si>
  <si>
    <t>INV/3118</t>
  </si>
  <si>
    <t>531442721047/</t>
  </si>
  <si>
    <t>42G0072827</t>
  </si>
  <si>
    <t>531442693577/</t>
  </si>
  <si>
    <t>42G0072821</t>
  </si>
  <si>
    <t>531442276688/</t>
  </si>
  <si>
    <t>TN73R9191</t>
  </si>
  <si>
    <t>2000074525-74529</t>
  </si>
  <si>
    <t>6128237 </t>
  </si>
  <si>
    <t>13/12/2022</t>
  </si>
  <si>
    <t>521442715146/</t>
  </si>
  <si>
    <t>GT ELETRONIC</t>
  </si>
  <si>
    <t>42G0072793</t>
  </si>
  <si>
    <t>879/2022.23/EXP</t>
  </si>
  <si>
    <t>531442644801/</t>
  </si>
  <si>
    <t>42G0072120</t>
  </si>
  <si>
    <t>TN3300041618</t>
  </si>
  <si>
    <t>511442720189/</t>
  </si>
  <si>
    <t>TN3300041613</t>
  </si>
  <si>
    <t>551442718636/</t>
  </si>
  <si>
    <t>42G0072802</t>
  </si>
  <si>
    <t>A0477</t>
  </si>
  <si>
    <t>581442500889/</t>
  </si>
  <si>
    <t>42G0072797</t>
  </si>
  <si>
    <t>HI3322201059</t>
  </si>
  <si>
    <t>42G0072825</t>
  </si>
  <si>
    <t>NUMBER OF PIECES MISSMATCH</t>
  </si>
  <si>
    <t>125-52397203</t>
  </si>
  <si>
    <t>125-52397181</t>
  </si>
  <si>
    <t>615-35026460</t>
  </si>
  <si>
    <t>828-15430155</t>
  </si>
  <si>
    <t>RIO</t>
  </si>
  <si>
    <t>176-55021676</t>
  </si>
  <si>
    <t>TN12AR3433</t>
  </si>
  <si>
    <t>42G0072803</t>
  </si>
  <si>
    <t>F25511221561</t>
  </si>
  <si>
    <t>511442588350/</t>
  </si>
  <si>
    <t>AMPO VALVES</t>
  </si>
  <si>
    <t>TRINKOR</t>
  </si>
  <si>
    <t>42G0072813</t>
  </si>
  <si>
    <t>E-250</t>
  </si>
  <si>
    <t>561442593263/</t>
  </si>
  <si>
    <t>42G0072808</t>
  </si>
  <si>
    <t>EXP/073</t>
  </si>
  <si>
    <t>561442617576/</t>
  </si>
  <si>
    <t>SREE ALLOYS</t>
  </si>
  <si>
    <t>GARLAND</t>
  </si>
  <si>
    <t>42G0072815</t>
  </si>
  <si>
    <t>EXPA-034</t>
  </si>
  <si>
    <t>531442673959/</t>
  </si>
  <si>
    <t>42G0072764</t>
  </si>
  <si>
    <t>F25511221494</t>
  </si>
  <si>
    <t>551442574195/</t>
  </si>
  <si>
    <t>42G0072809</t>
  </si>
  <si>
    <t>F25511221614</t>
  </si>
  <si>
    <t>501442588373/</t>
  </si>
  <si>
    <t>EXPA-037</t>
  </si>
  <si>
    <t>501442679846/</t>
  </si>
  <si>
    <t>DRESSER DIRECT</t>
  </si>
  <si>
    <t>42G0072735</t>
  </si>
  <si>
    <t>EXPV04602223</t>
  </si>
  <si>
    <t>511442573455/</t>
  </si>
  <si>
    <t>42G0072800</t>
  </si>
  <si>
    <t>591442541191/</t>
  </si>
  <si>
    <t>TN58AM3793</t>
  </si>
  <si>
    <t>42G0072838</t>
  </si>
  <si>
    <t>PGEXP176</t>
  </si>
  <si>
    <t>14.12.2022</t>
  </si>
  <si>
    <t>561442718064/</t>
  </si>
  <si>
    <t>42G0072846</t>
  </si>
  <si>
    <t>1310009929-1310009996</t>
  </si>
  <si>
    <t>PL-553</t>
  </si>
  <si>
    <t>14/12/2022</t>
  </si>
  <si>
    <t>591442458440/</t>
  </si>
  <si>
    <t>1310009914-1310009919</t>
  </si>
  <si>
    <t>PL-551</t>
  </si>
  <si>
    <t>25/11/2022</t>
  </si>
  <si>
    <t>591437166730/</t>
  </si>
  <si>
    <t>1310009990-1310009986</t>
  </si>
  <si>
    <t>PL-558</t>
  </si>
  <si>
    <t>551442483143/</t>
  </si>
  <si>
    <t>1310010001-1310009930</t>
  </si>
  <si>
    <t>PL-559</t>
  </si>
  <si>
    <t>551442515516/</t>
  </si>
  <si>
    <t>42G0072835</t>
  </si>
  <si>
    <t>561442810034/</t>
  </si>
  <si>
    <t>531442810035/</t>
  </si>
  <si>
    <t>501442810036/</t>
  </si>
  <si>
    <t>TN09CW2814</t>
  </si>
  <si>
    <t>42G0072755 </t>
  </si>
  <si>
    <t>JO/909</t>
  </si>
  <si>
    <t>44790/44791/44802/44795</t>
  </si>
  <si>
    <t>521442862158/</t>
  </si>
  <si>
    <t>42G0072754 </t>
  </si>
  <si>
    <t>JO/908</t>
  </si>
  <si>
    <t>3454/3463/3458/1177</t>
  </si>
  <si>
    <t>14.12.2022 </t>
  </si>
  <si>
    <t>501442858052/</t>
  </si>
  <si>
    <t>42G0072816</t>
  </si>
  <si>
    <t>22-23/SVM1548</t>
  </si>
  <si>
    <t>571442948929/</t>
  </si>
  <si>
    <t>42G0072830</t>
  </si>
  <si>
    <t>521442937779/</t>
  </si>
  <si>
    <t>42G0072840</t>
  </si>
  <si>
    <t>581443078020/</t>
  </si>
  <si>
    <t>TN2DB2547</t>
  </si>
  <si>
    <t>42G0072854</t>
  </si>
  <si>
    <t>2762-2223EXP</t>
  </si>
  <si>
    <t>10102416/10102417/10102418</t>
  </si>
  <si>
    <t>6144287 </t>
  </si>
  <si>
    <t>591443006152/</t>
  </si>
  <si>
    <t>R7/R6</t>
  </si>
  <si>
    <t>521443118654/</t>
  </si>
  <si>
    <t>42G0072849</t>
  </si>
  <si>
    <t>42G0072850</t>
  </si>
  <si>
    <t>42G0072856</t>
  </si>
  <si>
    <t>42G0072857</t>
  </si>
  <si>
    <t>TN22AW5229</t>
  </si>
  <si>
    <t>521443066395/</t>
  </si>
  <si>
    <t>42G0072843</t>
  </si>
  <si>
    <t>521443035832/</t>
  </si>
  <si>
    <t>42G0072855</t>
  </si>
  <si>
    <t>591443117652/</t>
  </si>
  <si>
    <t>42G0072860</t>
  </si>
  <si>
    <t>LAKSHMI ELECTRICAL</t>
  </si>
  <si>
    <t>MINDOX</t>
  </si>
  <si>
    <t>MINCPFG001</t>
  </si>
  <si>
    <t>571442821589/</t>
  </si>
  <si>
    <t>42G0072858</t>
  </si>
  <si>
    <t>42G0072833</t>
  </si>
  <si>
    <t>561443057333/</t>
  </si>
  <si>
    <t>42G0072831</t>
  </si>
  <si>
    <t>EXPV04782223</t>
  </si>
  <si>
    <t>561443099997/</t>
  </si>
  <si>
    <t>TN13Y7942</t>
  </si>
  <si>
    <t>THERMAX LIMITED</t>
  </si>
  <si>
    <t>THERMAX INC</t>
  </si>
  <si>
    <t>42G0072869</t>
  </si>
  <si>
    <t>EX37060001720</t>
  </si>
  <si>
    <t>NEWTECH</t>
  </si>
  <si>
    <t>EX 026</t>
  </si>
  <si>
    <t>501443357053/</t>
  </si>
  <si>
    <t>42G0072862</t>
  </si>
  <si>
    <t>42G0072864 </t>
  </si>
  <si>
    <t>1089/1090/1091/1095</t>
  </si>
  <si>
    <t>521443183131/</t>
  </si>
  <si>
    <t>42G0072865</t>
  </si>
  <si>
    <t>1092/1093/1094</t>
  </si>
  <si>
    <t>511443191074/</t>
  </si>
  <si>
    <t>42G0072864</t>
  </si>
  <si>
    <t>511443181781/</t>
  </si>
  <si>
    <t>531443182087/</t>
  </si>
  <si>
    <t>581443408272/</t>
  </si>
  <si>
    <t>591443404215/</t>
  </si>
  <si>
    <t>511443403809/</t>
  </si>
  <si>
    <t>42G0072868</t>
  </si>
  <si>
    <t>42G0072867</t>
  </si>
  <si>
    <t>42G0072859</t>
  </si>
  <si>
    <t>6167528 </t>
  </si>
  <si>
    <t>15/12/2022</t>
  </si>
  <si>
    <t>511443224961/</t>
  </si>
  <si>
    <t>581443224962/</t>
  </si>
  <si>
    <t>42G0072877</t>
  </si>
  <si>
    <t>581443443145/</t>
  </si>
  <si>
    <t>125-52396750</t>
  </si>
  <si>
    <t>603-47995463</t>
  </si>
  <si>
    <t>157-84182232</t>
  </si>
  <si>
    <t>618-28802351</t>
  </si>
  <si>
    <t>860-03223603</t>
  </si>
  <si>
    <t>860-03223614</t>
  </si>
  <si>
    <t>828-15430170</t>
  </si>
  <si>
    <t>618-28802362</t>
  </si>
  <si>
    <t>618-28802034</t>
  </si>
  <si>
    <t>125-52396934</t>
  </si>
  <si>
    <t>42G0072878</t>
  </si>
  <si>
    <t>ES0000885216</t>
  </si>
  <si>
    <t>591443476623/</t>
  </si>
  <si>
    <t>ES0000885195</t>
  </si>
  <si>
    <t>541443478257/</t>
  </si>
  <si>
    <t>42G0072876</t>
  </si>
  <si>
    <t>CCEXP066</t>
  </si>
  <si>
    <t>6176621 </t>
  </si>
  <si>
    <t>15-12-2022  </t>
  </si>
  <si>
    <t>551443488259/</t>
  </si>
  <si>
    <t>42G0072875</t>
  </si>
  <si>
    <t>CCEXP065</t>
  </si>
  <si>
    <t>29545926/23011157</t>
  </si>
  <si>
    <t>6177703 </t>
  </si>
  <si>
    <t>541443484634/</t>
  </si>
  <si>
    <t>SRM AUTOMOTIVE</t>
  </si>
  <si>
    <t>42G0072433</t>
  </si>
  <si>
    <t>M1-M16</t>
  </si>
  <si>
    <t>6175537 </t>
  </si>
  <si>
    <t>511443507990/</t>
  </si>
  <si>
    <t>42G0072880 </t>
  </si>
  <si>
    <t>A0491</t>
  </si>
  <si>
    <t>531443462385/</t>
  </si>
  <si>
    <t>42G0072870</t>
  </si>
  <si>
    <t>A0490</t>
  </si>
  <si>
    <t>511443467892/</t>
  </si>
  <si>
    <t>42G0072871</t>
  </si>
  <si>
    <t>A0492</t>
  </si>
  <si>
    <t>5214443465464/</t>
  </si>
  <si>
    <t>CEYLON PETROLEUM</t>
  </si>
  <si>
    <t>42G0072823 </t>
  </si>
  <si>
    <t>F25511221419</t>
  </si>
  <si>
    <t>561443399970/</t>
  </si>
  <si>
    <t>42G0072879 </t>
  </si>
  <si>
    <t>F25511221634</t>
  </si>
  <si>
    <t>501443399969/</t>
  </si>
  <si>
    <t>42G0072866</t>
  </si>
  <si>
    <t>F25511221541</t>
  </si>
  <si>
    <t>521443384581/</t>
  </si>
  <si>
    <t>42G0072805</t>
  </si>
  <si>
    <t>E02300</t>
  </si>
  <si>
    <t>6033/6034</t>
  </si>
  <si>
    <t>551443464754/</t>
  </si>
  <si>
    <t>42G0072807</t>
  </si>
  <si>
    <t>E02297</t>
  </si>
  <si>
    <t>6025-6027</t>
  </si>
  <si>
    <t>521443466412/</t>
  </si>
  <si>
    <t>TRITUM</t>
  </si>
  <si>
    <t>42G0072882 </t>
  </si>
  <si>
    <t>581443577217/</t>
  </si>
  <si>
    <t>TN37DW1886/TN02BS2763</t>
  </si>
  <si>
    <t>1096/1098</t>
  </si>
  <si>
    <t>TN39BV9010</t>
  </si>
  <si>
    <t>TEXMARKETING</t>
  </si>
  <si>
    <t>SAE-A SPINNING</t>
  </si>
  <si>
    <t>42G0072888</t>
  </si>
  <si>
    <t>531443367217/</t>
  </si>
  <si>
    <t>15.12.2022</t>
  </si>
  <si>
    <t>TNTN22BL1869</t>
  </si>
  <si>
    <t>42G0072910</t>
  </si>
  <si>
    <t>S094093</t>
  </si>
  <si>
    <t>6189911  </t>
  </si>
  <si>
    <t>16.12.2022 </t>
  </si>
  <si>
    <t>521443580866/</t>
  </si>
  <si>
    <t>TN04AW7076</t>
  </si>
  <si>
    <t>42G0072884</t>
  </si>
  <si>
    <t>AFE221227</t>
  </si>
  <si>
    <t>L3XC80A</t>
  </si>
  <si>
    <t>6203821 </t>
  </si>
  <si>
    <t>551443830830/</t>
  </si>
  <si>
    <t>618-28802023</t>
  </si>
  <si>
    <t>RETURN 15/12/2022</t>
  </si>
  <si>
    <t>160-48702463</t>
  </si>
  <si>
    <t>157-84181871</t>
  </si>
  <si>
    <t>603-47995441</t>
  </si>
  <si>
    <t>176-55032305</t>
  </si>
  <si>
    <t>618-28802410</t>
  </si>
  <si>
    <t>125-52396783</t>
  </si>
  <si>
    <t>157-84181801</t>
  </si>
  <si>
    <t>157-84182383</t>
  </si>
  <si>
    <t>42G0072906</t>
  </si>
  <si>
    <t>EOUFOCO65</t>
  </si>
  <si>
    <t>29569612/610/608/614</t>
  </si>
  <si>
    <t>571443904991/</t>
  </si>
  <si>
    <t>PALLET DAMAGE CONDITION</t>
  </si>
  <si>
    <t>42G0072889</t>
  </si>
  <si>
    <t>E22000707/697/696/694/693</t>
  </si>
  <si>
    <t>4513684779/76938/75136/77393/76949</t>
  </si>
  <si>
    <t>511443862547/</t>
  </si>
  <si>
    <t>TN42S9864</t>
  </si>
  <si>
    <t>PGB SPORTS</t>
  </si>
  <si>
    <t>42G0072912</t>
  </si>
  <si>
    <t>PES/398</t>
  </si>
  <si>
    <t>6195348 </t>
  </si>
  <si>
    <t>501443536933/</t>
  </si>
  <si>
    <t>42G0072890</t>
  </si>
  <si>
    <t>EU3400002116</t>
  </si>
  <si>
    <t>571443902081/</t>
  </si>
  <si>
    <t>561443933116/</t>
  </si>
  <si>
    <t>42G0072121</t>
  </si>
  <si>
    <t>EU3400002119</t>
  </si>
  <si>
    <t>541443923319/</t>
  </si>
  <si>
    <t>EU3400002117</t>
  </si>
  <si>
    <t>501443918899/</t>
  </si>
  <si>
    <t>42G0072881</t>
  </si>
  <si>
    <t>4912201733620/</t>
  </si>
  <si>
    <t>P01035396</t>
  </si>
  <si>
    <t>541438368273/</t>
  </si>
  <si>
    <t>42G0072908</t>
  </si>
  <si>
    <t>4912201733619/</t>
  </si>
  <si>
    <t>P01035146</t>
  </si>
  <si>
    <t>541438398541/</t>
  </si>
  <si>
    <t>TN97Z1657</t>
  </si>
  <si>
    <t>42G0072917</t>
  </si>
  <si>
    <t>E02303</t>
  </si>
  <si>
    <t>6037/6038/6039</t>
  </si>
  <si>
    <t>501443771563/</t>
  </si>
  <si>
    <t>42G0072918 </t>
  </si>
  <si>
    <t>EXPV04792223</t>
  </si>
  <si>
    <t>561443833072/</t>
  </si>
  <si>
    <t>CARY CONTROLS</t>
  </si>
  <si>
    <t>313313918 </t>
  </si>
  <si>
    <t>F25511221663</t>
  </si>
  <si>
    <t>551443834126/</t>
  </si>
  <si>
    <t>42G0072848</t>
  </si>
  <si>
    <t>531443784065/</t>
  </si>
  <si>
    <t>42G0072905</t>
  </si>
  <si>
    <t>42G0072920            </t>
  </si>
  <si>
    <t>TN39CS6084/TN04AZ6562</t>
  </si>
  <si>
    <t>501444048792/</t>
  </si>
  <si>
    <t>42G0072920          </t>
  </si>
  <si>
    <t>1100/1101/1107</t>
  </si>
  <si>
    <t>531444047983/</t>
  </si>
  <si>
    <t>42G0072919</t>
  </si>
  <si>
    <t>551444046209/</t>
  </si>
  <si>
    <t>1099/1105/1106</t>
  </si>
  <si>
    <t>551444044485/</t>
  </si>
  <si>
    <t>1108/1109/1110</t>
  </si>
  <si>
    <t>521444046945/</t>
  </si>
  <si>
    <t>TN11Y0190</t>
  </si>
  <si>
    <t>UMAA ENGINEERS</t>
  </si>
  <si>
    <t>42G0072922          </t>
  </si>
  <si>
    <t>EXP00030</t>
  </si>
  <si>
    <t>FT0010972</t>
  </si>
  <si>
    <t>EU3400002118</t>
  </si>
  <si>
    <t>571444098545/</t>
  </si>
  <si>
    <t>DAMAGE CONDITION</t>
  </si>
  <si>
    <t>CLOUD NETWORK</t>
  </si>
  <si>
    <t>42G0072883</t>
  </si>
  <si>
    <t>PE256</t>
  </si>
  <si>
    <t>511439038446/</t>
  </si>
  <si>
    <t>603-47995500</t>
  </si>
  <si>
    <t>42G0072879</t>
  </si>
  <si>
    <t>157-84182210</t>
  </si>
  <si>
    <t>160-48702426</t>
  </si>
  <si>
    <t>42G0072882</t>
  </si>
  <si>
    <t>618-28802270</t>
  </si>
  <si>
    <t>INVOICE REVISED 1102</t>
  </si>
  <si>
    <t>TN22DF8334/TN22DF7308</t>
  </si>
  <si>
    <t>603-47973973</t>
  </si>
  <si>
    <t>42G0072880</t>
  </si>
  <si>
    <t>125-52396816</t>
  </si>
  <si>
    <t>160-48702150</t>
  </si>
  <si>
    <t>176-55032176</t>
  </si>
  <si>
    <t>TN22DF7308/TN85J7198</t>
  </si>
  <si>
    <t xml:space="preserve"> 42G0072520</t>
  </si>
  <si>
    <t>19/12/2022 10:50</t>
  </si>
  <si>
    <t>42G0072928</t>
  </si>
  <si>
    <t>561444189523/</t>
  </si>
  <si>
    <t>42G0072804</t>
  </si>
  <si>
    <t>591444190508/</t>
  </si>
  <si>
    <t>42G0072818</t>
  </si>
  <si>
    <t>551444191471/</t>
  </si>
  <si>
    <t>42G0072931</t>
  </si>
  <si>
    <t>541444379074/</t>
  </si>
  <si>
    <t>42G0072930</t>
  </si>
  <si>
    <t>511444372991/</t>
  </si>
  <si>
    <t>TN39CR3420</t>
  </si>
  <si>
    <t>AATHAVA GARMENTS</t>
  </si>
  <si>
    <t>42G0072954</t>
  </si>
  <si>
    <t>22AG180</t>
  </si>
  <si>
    <t>S094274/S094270</t>
  </si>
  <si>
    <t>6256699 </t>
  </si>
  <si>
    <t>19.12.2022</t>
  </si>
  <si>
    <t>551444347863/</t>
  </si>
  <si>
    <t>42G0072959</t>
  </si>
  <si>
    <t>16.12.2022</t>
  </si>
  <si>
    <t>511444605008/</t>
  </si>
  <si>
    <t>42G0072957</t>
  </si>
  <si>
    <t>IGP09536</t>
  </si>
  <si>
    <t>42G0072929</t>
  </si>
  <si>
    <t>4912201733993/</t>
  </si>
  <si>
    <t>PK2000101</t>
  </si>
  <si>
    <t>511444754425/</t>
  </si>
  <si>
    <t>TN22DU7144</t>
  </si>
  <si>
    <t>LINK THEORY</t>
  </si>
  <si>
    <t>42G0072960</t>
  </si>
  <si>
    <t>SL-179</t>
  </si>
  <si>
    <t>6268022 </t>
  </si>
  <si>
    <t>19.12.22</t>
  </si>
  <si>
    <t>581444782881/</t>
  </si>
  <si>
    <t>TN09CQ5007</t>
  </si>
  <si>
    <t>KARMEN INTERNATIONL</t>
  </si>
  <si>
    <t>CRANCE AUSTRALIA</t>
  </si>
  <si>
    <t>42G0072962</t>
  </si>
  <si>
    <t>AMBEX2223173</t>
  </si>
  <si>
    <t>541444796059/</t>
  </si>
  <si>
    <t>42G0072823</t>
  </si>
  <si>
    <t>603-47995452</t>
  </si>
  <si>
    <t>176-55032213</t>
  </si>
  <si>
    <t>42G0072920</t>
  </si>
  <si>
    <t>160-48702194</t>
  </si>
  <si>
    <t>TN85J7198/TN11P1969</t>
  </si>
  <si>
    <t>235-02965071</t>
  </si>
  <si>
    <t>TN22DB0292/TN11AL0141</t>
  </si>
  <si>
    <t>176-57819790</t>
  </si>
  <si>
    <t>42G0072891</t>
  </si>
  <si>
    <t>EU3400002162</t>
  </si>
  <si>
    <t>571444824416/</t>
  </si>
  <si>
    <t>42G0072892</t>
  </si>
  <si>
    <t>EU3400002161</t>
  </si>
  <si>
    <t>591444822458/</t>
  </si>
  <si>
    <t>42G0072958</t>
  </si>
  <si>
    <t>EP06288</t>
  </si>
  <si>
    <t>9278-9281</t>
  </si>
  <si>
    <t>19-12-2022</t>
  </si>
  <si>
    <t>541444794970/</t>
  </si>
  <si>
    <t>TN21AU8068</t>
  </si>
  <si>
    <t>42G0072966</t>
  </si>
  <si>
    <t>2000074754-74762</t>
  </si>
  <si>
    <t>6279979 </t>
  </si>
  <si>
    <t>511444901993/</t>
  </si>
  <si>
    <t>2000074747-74753</t>
  </si>
  <si>
    <t>6279951 </t>
  </si>
  <si>
    <t>581444901994/</t>
  </si>
  <si>
    <t>TN19AK5072</t>
  </si>
  <si>
    <t>42G0072893</t>
  </si>
  <si>
    <t>TN3300042644</t>
  </si>
  <si>
    <t>541444819372/</t>
  </si>
  <si>
    <t>42G0072894</t>
  </si>
  <si>
    <t>TN3300042643</t>
  </si>
  <si>
    <t>561444820581/</t>
  </si>
  <si>
    <t>42G0072914 </t>
  </si>
  <si>
    <t>OA141</t>
  </si>
  <si>
    <t>581444785285/</t>
  </si>
  <si>
    <t>42G0072968</t>
  </si>
  <si>
    <t>551444702596/</t>
  </si>
  <si>
    <t>CHEVRON</t>
  </si>
  <si>
    <t>42G0072969 </t>
  </si>
  <si>
    <t>F25511221662</t>
  </si>
  <si>
    <t>501444728782/</t>
  </si>
  <si>
    <t>PY01BD1588</t>
  </si>
  <si>
    <t>42G0072956</t>
  </si>
  <si>
    <t>511444753109/</t>
  </si>
  <si>
    <t>TN01P2341</t>
  </si>
  <si>
    <t>42G0072972</t>
  </si>
  <si>
    <t>P/E/22-23/2238</t>
  </si>
  <si>
    <t>551445008972/</t>
  </si>
  <si>
    <t xml:space="preserve">THERMO </t>
  </si>
  <si>
    <t>42G0072847</t>
  </si>
  <si>
    <t>6297994 </t>
  </si>
  <si>
    <t>20.12.2022</t>
  </si>
  <si>
    <t>511445118084/</t>
  </si>
  <si>
    <t>TN51H5321</t>
  </si>
  <si>
    <t>TAPE A LOEIL</t>
  </si>
  <si>
    <t>42G0072976</t>
  </si>
  <si>
    <t>GPL/0390</t>
  </si>
  <si>
    <t>6290606 </t>
  </si>
  <si>
    <t>551444815050/</t>
  </si>
  <si>
    <t>42G0072967</t>
  </si>
  <si>
    <t>KMF/EX/22-23/17</t>
  </si>
  <si>
    <t>571445139955/</t>
  </si>
  <si>
    <t>TN22DD0984</t>
  </si>
  <si>
    <t>42G0072975</t>
  </si>
  <si>
    <t>GB3322202498</t>
  </si>
  <si>
    <t>1000478488-478491</t>
  </si>
  <si>
    <t>541445164367/</t>
  </si>
  <si>
    <t>42G0072971</t>
  </si>
  <si>
    <t>GB3322202539</t>
  </si>
  <si>
    <t>1000478907-478909</t>
  </si>
  <si>
    <t>TN37CL0811</t>
  </si>
  <si>
    <t>42G0072979</t>
  </si>
  <si>
    <t>9108-9111</t>
  </si>
  <si>
    <t>56144775757/</t>
  </si>
  <si>
    <t>235-02965082</t>
  </si>
  <si>
    <t>WAITING FOR ONE BOX REPACKING DONE 12:15</t>
  </si>
  <si>
    <t>603-60010112</t>
  </si>
  <si>
    <t>176-57819683</t>
  </si>
  <si>
    <t>618-28802395</t>
  </si>
  <si>
    <t>125-52397015</t>
  </si>
  <si>
    <t>618-28802266</t>
  </si>
  <si>
    <t>42G0072755</t>
  </si>
  <si>
    <t>157-84181764</t>
  </si>
  <si>
    <t>ORK</t>
  </si>
  <si>
    <t>157-84181742</t>
  </si>
  <si>
    <t>235-02965104</t>
  </si>
  <si>
    <t>603-60010134</t>
  </si>
  <si>
    <t>921-43444041</t>
  </si>
  <si>
    <t>42G0072981</t>
  </si>
  <si>
    <t>581445213067/</t>
  </si>
  <si>
    <t>42G0072980</t>
  </si>
  <si>
    <t>EOUFOC068/22-23</t>
  </si>
  <si>
    <t>531445332891/</t>
  </si>
  <si>
    <t>42G0072977</t>
  </si>
  <si>
    <t>YEMI/22-23/NC1053</t>
  </si>
  <si>
    <t>521445303823/</t>
  </si>
  <si>
    <t>42G0072978</t>
  </si>
  <si>
    <t>YEMI/22-23/NC1054</t>
  </si>
  <si>
    <t>SPIN ON FILTER-467</t>
  </si>
  <si>
    <t>541445305250/</t>
  </si>
  <si>
    <t>125-52396912</t>
  </si>
  <si>
    <t>42G0072986 </t>
  </si>
  <si>
    <t>F25511221644</t>
  </si>
  <si>
    <t>521445195895/</t>
  </si>
  <si>
    <t>COOEC FLUOR</t>
  </si>
  <si>
    <t>ZF5512000046</t>
  </si>
  <si>
    <t>541445195862/</t>
  </si>
  <si>
    <t>6266687 </t>
  </si>
  <si>
    <t>19/12/2022</t>
  </si>
  <si>
    <t>591445559050/</t>
  </si>
  <si>
    <t>42G0072932</t>
  </si>
  <si>
    <t>F25511221690</t>
  </si>
  <si>
    <t>511445195863/</t>
  </si>
  <si>
    <t>42G0072987</t>
  </si>
  <si>
    <t>DESTINATION MISMATCH</t>
  </si>
  <si>
    <t>F25511221572</t>
  </si>
  <si>
    <t>531445093857/</t>
  </si>
  <si>
    <t>F25511221573</t>
  </si>
  <si>
    <t>581445093881/</t>
  </si>
  <si>
    <t>313342362 </t>
  </si>
  <si>
    <t>42G0072984</t>
  </si>
  <si>
    <t>TN09CQ2868</t>
  </si>
  <si>
    <t>TN/G22-23/087</t>
  </si>
  <si>
    <t>LM/6072</t>
  </si>
  <si>
    <t>21.12.2022</t>
  </si>
  <si>
    <t>591445640677/</t>
  </si>
  <si>
    <t>42G0072990</t>
  </si>
  <si>
    <t>22-23/1115</t>
  </si>
  <si>
    <t>541445375774/</t>
  </si>
  <si>
    <t>22-23/1081</t>
  </si>
  <si>
    <t>42G0072988 </t>
  </si>
  <si>
    <t>571445374668/</t>
  </si>
  <si>
    <t>23/1082/1122/1125/1127/1128/1129/1130/1131</t>
  </si>
  <si>
    <t>32400/32405/32999/32362/30850</t>
  </si>
  <si>
    <t>511445376653/</t>
  </si>
  <si>
    <t>42G0072988</t>
  </si>
  <si>
    <t>FLOW AMERICA</t>
  </si>
  <si>
    <t>MARKS ENGINEERING</t>
  </si>
  <si>
    <t>42G0072993</t>
  </si>
  <si>
    <t>571445241263/</t>
  </si>
  <si>
    <t>42G0072995</t>
  </si>
  <si>
    <t>EXI/1220200351</t>
  </si>
  <si>
    <t>19882/19908/20029</t>
  </si>
  <si>
    <t>42G0072994</t>
  </si>
  <si>
    <t>0477/22-23</t>
  </si>
  <si>
    <t>571445229751/</t>
  </si>
  <si>
    <t>42G0072896</t>
  </si>
  <si>
    <t>EU3400002167</t>
  </si>
  <si>
    <t>501445572373/</t>
  </si>
  <si>
    <t>EU3400002166</t>
  </si>
  <si>
    <t>541445569629/</t>
  </si>
  <si>
    <t>42G0072895</t>
  </si>
  <si>
    <t>42G0072985</t>
  </si>
  <si>
    <t>22-23/SVM1606</t>
  </si>
  <si>
    <t>825-10151649-OP</t>
  </si>
  <si>
    <t>551445630733/</t>
  </si>
  <si>
    <t>42G0072996</t>
  </si>
  <si>
    <t>IN-CD2302232</t>
  </si>
  <si>
    <t>561445638769/</t>
  </si>
  <si>
    <t>IN-CD2340186</t>
  </si>
  <si>
    <t>Q07705</t>
  </si>
  <si>
    <t>591445640862/</t>
  </si>
  <si>
    <t>603-60010145</t>
  </si>
  <si>
    <t>217-29418756</t>
  </si>
  <si>
    <t>42G0072918</t>
  </si>
  <si>
    <t>235-02971570</t>
  </si>
  <si>
    <t>42G0072914</t>
  </si>
  <si>
    <t>235-02971566</t>
  </si>
  <si>
    <t>157-84181775</t>
  </si>
  <si>
    <t>157-84182361</t>
  </si>
  <si>
    <t>235-02971555</t>
  </si>
  <si>
    <t>607 28071212</t>
  </si>
  <si>
    <t>42G0072992</t>
  </si>
  <si>
    <t>CCEXP076</t>
  </si>
  <si>
    <t>29545469/5926/23011157/23049392</t>
  </si>
  <si>
    <t>4095.388.98</t>
  </si>
  <si>
    <t>6334725 </t>
  </si>
  <si>
    <t>21/12/2022</t>
  </si>
  <si>
    <t>551445699817/</t>
  </si>
  <si>
    <t>42G0072991</t>
  </si>
  <si>
    <t>CCEXP077</t>
  </si>
  <si>
    <t>6333383 </t>
  </si>
  <si>
    <t>571445703817/</t>
  </si>
  <si>
    <t>FUNGUS CONDITION</t>
  </si>
  <si>
    <t>TN36J4320</t>
  </si>
  <si>
    <t>42G0073008</t>
  </si>
  <si>
    <t>EP06296</t>
  </si>
  <si>
    <t>9291-9292</t>
  </si>
  <si>
    <t>521445552595/</t>
  </si>
  <si>
    <t>42G0073003</t>
  </si>
  <si>
    <t>E02361</t>
  </si>
  <si>
    <t>571445654630/</t>
  </si>
  <si>
    <t>42G0073013</t>
  </si>
  <si>
    <t>531445764995/</t>
  </si>
  <si>
    <t>42G0073018 </t>
  </si>
  <si>
    <t>1133/1135/1136/1137</t>
  </si>
  <si>
    <t>591445749677/</t>
  </si>
  <si>
    <t>DRESSER ITALY</t>
  </si>
  <si>
    <t>42G0073002</t>
  </si>
  <si>
    <t>EXP/079</t>
  </si>
  <si>
    <t>531445682233/</t>
  </si>
  <si>
    <t>42G0073001</t>
  </si>
  <si>
    <t>521445514946/</t>
  </si>
  <si>
    <t>581445511200/</t>
  </si>
  <si>
    <t>581445509995/</t>
  </si>
  <si>
    <t>42G0072997</t>
  </si>
  <si>
    <t>591445691224/</t>
  </si>
  <si>
    <t>42G0072998</t>
  </si>
  <si>
    <t>531445697857/</t>
  </si>
  <si>
    <t>42G0072999</t>
  </si>
  <si>
    <t>531445700098/</t>
  </si>
  <si>
    <t>42G0073004 </t>
  </si>
  <si>
    <t>EXPV04892223</t>
  </si>
  <si>
    <t>511445655581/</t>
  </si>
  <si>
    <t>DRESSER ITALIS</t>
  </si>
  <si>
    <t>42G0073000</t>
  </si>
  <si>
    <t>SPE-22-23-2036</t>
  </si>
  <si>
    <t>551445679637/</t>
  </si>
  <si>
    <t>TN23CQ0689</t>
  </si>
  <si>
    <t>42G0073006 </t>
  </si>
  <si>
    <t>A0495</t>
  </si>
  <si>
    <t>521445636323/</t>
  </si>
  <si>
    <t>42G0073005 </t>
  </si>
  <si>
    <t>A0496</t>
  </si>
  <si>
    <t>521445628627/</t>
  </si>
  <si>
    <t>42G0073019</t>
  </si>
  <si>
    <t>1310010120-1310010123</t>
  </si>
  <si>
    <t>PL-573</t>
  </si>
  <si>
    <t>511445373584/</t>
  </si>
  <si>
    <t>1310010086-1310010089</t>
  </si>
  <si>
    <t>PL-567</t>
  </si>
  <si>
    <t>22/12/2022</t>
  </si>
  <si>
    <t>541445383371/</t>
  </si>
  <si>
    <t>1310010153-1310010159</t>
  </si>
  <si>
    <t>PL-575</t>
  </si>
  <si>
    <t>1310010081-1310010088</t>
  </si>
  <si>
    <t>PL-568</t>
  </si>
  <si>
    <t>551445386175/</t>
  </si>
  <si>
    <t>1310010117-1310010119</t>
  </si>
  <si>
    <t>PL-572</t>
  </si>
  <si>
    <t>551445376600/</t>
  </si>
  <si>
    <t>1310010013-1310010042</t>
  </si>
  <si>
    <t>PL-563</t>
  </si>
  <si>
    <t>571445387129/</t>
  </si>
  <si>
    <t>42G0073027</t>
  </si>
  <si>
    <t>IGP09681</t>
  </si>
  <si>
    <t>561446068035/</t>
  </si>
  <si>
    <t>42G0073026</t>
  </si>
  <si>
    <t>IGP09586</t>
  </si>
  <si>
    <t>511446070361/</t>
  </si>
  <si>
    <t>42G0073025</t>
  </si>
  <si>
    <t>IGP09583</t>
  </si>
  <si>
    <t>561446073183/</t>
  </si>
  <si>
    <t>42G0073015</t>
  </si>
  <si>
    <t>6349646 </t>
  </si>
  <si>
    <t>511445994570/</t>
  </si>
  <si>
    <t>42G0073014</t>
  </si>
  <si>
    <t>6349981  </t>
  </si>
  <si>
    <t>531445992244/</t>
  </si>
  <si>
    <t>581445994612/</t>
  </si>
  <si>
    <t>K70FGE2200154</t>
  </si>
  <si>
    <t>22/12/22</t>
  </si>
  <si>
    <t>581446141415/</t>
  </si>
  <si>
    <t>42G0073016</t>
  </si>
  <si>
    <t>618-28802465</t>
  </si>
  <si>
    <t>607-28067001</t>
  </si>
  <si>
    <t>607-28067034</t>
  </si>
  <si>
    <t>607-28067082</t>
  </si>
  <si>
    <t>42G0072754</t>
  </si>
  <si>
    <t>607-28067045</t>
  </si>
  <si>
    <t>42G0072989</t>
  </si>
  <si>
    <t>828-15430575</t>
  </si>
  <si>
    <t>125-52396993</t>
  </si>
  <si>
    <t>057-11662486</t>
  </si>
  <si>
    <t>TN73F4100</t>
  </si>
  <si>
    <t>2000074856-74861</t>
  </si>
  <si>
    <t>22.12.2022</t>
  </si>
  <si>
    <t>42G0073009</t>
  </si>
  <si>
    <t>591446247039/</t>
  </si>
  <si>
    <t>TN22DE7440</t>
  </si>
  <si>
    <t>SHANGHAI BS&amp;B</t>
  </si>
  <si>
    <t>531446173020/</t>
  </si>
  <si>
    <t>42G0073084</t>
  </si>
  <si>
    <t>42G0073086</t>
  </si>
  <si>
    <t>6372939 </t>
  </si>
  <si>
    <t>23/12/2022</t>
  </si>
  <si>
    <t>ACCUCUT LASERS</t>
  </si>
  <si>
    <t>42G0072916</t>
  </si>
  <si>
    <t>I/E2/0086</t>
  </si>
  <si>
    <t>42G0073085 </t>
  </si>
  <si>
    <t>591446096499/</t>
  </si>
  <si>
    <t>42G0073083</t>
  </si>
  <si>
    <t>521446094348/</t>
  </si>
  <si>
    <t>42G0073082</t>
  </si>
  <si>
    <t>6191-6192</t>
  </si>
  <si>
    <t>E02359</t>
  </si>
  <si>
    <t>591446142549/</t>
  </si>
  <si>
    <t>42G0073081 </t>
  </si>
  <si>
    <t>E02363</t>
  </si>
  <si>
    <t>6212-6214</t>
  </si>
  <si>
    <t>581446141358/</t>
  </si>
  <si>
    <t>TN18K7308</t>
  </si>
  <si>
    <t>MRF LIMITED</t>
  </si>
  <si>
    <t>DAFRA</t>
  </si>
  <si>
    <t>42G0073021</t>
  </si>
  <si>
    <t>BRAZLI</t>
  </si>
  <si>
    <t>561446336367/</t>
  </si>
  <si>
    <t>42G0073089</t>
  </si>
  <si>
    <t>581446234380/</t>
  </si>
  <si>
    <t>42G0073090</t>
  </si>
  <si>
    <t>511446237429/</t>
  </si>
  <si>
    <t>551446246386/</t>
  </si>
  <si>
    <t>TN22DX3982</t>
  </si>
  <si>
    <t>313313919 </t>
  </si>
  <si>
    <t>F25511221767</t>
  </si>
  <si>
    <t>501446197092/</t>
  </si>
  <si>
    <t>42G0073078</t>
  </si>
  <si>
    <t>F25511221602</t>
  </si>
  <si>
    <t>501446197609/</t>
  </si>
  <si>
    <t>42G0073092</t>
  </si>
  <si>
    <t>IGP09811</t>
  </si>
  <si>
    <t>541446458230/</t>
  </si>
  <si>
    <t>ROSS CONTROLS</t>
  </si>
  <si>
    <t>42G0073088</t>
  </si>
  <si>
    <t>RI22INV220957</t>
  </si>
  <si>
    <t>RI22DC220957</t>
  </si>
  <si>
    <t>541446517023/</t>
  </si>
  <si>
    <t>020-94843420</t>
  </si>
  <si>
    <t>160-48702146</t>
  </si>
  <si>
    <t>160-48702360</t>
  </si>
  <si>
    <t>235-02971581</t>
  </si>
  <si>
    <t>125-52397004</t>
  </si>
  <si>
    <t>160-48702076</t>
  </si>
  <si>
    <t>157-84181882</t>
  </si>
  <si>
    <t>020-94843291</t>
  </si>
  <si>
    <t>42G0072969</t>
  </si>
  <si>
    <t>157-84181963</t>
  </si>
  <si>
    <t>42G0073085</t>
  </si>
  <si>
    <t>157-84181823</t>
  </si>
  <si>
    <t>160-48701855</t>
  </si>
  <si>
    <t>42G0072897</t>
  </si>
  <si>
    <t>EU3400002189</t>
  </si>
  <si>
    <t>531446499153/</t>
  </si>
  <si>
    <t>42G0073087</t>
  </si>
  <si>
    <t>1140/1141/1142/1149</t>
  </si>
  <si>
    <t>1145/1146/1147/1148</t>
  </si>
  <si>
    <t>42G0073023</t>
  </si>
  <si>
    <t>ES0000888527&amp;ES000088528</t>
  </si>
  <si>
    <t>49478902/8903</t>
  </si>
  <si>
    <t>551446562956/</t>
  </si>
  <si>
    <t>ES0000888529</t>
  </si>
  <si>
    <t>511446562967/</t>
  </si>
  <si>
    <t>42G0073080</t>
  </si>
  <si>
    <t>640117 </t>
  </si>
  <si>
    <t>23-12-2022</t>
  </si>
  <si>
    <t>571446437816/</t>
  </si>
  <si>
    <t>42G0073079</t>
  </si>
  <si>
    <t>6401175 </t>
  </si>
  <si>
    <t>561446445535/</t>
  </si>
  <si>
    <t>571446443590/</t>
  </si>
  <si>
    <t>TN99X4432</t>
  </si>
  <si>
    <t>42G0073099</t>
  </si>
  <si>
    <t>15447-15450</t>
  </si>
  <si>
    <t>591446620058/</t>
  </si>
  <si>
    <t>42G0073099 </t>
  </si>
  <si>
    <t>591446617625/</t>
  </si>
  <si>
    <t>15452-15453</t>
  </si>
  <si>
    <t>521446618982/</t>
  </si>
  <si>
    <t>TN20CW3381</t>
  </si>
  <si>
    <t>42G0072239</t>
  </si>
  <si>
    <t>501446553405/</t>
  </si>
  <si>
    <t>PALLET FUNGUS CONDITION</t>
  </si>
  <si>
    <t>42G0071156</t>
  </si>
  <si>
    <t>2212-14122022</t>
  </si>
  <si>
    <t>TN58BF7382</t>
  </si>
  <si>
    <t>42G0073101</t>
  </si>
  <si>
    <t>PGEXP178</t>
  </si>
  <si>
    <t>6407384 </t>
  </si>
  <si>
    <t>24.12.2022</t>
  </si>
  <si>
    <t>581446646837/</t>
  </si>
  <si>
    <t>TN87D1661</t>
  </si>
  <si>
    <t xml:space="preserve">ROOTS </t>
  </si>
  <si>
    <t>42G0073096</t>
  </si>
  <si>
    <t>11177-11210</t>
  </si>
  <si>
    <t>541446601694/</t>
  </si>
  <si>
    <t>42G0073100 </t>
  </si>
  <si>
    <t>1155/1156</t>
  </si>
  <si>
    <t>501446682824/</t>
  </si>
  <si>
    <t>42G0073094</t>
  </si>
  <si>
    <t>E02366</t>
  </si>
  <si>
    <t>6218/6219</t>
  </si>
  <si>
    <t>581446549057/</t>
  </si>
  <si>
    <t>235-02973666</t>
  </si>
  <si>
    <t>42G0073006</t>
  </si>
  <si>
    <t>603-60010171</t>
  </si>
  <si>
    <t>603-60010123</t>
  </si>
  <si>
    <t>42G0073004</t>
  </si>
  <si>
    <t>42G0073081</t>
  </si>
  <si>
    <t>607-28067071</t>
  </si>
  <si>
    <t>235-02971592</t>
  </si>
  <si>
    <t>42G0073018</t>
  </si>
  <si>
    <t>618-28802045</t>
  </si>
  <si>
    <t>160-48702522</t>
  </si>
  <si>
    <t>42G0072922</t>
  </si>
  <si>
    <t>157-84181941</t>
  </si>
  <si>
    <t>42G0073005</t>
  </si>
  <si>
    <t>235-02973644</t>
  </si>
  <si>
    <t>125-52396886</t>
  </si>
  <si>
    <t>42G0072986</t>
  </si>
  <si>
    <t>TN86E3771</t>
  </si>
  <si>
    <t>42G0073095</t>
  </si>
  <si>
    <t>511446790513/</t>
  </si>
  <si>
    <t>42G0073093</t>
  </si>
  <si>
    <t>F25511221717</t>
  </si>
  <si>
    <t>521446805360/</t>
  </si>
  <si>
    <t>42G0073103 </t>
  </si>
  <si>
    <t>SOUTH AFRICA</t>
  </si>
  <si>
    <t>F25511221776</t>
  </si>
  <si>
    <t>531446805420/</t>
  </si>
  <si>
    <t>42G0073103</t>
  </si>
  <si>
    <t>F25511221782</t>
  </si>
  <si>
    <t>571446805381/</t>
  </si>
  <si>
    <t>F25511221779</t>
  </si>
  <si>
    <t>541446805382/</t>
  </si>
  <si>
    <t>F25511221778</t>
  </si>
  <si>
    <t>501446805421/</t>
  </si>
  <si>
    <t>42G0073098</t>
  </si>
  <si>
    <t>501446892647/</t>
  </si>
  <si>
    <t>TN22BD0292</t>
  </si>
  <si>
    <t>42G0073105</t>
  </si>
  <si>
    <t>26.12.2022</t>
  </si>
  <si>
    <t>581447158539/</t>
  </si>
  <si>
    <t>511447158538/</t>
  </si>
  <si>
    <t>541447158537/</t>
  </si>
  <si>
    <t>TN58BE2785</t>
  </si>
  <si>
    <t>42G0073112</t>
  </si>
  <si>
    <t>PGEXP182</t>
  </si>
  <si>
    <t>591446961548/</t>
  </si>
  <si>
    <t>PGEXP183</t>
  </si>
  <si>
    <t>591779692497/</t>
  </si>
  <si>
    <t>PGEXP181</t>
  </si>
  <si>
    <t>551446960610/</t>
  </si>
  <si>
    <t>PGEXP180</t>
  </si>
  <si>
    <t>521446960205/</t>
  </si>
  <si>
    <t>42G0073110</t>
  </si>
  <si>
    <t>PGEXP179</t>
  </si>
  <si>
    <t>521447049334/</t>
  </si>
  <si>
    <t>42G0073108</t>
  </si>
  <si>
    <t>1162/1163/1164</t>
  </si>
  <si>
    <t>501446951229/</t>
  </si>
  <si>
    <t>42G0073107</t>
  </si>
  <si>
    <t>1159/1160/1161</t>
  </si>
  <si>
    <t>501446923880/</t>
  </si>
  <si>
    <t>TN22DF8400</t>
  </si>
  <si>
    <t>42G0072982</t>
  </si>
  <si>
    <t>181574748265/</t>
  </si>
  <si>
    <t>235-02982000</t>
  </si>
  <si>
    <t>160-48701590</t>
  </si>
  <si>
    <t>42G0073100</t>
  </si>
  <si>
    <t>618-28802001</t>
  </si>
  <si>
    <t>125-52397030</t>
  </si>
  <si>
    <t>125-52396971</t>
  </si>
  <si>
    <t>157-84182055</t>
  </si>
  <si>
    <t>057-11662501</t>
  </si>
  <si>
    <t>615-35040342</t>
  </si>
  <si>
    <t>615-35040353</t>
  </si>
  <si>
    <t>JNB</t>
  </si>
  <si>
    <t>057-11662490</t>
  </si>
  <si>
    <t>42G0073111</t>
  </si>
  <si>
    <t>EP06306</t>
  </si>
  <si>
    <t>9368-9370</t>
  </si>
  <si>
    <t>6450558 </t>
  </si>
  <si>
    <t>571447377540/</t>
  </si>
  <si>
    <t>TN59CU2848</t>
  </si>
  <si>
    <t>GAINUP</t>
  </si>
  <si>
    <t>OMLOG</t>
  </si>
  <si>
    <t>42G0073126</t>
  </si>
  <si>
    <t>EXP/0933</t>
  </si>
  <si>
    <t>6443788 </t>
  </si>
  <si>
    <t>561447425354/</t>
  </si>
  <si>
    <t>42G0073113</t>
  </si>
  <si>
    <t>6447167 </t>
  </si>
  <si>
    <t>591447309990/</t>
  </si>
  <si>
    <t>584777977749/</t>
  </si>
  <si>
    <t>157-84181904</t>
  </si>
  <si>
    <t>42G0073109</t>
  </si>
  <si>
    <t>A0513</t>
  </si>
  <si>
    <t>561447358513/</t>
  </si>
  <si>
    <t>603-60010160</t>
  </si>
  <si>
    <t>235-02973655</t>
  </si>
  <si>
    <t>42G0073106</t>
  </si>
  <si>
    <t>591447275125/</t>
  </si>
  <si>
    <t>511447274508/</t>
  </si>
  <si>
    <t>591447273596/</t>
  </si>
  <si>
    <t>TN02P2341</t>
  </si>
  <si>
    <t>42G0073127</t>
  </si>
  <si>
    <t>P/E/22-23/2280</t>
  </si>
  <si>
    <t>27.12.2022</t>
  </si>
  <si>
    <t>561447629451/</t>
  </si>
  <si>
    <t>42G0073138</t>
  </si>
  <si>
    <t>NRA/080</t>
  </si>
  <si>
    <t>4500120844/845</t>
  </si>
  <si>
    <t>6473103         </t>
  </si>
  <si>
    <t>531447630780/</t>
  </si>
  <si>
    <t>42G0073137</t>
  </si>
  <si>
    <t>NRA/079</t>
  </si>
  <si>
    <t>6473055        </t>
  </si>
  <si>
    <t>501447628687/</t>
  </si>
  <si>
    <t>160-48702581</t>
  </si>
  <si>
    <t>125-52396890</t>
  </si>
  <si>
    <t>TN20DA4188</t>
  </si>
  <si>
    <t>42G0073133</t>
  </si>
  <si>
    <t>1310010180-10176</t>
  </si>
  <si>
    <t>7172/2941</t>
  </si>
  <si>
    <t>511447554075/</t>
  </si>
  <si>
    <t>1310010255-10256</t>
  </si>
  <si>
    <t>4983/8422</t>
  </si>
  <si>
    <t>541447555329/</t>
  </si>
  <si>
    <t>42G0073131</t>
  </si>
  <si>
    <t>2000074878-74884</t>
  </si>
  <si>
    <t>6471321 </t>
  </si>
  <si>
    <t>27/12/2022  </t>
  </si>
  <si>
    <t>511447613884/</t>
  </si>
  <si>
    <t>2000074885-74901</t>
  </si>
  <si>
    <t>6471602 </t>
  </si>
  <si>
    <t>581447613885/</t>
  </si>
  <si>
    <t>TN04AL5473</t>
  </si>
  <si>
    <t>42G0073140</t>
  </si>
  <si>
    <t>BDM9W003</t>
  </si>
  <si>
    <t>591447706810/</t>
  </si>
  <si>
    <t>BDPG7001</t>
  </si>
  <si>
    <t>BDPG</t>
  </si>
  <si>
    <t>571447706108/</t>
  </si>
  <si>
    <t>125-52396805</t>
  </si>
  <si>
    <t>42G0073134</t>
  </si>
  <si>
    <t>CCEXP080</t>
  </si>
  <si>
    <t>6486211 </t>
  </si>
  <si>
    <t>531447769307/</t>
  </si>
  <si>
    <t>42G0073135</t>
  </si>
  <si>
    <t>CCEXP079</t>
  </si>
  <si>
    <t>6486516 </t>
  </si>
  <si>
    <t>571447773636/</t>
  </si>
  <si>
    <t>PALLET FUNGUS CONDITION 4/6 &amp; 3/6</t>
  </si>
  <si>
    <t>42G0073141</t>
  </si>
  <si>
    <t>1169/1168</t>
  </si>
  <si>
    <t>531447861872/</t>
  </si>
  <si>
    <t>42G0073142 </t>
  </si>
  <si>
    <t>511447834258/</t>
  </si>
  <si>
    <t>581447827598/</t>
  </si>
  <si>
    <t>42G0073125</t>
  </si>
  <si>
    <t>F25511221841</t>
  </si>
  <si>
    <t>561447808453/</t>
  </si>
  <si>
    <t>42G0073124</t>
  </si>
  <si>
    <t>F25511221862</t>
  </si>
  <si>
    <t>541447850860/</t>
  </si>
  <si>
    <t>42G0073097</t>
  </si>
  <si>
    <t>F25511221624</t>
  </si>
  <si>
    <t>591446805358/</t>
  </si>
  <si>
    <t>42G0073122</t>
  </si>
  <si>
    <t>F25511221853</t>
  </si>
  <si>
    <t>511447808758/</t>
  </si>
  <si>
    <t>42G0073129</t>
  </si>
  <si>
    <t>EXP/666</t>
  </si>
  <si>
    <t>IM GEARS</t>
  </si>
  <si>
    <t>42G0072964</t>
  </si>
  <si>
    <t>43000210/4300208/11000225/11000270/11000277</t>
  </si>
  <si>
    <t>6432244 </t>
  </si>
  <si>
    <t>26-12-2022</t>
  </si>
  <si>
    <t>571447831398/</t>
  </si>
  <si>
    <t>42G0072965</t>
  </si>
  <si>
    <t>501447837139/</t>
  </si>
  <si>
    <t>125-52396864</t>
  </si>
  <si>
    <t>157-84182254</t>
  </si>
  <si>
    <t>125-52397144</t>
  </si>
  <si>
    <t>160-48701365</t>
  </si>
  <si>
    <t>TN04AK6031</t>
  </si>
  <si>
    <t>42G0073153</t>
  </si>
  <si>
    <t>AFD223646</t>
  </si>
  <si>
    <t>LOUC20A</t>
  </si>
  <si>
    <t>6504300 </t>
  </si>
  <si>
    <t>28.12.2022</t>
  </si>
  <si>
    <t>521448156352/</t>
  </si>
  <si>
    <t>42G0073154</t>
  </si>
  <si>
    <t>AFD223647</t>
  </si>
  <si>
    <t>591448156353/</t>
  </si>
  <si>
    <t>42G0073155</t>
  </si>
  <si>
    <t>AFD223648</t>
  </si>
  <si>
    <t>L0UC40A</t>
  </si>
  <si>
    <t>564148156354/</t>
  </si>
  <si>
    <t>EASTMAN</t>
  </si>
  <si>
    <t>42G0073147</t>
  </si>
  <si>
    <t>EEG22012091</t>
  </si>
  <si>
    <t>561447835607/</t>
  </si>
  <si>
    <t>42G0073151</t>
  </si>
  <si>
    <t>CCEXP082</t>
  </si>
  <si>
    <t>561448259330/</t>
  </si>
  <si>
    <t xml:space="preserve">1 BOX DAMAGED CONDITION </t>
  </si>
  <si>
    <t xml:space="preserve">1BOX BARCODE DAMAGED </t>
  </si>
  <si>
    <t>TN31BF8893</t>
  </si>
  <si>
    <t>42G0073157</t>
  </si>
  <si>
    <t>EP06320</t>
  </si>
  <si>
    <t>9400-9401</t>
  </si>
  <si>
    <t>6522944 </t>
  </si>
  <si>
    <t>29-12-2022</t>
  </si>
  <si>
    <t>561448201021/</t>
  </si>
  <si>
    <t>42G0073159</t>
  </si>
  <si>
    <t>E-25245</t>
  </si>
  <si>
    <t>501448369219/</t>
  </si>
  <si>
    <t>E-25246</t>
  </si>
  <si>
    <t>581448367712/</t>
  </si>
  <si>
    <t>E-25247</t>
  </si>
  <si>
    <t>551448372254/</t>
  </si>
  <si>
    <t>42G0073160</t>
  </si>
  <si>
    <t>E-25248</t>
  </si>
  <si>
    <t>E-25249</t>
  </si>
  <si>
    <t>42G0073158</t>
  </si>
  <si>
    <t>E-25250</t>
  </si>
  <si>
    <t>571448374256/</t>
  </si>
  <si>
    <t>TN39CF8913</t>
  </si>
  <si>
    <t>42G0073162</t>
  </si>
  <si>
    <t>IRLEAND</t>
  </si>
  <si>
    <t>PES/415/2022-23</t>
  </si>
  <si>
    <t>531448270600/</t>
  </si>
  <si>
    <t>42G0073148</t>
  </si>
  <si>
    <t>IV5512301210</t>
  </si>
  <si>
    <t>581448204732/</t>
  </si>
  <si>
    <t>42G0073149</t>
  </si>
  <si>
    <t>F25511221895</t>
  </si>
  <si>
    <t>531448204779/</t>
  </si>
  <si>
    <t>F25511221896</t>
  </si>
  <si>
    <t>571448204784/</t>
  </si>
  <si>
    <t>42G0073121</t>
  </si>
  <si>
    <t>F25511221851</t>
  </si>
  <si>
    <t>501448204741/</t>
  </si>
  <si>
    <t>F25511221897</t>
  </si>
  <si>
    <t>551448204788/</t>
  </si>
  <si>
    <t>IV5512301208</t>
  </si>
  <si>
    <t>IV5512301207</t>
  </si>
  <si>
    <t>561448204707/</t>
  </si>
  <si>
    <t>42G0073139</t>
  </si>
  <si>
    <t>561448158305/</t>
  </si>
  <si>
    <t>42G0073132</t>
  </si>
  <si>
    <t>42G0073145</t>
  </si>
  <si>
    <t>EXPV05132223</t>
  </si>
  <si>
    <t>5914482250866/</t>
  </si>
  <si>
    <t>42G0073136</t>
  </si>
  <si>
    <t>EXPV05122223</t>
  </si>
  <si>
    <t>561448248820/</t>
  </si>
  <si>
    <t>42G0073146</t>
  </si>
  <si>
    <t>EXPV05102223</t>
  </si>
  <si>
    <t>521448245564/</t>
  </si>
  <si>
    <t>42G0073123</t>
  </si>
  <si>
    <t>EXPV05092223</t>
  </si>
  <si>
    <t>511448243201/</t>
  </si>
  <si>
    <t>42G0073130</t>
  </si>
  <si>
    <t>E02433</t>
  </si>
  <si>
    <t>521448118196/</t>
  </si>
  <si>
    <t>42G0073120</t>
  </si>
  <si>
    <t>E02434</t>
  </si>
  <si>
    <t>6353-6355</t>
  </si>
  <si>
    <t>571448120617/</t>
  </si>
  <si>
    <t>125-52397085</t>
  </si>
  <si>
    <t>TN22DF8435</t>
  </si>
  <si>
    <t>618-28802012</t>
  </si>
  <si>
    <t>125-52397155</t>
  </si>
  <si>
    <t>157-84182000</t>
  </si>
  <si>
    <t>157-84182092</t>
  </si>
  <si>
    <t>42G0073142</t>
  </si>
  <si>
    <t>125-52397111</t>
  </si>
  <si>
    <t>157-84182405</t>
  </si>
  <si>
    <t>160-48702673</t>
  </si>
  <si>
    <t>LRD</t>
  </si>
  <si>
    <t>125-52397166</t>
  </si>
  <si>
    <t>157-84182416</t>
  </si>
  <si>
    <t>42G0073269 </t>
  </si>
  <si>
    <t>101-106</t>
  </si>
  <si>
    <t>29.12.2022</t>
  </si>
  <si>
    <t>501448534888/</t>
  </si>
  <si>
    <t>42G0073270 </t>
  </si>
  <si>
    <t>3466/2495</t>
  </si>
  <si>
    <t>591448518751/</t>
  </si>
  <si>
    <t>42G0072899</t>
  </si>
  <si>
    <t>TN3300043593</t>
  </si>
  <si>
    <t>521448603212/</t>
  </si>
  <si>
    <t>TN3300043594</t>
  </si>
  <si>
    <t>551448607622/</t>
  </si>
  <si>
    <t>42G0072898</t>
  </si>
  <si>
    <t>TN3300043597</t>
  </si>
  <si>
    <t>551448613799/</t>
  </si>
  <si>
    <t>TN3300043595</t>
  </si>
  <si>
    <t>591448610127/</t>
  </si>
  <si>
    <t>TN3300043596</t>
  </si>
  <si>
    <t>591448612152/</t>
  </si>
  <si>
    <t>TN22DF0964</t>
  </si>
  <si>
    <t>BRAY KNIFE</t>
  </si>
  <si>
    <t>42G0073268</t>
  </si>
  <si>
    <t>4912201733744/</t>
  </si>
  <si>
    <t>42G0073273</t>
  </si>
  <si>
    <t>K70FGE2200155</t>
  </si>
  <si>
    <t>IKONKM50073402G02/</t>
  </si>
  <si>
    <t>6545567 </t>
  </si>
  <si>
    <t>531448726905/</t>
  </si>
  <si>
    <t>TN22DT6816</t>
  </si>
  <si>
    <t>42G0073144</t>
  </si>
  <si>
    <t>E02440</t>
  </si>
  <si>
    <t>6368/6369/6370</t>
  </si>
  <si>
    <t>501448714860/</t>
  </si>
  <si>
    <t>42G0073143</t>
  </si>
  <si>
    <t>E02439</t>
  </si>
  <si>
    <t>6366/6367</t>
  </si>
  <si>
    <t>561448713740/</t>
  </si>
  <si>
    <t>42G0073152</t>
  </si>
  <si>
    <t>E02436</t>
  </si>
  <si>
    <t>6357/6358/6359</t>
  </si>
  <si>
    <t>541448712770/</t>
  </si>
  <si>
    <t>42G0073164</t>
  </si>
  <si>
    <t>551448599415/</t>
  </si>
  <si>
    <t>42G0073161</t>
  </si>
  <si>
    <t>RV0922103468</t>
  </si>
  <si>
    <t>511448696912/</t>
  </si>
  <si>
    <t>42G0073267</t>
  </si>
  <si>
    <t>F25511221847</t>
  </si>
  <si>
    <t>531448643732/</t>
  </si>
  <si>
    <t>42G0073266</t>
  </si>
  <si>
    <t>571448695368/</t>
  </si>
  <si>
    <t>TN72AT1928</t>
  </si>
  <si>
    <t>CRANE AUSTRALIA</t>
  </si>
  <si>
    <t>42G0073265</t>
  </si>
  <si>
    <t>42G0073274</t>
  </si>
  <si>
    <t>603-60010193</t>
  </si>
  <si>
    <t>603-60010182</t>
  </si>
  <si>
    <t>125-52397063</t>
  </si>
  <si>
    <t>125-52396794</t>
  </si>
  <si>
    <t>615-35041263</t>
  </si>
  <si>
    <t>157-84182221</t>
  </si>
  <si>
    <t>42G0073287</t>
  </si>
  <si>
    <t>BDPG7002</t>
  </si>
  <si>
    <t>BDPG7</t>
  </si>
  <si>
    <t>30.12.2022</t>
  </si>
  <si>
    <t>541448995818/</t>
  </si>
  <si>
    <t>42G0073272</t>
  </si>
  <si>
    <t>6571645 </t>
  </si>
  <si>
    <t>591449008079/</t>
  </si>
  <si>
    <t>TN85J8650</t>
  </si>
  <si>
    <t>42G0073281</t>
  </si>
  <si>
    <t>541449005286/</t>
  </si>
  <si>
    <t>581449001611/</t>
  </si>
  <si>
    <t>591449003102/</t>
  </si>
  <si>
    <t>521449009394/</t>
  </si>
  <si>
    <t>531448996917/</t>
  </si>
  <si>
    <t>561448999915/</t>
  </si>
  <si>
    <t>AP26TD1501</t>
  </si>
  <si>
    <t>MMD HEAVY MACHINERY</t>
  </si>
  <si>
    <t>42G0073277</t>
  </si>
  <si>
    <t>SI220192</t>
  </si>
  <si>
    <t>101577116647/</t>
  </si>
  <si>
    <t>42G0073290 </t>
  </si>
  <si>
    <t>EXPI/0159</t>
  </si>
  <si>
    <t>571449079389/</t>
  </si>
  <si>
    <t>42G0073286</t>
  </si>
  <si>
    <t>BELGUIM</t>
  </si>
  <si>
    <t>22003671/22003672</t>
  </si>
  <si>
    <t>30124173-43/45/50/49</t>
  </si>
  <si>
    <t>501448993753/</t>
  </si>
  <si>
    <t>42G0073289</t>
  </si>
  <si>
    <t>30011305-3/18-20/19</t>
  </si>
  <si>
    <t>551448986691/</t>
  </si>
  <si>
    <t>42G0073279</t>
  </si>
  <si>
    <t>IGP10032</t>
  </si>
  <si>
    <t>551449091853/</t>
  </si>
  <si>
    <t>42G0073288</t>
  </si>
  <si>
    <t>CCEXP087</t>
  </si>
  <si>
    <t>52144977094/</t>
  </si>
  <si>
    <t>42G0073280</t>
  </si>
  <si>
    <t>CCEXP086</t>
  </si>
  <si>
    <t>551449075112/</t>
  </si>
  <si>
    <t>SMR AUTOMOTIVE</t>
  </si>
  <si>
    <t>42G0072434</t>
  </si>
  <si>
    <t>B1 TO 13</t>
  </si>
  <si>
    <t>571449134039/</t>
  </si>
  <si>
    <t>B15</t>
  </si>
  <si>
    <t>501449134054/</t>
  </si>
  <si>
    <t>B14</t>
  </si>
  <si>
    <t>551449134046/</t>
  </si>
  <si>
    <t>541449182419/</t>
  </si>
  <si>
    <t>42G0073283</t>
  </si>
  <si>
    <t>TN58DF7382</t>
  </si>
  <si>
    <t>42G0073293</t>
  </si>
  <si>
    <t>31.12.2022</t>
  </si>
  <si>
    <t>531449112749/</t>
  </si>
  <si>
    <t>TN12AU8744</t>
  </si>
  <si>
    <t>32405/35463/30753</t>
  </si>
  <si>
    <t>511449226651/</t>
  </si>
  <si>
    <t>1185/1186</t>
  </si>
  <si>
    <t>4797/5078</t>
  </si>
  <si>
    <t>561449233432/</t>
  </si>
  <si>
    <t>42G0073291</t>
  </si>
  <si>
    <t>42G0073292</t>
  </si>
  <si>
    <t>1187/1188/1189</t>
  </si>
  <si>
    <t>F25511221938</t>
  </si>
  <si>
    <t>591449106386/</t>
  </si>
  <si>
    <t>F25511221901</t>
  </si>
  <si>
    <t>541449006081/</t>
  </si>
  <si>
    <t>42G0073275</t>
  </si>
  <si>
    <t>42G0073271</t>
  </si>
  <si>
    <t>JSTI</t>
  </si>
  <si>
    <t>42G0073295</t>
  </si>
  <si>
    <t>541449202522/</t>
  </si>
  <si>
    <t>42G0073150</t>
  </si>
  <si>
    <t>E02451/22-23</t>
  </si>
  <si>
    <t>561449153776/</t>
  </si>
  <si>
    <t>020-94843615</t>
  </si>
  <si>
    <t>603-60010204</t>
  </si>
  <si>
    <t>618-28802384</t>
  </si>
  <si>
    <t>618-28802163</t>
  </si>
  <si>
    <t>235-02982022</t>
  </si>
  <si>
    <t>607-28067012</t>
  </si>
  <si>
    <t>125-52397170</t>
  </si>
  <si>
    <t>125-52396982</t>
  </si>
  <si>
    <t>603-60019363</t>
  </si>
  <si>
    <t>42G0073291 </t>
  </si>
  <si>
    <t> 125-52397041</t>
  </si>
  <si>
    <t>42G0073292 </t>
  </si>
  <si>
    <t>618-23254324</t>
  </si>
  <si>
    <t>020-94843663</t>
  </si>
  <si>
    <t>42G0073294</t>
  </si>
  <si>
    <t>SFA-674/22-23</t>
  </si>
  <si>
    <t>31/12/2022</t>
  </si>
  <si>
    <t>511449505646/</t>
  </si>
  <si>
    <t>ALAGENDIRA EXPORTS</t>
  </si>
  <si>
    <t>G.K.SHIPPING</t>
  </si>
  <si>
    <t>42G0073297</t>
  </si>
  <si>
    <t>AE-113/22-23</t>
  </si>
  <si>
    <t>30911PICO-D</t>
  </si>
  <si>
    <t>30/12/2022</t>
  </si>
  <si>
    <t>541448914699/</t>
  </si>
  <si>
    <t>AE-114/22-23</t>
  </si>
  <si>
    <t>30911PICO-C</t>
  </si>
  <si>
    <t xml:space="preserve">30/12/2022 </t>
  </si>
  <si>
    <t>551448919064/</t>
  </si>
  <si>
    <t>TN22CA8961</t>
  </si>
  <si>
    <t>42G0073296</t>
  </si>
  <si>
    <t>2838-2223EXP</t>
  </si>
  <si>
    <t>501449540066/</t>
  </si>
  <si>
    <t>42G0073285</t>
  </si>
  <si>
    <t>K70FGE2200159</t>
  </si>
  <si>
    <t>561449467309/</t>
  </si>
  <si>
    <t>K70FGE2200158</t>
  </si>
  <si>
    <t>571449466820/</t>
  </si>
  <si>
    <t>PMDEX2223011</t>
  </si>
  <si>
    <t>42G0073298</t>
  </si>
  <si>
    <t>521449529748/</t>
  </si>
  <si>
    <t>TN13Q6066</t>
  </si>
  <si>
    <t>OEC MEDICAL SYSTEMS</t>
  </si>
  <si>
    <t>42G0073282</t>
  </si>
  <si>
    <t>EXP-2223000176</t>
  </si>
  <si>
    <t>541449621590/</t>
  </si>
  <si>
    <t>42G0073309</t>
  </si>
  <si>
    <t>TN12AQ0334</t>
  </si>
  <si>
    <t>42G0073299</t>
  </si>
  <si>
    <t>561449672763/</t>
  </si>
  <si>
    <t>551449675516/</t>
  </si>
  <si>
    <t>511449676546/</t>
  </si>
  <si>
    <t>531449676018/</t>
  </si>
  <si>
    <t>42G0073306</t>
  </si>
  <si>
    <t>1183/1184</t>
  </si>
  <si>
    <t>581449700648/</t>
  </si>
  <si>
    <t>TN12C0670</t>
  </si>
  <si>
    <t>42G0073311</t>
  </si>
  <si>
    <t>74994-74999</t>
  </si>
  <si>
    <t>6594622 </t>
  </si>
  <si>
    <t>581449544637/</t>
  </si>
  <si>
    <t>74989-74993</t>
  </si>
  <si>
    <t>6598449 </t>
  </si>
  <si>
    <t>541449544635/</t>
  </si>
  <si>
    <t>42G0073307</t>
  </si>
  <si>
    <t>RCEX/06140/22-23</t>
  </si>
  <si>
    <t>3974..82</t>
  </si>
  <si>
    <t>501449256952/</t>
  </si>
  <si>
    <t>42G0073308</t>
  </si>
  <si>
    <t>AFD223638</t>
  </si>
  <si>
    <t>511449895646/</t>
  </si>
  <si>
    <t>160-48702161</t>
  </si>
  <si>
    <t>160-48702183</t>
  </si>
  <si>
    <t>JST-EXP-61/22-23</t>
  </si>
  <si>
    <t>125-52391500</t>
  </si>
  <si>
    <t>42G0073314</t>
  </si>
  <si>
    <t>EP06329</t>
  </si>
  <si>
    <t>9476-9478</t>
  </si>
  <si>
    <t>581450050404/</t>
  </si>
  <si>
    <t>42G0073313</t>
  </si>
  <si>
    <t>A0516</t>
  </si>
  <si>
    <t>501450037247/</t>
  </si>
  <si>
    <t>TN88B1310</t>
  </si>
  <si>
    <t>TN12AF0875</t>
  </si>
  <si>
    <t>42G0073319</t>
  </si>
  <si>
    <t>531450159892/</t>
  </si>
  <si>
    <t>1205/1206/1207/1208</t>
  </si>
  <si>
    <t>581450164581/</t>
  </si>
  <si>
    <t>501450160543/</t>
  </si>
  <si>
    <t>42G0073320</t>
  </si>
  <si>
    <t>501450292396/</t>
  </si>
  <si>
    <t>561450292886/</t>
  </si>
  <si>
    <t>TN22BC1869</t>
  </si>
  <si>
    <t>HANNA ANDERSON</t>
  </si>
  <si>
    <t>42G0073163</t>
  </si>
  <si>
    <t>PORTLAND</t>
  </si>
  <si>
    <t>25988/25911</t>
  </si>
  <si>
    <t>6656415 </t>
  </si>
  <si>
    <t>03.01.2023</t>
  </si>
  <si>
    <t>551450136693/</t>
  </si>
  <si>
    <t>615-35041720</t>
  </si>
  <si>
    <t>607-28067185</t>
  </si>
  <si>
    <t>160-48702032</t>
  </si>
  <si>
    <t>615-35041731</t>
  </si>
  <si>
    <t>176-57819860</t>
  </si>
  <si>
    <t>057-11662696</t>
  </si>
  <si>
    <t>057-11662685</t>
  </si>
  <si>
    <t>42G0073321</t>
  </si>
  <si>
    <t>IGP10112</t>
  </si>
  <si>
    <t>531450304418/</t>
  </si>
  <si>
    <t>42G0073323</t>
  </si>
  <si>
    <t>INV/3303</t>
  </si>
  <si>
    <t>541450400962/</t>
  </si>
  <si>
    <t>CLUB CAR</t>
  </si>
  <si>
    <t>42G0073332</t>
  </si>
  <si>
    <t>501450445776/</t>
  </si>
  <si>
    <t>TN04AL0141/TN22DF8335</t>
  </si>
  <si>
    <t>42G0073317</t>
  </si>
  <si>
    <t>TN23INV-86849571</t>
  </si>
  <si>
    <t>6671077 </t>
  </si>
  <si>
    <t>3.1.2023</t>
  </si>
  <si>
    <t>571449987462/</t>
  </si>
  <si>
    <t>42G0073312</t>
  </si>
  <si>
    <t>511449995780/</t>
  </si>
  <si>
    <t>42G0073324</t>
  </si>
  <si>
    <t>571450429940/</t>
  </si>
  <si>
    <t>531450430867/</t>
  </si>
  <si>
    <t>42G0073322</t>
  </si>
  <si>
    <t>531450413897/</t>
  </si>
  <si>
    <t>561450422991/</t>
  </si>
  <si>
    <t>561450413164/</t>
  </si>
  <si>
    <t>42G0073331</t>
  </si>
  <si>
    <t>531450433879/</t>
  </si>
  <si>
    <t>42G0073328</t>
  </si>
  <si>
    <t>571450410890/</t>
  </si>
  <si>
    <t>42G0073325</t>
  </si>
  <si>
    <t>571450435020/</t>
  </si>
  <si>
    <t>42G0073327</t>
  </si>
  <si>
    <t>531450432793/</t>
  </si>
  <si>
    <t>42G0073326</t>
  </si>
  <si>
    <t>581450412039/</t>
  </si>
  <si>
    <t>521450427697/</t>
  </si>
  <si>
    <t>521450431784/</t>
  </si>
  <si>
    <t>521450437753/</t>
  </si>
  <si>
    <t>541450436545/</t>
  </si>
  <si>
    <t>541450424649/</t>
  </si>
  <si>
    <t>501450423714/</t>
  </si>
  <si>
    <t>581450426379/</t>
  </si>
  <si>
    <t>42G0073335</t>
  </si>
  <si>
    <t>511450541431/</t>
  </si>
  <si>
    <t>42G0073334</t>
  </si>
  <si>
    <t>INV/3308</t>
  </si>
  <si>
    <t>531450719315/</t>
  </si>
  <si>
    <t>42G0073329</t>
  </si>
  <si>
    <t>4912201734204/</t>
  </si>
  <si>
    <t>561450776041/</t>
  </si>
  <si>
    <t>TN014AT4623</t>
  </si>
  <si>
    <t>42G0073347</t>
  </si>
  <si>
    <t>AFD223663</t>
  </si>
  <si>
    <t>L0QW60A</t>
  </si>
  <si>
    <t>501450720123/</t>
  </si>
  <si>
    <t>42G0073348</t>
  </si>
  <si>
    <t>PA2223/KI042/314</t>
  </si>
  <si>
    <t>531450761882/</t>
  </si>
  <si>
    <t>157-84182103</t>
  </si>
  <si>
    <t>TN04AL0141 / TN22DF8358</t>
  </si>
  <si>
    <t>176-57819834</t>
  </si>
  <si>
    <t>618-22840112</t>
  </si>
  <si>
    <t>42G0073269</t>
  </si>
  <si>
    <t>157-84182350</t>
  </si>
  <si>
    <t>160-48701343</t>
  </si>
  <si>
    <t>176-57819871</t>
  </si>
  <si>
    <t>42G0073270</t>
  </si>
  <si>
    <t>SAV</t>
  </si>
  <si>
    <t>157-84182475</t>
  </si>
  <si>
    <t>125-52396923</t>
  </si>
  <si>
    <t>157-84182265</t>
  </si>
  <si>
    <t>157-84182302</t>
  </si>
  <si>
    <t>42G0073350</t>
  </si>
  <si>
    <t>CCEXP088</t>
  </si>
  <si>
    <t>6698370 </t>
  </si>
  <si>
    <t>551450831222/</t>
  </si>
  <si>
    <t>42G0073352</t>
  </si>
  <si>
    <t>541450841947/</t>
  </si>
  <si>
    <t>42G0073345</t>
  </si>
  <si>
    <t>EP06333</t>
  </si>
  <si>
    <t>6697076 </t>
  </si>
  <si>
    <t>511450814375/</t>
  </si>
  <si>
    <t>157-84182276</t>
  </si>
  <si>
    <t>125-52396956</t>
  </si>
  <si>
    <t>603-60019455</t>
  </si>
  <si>
    <t>TN37CJ9522</t>
  </si>
  <si>
    <t>CAPTICAL KNIT</t>
  </si>
  <si>
    <t>KUHL CLOTHING</t>
  </si>
  <si>
    <t>42G0073351</t>
  </si>
  <si>
    <t>CK-17</t>
  </si>
  <si>
    <t>31539/520/532/741/521/533/654/740</t>
  </si>
  <si>
    <t>591450961282/</t>
  </si>
  <si>
    <t>42G0073370 </t>
  </si>
  <si>
    <t>1209/1210/1211/1212</t>
  </si>
  <si>
    <t>521450936177/</t>
  </si>
  <si>
    <t>603-60019481</t>
  </si>
  <si>
    <t>TN18BE2836</t>
  </si>
  <si>
    <t>42G0073342</t>
  </si>
  <si>
    <t>2373-2386</t>
  </si>
  <si>
    <t>541450785096/</t>
  </si>
  <si>
    <t>42G0073333</t>
  </si>
  <si>
    <t>511450918903/</t>
  </si>
  <si>
    <t>42G0073346</t>
  </si>
  <si>
    <t>571450915564/</t>
  </si>
  <si>
    <t>42G0073318</t>
  </si>
  <si>
    <t>531450917984/</t>
  </si>
  <si>
    <t>581450917138/</t>
  </si>
  <si>
    <t>42G0073338</t>
  </si>
  <si>
    <t>531450952233/</t>
  </si>
  <si>
    <t>42G0073344</t>
  </si>
  <si>
    <t>EXPV05262223</t>
  </si>
  <si>
    <t>551450168667/</t>
  </si>
  <si>
    <t>42G0073343</t>
  </si>
  <si>
    <t>EXPV05252223</t>
  </si>
  <si>
    <t>541450168242/</t>
  </si>
  <si>
    <t>42G0073330</t>
  </si>
  <si>
    <t>EXPV05282223</t>
  </si>
  <si>
    <t>511450169978/</t>
  </si>
  <si>
    <t>EXPV05272223</t>
  </si>
  <si>
    <t>541450169290/</t>
  </si>
  <si>
    <t>TRILLIUM</t>
  </si>
  <si>
    <t>42G0073371</t>
  </si>
  <si>
    <t>A0528</t>
  </si>
  <si>
    <t>571451273560/</t>
  </si>
  <si>
    <t>42G0073377</t>
  </si>
  <si>
    <t>RKE/0140</t>
  </si>
  <si>
    <t>C99/I01/N02/G14</t>
  </si>
  <si>
    <t>05.01.2023</t>
  </si>
  <si>
    <t>541451150925/</t>
  </si>
  <si>
    <t>DEN</t>
  </si>
  <si>
    <t>125-52396842</t>
  </si>
  <si>
    <t>176-57819882</t>
  </si>
  <si>
    <t>603-60019470</t>
  </si>
  <si>
    <t>42G0073370</t>
  </si>
  <si>
    <t>618-22840296</t>
  </si>
  <si>
    <t>TN11AX0162</t>
  </si>
  <si>
    <t>TRUE WORTH</t>
  </si>
  <si>
    <t>42G0073384</t>
  </si>
  <si>
    <t>TWI087</t>
  </si>
  <si>
    <t>30903PICO-C</t>
  </si>
  <si>
    <t>531451378863/</t>
  </si>
  <si>
    <t>TWI086</t>
  </si>
  <si>
    <t>30903PICO-D</t>
  </si>
  <si>
    <t>571451367607/</t>
  </si>
  <si>
    <t>TWI080</t>
  </si>
  <si>
    <t>30907PICO</t>
  </si>
  <si>
    <t>511451366507/</t>
  </si>
  <si>
    <t>TN12AL0857</t>
  </si>
  <si>
    <t>42G0073386</t>
  </si>
  <si>
    <t>561451375511/</t>
  </si>
  <si>
    <t>1214/1219</t>
  </si>
  <si>
    <t>581451374019/</t>
  </si>
  <si>
    <t>42G0073387 </t>
  </si>
  <si>
    <t>1217/1218</t>
  </si>
  <si>
    <t>541451377032/</t>
  </si>
  <si>
    <t>42G0073385</t>
  </si>
  <si>
    <t>EOUEXP0426</t>
  </si>
  <si>
    <t>591451624751/</t>
  </si>
  <si>
    <t>TN39CV8696</t>
  </si>
  <si>
    <t>42G0073353</t>
  </si>
  <si>
    <t>EXPV05342223</t>
  </si>
  <si>
    <t>551451221237/</t>
  </si>
  <si>
    <t>42G0073373</t>
  </si>
  <si>
    <t>EXPV05322223</t>
  </si>
  <si>
    <t>511450172682/</t>
  </si>
  <si>
    <t>42G0073372</t>
  </si>
  <si>
    <t>EXPV05312223</t>
  </si>
  <si>
    <t>561450171952/</t>
  </si>
  <si>
    <t>42G0073375</t>
  </si>
  <si>
    <t>SOUDI ARABIA</t>
  </si>
  <si>
    <t>F25511221984</t>
  </si>
  <si>
    <t>551451301485/</t>
  </si>
  <si>
    <t>42G0073369</t>
  </si>
  <si>
    <t>511451328763/</t>
  </si>
  <si>
    <t>581451329668/</t>
  </si>
  <si>
    <t>42G0073355</t>
  </si>
  <si>
    <t>531451326297/</t>
  </si>
  <si>
    <t>571451330795/</t>
  </si>
  <si>
    <t>42G0073339</t>
  </si>
  <si>
    <t>59145051577/</t>
  </si>
  <si>
    <t>TN07X8717</t>
  </si>
  <si>
    <t>42G0073388 </t>
  </si>
  <si>
    <t>OA148</t>
  </si>
  <si>
    <t>551451263792/</t>
  </si>
  <si>
    <t>MECHATRNICS</t>
  </si>
  <si>
    <t>42G0073391</t>
  </si>
  <si>
    <t>MCEXS/22230026</t>
  </si>
  <si>
    <t>531451676361/</t>
  </si>
  <si>
    <t>TN23T5959</t>
  </si>
  <si>
    <t> 42G0073381</t>
  </si>
  <si>
    <t>75109-75116</t>
  </si>
  <si>
    <t>:06-01-2023</t>
  </si>
  <si>
    <t>TN48AE8078</t>
  </si>
  <si>
    <t>42G0073390</t>
  </si>
  <si>
    <t>A0541</t>
  </si>
  <si>
    <t>581451743136/</t>
  </si>
  <si>
    <t>TN16E1966</t>
  </si>
  <si>
    <t>42G0073395</t>
  </si>
  <si>
    <t>1220/1221/1225/1226/1227/1229/1230</t>
  </si>
  <si>
    <t>521451822990/</t>
  </si>
  <si>
    <t>42G0073395 </t>
  </si>
  <si>
    <t>531451821114/</t>
  </si>
  <si>
    <t>42G0073396</t>
  </si>
  <si>
    <t>IGP10225</t>
  </si>
  <si>
    <t>6753731 </t>
  </si>
  <si>
    <t>06.01.2023</t>
  </si>
  <si>
    <t>531451989553/</t>
  </si>
  <si>
    <t>603-60019466</t>
  </si>
  <si>
    <t>42G0073381</t>
  </si>
  <si>
    <t>157-84182626</t>
  </si>
  <si>
    <t>603-60019411</t>
  </si>
  <si>
    <t>160-48702113</t>
  </si>
  <si>
    <t>BRS</t>
  </si>
  <si>
    <t>42G0073290</t>
  </si>
  <si>
    <t>176-57819856</t>
  </si>
  <si>
    <t>157-84182453</t>
  </si>
  <si>
    <t>603-60019503</t>
  </si>
  <si>
    <t>125-52396853</t>
  </si>
  <si>
    <t>125-52391496</t>
  </si>
  <si>
    <t>057-11662545</t>
  </si>
  <si>
    <t>42G0073388</t>
  </si>
  <si>
    <t>160-48701833</t>
  </si>
  <si>
    <t>42G0073387</t>
  </si>
  <si>
    <t>618-22840300</t>
  </si>
  <si>
    <t>TN38AJ5023</t>
  </si>
  <si>
    <t>42G0073357</t>
  </si>
  <si>
    <t>551451133216/</t>
  </si>
  <si>
    <t>42G0073359 </t>
  </si>
  <si>
    <t>551451118418/</t>
  </si>
  <si>
    <t>42G0073365</t>
  </si>
  <si>
    <t>531451123432/</t>
  </si>
  <si>
    <t>42G0073356</t>
  </si>
  <si>
    <t>591451101887/</t>
  </si>
  <si>
    <t>42G0073364 </t>
  </si>
  <si>
    <t>591451122044/</t>
  </si>
  <si>
    <t>42G0073367 </t>
  </si>
  <si>
    <t>531451124844/</t>
  </si>
  <si>
    <t>42G0073360</t>
  </si>
  <si>
    <t>591451119679/</t>
  </si>
  <si>
    <t>42G0073358 </t>
  </si>
  <si>
    <t>531451104341/</t>
  </si>
  <si>
    <t>42G0073363</t>
  </si>
  <si>
    <t>501451120702/</t>
  </si>
  <si>
    <t>TN13K1258</t>
  </si>
  <si>
    <t>42G0073392</t>
  </si>
  <si>
    <t>EXP/773</t>
  </si>
  <si>
    <t>591451680951/</t>
  </si>
  <si>
    <t>42G0073397</t>
  </si>
  <si>
    <t>7.1.2023</t>
  </si>
  <si>
    <t>581451954262/</t>
  </si>
  <si>
    <t>42G0073389</t>
  </si>
  <si>
    <t>F25511221967</t>
  </si>
  <si>
    <t>541451644089/</t>
  </si>
  <si>
    <t>42G0073382</t>
  </si>
  <si>
    <t>F25511221986</t>
  </si>
  <si>
    <t>531451665145/</t>
  </si>
  <si>
    <t>HONEY WELL</t>
  </si>
  <si>
    <t>42G0073354</t>
  </si>
  <si>
    <t>521451590505/</t>
  </si>
  <si>
    <t>42G0073383</t>
  </si>
  <si>
    <t>551451658688/</t>
  </si>
  <si>
    <t>581451659782/</t>
  </si>
  <si>
    <t>551451656286/</t>
  </si>
  <si>
    <t>581451661416/</t>
  </si>
  <si>
    <t>521451657318/</t>
  </si>
  <si>
    <t>591451568002/</t>
  </si>
  <si>
    <t>42G0073376</t>
  </si>
  <si>
    <t>E02506</t>
  </si>
  <si>
    <t>6374/6376</t>
  </si>
  <si>
    <t>581451631547/</t>
  </si>
  <si>
    <t>22-23/1231/1232/1233</t>
  </si>
  <si>
    <t>3729/2476/3280</t>
  </si>
  <si>
    <t>531452202194/</t>
  </si>
  <si>
    <t>22-23/1234</t>
  </si>
  <si>
    <t>551452211419/</t>
  </si>
  <si>
    <t>42G0073400</t>
  </si>
  <si>
    <t>42G0073399</t>
  </si>
  <si>
    <t>SPE-22-23-2268</t>
  </si>
  <si>
    <t>8670/8671</t>
  </si>
  <si>
    <t>551452024862/</t>
  </si>
  <si>
    <t>42G0073402</t>
  </si>
  <si>
    <t>SPE-22-23-2267</t>
  </si>
  <si>
    <t>591452024666/</t>
  </si>
  <si>
    <t>42G0073401</t>
  </si>
  <si>
    <t>SPE-22-23-2229</t>
  </si>
  <si>
    <t>541452024405/</t>
  </si>
  <si>
    <t>KA51AB3005/TN13K1258</t>
  </si>
  <si>
    <t>42G0073405</t>
  </si>
  <si>
    <t> 2023/01/07</t>
  </si>
  <si>
    <t>541452488742/</t>
  </si>
  <si>
    <t>42G0073414</t>
  </si>
  <si>
    <t>SVM/1713</t>
  </si>
  <si>
    <t>6821023 </t>
  </si>
  <si>
    <t>09.01.2023</t>
  </si>
  <si>
    <t>591452549242/</t>
  </si>
  <si>
    <t>42G0073411</t>
  </si>
  <si>
    <t>TN9CB3781</t>
  </si>
  <si>
    <t>AE-112</t>
  </si>
  <si>
    <t>541451955979/</t>
  </si>
  <si>
    <t>125-50335714</t>
  </si>
  <si>
    <t>TN22DF6750/TN85J7198/TN22DD0984</t>
  </si>
  <si>
    <t>176-57819904</t>
  </si>
  <si>
    <t>607-28066990</t>
  </si>
  <si>
    <t>157-84182486</t>
  </si>
  <si>
    <t>235-02982011</t>
  </si>
  <si>
    <t>176-57819893</t>
  </si>
  <si>
    <t>42G0073359</t>
  </si>
  <si>
    <t>176-57819705</t>
  </si>
  <si>
    <t>42G0072902</t>
  </si>
  <si>
    <t>TN3300045027</t>
  </si>
  <si>
    <t>541452500640/</t>
  </si>
  <si>
    <t>42G0072903</t>
  </si>
  <si>
    <t>TN3300045028</t>
  </si>
  <si>
    <t>551452499271/</t>
  </si>
  <si>
    <t>TN22DF8482</t>
  </si>
  <si>
    <t>42G0073421</t>
  </si>
  <si>
    <t>5914525649645/</t>
  </si>
  <si>
    <t>591452568094/</t>
  </si>
  <si>
    <t>42G0073419</t>
  </si>
  <si>
    <t>501452561715/</t>
  </si>
  <si>
    <t>42G0073416</t>
  </si>
  <si>
    <t>CCEXP089</t>
  </si>
  <si>
    <t>551452549802/</t>
  </si>
  <si>
    <t>42G0073425</t>
  </si>
  <si>
    <t>42G0073417</t>
  </si>
  <si>
    <t>EOCUFOCO71</t>
  </si>
  <si>
    <t>6826875 </t>
  </si>
  <si>
    <t>541452593385/</t>
  </si>
  <si>
    <t>EOCUFOCO72</t>
  </si>
  <si>
    <t>6827105 </t>
  </si>
  <si>
    <t>541452591826/</t>
  </si>
  <si>
    <t>42G0073415</t>
  </si>
  <si>
    <t>EP06341</t>
  </si>
  <si>
    <t>9504/9505</t>
  </si>
  <si>
    <t>6825883 </t>
  </si>
  <si>
    <t>551452605826/</t>
  </si>
  <si>
    <t>TN11AM5229</t>
  </si>
  <si>
    <t>42G0073403</t>
  </si>
  <si>
    <t>531452482808/</t>
  </si>
  <si>
    <t>42G0073404</t>
  </si>
  <si>
    <t>TN22DD1020/TN11P4720</t>
  </si>
  <si>
    <t>42G0073418</t>
  </si>
  <si>
    <t>EOUEXP0432/22-23</t>
  </si>
  <si>
    <t>E031973</t>
  </si>
  <si>
    <t>501452590722/</t>
  </si>
  <si>
    <t>TN11W6096</t>
  </si>
  <si>
    <t>SREEKUMAAR</t>
  </si>
  <si>
    <t>42G0073420</t>
  </si>
  <si>
    <t>SKTC/391</t>
  </si>
  <si>
    <t>9.1.2023</t>
  </si>
  <si>
    <t>551452900843/</t>
  </si>
  <si>
    <t>057-11662276</t>
  </si>
  <si>
    <t>42G0073358</t>
  </si>
  <si>
    <t>42G0073364</t>
  </si>
  <si>
    <t>42G0073367</t>
  </si>
  <si>
    <t>615-35042814</t>
  </si>
  <si>
    <t>235-02982044</t>
  </si>
  <si>
    <t>235-02982055</t>
  </si>
  <si>
    <t>160-48702345</t>
  </si>
  <si>
    <t>057-11662615</t>
  </si>
  <si>
    <t>235-02982033</t>
  </si>
  <si>
    <t>125-96000811</t>
  </si>
  <si>
    <t>160-48702356</t>
  </si>
  <si>
    <t>603-60019433</t>
  </si>
  <si>
    <t>157-84182501</t>
  </si>
  <si>
    <t>235-07556695</t>
  </si>
  <si>
    <t>TN85J7198 / TN96 9108</t>
  </si>
  <si>
    <t>618-22840311</t>
  </si>
  <si>
    <t>125-50335972</t>
  </si>
  <si>
    <t>42G0073427</t>
  </si>
  <si>
    <t>6858513 </t>
  </si>
  <si>
    <t>591452812384/</t>
  </si>
  <si>
    <t>42G0073432</t>
  </si>
  <si>
    <t>6858239 </t>
  </si>
  <si>
    <t>501452895713/</t>
  </si>
  <si>
    <t>42G0073446</t>
  </si>
  <si>
    <t>6872930 </t>
  </si>
  <si>
    <t>511453188983/</t>
  </si>
  <si>
    <t>TN77Q4162</t>
  </si>
  <si>
    <t>42G0073443</t>
  </si>
  <si>
    <t>571453176506/</t>
  </si>
  <si>
    <t>521453175876/</t>
  </si>
  <si>
    <t>TN12AS8569</t>
  </si>
  <si>
    <t>42G0073426 </t>
  </si>
  <si>
    <t>1235/1236/1237</t>
  </si>
  <si>
    <t>591452768610/</t>
  </si>
  <si>
    <t>531452767804/</t>
  </si>
  <si>
    <t>TN85D3948/TN18F8976</t>
  </si>
  <si>
    <t>42G0073436</t>
  </si>
  <si>
    <t>EOUEXP0435</t>
  </si>
  <si>
    <t>6859507 </t>
  </si>
  <si>
    <t>501453030876/</t>
  </si>
  <si>
    <t>42G0073430</t>
  </si>
  <si>
    <t>E02379</t>
  </si>
  <si>
    <t>6254/6255/6256</t>
  </si>
  <si>
    <t>561452973640/</t>
  </si>
  <si>
    <t>42G0073442</t>
  </si>
  <si>
    <t>SPE-22-23-2191</t>
  </si>
  <si>
    <t>551453158201/</t>
  </si>
  <si>
    <t>42G0073431</t>
  </si>
  <si>
    <t>511453080902/</t>
  </si>
  <si>
    <t>42G0073439</t>
  </si>
  <si>
    <t>541453060888/</t>
  </si>
  <si>
    <t>WAGON</t>
  </si>
  <si>
    <t>TN10BQ3944</t>
  </si>
  <si>
    <t>42G0073428</t>
  </si>
  <si>
    <t>5349 to 75350</t>
  </si>
  <si>
    <t>561453315106/</t>
  </si>
  <si>
    <t>2000075347 to 75348</t>
  </si>
  <si>
    <t>531453315107/</t>
  </si>
  <si>
    <t>22-23/1242/1243/1246/1247</t>
  </si>
  <si>
    <t>6866-3737</t>
  </si>
  <si>
    <t>501453207959/</t>
  </si>
  <si>
    <t>22-23/1244/1245</t>
  </si>
  <si>
    <t>1245/1244/</t>
  </si>
  <si>
    <t>561453203182/</t>
  </si>
  <si>
    <t>22-23/1239</t>
  </si>
  <si>
    <t>521453123635/</t>
  </si>
  <si>
    <t>42G0073444</t>
  </si>
  <si>
    <t>42G0073445</t>
  </si>
  <si>
    <t>VALID TILL</t>
  </si>
  <si>
    <t>13.01.2023</t>
  </si>
  <si>
    <t>42G0073473</t>
  </si>
  <si>
    <t>11.01.2023</t>
  </si>
  <si>
    <t>561453347873/</t>
  </si>
  <si>
    <t>12.01.2023</t>
  </si>
  <si>
    <t>42G0073472</t>
  </si>
  <si>
    <t>BDRPF001</t>
  </si>
  <si>
    <t>1001 - 18001</t>
  </si>
  <si>
    <t>511453413380/</t>
  </si>
  <si>
    <t>157-84182335</t>
  </si>
  <si>
    <t>160-52790426</t>
  </si>
  <si>
    <t>057-11662512</t>
  </si>
  <si>
    <t>42G0073451</t>
  </si>
  <si>
    <t>EU3400002307</t>
  </si>
  <si>
    <t>571453517552/</t>
  </si>
  <si>
    <t>42G0073452</t>
  </si>
  <si>
    <t>EU3400002308</t>
  </si>
  <si>
    <t>531453522158/</t>
  </si>
  <si>
    <t>TN47AA9844</t>
  </si>
  <si>
    <t>42G0073468</t>
  </si>
  <si>
    <t>EP06348</t>
  </si>
  <si>
    <t>531453497223/</t>
  </si>
  <si>
    <t>42G0073466</t>
  </si>
  <si>
    <t>HI3322201182</t>
  </si>
  <si>
    <t>561453484378/</t>
  </si>
  <si>
    <t>42G0073467</t>
  </si>
  <si>
    <t>HI3322201158</t>
  </si>
  <si>
    <t>501453481540/</t>
  </si>
  <si>
    <t>TN11AW5263</t>
  </si>
  <si>
    <t>42G0073477 </t>
  </si>
  <si>
    <t>6892662 </t>
  </si>
  <si>
    <t>551453587687/</t>
  </si>
  <si>
    <t>42G0073478 </t>
  </si>
  <si>
    <t>42G0073479 </t>
  </si>
  <si>
    <t>6890981 </t>
  </si>
  <si>
    <t>571453595110/</t>
  </si>
  <si>
    <t>551453592313/</t>
  </si>
  <si>
    <t>42G0072435 </t>
  </si>
  <si>
    <t>B26</t>
  </si>
  <si>
    <t>541453624077/</t>
  </si>
  <si>
    <t>B1 TO B25</t>
  </si>
  <si>
    <t>591453624072/</t>
  </si>
  <si>
    <t>176-57819812</t>
  </si>
  <si>
    <t>618-22840344</t>
  </si>
  <si>
    <t>VALID TIME</t>
  </si>
  <si>
    <t>42G0073340</t>
  </si>
  <si>
    <t>E02488</t>
  </si>
  <si>
    <t>6501-6505</t>
  </si>
  <si>
    <t>551453496284/</t>
  </si>
  <si>
    <t>42G0073441</t>
  </si>
  <si>
    <t>501453426710/</t>
  </si>
  <si>
    <t>14/1/2023</t>
  </si>
  <si>
    <t>TN12AL6396</t>
  </si>
  <si>
    <t>42G0073475 </t>
  </si>
  <si>
    <t>1250/1251/1252/1254</t>
  </si>
  <si>
    <t>591453607130/</t>
  </si>
  <si>
    <t>561453608837/</t>
  </si>
  <si>
    <t>42G0073476</t>
  </si>
  <si>
    <t>581453594912/</t>
  </si>
  <si>
    <t>057-11662442</t>
  </si>
  <si>
    <t>057-11662431</t>
  </si>
  <si>
    <t>42G0073477</t>
  </si>
  <si>
    <t>020-94843512</t>
  </si>
  <si>
    <t>42G0073478</t>
  </si>
  <si>
    <t>42G0073479</t>
  </si>
  <si>
    <t>TN04X1004</t>
  </si>
  <si>
    <t>PROSPPER EXPORTS</t>
  </si>
  <si>
    <t>BURNLEY</t>
  </si>
  <si>
    <t>42G0073490</t>
  </si>
  <si>
    <t>PE-245</t>
  </si>
  <si>
    <t>1005198/1005200/5202/5206/5208/5210/5212/5214/5216/5218/5220</t>
  </si>
  <si>
    <t>511453412402/</t>
  </si>
  <si>
    <t>14/01/2023</t>
  </si>
  <si>
    <t>42G0073495</t>
  </si>
  <si>
    <t>1310010317-1310010346</t>
  </si>
  <si>
    <t>459800766606/</t>
  </si>
  <si>
    <t>10.01.2023</t>
  </si>
  <si>
    <t>551453226927/</t>
  </si>
  <si>
    <t>1310010289-1310010288</t>
  </si>
  <si>
    <t>459800061992/</t>
  </si>
  <si>
    <t>591453228296/</t>
  </si>
  <si>
    <t>42G0073493</t>
  </si>
  <si>
    <t>LIQI30A</t>
  </si>
  <si>
    <t>551453885552/</t>
  </si>
  <si>
    <t>42G0073494</t>
  </si>
  <si>
    <t>1683438/1685567</t>
  </si>
  <si>
    <t>521453885553/</t>
  </si>
  <si>
    <t>AFE221324</t>
  </si>
  <si>
    <t>AFE221325</t>
  </si>
  <si>
    <t>42G0073502</t>
  </si>
  <si>
    <t>C-070</t>
  </si>
  <si>
    <t>551453563210/</t>
  </si>
  <si>
    <t>42G0073481</t>
  </si>
  <si>
    <t>561453850959/</t>
  </si>
  <si>
    <t>27/01/2023</t>
  </si>
  <si>
    <t>42G0073480</t>
  </si>
  <si>
    <t>551453856417/</t>
  </si>
  <si>
    <t>618-22840230</t>
  </si>
  <si>
    <t>42G0073475</t>
  </si>
  <si>
    <t>020-94843486</t>
  </si>
  <si>
    <t>HK</t>
  </si>
  <si>
    <t>GB3322202787</t>
  </si>
  <si>
    <t>1000481829 TO 481837</t>
  </si>
  <si>
    <t>571453962468/</t>
  </si>
  <si>
    <t>42G0073491</t>
  </si>
  <si>
    <t>MODINE THERMAL</t>
  </si>
  <si>
    <t>42G0073485</t>
  </si>
  <si>
    <t>531454039574/</t>
  </si>
  <si>
    <t>14.01.2023</t>
  </si>
  <si>
    <t>511454039622/</t>
  </si>
  <si>
    <t>TN13J6699/TN20DY9471</t>
  </si>
  <si>
    <t>42G0073509</t>
  </si>
  <si>
    <t>1258/1259/1260</t>
  </si>
  <si>
    <t>514454081467/</t>
  </si>
  <si>
    <t>15.01.2023</t>
  </si>
  <si>
    <t>1263/1264</t>
  </si>
  <si>
    <t>551454096067/</t>
  </si>
  <si>
    <t>42G0073512</t>
  </si>
  <si>
    <t>EEG22012778</t>
  </si>
  <si>
    <t>561453193487/</t>
  </si>
  <si>
    <t>42G0073506 </t>
  </si>
  <si>
    <t>EEG22012713</t>
  </si>
  <si>
    <t>571453192180/</t>
  </si>
  <si>
    <t>EEG22012714</t>
  </si>
  <si>
    <t>521453191108/</t>
  </si>
  <si>
    <t>EEG22012728</t>
  </si>
  <si>
    <t>521453192820/</t>
  </si>
  <si>
    <t>TN97B2785</t>
  </si>
  <si>
    <t>42G0073482</t>
  </si>
  <si>
    <t>EXPV05422223</t>
  </si>
  <si>
    <t>5114539990391/</t>
  </si>
  <si>
    <t>42G0073438</t>
  </si>
  <si>
    <t>EXPV05412223</t>
  </si>
  <si>
    <t>551453988174/</t>
  </si>
  <si>
    <t>42G0073500</t>
  </si>
  <si>
    <t>EXPV05362223</t>
  </si>
  <si>
    <t>571453978270/</t>
  </si>
  <si>
    <t>42G0073429</t>
  </si>
  <si>
    <t>501453839624/</t>
  </si>
  <si>
    <t>42G0073510</t>
  </si>
  <si>
    <t>SVM/1748</t>
  </si>
  <si>
    <t>571454373601/</t>
  </si>
  <si>
    <t>235-07556706</t>
  </si>
  <si>
    <t>157-84182512</t>
  </si>
  <si>
    <t>020-94843630</t>
  </si>
  <si>
    <t>176-57819635</t>
  </si>
  <si>
    <t>828-15431312</t>
  </si>
  <si>
    <t>TN22CS7066/TN96 9108</t>
  </si>
  <si>
    <t>775-30563632</t>
  </si>
  <si>
    <t>072-71515441</t>
  </si>
  <si>
    <t>157-84182641</t>
  </si>
  <si>
    <t>42G0073426</t>
  </si>
  <si>
    <t>176-57819672</t>
  </si>
  <si>
    <t>157-84182560</t>
  </si>
  <si>
    <t>235-07556710</t>
  </si>
  <si>
    <t>160-52790555</t>
  </si>
  <si>
    <t>160-52790581</t>
  </si>
  <si>
    <t>42G0072435</t>
  </si>
  <si>
    <t>157-84182615</t>
  </si>
  <si>
    <t>618-22840263</t>
  </si>
  <si>
    <t>TN22DT3675 / TN22DT3299</t>
  </si>
  <si>
    <t xml:space="preserve">REPACKING DONE </t>
  </si>
  <si>
    <t>SHUT OUT CARGO/TN22DD0984 10:10 (1/14/2023)</t>
  </si>
  <si>
    <t>42G0073520</t>
  </si>
  <si>
    <t>EOUEXP0441</t>
  </si>
  <si>
    <t>501454382495/</t>
  </si>
  <si>
    <t>TN22DF6810</t>
  </si>
  <si>
    <t>42G0073315</t>
  </si>
  <si>
    <t>ES/157</t>
  </si>
  <si>
    <t>58144529829/</t>
  </si>
  <si>
    <t>ES/156</t>
  </si>
  <si>
    <t>571454491309/</t>
  </si>
  <si>
    <t>ES/155</t>
  </si>
  <si>
    <t>ES/159</t>
  </si>
  <si>
    <t>ES/162</t>
  </si>
  <si>
    <t>TN24K0024</t>
  </si>
  <si>
    <t>42G0073522</t>
  </si>
  <si>
    <t>C-072</t>
  </si>
  <si>
    <t>561454489752/</t>
  </si>
  <si>
    <t>TN30BR6570</t>
  </si>
  <si>
    <t>42G0073511</t>
  </si>
  <si>
    <t>561454312487/</t>
  </si>
  <si>
    <t>16.01.2023</t>
  </si>
  <si>
    <t>42G0073519</t>
  </si>
  <si>
    <t>RV0922103463</t>
  </si>
  <si>
    <t>541454471063/</t>
  </si>
  <si>
    <t>42G0073483</t>
  </si>
  <si>
    <t>IV5512301343</t>
  </si>
  <si>
    <t>541454406218/</t>
  </si>
  <si>
    <t>42G0073492</t>
  </si>
  <si>
    <t>F25511222066</t>
  </si>
  <si>
    <t>511454406219/</t>
  </si>
  <si>
    <t>42G0073440</t>
  </si>
  <si>
    <t>571454377489/</t>
  </si>
  <si>
    <t>42G0073484</t>
  </si>
  <si>
    <t>E02538</t>
  </si>
  <si>
    <t>6666/6667</t>
  </si>
  <si>
    <t>591454439318/</t>
  </si>
  <si>
    <t>42G0073514</t>
  </si>
  <si>
    <t>591454486132/</t>
  </si>
  <si>
    <t>42G0073505</t>
  </si>
  <si>
    <t>SHARJAH</t>
  </si>
  <si>
    <t>571454272861/</t>
  </si>
  <si>
    <t>42G0073508</t>
  </si>
  <si>
    <t>E02554</t>
  </si>
  <si>
    <t>6730/6731/6732</t>
  </si>
  <si>
    <t>551454442567/</t>
  </si>
  <si>
    <t>42G0073506</t>
  </si>
  <si>
    <t> 176-57819694</t>
  </si>
  <si>
    <t>LUBERR PRIVATE LIMITED</t>
  </si>
  <si>
    <t>BELVAC</t>
  </si>
  <si>
    <t>42G0073526</t>
  </si>
  <si>
    <t>2573/LPLIN222</t>
  </si>
  <si>
    <t>H12564</t>
  </si>
  <si>
    <t>581454717998/</t>
  </si>
  <si>
    <t>01:57PM</t>
  </si>
  <si>
    <t>42G0073515</t>
  </si>
  <si>
    <t>G1513</t>
  </si>
  <si>
    <t>551454600350/</t>
  </si>
  <si>
    <t>17.01.2023</t>
  </si>
  <si>
    <t>G1512</t>
  </si>
  <si>
    <t>571454599377/</t>
  </si>
  <si>
    <t>G1541</t>
  </si>
  <si>
    <t>511454601364/</t>
  </si>
  <si>
    <t>42G0073518          </t>
  </si>
  <si>
    <t>561454667921/</t>
  </si>
  <si>
    <t>29.01.2023</t>
  </si>
  <si>
    <t>6974213 </t>
  </si>
  <si>
    <t>42G0073521</t>
  </si>
  <si>
    <t>531454694807/</t>
  </si>
  <si>
    <t>OMEN</t>
  </si>
  <si>
    <t>521454767771/</t>
  </si>
  <si>
    <t>561454766460/</t>
  </si>
  <si>
    <t>SL0/22020425</t>
  </si>
  <si>
    <t>SL0/22020428</t>
  </si>
  <si>
    <t>SL0/22020427</t>
  </si>
  <si>
    <t>SL0/22020429</t>
  </si>
  <si>
    <t>TN19BX8617</t>
  </si>
  <si>
    <t>22-23/1267/1268/1269/1270/1278/1280</t>
  </si>
  <si>
    <t>3729/3728/4227/5078/3280/4799</t>
  </si>
  <si>
    <t>511454536219/</t>
  </si>
  <si>
    <t>42G0073525</t>
  </si>
  <si>
    <t>42G0073527</t>
  </si>
  <si>
    <t>RECEIVED  7 BOX</t>
  </si>
  <si>
    <t>TN30CX7403</t>
  </si>
  <si>
    <t>3729 - 4799</t>
  </si>
  <si>
    <t>511454536756/</t>
  </si>
  <si>
    <t>42G0073524</t>
  </si>
  <si>
    <t>22-23/1273/1274/1275/1276/1279</t>
  </si>
  <si>
    <t>34101 - 30848</t>
  </si>
  <si>
    <t>22-23/1271/1272/1277</t>
  </si>
  <si>
    <t>32373 - 32400</t>
  </si>
  <si>
    <t>561454543818/</t>
  </si>
  <si>
    <t>YES / NIL</t>
  </si>
  <si>
    <t>TN39CT1971</t>
  </si>
  <si>
    <t>42G0073529</t>
  </si>
  <si>
    <t>EEG22012892</t>
  </si>
  <si>
    <t>501454835340/</t>
  </si>
  <si>
    <t>176-59616233</t>
  </si>
  <si>
    <t>1284/1285/1286/1287/1288/1289</t>
  </si>
  <si>
    <t>1284/125/126/1287/1288/1289</t>
  </si>
  <si>
    <t>INR</t>
  </si>
  <si>
    <t>511454793492/</t>
  </si>
  <si>
    <t>521454791428/</t>
  </si>
  <si>
    <t xml:space="preserve">42G0073539 </t>
  </si>
  <si>
    <t>42G0073540</t>
  </si>
  <si>
    <t>TN2DD0984</t>
  </si>
  <si>
    <t>SCHNEIDER</t>
  </si>
  <si>
    <t>GB3322202750</t>
  </si>
  <si>
    <t>1000481643 - 481646</t>
  </si>
  <si>
    <t>571455100826/</t>
  </si>
  <si>
    <t>42G0073538</t>
  </si>
  <si>
    <t>TN39CQ5288</t>
  </si>
  <si>
    <t>KUHL</t>
  </si>
  <si>
    <t>42G0073531</t>
  </si>
  <si>
    <t>CK-21/2022-23</t>
  </si>
  <si>
    <t>31529 TO 31740</t>
  </si>
  <si>
    <t>7027745 </t>
  </si>
  <si>
    <t>541454730609/</t>
  </si>
  <si>
    <t>CK-20/2022-23</t>
  </si>
  <si>
    <t>31534 TO 31539</t>
  </si>
  <si>
    <t>42G0073530</t>
  </si>
  <si>
    <t>7023826 </t>
  </si>
  <si>
    <t>571454729284/</t>
  </si>
  <si>
    <t>TN58AR3719</t>
  </si>
  <si>
    <t>42G0073543</t>
  </si>
  <si>
    <t>PGEXP186/22-23</t>
  </si>
  <si>
    <t>521454615850/</t>
  </si>
  <si>
    <t>176-55032375</t>
  </si>
  <si>
    <t>SHJ</t>
  </si>
  <si>
    <t>615-35043886</t>
  </si>
  <si>
    <t>160-52790662</t>
  </si>
  <si>
    <t>057-11662571</t>
  </si>
  <si>
    <t>603-60019422</t>
  </si>
  <si>
    <t>42G0073518</t>
  </si>
  <si>
    <t>618-22843973</t>
  </si>
  <si>
    <t>615-35043875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</si>
</sst>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9C0006"/>
      <name val="Calibri"/>
      <family val="2"/>
      <scheme val="minor"/>
    </font>
    <font>
      <sz val="11"/>
      <color rgb="FFFF0000"/>
      <name val="Calibri"/>
      <family val="2"/>
    </font>
    <font>
      <sz val="9"/>
      <color theme="1"/>
      <name val="Calibri"/>
      <family val="2"/>
    </font>
    <font>
      <sz val="9"/>
      <color rgb="FF082D4C"/>
      <name val="Calibri"/>
      <family val="2"/>
    </font>
    <font>
      <sz val="9"/>
      <color rgb="FF333333"/>
      <name val="Calibri"/>
      <family val="2"/>
      <scheme val="minor"/>
    </font>
    <font>
      <sz val="9"/>
      <color rgb="FF002060"/>
      <name val="Calibri"/>
      <family val="2"/>
    </font>
    <font>
      <sz val="9"/>
      <color rgb="FF1F497D"/>
      <name val="Calibri"/>
      <family val="2"/>
    </font>
    <font>
      <sz val="9"/>
      <name val="Calibri"/>
      <family val="2"/>
    </font>
    <font>
      <sz val="9"/>
      <color rgb="FF1F4E79"/>
      <name val="Calibri"/>
      <family val="2"/>
    </font>
    <font>
      <b/>
      <sz val="11"/>
      <color rgb="FF000000"/>
      <name val="Calibri"/>
      <family val="2"/>
    </font>
    <font>
      <sz val="9"/>
      <color rgb="FF1F1F1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thin">
        <color rgb="FF000000"/>
      </right>
      <top/>
      <bottom/>
      <diagonal/>
    </border>
  </borders>
  <cellStyleXfs count="45">
    <xf numFmtId="0" fontId="0" fillId="0" borderId="0"/>
    <xf numFmtId="0" fontId="2" fillId="0" borderId="0"/>
    <xf numFmtId="0" fontId="1" fillId="0" borderId="0"/>
    <xf numFmtId="0" fontId="2" fillId="0" borderId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7" applyNumberFormat="0" applyAlignment="0" applyProtection="0"/>
    <xf numFmtId="0" fontId="15" fillId="10" borderId="8" applyNumberFormat="0" applyAlignment="0" applyProtection="0"/>
    <xf numFmtId="0" fontId="16" fillId="10" borderId="7" applyNumberFormat="0" applyAlignment="0" applyProtection="0"/>
    <xf numFmtId="0" fontId="17" fillId="0" borderId="9" applyNumberFormat="0" applyFill="0" applyAlignment="0" applyProtection="0"/>
    <xf numFmtId="0" fontId="18" fillId="11" borderId="10" applyNumberFormat="0" applyAlignment="0" applyProtection="0"/>
    <xf numFmtId="0" fontId="19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2" fillId="36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27">
    <xf numFmtId="0" fontId="0" fillId="0" borderId="0" xfId="0"/>
    <xf numFmtId="164" fontId="3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2" fontId="4" fillId="3" borderId="1" xfId="2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2" fontId="4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0" xfId="0" applyFont="1"/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2" fontId="2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37" borderId="17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1" fontId="24" fillId="0" borderId="17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wrapText="1"/>
    </xf>
    <xf numFmtId="0" fontId="30" fillId="0" borderId="1" xfId="0" applyFont="1" applyBorder="1" applyAlignment="1">
      <alignment wrapText="1"/>
    </xf>
    <xf numFmtId="22" fontId="24" fillId="0" borderId="1" xfId="0" applyNumberFormat="1" applyFont="1" applyBorder="1" applyAlignment="1">
      <alignment horizontal="center" vertical="center" wrapText="1"/>
    </xf>
    <xf numFmtId="20" fontId="24" fillId="0" borderId="1" xfId="0" applyNumberFormat="1" applyFont="1" applyBorder="1" applyAlignment="1">
      <alignment horizontal="center" vertical="center" wrapText="1"/>
    </xf>
    <xf numFmtId="0" fontId="31" fillId="38" borderId="1" xfId="0" applyFont="1" applyFill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37" borderId="14" xfId="0" applyFont="1" applyFill="1" applyBorder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0" fontId="30" fillId="0" borderId="15" xfId="0" applyFont="1" applyBorder="1" applyAlignment="1">
      <alignment wrapText="1"/>
    </xf>
    <xf numFmtId="0" fontId="30" fillId="0" borderId="1" xfId="0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26" fillId="0" borderId="17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0" fontId="2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3" fontId="24" fillId="0" borderId="17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22" fontId="5" fillId="0" borderId="20" xfId="0" applyNumberFormat="1" applyFont="1" applyBorder="1" applyAlignment="1">
      <alignment horizontal="center" vertical="center" wrapText="1"/>
    </xf>
    <xf numFmtId="20" fontId="5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22" fontId="24" fillId="0" borderId="17" xfId="0" applyNumberFormat="1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20" fontId="25" fillId="0" borderId="1" xfId="0" applyNumberFormat="1" applyFont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wrapText="1"/>
    </xf>
    <xf numFmtId="0" fontId="35" fillId="0" borderId="1" xfId="0" applyFont="1" applyBorder="1" applyAlignment="1">
      <alignment horizontal="center" vertical="center"/>
    </xf>
    <xf numFmtId="0" fontId="30" fillId="0" borderId="1" xfId="0" applyFont="1" applyBorder="1"/>
    <xf numFmtId="22" fontId="24" fillId="0" borderId="22" xfId="0" applyNumberFormat="1" applyFont="1" applyBorder="1" applyAlignment="1">
      <alignment horizontal="center" vertical="center" wrapText="1"/>
    </xf>
    <xf numFmtId="20" fontId="24" fillId="0" borderId="19" xfId="0" applyNumberFormat="1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3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22" fontId="24" fillId="0" borderId="1" xfId="0" applyNumberFormat="1" applyFont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3" fontId="24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20" fontId="24" fillId="0" borderId="17" xfId="0" applyNumberFormat="1" applyFont="1" applyBorder="1" applyAlignment="1">
      <alignment horizontal="center"/>
    </xf>
    <xf numFmtId="22" fontId="24" fillId="0" borderId="17" xfId="0" applyNumberFormat="1" applyFont="1" applyBorder="1" applyAlignment="1">
      <alignment horizontal="center"/>
    </xf>
    <xf numFmtId="0" fontId="5" fillId="39" borderId="17" xfId="0" applyFont="1" applyFill="1" applyBorder="1" applyAlignment="1">
      <alignment horizontal="center" vertical="center"/>
    </xf>
    <xf numFmtId="0" fontId="5" fillId="39" borderId="1" xfId="0" applyFont="1" applyFill="1" applyBorder="1" applyAlignment="1">
      <alignment horizontal="center" vertical="center"/>
    </xf>
    <xf numFmtId="0" fontId="36" fillId="0" borderId="1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7" fillId="0" borderId="1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37" borderId="14" xfId="0" applyFont="1" applyFill="1" applyBorder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8" fillId="0" borderId="17" xfId="0" applyFont="1" applyBorder="1" applyAlignment="1">
      <alignment horizontal="center" vertical="center" wrapText="1"/>
    </xf>
    <xf numFmtId="0" fontId="32" fillId="5" borderId="16" xfId="0" applyFont="1" applyFill="1" applyBorder="1" applyAlignment="1">
      <alignment horizontal="center"/>
    </xf>
    <xf numFmtId="0" fontId="24" fillId="0" borderId="17" xfId="0" applyFont="1" applyBorder="1" applyAlignment="1">
      <alignment horizontal="left"/>
    </xf>
    <xf numFmtId="0" fontId="24" fillId="0" borderId="17" xfId="0" applyFont="1" applyBorder="1" applyAlignment="1">
      <alignment horizontal="left" vertical="top"/>
    </xf>
    <xf numFmtId="0" fontId="24" fillId="0" borderId="17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3" borderId="16" xfId="0" applyFont="1" applyFill="1" applyBorder="1" applyAlignment="1">
      <alignment horizontal="center"/>
    </xf>
    <xf numFmtId="0" fontId="30" fillId="0" borderId="18" xfId="0" applyFont="1" applyBorder="1"/>
    <xf numFmtId="0" fontId="2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22" fontId="5" fillId="0" borderId="20" xfId="0" applyNumberFormat="1" applyFont="1" applyBorder="1" applyAlignment="1">
      <alignment horizontal="center" vertical="center" wrapText="1"/>
    </xf>
    <xf numFmtId="20" fontId="5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5" borderId="16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39" fillId="0" borderId="17" xfId="0" applyFont="1" applyBorder="1" applyAlignment="1">
      <alignment horizontal="center" vertical="center" wrapText="1"/>
    </xf>
    <xf numFmtId="15" fontId="24" fillId="0" borderId="17" xfId="0" applyNumberFormat="1" applyFont="1" applyBorder="1" applyAlignment="1">
      <alignment horizontal="center" vertical="center" wrapText="1"/>
    </xf>
    <xf numFmtId="0" fontId="30" fillId="40" borderId="16" xfId="0" applyFont="1" applyFill="1" applyBorder="1" applyAlignment="1">
      <alignment horizontal="center"/>
    </xf>
    <xf numFmtId="0" fontId="40" fillId="40" borderId="1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4" fillId="0" borderId="16" xfId="0" applyFont="1" applyBorder="1" applyAlignment="1">
      <alignment horizontal="center" vertical="center"/>
    </xf>
    <xf numFmtId="22" fontId="24" fillId="0" borderId="20" xfId="0" applyNumberFormat="1" applyFont="1" applyBorder="1" applyAlignment="1">
      <alignment horizontal="center" vertical="center"/>
    </xf>
    <xf numFmtId="20" fontId="24" fillId="0" borderId="17" xfId="0" applyNumberFormat="1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7" xfId="2"/>
    <cellStyle name="Normal 2" xfId="1"/>
    <cellStyle name="Normal 3" xfId="3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"/>
  <sheetViews>
    <sheetView tabSelected="1" zoomScaleNormal="100" workbookViewId="0">
      <pane ySplit="1" topLeftCell="A29" activePane="bottomLeft" state="frozen"/>
      <selection sqref="A1:AL1"/>
      <selection pane="bottomLeft" activeCell="A47" sqref="A47"/>
    </sheetView>
  </sheetViews>
  <sheetFormatPr defaultRowHeight="12" x14ac:dyDescent="0.25"/>
  <cols>
    <col min="1" max="1" width="4.5703125" style="18" bestFit="1" customWidth="1"/>
    <col min="2" max="2" width="14.140625" style="18" bestFit="1" customWidth="1"/>
    <col min="3" max="3" width="10.7109375" style="18" customWidth="1"/>
    <col min="4" max="4" width="18.42578125" style="18" bestFit="1" customWidth="1"/>
    <col min="5" max="5" width="8.140625" style="18" bestFit="1" customWidth="1"/>
    <col min="6" max="6" width="12.42578125" style="18" bestFit="1" customWidth="1"/>
    <col min="7" max="7" width="10.5703125" style="18" bestFit="1" customWidth="1"/>
    <col min="8" max="8" width="18.85546875" style="18" bestFit="1" customWidth="1"/>
    <col min="9" max="9" width="16.7109375" style="18" bestFit="1" customWidth="1"/>
    <col min="10" max="10" width="9.28515625" style="18" bestFit="1" customWidth="1"/>
    <col min="11" max="11" width="20.7109375" style="18" bestFit="1" customWidth="1"/>
    <col min="12" max="12" width="11.42578125" style="18" bestFit="1" customWidth="1"/>
    <col min="13" max="13" width="10.28515625" style="18" bestFit="1" customWidth="1"/>
    <col min="14" max="14" width="11.140625" style="18" bestFit="1" customWidth="1"/>
    <col min="15" max="15" width="34.140625" style="18" bestFit="1" customWidth="1"/>
    <col min="16" max="16" width="23.42578125" style="18" bestFit="1" customWidth="1"/>
    <col min="17" max="17" width="13.85546875" style="18" bestFit="1" customWidth="1"/>
    <col min="18" max="18" width="12.140625" style="18" bestFit="1" customWidth="1"/>
    <col min="19" max="19" width="13.140625" style="18" bestFit="1" customWidth="1"/>
    <col min="20" max="20" width="17.5703125" style="18" bestFit="1" customWidth="1"/>
    <col min="21" max="21" width="17.42578125" style="18" bestFit="1" customWidth="1"/>
    <col min="22" max="22" width="16.5703125" style="18" bestFit="1" customWidth="1"/>
    <col min="23" max="23" width="13.85546875" style="18" bestFit="1" customWidth="1"/>
    <col min="24" max="24" width="5.28515625" style="18" bestFit="1" customWidth="1"/>
    <col min="25" max="25" width="5.5703125" style="18" bestFit="1" customWidth="1"/>
    <col min="26" max="26" width="5.7109375" style="18" bestFit="1" customWidth="1"/>
    <col min="27" max="27" width="11.5703125" style="18" bestFit="1" customWidth="1"/>
    <col min="28" max="28" width="14" style="18" bestFit="1" customWidth="1"/>
    <col min="29" max="29" width="10.42578125" style="18" bestFit="1" customWidth="1"/>
    <col min="30" max="30" width="12.28515625" style="18" bestFit="1" customWidth="1"/>
    <col min="31" max="31" width="9.85546875" style="18" bestFit="1" customWidth="1"/>
    <col min="32" max="33" width="12.140625" style="18" bestFit="1" customWidth="1"/>
    <col min="34" max="34" width="12" style="18" bestFit="1" customWidth="1"/>
    <col min="35" max="35" width="17" style="18" bestFit="1" customWidth="1"/>
    <col min="36" max="36" width="8.42578125" style="18" bestFit="1" customWidth="1"/>
    <col min="37" max="37" width="17.28515625" style="18" bestFit="1" customWidth="1"/>
    <col min="38" max="38" width="29.7109375" style="18" bestFit="1" customWidth="1"/>
    <col min="39" max="16384" width="9.140625" style="18"/>
  </cols>
  <sheetData>
    <row r="1" spans="1:53" ht="27.75" customHeight="1" x14ac:dyDescent="0.5">
      <c r="A1" s="321" t="s">
        <v>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</row>
    <row r="2" spans="1:53" s="160" customFormat="1" ht="27.7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3" t="s">
        <v>5</v>
      </c>
      <c r="F2" s="3" t="s">
        <v>168</v>
      </c>
      <c r="G2" s="3" t="s">
        <v>6</v>
      </c>
      <c r="H2" s="3" t="s">
        <v>7</v>
      </c>
      <c r="I2" s="3" t="s">
        <v>8</v>
      </c>
      <c r="J2" s="5" t="s">
        <v>24</v>
      </c>
      <c r="K2" s="5" t="s">
        <v>15</v>
      </c>
      <c r="L2" s="5" t="s">
        <v>205</v>
      </c>
      <c r="M2" s="161" t="s">
        <v>10</v>
      </c>
      <c r="N2" s="5" t="s">
        <v>9</v>
      </c>
      <c r="O2" s="3" t="s">
        <v>11</v>
      </c>
      <c r="P2" s="3" t="s">
        <v>12</v>
      </c>
      <c r="Q2" s="19" t="s">
        <v>113</v>
      </c>
      <c r="R2" s="19" t="s">
        <v>114</v>
      </c>
      <c r="S2" s="5" t="s">
        <v>13</v>
      </c>
      <c r="T2" s="4" t="s">
        <v>103</v>
      </c>
      <c r="U2" s="5" t="s">
        <v>14</v>
      </c>
      <c r="V2" s="4" t="s">
        <v>104</v>
      </c>
      <c r="W2" s="4" t="s">
        <v>16</v>
      </c>
      <c r="X2" s="3" t="s">
        <v>17</v>
      </c>
      <c r="Y2" s="3" t="s">
        <v>18</v>
      </c>
      <c r="Z2" s="3" t="s">
        <v>19</v>
      </c>
      <c r="AA2" s="3" t="s">
        <v>60</v>
      </c>
      <c r="AB2" s="6" t="s">
        <v>20</v>
      </c>
      <c r="AC2" s="5" t="s">
        <v>21</v>
      </c>
      <c r="AD2" s="5" t="s">
        <v>23</v>
      </c>
      <c r="AE2" s="5" t="s">
        <v>108</v>
      </c>
      <c r="AF2" s="19" t="s">
        <v>115</v>
      </c>
      <c r="AG2" s="19" t="s">
        <v>116</v>
      </c>
      <c r="AH2" s="5" t="s">
        <v>22</v>
      </c>
      <c r="AI2" s="9" t="s">
        <v>28</v>
      </c>
      <c r="AJ2" s="3" t="s">
        <v>25</v>
      </c>
      <c r="AK2" s="3" t="s">
        <v>26</v>
      </c>
      <c r="AL2" s="3" t="s">
        <v>27</v>
      </c>
    </row>
    <row r="3" spans="1:53" s="301" customFormat="1" ht="15" x14ac:dyDescent="0.25">
      <c r="A3" s="303">
        <v>235</v>
      </c>
      <c r="B3" s="302">
        <v>43897.784722222219</v>
      </c>
      <c r="C3" s="304">
        <v>0.78819444444444453</v>
      </c>
      <c r="D3" s="304">
        <v>0.79513888888888884</v>
      </c>
      <c r="E3" s="304">
        <v>0.79861111111111116</v>
      </c>
      <c r="F3" s="304"/>
      <c r="G3" s="303" t="s">
        <v>456</v>
      </c>
      <c r="H3" s="303" t="s">
        <v>457</v>
      </c>
      <c r="I3" s="303" t="s">
        <v>457</v>
      </c>
      <c r="J3" s="303" t="s">
        <v>41</v>
      </c>
      <c r="K3" s="303" t="s">
        <v>458</v>
      </c>
      <c r="L3" s="299"/>
      <c r="M3" s="306">
        <v>0</v>
      </c>
      <c r="N3" s="303">
        <v>0</v>
      </c>
      <c r="O3" s="303">
        <v>0</v>
      </c>
      <c r="P3" s="303">
        <v>0</v>
      </c>
      <c r="Q3" s="303">
        <v>9</v>
      </c>
      <c r="R3" s="303">
        <v>0</v>
      </c>
      <c r="S3" s="303">
        <v>9</v>
      </c>
      <c r="T3" s="303">
        <v>0</v>
      </c>
      <c r="U3" s="303">
        <v>0</v>
      </c>
      <c r="V3" s="303">
        <v>0</v>
      </c>
      <c r="W3" s="303">
        <v>0</v>
      </c>
      <c r="X3" s="303">
        <v>0</v>
      </c>
      <c r="Y3" s="303">
        <v>0</v>
      </c>
      <c r="Z3" s="303">
        <v>0</v>
      </c>
      <c r="AA3" s="303">
        <v>9</v>
      </c>
      <c r="AB3" s="300">
        <v>0</v>
      </c>
      <c r="AC3" s="300">
        <v>0</v>
      </c>
      <c r="AD3" s="303">
        <v>0</v>
      </c>
      <c r="AE3" s="303" t="s">
        <v>48</v>
      </c>
      <c r="AF3" s="303"/>
      <c r="AG3" s="303"/>
      <c r="AH3" s="303">
        <v>0</v>
      </c>
      <c r="AI3" s="303"/>
      <c r="AJ3" s="303"/>
      <c r="AK3" s="303" t="s">
        <v>48</v>
      </c>
      <c r="AL3" s="299" t="s">
        <v>182</v>
      </c>
      <c r="AM3" s="299">
        <v>1046.01143831019</v>
      </c>
      <c r="AN3" s="305"/>
      <c r="AO3" s="305"/>
      <c r="AP3" s="305"/>
      <c r="AQ3" s="302"/>
      <c r="AR3" s="315"/>
      <c r="AS3" s="305"/>
      <c r="AT3" s="315"/>
      <c r="AU3" s="303"/>
      <c r="AV3" s="303"/>
      <c r="AW3" s="316"/>
      <c r="AX3" s="299"/>
      <c r="AY3" s="299"/>
      <c r="AZ3" s="303"/>
      <c r="BA3" s="303"/>
    </row>
    <row r="4" spans="1:53" s="301" customFormat="1" ht="15" x14ac:dyDescent="0.25">
      <c r="A4" s="312">
        <v>148</v>
      </c>
      <c r="B4" s="311">
        <v>44937.6875</v>
      </c>
      <c r="C4" s="308">
        <v>0.75694444444444453</v>
      </c>
      <c r="D4" s="308">
        <v>0.76041666666666663</v>
      </c>
      <c r="E4" s="308">
        <v>0.76388888888888884</v>
      </c>
      <c r="F4" s="309" t="s">
        <v>169</v>
      </c>
      <c r="G4" s="309" t="s">
        <v>4432</v>
      </c>
      <c r="H4" s="309" t="s">
        <v>312</v>
      </c>
      <c r="I4" s="309" t="s">
        <v>312</v>
      </c>
      <c r="J4" s="307" t="s">
        <v>37</v>
      </c>
      <c r="K4" s="307" t="s">
        <v>233</v>
      </c>
      <c r="L4" s="307" t="s">
        <v>306</v>
      </c>
      <c r="M4" s="309" t="s">
        <v>5249</v>
      </c>
      <c r="N4" s="309" t="s">
        <v>76</v>
      </c>
      <c r="O4" s="309" t="s">
        <v>5250</v>
      </c>
      <c r="P4" s="309" t="s">
        <v>5251</v>
      </c>
      <c r="Q4" s="303">
        <v>18</v>
      </c>
      <c r="R4" s="303">
        <v>137</v>
      </c>
      <c r="S4" s="309">
        <v>18</v>
      </c>
      <c r="T4" s="309">
        <v>137</v>
      </c>
      <c r="U4" s="309">
        <v>0</v>
      </c>
      <c r="V4" s="309">
        <v>0</v>
      </c>
      <c r="W4" s="309">
        <v>133.19999999999999</v>
      </c>
      <c r="X4" s="309">
        <v>64</v>
      </c>
      <c r="Y4" s="309">
        <v>52</v>
      </c>
      <c r="Z4" s="309">
        <v>20</v>
      </c>
      <c r="AA4" s="309">
        <v>18</v>
      </c>
      <c r="AB4" s="307">
        <v>199.68</v>
      </c>
      <c r="AC4" s="307">
        <v>1.2028915662650603</v>
      </c>
      <c r="AD4" s="309">
        <v>1314</v>
      </c>
      <c r="AE4" s="309" t="s">
        <v>109</v>
      </c>
      <c r="AF4" s="309" t="s">
        <v>1566</v>
      </c>
      <c r="AG4" s="309" t="s">
        <v>1566</v>
      </c>
      <c r="AH4" s="309" t="s">
        <v>5252</v>
      </c>
      <c r="AI4" s="309" t="s">
        <v>5248</v>
      </c>
      <c r="AJ4" s="309"/>
      <c r="AK4" s="309" t="s">
        <v>48</v>
      </c>
      <c r="AL4" s="309" t="s">
        <v>47</v>
      </c>
      <c r="AM4" s="299">
        <v>6.108660532408976</v>
      </c>
      <c r="AN4" s="313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</row>
    <row r="5" spans="1:53" s="301" customFormat="1" ht="15" x14ac:dyDescent="0.25">
      <c r="A5" s="312">
        <v>153</v>
      </c>
      <c r="B5" s="311">
        <v>44938.4375</v>
      </c>
      <c r="C5" s="308">
        <v>0.44097222222222227</v>
      </c>
      <c r="D5" s="308">
        <v>0.44444444444444442</v>
      </c>
      <c r="E5" s="308">
        <v>0.46180555555555558</v>
      </c>
      <c r="F5" s="309" t="s">
        <v>171</v>
      </c>
      <c r="G5" s="309" t="s">
        <v>173</v>
      </c>
      <c r="H5" s="307" t="s">
        <v>217</v>
      </c>
      <c r="I5" s="307" t="s">
        <v>141</v>
      </c>
      <c r="J5" s="307" t="s">
        <v>37</v>
      </c>
      <c r="K5" s="307" t="s">
        <v>233</v>
      </c>
      <c r="L5" s="307" t="s">
        <v>209</v>
      </c>
      <c r="M5" s="309" t="s">
        <v>5269</v>
      </c>
      <c r="N5" s="309" t="s">
        <v>426</v>
      </c>
      <c r="O5" s="309" t="s">
        <v>5270</v>
      </c>
      <c r="P5" s="309">
        <v>4900000305</v>
      </c>
      <c r="Q5" s="303">
        <v>1</v>
      </c>
      <c r="R5" s="303">
        <v>329</v>
      </c>
      <c r="S5" s="309">
        <v>0</v>
      </c>
      <c r="T5" s="309">
        <v>0</v>
      </c>
      <c r="U5" s="309">
        <v>1</v>
      </c>
      <c r="V5" s="309">
        <v>329</v>
      </c>
      <c r="W5" s="309">
        <v>326</v>
      </c>
      <c r="X5" s="309">
        <v>136</v>
      </c>
      <c r="Y5" s="309">
        <v>97</v>
      </c>
      <c r="Z5" s="309">
        <v>96</v>
      </c>
      <c r="AA5" s="309">
        <v>1</v>
      </c>
      <c r="AB5" s="307">
        <v>211.072</v>
      </c>
      <c r="AC5" s="307">
        <v>1.2715180722891566</v>
      </c>
      <c r="AD5" s="309">
        <v>10837.39</v>
      </c>
      <c r="AE5" s="309" t="s">
        <v>109</v>
      </c>
      <c r="AF5" s="309" t="s">
        <v>1566</v>
      </c>
      <c r="AG5" s="309" t="s">
        <v>1566</v>
      </c>
      <c r="AH5" s="309" t="s">
        <v>5271</v>
      </c>
      <c r="AI5" s="309" t="s">
        <v>5246</v>
      </c>
      <c r="AJ5" s="309"/>
      <c r="AK5" s="309" t="s">
        <v>37</v>
      </c>
      <c r="AL5" s="309" t="s">
        <v>54</v>
      </c>
      <c r="AM5" s="299">
        <v>5.358660532408976</v>
      </c>
      <c r="AN5" s="319" t="s">
        <v>5406</v>
      </c>
      <c r="AO5" s="288"/>
      <c r="AP5" s="275"/>
      <c r="AQ5" s="288"/>
      <c r="AR5" s="277"/>
      <c r="AS5" s="272"/>
      <c r="AT5" s="288"/>
      <c r="AU5" s="276"/>
      <c r="AV5" s="288"/>
      <c r="AW5" s="288"/>
      <c r="AX5" s="314"/>
      <c r="AY5" s="314"/>
      <c r="AZ5" s="314"/>
      <c r="BA5" s="314"/>
    </row>
    <row r="6" spans="1:53" s="301" customFormat="1" ht="15" x14ac:dyDescent="0.25">
      <c r="A6" s="312">
        <v>166</v>
      </c>
      <c r="B6" s="311">
        <v>44938.645833333336</v>
      </c>
      <c r="C6" s="308">
        <v>0.64583333333333337</v>
      </c>
      <c r="D6" s="308">
        <v>0.65277777777777779</v>
      </c>
      <c r="E6" s="308">
        <v>0.70833333333333337</v>
      </c>
      <c r="F6" s="309" t="s">
        <v>169</v>
      </c>
      <c r="G6" s="309" t="s">
        <v>4416</v>
      </c>
      <c r="H6" s="307" t="s">
        <v>197</v>
      </c>
      <c r="I6" s="307" t="s">
        <v>197</v>
      </c>
      <c r="J6" s="307" t="s">
        <v>37</v>
      </c>
      <c r="K6" s="307" t="s">
        <v>233</v>
      </c>
      <c r="L6" s="307" t="s">
        <v>419</v>
      </c>
      <c r="M6" s="309" t="s">
        <v>5317</v>
      </c>
      <c r="N6" s="309" t="s">
        <v>264</v>
      </c>
      <c r="O6" s="309" t="s">
        <v>5318</v>
      </c>
      <c r="P6" s="309" t="s">
        <v>5319</v>
      </c>
      <c r="Q6" s="303">
        <v>3</v>
      </c>
      <c r="R6" s="303">
        <v>68</v>
      </c>
      <c r="S6" s="309">
        <v>3</v>
      </c>
      <c r="T6" s="309">
        <v>68</v>
      </c>
      <c r="U6" s="309">
        <v>0</v>
      </c>
      <c r="V6" s="309">
        <v>0</v>
      </c>
      <c r="W6" s="309">
        <v>70</v>
      </c>
      <c r="X6" s="309">
        <v>76</v>
      </c>
      <c r="Y6" s="309">
        <v>60</v>
      </c>
      <c r="Z6" s="309">
        <v>60</v>
      </c>
      <c r="AA6" s="309">
        <v>1</v>
      </c>
      <c r="AB6" s="307">
        <v>45.6</v>
      </c>
      <c r="AC6" s="307">
        <v>0.27469879518072288</v>
      </c>
      <c r="AD6" s="309" t="s">
        <v>48</v>
      </c>
      <c r="AE6" s="309" t="s">
        <v>48</v>
      </c>
      <c r="AF6" s="309">
        <v>6853262</v>
      </c>
      <c r="AG6" s="318" t="s">
        <v>5320</v>
      </c>
      <c r="AH6" s="309" t="s">
        <v>5321</v>
      </c>
      <c r="AI6" s="53" t="s">
        <v>5320</v>
      </c>
      <c r="AJ6" s="309"/>
      <c r="AK6" s="309" t="s">
        <v>48</v>
      </c>
      <c r="AL6" s="309" t="s">
        <v>58</v>
      </c>
      <c r="AM6" s="299">
        <v>5.1503271990732173</v>
      </c>
      <c r="AN6" s="313"/>
      <c r="AO6" s="314"/>
      <c r="AP6" s="314"/>
      <c r="AQ6" s="314"/>
      <c r="AR6" s="314"/>
      <c r="AS6" s="314"/>
      <c r="AT6" s="314"/>
      <c r="AU6" s="314"/>
      <c r="AV6" s="314"/>
      <c r="AW6" s="314"/>
      <c r="AX6" s="314"/>
      <c r="AY6" s="314"/>
      <c r="AZ6" s="314"/>
      <c r="BA6" s="314"/>
    </row>
    <row r="7" spans="1:53" s="301" customFormat="1" ht="15" x14ac:dyDescent="0.25">
      <c r="A7" s="312">
        <v>166</v>
      </c>
      <c r="B7" s="311">
        <v>44938.645833333336</v>
      </c>
      <c r="C7" s="308">
        <v>0.64583333333333337</v>
      </c>
      <c r="D7" s="308">
        <v>0.65277777777777779</v>
      </c>
      <c r="E7" s="308">
        <v>0.70833333333333337</v>
      </c>
      <c r="F7" s="309" t="s">
        <v>169</v>
      </c>
      <c r="G7" s="309" t="s">
        <v>4416</v>
      </c>
      <c r="H7" s="307" t="s">
        <v>197</v>
      </c>
      <c r="I7" s="307" t="s">
        <v>197</v>
      </c>
      <c r="J7" s="307" t="s">
        <v>37</v>
      </c>
      <c r="K7" s="307" t="s">
        <v>233</v>
      </c>
      <c r="L7" s="307" t="s">
        <v>419</v>
      </c>
      <c r="M7" s="309" t="s">
        <v>5317</v>
      </c>
      <c r="N7" s="309" t="s">
        <v>264</v>
      </c>
      <c r="O7" s="309" t="s">
        <v>5318</v>
      </c>
      <c r="P7" s="309" t="s">
        <v>5319</v>
      </c>
      <c r="Q7" s="303">
        <v>0</v>
      </c>
      <c r="R7" s="303">
        <v>0</v>
      </c>
      <c r="S7" s="309">
        <v>0</v>
      </c>
      <c r="T7" s="309">
        <v>0</v>
      </c>
      <c r="U7" s="309">
        <v>0</v>
      </c>
      <c r="V7" s="309">
        <v>0</v>
      </c>
      <c r="W7" s="309">
        <v>0</v>
      </c>
      <c r="X7" s="309">
        <v>71</v>
      </c>
      <c r="Y7" s="309">
        <v>68</v>
      </c>
      <c r="Z7" s="309">
        <v>30</v>
      </c>
      <c r="AA7" s="309">
        <v>1</v>
      </c>
      <c r="AB7" s="307">
        <v>24.14</v>
      </c>
      <c r="AC7" s="307">
        <v>0.14542168674698797</v>
      </c>
      <c r="AD7" s="309">
        <v>0</v>
      </c>
      <c r="AE7" s="309">
        <v>0</v>
      </c>
      <c r="AF7" s="309">
        <v>6853262</v>
      </c>
      <c r="AG7" s="318" t="s">
        <v>5320</v>
      </c>
      <c r="AH7" s="309" t="s">
        <v>5321</v>
      </c>
      <c r="AI7" s="53" t="s">
        <v>5244</v>
      </c>
      <c r="AJ7" s="309"/>
      <c r="AK7" s="309" t="s">
        <v>48</v>
      </c>
      <c r="AL7" s="309" t="s">
        <v>58</v>
      </c>
      <c r="AM7" s="299">
        <v>5.1503271990732173</v>
      </c>
      <c r="AN7" s="313"/>
      <c r="AO7" s="314"/>
      <c r="AP7" s="314"/>
      <c r="AQ7" s="314"/>
      <c r="AR7" s="314"/>
      <c r="AS7" s="314"/>
      <c r="AT7" s="314"/>
      <c r="AU7" s="314"/>
      <c r="AV7" s="314"/>
      <c r="AW7" s="314"/>
      <c r="AX7" s="314"/>
      <c r="AY7" s="314"/>
      <c r="AZ7" s="314"/>
      <c r="BA7" s="314"/>
    </row>
    <row r="8" spans="1:53" s="301" customFormat="1" ht="15" x14ac:dyDescent="0.25">
      <c r="A8" s="312">
        <v>166</v>
      </c>
      <c r="B8" s="311">
        <v>44938.645833333336</v>
      </c>
      <c r="C8" s="308">
        <v>0.64583333333333337</v>
      </c>
      <c r="D8" s="308">
        <v>0.65277777777777779</v>
      </c>
      <c r="E8" s="308">
        <v>0.70833333333333337</v>
      </c>
      <c r="F8" s="309" t="s">
        <v>169</v>
      </c>
      <c r="G8" s="309" t="s">
        <v>4416</v>
      </c>
      <c r="H8" s="307" t="s">
        <v>197</v>
      </c>
      <c r="I8" s="307" t="s">
        <v>197</v>
      </c>
      <c r="J8" s="307" t="s">
        <v>37</v>
      </c>
      <c r="K8" s="307" t="s">
        <v>233</v>
      </c>
      <c r="L8" s="307" t="s">
        <v>419</v>
      </c>
      <c r="M8" s="309" t="s">
        <v>5317</v>
      </c>
      <c r="N8" s="309" t="s">
        <v>264</v>
      </c>
      <c r="O8" s="309" t="s">
        <v>5318</v>
      </c>
      <c r="P8" s="309" t="s">
        <v>5319</v>
      </c>
      <c r="Q8" s="303">
        <v>0</v>
      </c>
      <c r="R8" s="303">
        <v>0</v>
      </c>
      <c r="S8" s="309">
        <v>0</v>
      </c>
      <c r="T8" s="309">
        <v>0</v>
      </c>
      <c r="U8" s="309">
        <v>0</v>
      </c>
      <c r="V8" s="309">
        <v>0</v>
      </c>
      <c r="W8" s="309">
        <v>0</v>
      </c>
      <c r="X8" s="309">
        <v>68</v>
      </c>
      <c r="Y8" s="309">
        <v>62</v>
      </c>
      <c r="Z8" s="309">
        <v>50</v>
      </c>
      <c r="AA8" s="309">
        <v>1</v>
      </c>
      <c r="AB8" s="307">
        <v>35.133333333333333</v>
      </c>
      <c r="AC8" s="307">
        <v>0.21164658634538153</v>
      </c>
      <c r="AD8" s="309">
        <v>0</v>
      </c>
      <c r="AE8" s="309">
        <v>0</v>
      </c>
      <c r="AF8" s="309">
        <v>6853262</v>
      </c>
      <c r="AG8" s="318" t="s">
        <v>5320</v>
      </c>
      <c r="AH8" s="309" t="s">
        <v>5321</v>
      </c>
      <c r="AI8" s="53" t="s">
        <v>5244</v>
      </c>
      <c r="AJ8" s="309"/>
      <c r="AK8" s="309" t="s">
        <v>37</v>
      </c>
      <c r="AL8" s="309" t="s">
        <v>58</v>
      </c>
      <c r="AM8" s="299">
        <v>5.1503271990732173</v>
      </c>
      <c r="AN8" s="313"/>
      <c r="AO8" s="314"/>
      <c r="AP8" s="314"/>
      <c r="AQ8" s="314"/>
      <c r="AR8" s="314"/>
      <c r="AS8" s="314"/>
      <c r="AT8" s="314"/>
      <c r="AU8" s="314"/>
      <c r="AV8" s="314"/>
      <c r="AW8" s="314"/>
      <c r="AX8" s="314"/>
      <c r="AY8" s="314"/>
      <c r="AZ8" s="314"/>
      <c r="BA8" s="314"/>
    </row>
    <row r="9" spans="1:53" s="301" customFormat="1" ht="15" x14ac:dyDescent="0.25">
      <c r="A9" s="312">
        <v>167</v>
      </c>
      <c r="B9" s="311">
        <v>44938.645833333336</v>
      </c>
      <c r="C9" s="308">
        <v>0.64583333333333337</v>
      </c>
      <c r="D9" s="308">
        <v>0.65277777777777779</v>
      </c>
      <c r="E9" s="308">
        <v>0.70833333333333337</v>
      </c>
      <c r="F9" s="309" t="s">
        <v>169</v>
      </c>
      <c r="G9" s="309" t="s">
        <v>4416</v>
      </c>
      <c r="H9" s="307" t="s">
        <v>197</v>
      </c>
      <c r="I9" s="307" t="s">
        <v>197</v>
      </c>
      <c r="J9" s="307" t="s">
        <v>37</v>
      </c>
      <c r="K9" s="307" t="s">
        <v>233</v>
      </c>
      <c r="L9" s="307" t="s">
        <v>419</v>
      </c>
      <c r="M9" s="309" t="s">
        <v>5317</v>
      </c>
      <c r="N9" s="309" t="s">
        <v>264</v>
      </c>
      <c r="O9" s="309" t="s">
        <v>5322</v>
      </c>
      <c r="P9" s="309" t="s">
        <v>5323</v>
      </c>
      <c r="Q9" s="303">
        <v>5</v>
      </c>
      <c r="R9" s="303">
        <v>262</v>
      </c>
      <c r="S9" s="309">
        <v>4</v>
      </c>
      <c r="T9" s="309">
        <v>149</v>
      </c>
      <c r="U9" s="309">
        <v>1</v>
      </c>
      <c r="V9" s="309">
        <v>113</v>
      </c>
      <c r="W9" s="309">
        <v>277</v>
      </c>
      <c r="X9" s="309">
        <v>74</v>
      </c>
      <c r="Y9" s="309">
        <v>64</v>
      </c>
      <c r="Z9" s="309">
        <v>34</v>
      </c>
      <c r="AA9" s="309">
        <v>2</v>
      </c>
      <c r="AB9" s="307">
        <v>53.674666666666667</v>
      </c>
      <c r="AC9" s="307">
        <v>0.32334136546184739</v>
      </c>
      <c r="AD9" s="309" t="s">
        <v>48</v>
      </c>
      <c r="AE9" s="309" t="s">
        <v>48</v>
      </c>
      <c r="AF9" s="309">
        <v>6853335</v>
      </c>
      <c r="AG9" s="318" t="s">
        <v>5320</v>
      </c>
      <c r="AH9" s="309" t="s">
        <v>5324</v>
      </c>
      <c r="AI9" s="53" t="s">
        <v>5244</v>
      </c>
      <c r="AJ9" s="309"/>
      <c r="AK9" s="309" t="s">
        <v>48</v>
      </c>
      <c r="AL9" s="309" t="s">
        <v>58</v>
      </c>
      <c r="AM9" s="299">
        <v>5.1503271990732173</v>
      </c>
      <c r="AN9" s="313"/>
      <c r="AO9" s="314"/>
      <c r="AP9" s="314"/>
      <c r="AQ9" s="314"/>
      <c r="AR9" s="314"/>
      <c r="AS9" s="314"/>
      <c r="AT9" s="314"/>
      <c r="AU9" s="314"/>
      <c r="AV9" s="314"/>
      <c r="AW9" s="314"/>
      <c r="AX9" s="314"/>
      <c r="AY9" s="314"/>
      <c r="AZ9" s="314"/>
      <c r="BA9" s="314"/>
    </row>
    <row r="10" spans="1:53" s="301" customFormat="1" ht="15" x14ac:dyDescent="0.25">
      <c r="A10" s="312">
        <v>167</v>
      </c>
      <c r="B10" s="311">
        <v>44938.645833333336</v>
      </c>
      <c r="C10" s="308">
        <v>0.64583333333333337</v>
      </c>
      <c r="D10" s="308">
        <v>0.65277777777777779</v>
      </c>
      <c r="E10" s="308">
        <v>0.70833333333333337</v>
      </c>
      <c r="F10" s="309" t="s">
        <v>169</v>
      </c>
      <c r="G10" s="309" t="s">
        <v>4416</v>
      </c>
      <c r="H10" s="307" t="s">
        <v>197</v>
      </c>
      <c r="I10" s="307" t="s">
        <v>197</v>
      </c>
      <c r="J10" s="307" t="s">
        <v>37</v>
      </c>
      <c r="K10" s="307" t="s">
        <v>233</v>
      </c>
      <c r="L10" s="307" t="s">
        <v>419</v>
      </c>
      <c r="M10" s="309" t="s">
        <v>5317</v>
      </c>
      <c r="N10" s="309" t="s">
        <v>264</v>
      </c>
      <c r="O10" s="309" t="s">
        <v>5322</v>
      </c>
      <c r="P10" s="309" t="s">
        <v>5323</v>
      </c>
      <c r="Q10" s="303">
        <v>0</v>
      </c>
      <c r="R10" s="303">
        <v>0</v>
      </c>
      <c r="S10" s="309">
        <v>0</v>
      </c>
      <c r="T10" s="309">
        <v>0</v>
      </c>
      <c r="U10" s="309">
        <v>0</v>
      </c>
      <c r="V10" s="309">
        <v>0</v>
      </c>
      <c r="W10" s="309">
        <v>0</v>
      </c>
      <c r="X10" s="309">
        <v>77</v>
      </c>
      <c r="Y10" s="309">
        <v>61</v>
      </c>
      <c r="Z10" s="309">
        <v>61</v>
      </c>
      <c r="AA10" s="309">
        <v>2</v>
      </c>
      <c r="AB10" s="307">
        <v>95.50566666666667</v>
      </c>
      <c r="AC10" s="307">
        <v>0.57533534136546183</v>
      </c>
      <c r="AD10" s="309">
        <v>0</v>
      </c>
      <c r="AE10" s="309">
        <v>0</v>
      </c>
      <c r="AF10" s="309">
        <v>6853335</v>
      </c>
      <c r="AG10" s="318" t="s">
        <v>5320</v>
      </c>
      <c r="AH10" s="309" t="s">
        <v>5324</v>
      </c>
      <c r="AI10" s="53" t="s">
        <v>5244</v>
      </c>
      <c r="AJ10" s="309"/>
      <c r="AK10" s="309" t="s">
        <v>48</v>
      </c>
      <c r="AL10" s="309" t="s">
        <v>58</v>
      </c>
      <c r="AM10" s="299">
        <v>5.1503271990732173</v>
      </c>
      <c r="AN10" s="313"/>
      <c r="AO10" s="314"/>
      <c r="AP10" s="314"/>
      <c r="AQ10" s="314"/>
      <c r="AR10" s="314"/>
      <c r="AS10" s="314"/>
      <c r="AT10" s="314"/>
      <c r="AU10" s="314"/>
      <c r="AV10" s="314"/>
      <c r="AW10" s="314"/>
      <c r="AX10" s="314"/>
      <c r="AY10" s="314"/>
      <c r="AZ10" s="314"/>
      <c r="BA10" s="314"/>
    </row>
    <row r="11" spans="1:53" s="301" customFormat="1" ht="15" x14ac:dyDescent="0.25">
      <c r="A11" s="312">
        <v>167</v>
      </c>
      <c r="B11" s="311">
        <v>44938.645833333336</v>
      </c>
      <c r="C11" s="308">
        <v>0.64583333333333337</v>
      </c>
      <c r="D11" s="308">
        <v>0.65277777777777779</v>
      </c>
      <c r="E11" s="308">
        <v>0.70833333333333337</v>
      </c>
      <c r="F11" s="309" t="s">
        <v>169</v>
      </c>
      <c r="G11" s="309" t="s">
        <v>4416</v>
      </c>
      <c r="H11" s="307" t="s">
        <v>197</v>
      </c>
      <c r="I11" s="307" t="s">
        <v>197</v>
      </c>
      <c r="J11" s="307" t="s">
        <v>37</v>
      </c>
      <c r="K11" s="307" t="s">
        <v>233</v>
      </c>
      <c r="L11" s="307" t="s">
        <v>419</v>
      </c>
      <c r="M11" s="309" t="s">
        <v>5317</v>
      </c>
      <c r="N11" s="309" t="s">
        <v>264</v>
      </c>
      <c r="O11" s="309" t="s">
        <v>5322</v>
      </c>
      <c r="P11" s="309" t="s">
        <v>5323</v>
      </c>
      <c r="Q11" s="303">
        <v>0</v>
      </c>
      <c r="R11" s="303">
        <v>0</v>
      </c>
      <c r="S11" s="309">
        <v>0</v>
      </c>
      <c r="T11" s="309">
        <v>0</v>
      </c>
      <c r="U11" s="309">
        <v>0</v>
      </c>
      <c r="V11" s="309">
        <v>0</v>
      </c>
      <c r="W11" s="309">
        <v>0</v>
      </c>
      <c r="X11" s="309">
        <v>85</v>
      </c>
      <c r="Y11" s="309">
        <v>64</v>
      </c>
      <c r="Z11" s="309">
        <v>86</v>
      </c>
      <c r="AA11" s="309">
        <v>1</v>
      </c>
      <c r="AB11" s="307">
        <v>77.973333333333329</v>
      </c>
      <c r="AC11" s="307">
        <v>0.46971887550200803</v>
      </c>
      <c r="AD11" s="309">
        <v>0</v>
      </c>
      <c r="AE11" s="309">
        <v>0</v>
      </c>
      <c r="AF11" s="309">
        <v>6853335</v>
      </c>
      <c r="AG11" s="318" t="s">
        <v>5320</v>
      </c>
      <c r="AH11" s="309" t="s">
        <v>5324</v>
      </c>
      <c r="AI11" s="53" t="s">
        <v>5244</v>
      </c>
      <c r="AJ11" s="309"/>
      <c r="AK11" s="309" t="s">
        <v>41</v>
      </c>
      <c r="AL11" s="309" t="s">
        <v>58</v>
      </c>
      <c r="AM11" s="299">
        <v>5.1503271990732173</v>
      </c>
      <c r="AN11" s="313"/>
      <c r="AO11" s="314"/>
      <c r="AP11" s="314"/>
      <c r="AQ11" s="314"/>
      <c r="AR11" s="314"/>
      <c r="AS11" s="314"/>
      <c r="AT11" s="314"/>
      <c r="AU11" s="314"/>
      <c r="AV11" s="314"/>
      <c r="AW11" s="314"/>
      <c r="AX11" s="314"/>
      <c r="AY11" s="314"/>
      <c r="AZ11" s="314"/>
      <c r="BA11" s="314"/>
    </row>
    <row r="12" spans="1:53" s="301" customFormat="1" ht="15" x14ac:dyDescent="0.25">
      <c r="A12" s="312">
        <v>174</v>
      </c>
      <c r="B12" s="311">
        <v>44939.416666666664</v>
      </c>
      <c r="C12" s="308">
        <v>0.41666666666666669</v>
      </c>
      <c r="D12" s="308">
        <v>0.4236111111111111</v>
      </c>
      <c r="E12" s="308">
        <v>0.44444444444444442</v>
      </c>
      <c r="F12" s="309" t="s">
        <v>171</v>
      </c>
      <c r="G12" s="309" t="s">
        <v>2535</v>
      </c>
      <c r="H12" s="307" t="s">
        <v>5349</v>
      </c>
      <c r="I12" s="307" t="s">
        <v>377</v>
      </c>
      <c r="J12" s="307" t="s">
        <v>37</v>
      </c>
      <c r="K12" s="307" t="s">
        <v>180</v>
      </c>
      <c r="L12" s="307">
        <v>0</v>
      </c>
      <c r="M12" s="309" t="s">
        <v>5350</v>
      </c>
      <c r="N12" s="309" t="s">
        <v>76</v>
      </c>
      <c r="O12" s="309">
        <v>102010053</v>
      </c>
      <c r="P12" s="309">
        <v>26800193</v>
      </c>
      <c r="Q12" s="303">
        <v>5</v>
      </c>
      <c r="R12" s="303">
        <v>453</v>
      </c>
      <c r="S12" s="309">
        <v>0</v>
      </c>
      <c r="T12" s="309">
        <v>0</v>
      </c>
      <c r="U12" s="309">
        <v>5</v>
      </c>
      <c r="V12" s="292">
        <v>453</v>
      </c>
      <c r="W12" s="292">
        <v>700</v>
      </c>
      <c r="X12" s="309">
        <v>121</v>
      </c>
      <c r="Y12" s="309">
        <v>105</v>
      </c>
      <c r="Z12" s="309">
        <v>86</v>
      </c>
      <c r="AA12" s="309">
        <v>5</v>
      </c>
      <c r="AB12" s="307">
        <v>910.52499999999998</v>
      </c>
      <c r="AC12" s="307">
        <v>5.4850903614457831</v>
      </c>
      <c r="AD12" s="309">
        <v>13260.8</v>
      </c>
      <c r="AE12" s="309" t="s">
        <v>109</v>
      </c>
      <c r="AF12" s="309" t="s">
        <v>1566</v>
      </c>
      <c r="AG12" s="309" t="s">
        <v>1566</v>
      </c>
      <c r="AH12" s="309" t="s">
        <v>5351</v>
      </c>
      <c r="AI12" s="309" t="s">
        <v>5352</v>
      </c>
      <c r="AJ12" s="309"/>
      <c r="AK12" s="309" t="s">
        <v>37</v>
      </c>
      <c r="AL12" s="309" t="s">
        <v>39</v>
      </c>
      <c r="AM12" s="299">
        <v>4.3794938657447346</v>
      </c>
      <c r="AN12" s="313"/>
      <c r="AO12" s="314"/>
      <c r="AP12" s="314"/>
      <c r="AQ12" s="314"/>
      <c r="AR12" s="314"/>
      <c r="AS12" s="314"/>
      <c r="AT12" s="314"/>
      <c r="AU12" s="314"/>
      <c r="AV12" s="314"/>
      <c r="AW12" s="314"/>
      <c r="AX12" s="314"/>
      <c r="AY12" s="314"/>
      <c r="AZ12" s="314"/>
      <c r="BA12" s="314"/>
    </row>
    <row r="13" spans="1:53" s="301" customFormat="1" ht="15" x14ac:dyDescent="0.25">
      <c r="A13" s="312">
        <v>175</v>
      </c>
      <c r="B13" s="311">
        <v>44939.416666666664</v>
      </c>
      <c r="C13" s="308">
        <v>0.41666666666666669</v>
      </c>
      <c r="D13" s="308">
        <v>0.4236111111111111</v>
      </c>
      <c r="E13" s="308">
        <v>0.44444444444444442</v>
      </c>
      <c r="F13" s="309" t="s">
        <v>171</v>
      </c>
      <c r="G13" s="309" t="s">
        <v>2535</v>
      </c>
      <c r="H13" s="307" t="s">
        <v>5349</v>
      </c>
      <c r="I13" s="307" t="s">
        <v>377</v>
      </c>
      <c r="J13" s="307" t="s">
        <v>37</v>
      </c>
      <c r="K13" s="307" t="s">
        <v>180</v>
      </c>
      <c r="L13" s="307">
        <v>0</v>
      </c>
      <c r="M13" s="309" t="s">
        <v>5350</v>
      </c>
      <c r="N13" s="309" t="s">
        <v>76</v>
      </c>
      <c r="O13" s="309">
        <v>102010054</v>
      </c>
      <c r="P13" s="309">
        <v>26800157</v>
      </c>
      <c r="Q13" s="303">
        <v>5</v>
      </c>
      <c r="R13" s="303">
        <v>481</v>
      </c>
      <c r="S13" s="309">
        <v>0</v>
      </c>
      <c r="T13" s="309">
        <v>0</v>
      </c>
      <c r="U13" s="309">
        <v>5</v>
      </c>
      <c r="V13" s="292">
        <v>481</v>
      </c>
      <c r="W13" s="292">
        <v>700</v>
      </c>
      <c r="X13" s="309">
        <v>121</v>
      </c>
      <c r="Y13" s="309">
        <v>105</v>
      </c>
      <c r="Z13" s="309">
        <v>86</v>
      </c>
      <c r="AA13" s="309">
        <v>5</v>
      </c>
      <c r="AB13" s="307">
        <v>910.52499999999998</v>
      </c>
      <c r="AC13" s="307">
        <v>5.4850903614457831</v>
      </c>
      <c r="AD13" s="309">
        <v>13204.8</v>
      </c>
      <c r="AE13" s="309" t="s">
        <v>109</v>
      </c>
      <c r="AF13" s="309" t="s">
        <v>1566</v>
      </c>
      <c r="AG13" s="309" t="s">
        <v>1566</v>
      </c>
      <c r="AH13" s="309" t="s">
        <v>5353</v>
      </c>
      <c r="AI13" s="309" t="s">
        <v>5352</v>
      </c>
      <c r="AJ13" s="309"/>
      <c r="AK13" s="309" t="s">
        <v>37</v>
      </c>
      <c r="AL13" s="309" t="s">
        <v>39</v>
      </c>
      <c r="AM13" s="299">
        <v>4.3794938657447346</v>
      </c>
      <c r="AN13" s="313"/>
      <c r="AO13" s="314"/>
      <c r="AP13" s="314"/>
      <c r="AQ13" s="314"/>
      <c r="AR13" s="314"/>
      <c r="AS13" s="314"/>
      <c r="AT13" s="314"/>
      <c r="AU13" s="314"/>
      <c r="AV13" s="314"/>
      <c r="AW13" s="314"/>
      <c r="AX13" s="314"/>
      <c r="AY13" s="314"/>
      <c r="AZ13" s="314"/>
      <c r="BA13" s="314"/>
    </row>
    <row r="14" spans="1:53" s="301" customFormat="1" ht="15" x14ac:dyDescent="0.25">
      <c r="A14" s="312">
        <v>187</v>
      </c>
      <c r="B14" s="311">
        <v>44940.444444444445</v>
      </c>
      <c r="C14" s="308">
        <v>0.44791666666666669</v>
      </c>
      <c r="D14" s="308">
        <v>0.4513888888888889</v>
      </c>
      <c r="E14" s="308">
        <v>0.45833333333333331</v>
      </c>
      <c r="F14" s="309" t="s">
        <v>171</v>
      </c>
      <c r="G14" s="309" t="s">
        <v>265</v>
      </c>
      <c r="H14" s="307" t="s">
        <v>342</v>
      </c>
      <c r="I14" s="307" t="s">
        <v>342</v>
      </c>
      <c r="J14" s="307" t="s">
        <v>37</v>
      </c>
      <c r="K14" s="309" t="s">
        <v>180</v>
      </c>
      <c r="L14" s="309">
        <v>0</v>
      </c>
      <c r="M14" s="309" t="s">
        <v>5407</v>
      </c>
      <c r="N14" s="309" t="s">
        <v>175</v>
      </c>
      <c r="O14" s="309" t="s">
        <v>5408</v>
      </c>
      <c r="P14" s="309">
        <v>29501457</v>
      </c>
      <c r="Q14" s="303">
        <v>1</v>
      </c>
      <c r="R14" s="303">
        <v>500</v>
      </c>
      <c r="S14" s="309">
        <v>0</v>
      </c>
      <c r="T14" s="309">
        <v>0</v>
      </c>
      <c r="U14" s="309">
        <v>1</v>
      </c>
      <c r="V14" s="309">
        <v>500</v>
      </c>
      <c r="W14" s="309">
        <v>416.976</v>
      </c>
      <c r="X14" s="309">
        <v>120</v>
      </c>
      <c r="Y14" s="309">
        <v>116</v>
      </c>
      <c r="Z14" s="309">
        <v>86</v>
      </c>
      <c r="AA14" s="309">
        <v>1</v>
      </c>
      <c r="AB14" s="307">
        <v>199.52</v>
      </c>
      <c r="AC14" s="307">
        <v>1.2019277108433735</v>
      </c>
      <c r="AD14" s="309">
        <v>7156.32</v>
      </c>
      <c r="AE14" s="309" t="s">
        <v>109</v>
      </c>
      <c r="AF14" s="309" t="s">
        <v>1566</v>
      </c>
      <c r="AG14" s="309" t="s">
        <v>1566</v>
      </c>
      <c r="AH14" s="309" t="s">
        <v>5409</v>
      </c>
      <c r="AI14" s="309" t="s">
        <v>5352</v>
      </c>
      <c r="AJ14" s="309"/>
      <c r="AK14" s="309" t="s">
        <v>41</v>
      </c>
      <c r="AL14" s="309" t="s">
        <v>54</v>
      </c>
      <c r="AM14" s="299">
        <v>3.3517160879637231</v>
      </c>
      <c r="AN14" s="313"/>
      <c r="AO14" s="314"/>
      <c r="AP14" s="314"/>
      <c r="AQ14" s="314"/>
      <c r="AR14" s="314"/>
      <c r="AS14" s="314"/>
      <c r="AT14" s="314"/>
      <c r="AU14" s="314"/>
      <c r="AV14" s="314"/>
      <c r="AW14" s="314"/>
      <c r="AX14" s="314"/>
      <c r="AY14" s="314"/>
      <c r="AZ14" s="314"/>
      <c r="BA14" s="314"/>
    </row>
    <row r="15" spans="1:53" s="301" customFormat="1" ht="15" x14ac:dyDescent="0.25">
      <c r="A15" s="312">
        <v>188</v>
      </c>
      <c r="B15" s="311">
        <v>44940.458333333336</v>
      </c>
      <c r="C15" s="308">
        <v>0.46180555555555558</v>
      </c>
      <c r="D15" s="308">
        <v>0.47569444444444442</v>
      </c>
      <c r="E15" s="308">
        <v>0.49305555555555558</v>
      </c>
      <c r="F15" s="309" t="s">
        <v>171</v>
      </c>
      <c r="G15" s="309" t="s">
        <v>5410</v>
      </c>
      <c r="H15" s="307" t="s">
        <v>291</v>
      </c>
      <c r="I15" s="307" t="s">
        <v>172</v>
      </c>
      <c r="J15" s="307" t="s">
        <v>37</v>
      </c>
      <c r="K15" s="309" t="s">
        <v>180</v>
      </c>
      <c r="L15" s="309" t="s">
        <v>206</v>
      </c>
      <c r="M15" s="309" t="s">
        <v>5411</v>
      </c>
      <c r="N15" s="309" t="s">
        <v>59</v>
      </c>
      <c r="O15" s="309" t="s">
        <v>5412</v>
      </c>
      <c r="P15" s="309">
        <v>825209</v>
      </c>
      <c r="Q15" s="303">
        <v>5</v>
      </c>
      <c r="R15" s="303">
        <v>64</v>
      </c>
      <c r="S15" s="309">
        <v>5</v>
      </c>
      <c r="T15" s="309">
        <v>64</v>
      </c>
      <c r="U15" s="309">
        <v>0</v>
      </c>
      <c r="V15" s="309">
        <v>0</v>
      </c>
      <c r="W15" s="309">
        <v>64</v>
      </c>
      <c r="X15" s="309">
        <v>59</v>
      </c>
      <c r="Y15" s="309">
        <v>31</v>
      </c>
      <c r="Z15" s="309">
        <v>23</v>
      </c>
      <c r="AA15" s="309">
        <v>5</v>
      </c>
      <c r="AB15" s="307">
        <v>35.055833333333332</v>
      </c>
      <c r="AC15" s="307">
        <v>0.21117971887550199</v>
      </c>
      <c r="AD15" s="309">
        <v>1383</v>
      </c>
      <c r="AE15" s="309" t="s">
        <v>111</v>
      </c>
      <c r="AF15" s="309" t="s">
        <v>1566</v>
      </c>
      <c r="AG15" s="309" t="s">
        <v>1566</v>
      </c>
      <c r="AH15" s="309" t="s">
        <v>5413</v>
      </c>
      <c r="AI15" s="309"/>
      <c r="AJ15" s="309"/>
      <c r="AK15" s="309" t="s">
        <v>48</v>
      </c>
      <c r="AL15" s="309" t="s">
        <v>47</v>
      </c>
      <c r="AM15" s="299">
        <v>3.3378271990732173</v>
      </c>
      <c r="AN15" s="313"/>
      <c r="AO15" s="314"/>
      <c r="AP15" s="314"/>
      <c r="AQ15" s="314"/>
      <c r="AR15" s="314"/>
      <c r="AS15" s="314"/>
      <c r="AT15" s="314"/>
      <c r="AU15" s="314"/>
      <c r="AV15" s="314"/>
      <c r="AW15" s="314"/>
      <c r="AX15" s="314"/>
      <c r="AY15" s="314"/>
      <c r="AZ15" s="314"/>
      <c r="BA15" s="314"/>
    </row>
    <row r="16" spans="1:53" s="301" customFormat="1" ht="15" x14ac:dyDescent="0.25">
      <c r="A16" s="312">
        <v>189</v>
      </c>
      <c r="B16" s="311">
        <v>44940.458333333336</v>
      </c>
      <c r="C16" s="308">
        <v>0.46180555555555558</v>
      </c>
      <c r="D16" s="308">
        <v>0.47569444444444442</v>
      </c>
      <c r="E16" s="308">
        <v>0.49305555555555558</v>
      </c>
      <c r="F16" s="309" t="s">
        <v>171</v>
      </c>
      <c r="G16" s="309" t="s">
        <v>5410</v>
      </c>
      <c r="H16" s="307" t="s">
        <v>291</v>
      </c>
      <c r="I16" s="307" t="s">
        <v>172</v>
      </c>
      <c r="J16" s="307" t="s">
        <v>37</v>
      </c>
      <c r="K16" s="309" t="s">
        <v>180</v>
      </c>
      <c r="L16" s="309" t="s">
        <v>206</v>
      </c>
      <c r="M16" s="309" t="s">
        <v>5411</v>
      </c>
      <c r="N16" s="309" t="s">
        <v>59</v>
      </c>
      <c r="O16" s="309" t="s">
        <v>5414</v>
      </c>
      <c r="P16" s="309">
        <v>842156</v>
      </c>
      <c r="Q16" s="303">
        <v>4</v>
      </c>
      <c r="R16" s="303">
        <v>56</v>
      </c>
      <c r="S16" s="309">
        <v>4</v>
      </c>
      <c r="T16" s="309">
        <v>56</v>
      </c>
      <c r="U16" s="309">
        <v>0</v>
      </c>
      <c r="V16" s="309">
        <v>0</v>
      </c>
      <c r="W16" s="309">
        <v>50</v>
      </c>
      <c r="X16" s="309">
        <v>59</v>
      </c>
      <c r="Y16" s="309">
        <v>31</v>
      </c>
      <c r="Z16" s="309">
        <v>23</v>
      </c>
      <c r="AA16" s="309">
        <v>3</v>
      </c>
      <c r="AB16" s="307">
        <v>21.0335</v>
      </c>
      <c r="AC16" s="307">
        <v>0.1267078313253012</v>
      </c>
      <c r="AD16" s="309">
        <v>1102</v>
      </c>
      <c r="AE16" s="309" t="s">
        <v>111</v>
      </c>
      <c r="AF16" s="309" t="s">
        <v>1566</v>
      </c>
      <c r="AG16" s="309" t="s">
        <v>1566</v>
      </c>
      <c r="AH16" s="309" t="s">
        <v>5415</v>
      </c>
      <c r="AI16" s="309"/>
      <c r="AJ16" s="309"/>
      <c r="AK16" s="309" t="s">
        <v>48</v>
      </c>
      <c r="AL16" s="309" t="s">
        <v>47</v>
      </c>
      <c r="AM16" s="299">
        <v>3.3378271990732173</v>
      </c>
      <c r="AN16" s="313"/>
      <c r="AO16" s="314"/>
      <c r="AP16" s="314"/>
      <c r="AQ16" s="314"/>
      <c r="AR16" s="314"/>
      <c r="AS16" s="314"/>
      <c r="AT16" s="314"/>
      <c r="AU16" s="314"/>
      <c r="AV16" s="314"/>
      <c r="AW16" s="314"/>
      <c r="AX16" s="314"/>
      <c r="AY16" s="314"/>
      <c r="AZ16" s="314"/>
      <c r="BA16" s="314"/>
    </row>
    <row r="17" spans="1:53" s="301" customFormat="1" ht="15" x14ac:dyDescent="0.25">
      <c r="A17" s="312">
        <v>189</v>
      </c>
      <c r="B17" s="311">
        <v>44940.458333333336</v>
      </c>
      <c r="C17" s="308">
        <v>0.46180555555555558</v>
      </c>
      <c r="D17" s="308">
        <v>0.47569444444444442</v>
      </c>
      <c r="E17" s="308">
        <v>0.49305555555555558</v>
      </c>
      <c r="F17" s="309" t="s">
        <v>171</v>
      </c>
      <c r="G17" s="309" t="s">
        <v>5410</v>
      </c>
      <c r="H17" s="307" t="s">
        <v>291</v>
      </c>
      <c r="I17" s="307" t="s">
        <v>172</v>
      </c>
      <c r="J17" s="307" t="s">
        <v>37</v>
      </c>
      <c r="K17" s="309" t="s">
        <v>180</v>
      </c>
      <c r="L17" s="309" t="s">
        <v>206</v>
      </c>
      <c r="M17" s="309" t="s">
        <v>5411</v>
      </c>
      <c r="N17" s="309" t="s">
        <v>59</v>
      </c>
      <c r="O17" s="309" t="s">
        <v>5414</v>
      </c>
      <c r="P17" s="309">
        <v>842156</v>
      </c>
      <c r="Q17" s="303">
        <v>0</v>
      </c>
      <c r="R17" s="303">
        <v>0</v>
      </c>
      <c r="S17" s="309">
        <v>0</v>
      </c>
      <c r="T17" s="309">
        <v>0</v>
      </c>
      <c r="U17" s="309">
        <v>0</v>
      </c>
      <c r="V17" s="309">
        <v>0</v>
      </c>
      <c r="W17" s="309">
        <v>0</v>
      </c>
      <c r="X17" s="309">
        <v>48</v>
      </c>
      <c r="Y17" s="309">
        <v>28</v>
      </c>
      <c r="Z17" s="309">
        <v>19</v>
      </c>
      <c r="AA17" s="309">
        <v>1</v>
      </c>
      <c r="AB17" s="307">
        <v>4.2560000000000002</v>
      </c>
      <c r="AC17" s="307">
        <v>2.5638554216867473E-2</v>
      </c>
      <c r="AD17" s="309">
        <v>0</v>
      </c>
      <c r="AE17" s="309">
        <v>0</v>
      </c>
      <c r="AF17" s="309" t="s">
        <v>1566</v>
      </c>
      <c r="AG17" s="309" t="s">
        <v>1566</v>
      </c>
      <c r="AH17" s="309" t="s">
        <v>5415</v>
      </c>
      <c r="AI17" s="309"/>
      <c r="AJ17" s="309"/>
      <c r="AK17" s="309" t="s">
        <v>48</v>
      </c>
      <c r="AL17" s="309" t="s">
        <v>47</v>
      </c>
      <c r="AM17" s="299">
        <v>3.3378271990732173</v>
      </c>
      <c r="AN17" s="313"/>
      <c r="AO17" s="314"/>
      <c r="AP17" s="314"/>
      <c r="AQ17" s="314"/>
      <c r="AR17" s="314"/>
      <c r="AS17" s="314"/>
      <c r="AT17" s="314"/>
      <c r="AU17" s="314"/>
      <c r="AV17" s="314"/>
      <c r="AW17" s="314"/>
      <c r="AX17" s="314"/>
      <c r="AY17" s="314"/>
      <c r="AZ17" s="314"/>
      <c r="BA17" s="314"/>
    </row>
    <row r="18" spans="1:53" s="301" customFormat="1" ht="15" x14ac:dyDescent="0.25">
      <c r="A18" s="312">
        <v>190</v>
      </c>
      <c r="B18" s="311">
        <v>44940.458333333336</v>
      </c>
      <c r="C18" s="308">
        <v>0.46180555555555558</v>
      </c>
      <c r="D18" s="308">
        <v>0.47569444444444442</v>
      </c>
      <c r="E18" s="308">
        <v>0.49305555555555558</v>
      </c>
      <c r="F18" s="309" t="s">
        <v>171</v>
      </c>
      <c r="G18" s="309" t="s">
        <v>5410</v>
      </c>
      <c r="H18" s="307" t="s">
        <v>291</v>
      </c>
      <c r="I18" s="307" t="s">
        <v>172</v>
      </c>
      <c r="J18" s="307" t="s">
        <v>37</v>
      </c>
      <c r="K18" s="309" t="s">
        <v>180</v>
      </c>
      <c r="L18" s="309" t="s">
        <v>206</v>
      </c>
      <c r="M18" s="309" t="s">
        <v>5411</v>
      </c>
      <c r="N18" s="309" t="s">
        <v>59</v>
      </c>
      <c r="O18" s="309" t="s">
        <v>5416</v>
      </c>
      <c r="P18" s="309">
        <v>842156</v>
      </c>
      <c r="Q18" s="303">
        <v>4</v>
      </c>
      <c r="R18" s="303">
        <v>55</v>
      </c>
      <c r="S18" s="309">
        <v>4</v>
      </c>
      <c r="T18" s="309">
        <v>55</v>
      </c>
      <c r="U18" s="309">
        <v>0</v>
      </c>
      <c r="V18" s="309">
        <v>0</v>
      </c>
      <c r="W18" s="309">
        <v>55</v>
      </c>
      <c r="X18" s="309">
        <v>59</v>
      </c>
      <c r="Y18" s="309">
        <v>31</v>
      </c>
      <c r="Z18" s="309">
        <v>23</v>
      </c>
      <c r="AA18" s="309">
        <v>2</v>
      </c>
      <c r="AB18" s="307">
        <v>14.022333333333334</v>
      </c>
      <c r="AC18" s="307">
        <v>8.4471887550200811E-2</v>
      </c>
      <c r="AD18" s="309">
        <v>806</v>
      </c>
      <c r="AE18" s="309" t="s">
        <v>111</v>
      </c>
      <c r="AF18" s="309" t="s">
        <v>1566</v>
      </c>
      <c r="AG18" s="309" t="s">
        <v>1566</v>
      </c>
      <c r="AH18" s="309">
        <v>0</v>
      </c>
      <c r="AI18" s="309"/>
      <c r="AJ18" s="309"/>
      <c r="AK18" s="309" t="s">
        <v>48</v>
      </c>
      <c r="AL18" s="309" t="s">
        <v>47</v>
      </c>
      <c r="AM18" s="299">
        <v>3.3378271990732173</v>
      </c>
      <c r="AN18" s="313"/>
      <c r="AO18" s="314"/>
      <c r="AP18" s="314"/>
      <c r="AQ18" s="314"/>
      <c r="AR18" s="314"/>
      <c r="AS18" s="314"/>
      <c r="AT18" s="314"/>
      <c r="AU18" s="314"/>
      <c r="AV18" s="314"/>
      <c r="AW18" s="314"/>
      <c r="AX18" s="314"/>
      <c r="AY18" s="314"/>
      <c r="AZ18" s="314"/>
      <c r="BA18" s="314"/>
    </row>
    <row r="19" spans="1:53" s="301" customFormat="1" ht="15" x14ac:dyDescent="0.25">
      <c r="A19" s="312">
        <v>190</v>
      </c>
      <c r="B19" s="311">
        <v>44940.458333333336</v>
      </c>
      <c r="C19" s="308">
        <v>0.46180555555555558</v>
      </c>
      <c r="D19" s="308">
        <v>0.47569444444444442</v>
      </c>
      <c r="E19" s="308">
        <v>0.49305555555555558</v>
      </c>
      <c r="F19" s="309" t="s">
        <v>171</v>
      </c>
      <c r="G19" s="309" t="s">
        <v>5410</v>
      </c>
      <c r="H19" s="307" t="s">
        <v>291</v>
      </c>
      <c r="I19" s="307" t="s">
        <v>172</v>
      </c>
      <c r="J19" s="307" t="s">
        <v>37</v>
      </c>
      <c r="K19" s="309" t="s">
        <v>180</v>
      </c>
      <c r="L19" s="309" t="s">
        <v>206</v>
      </c>
      <c r="M19" s="309" t="s">
        <v>5411</v>
      </c>
      <c r="N19" s="309" t="s">
        <v>59</v>
      </c>
      <c r="O19" s="309" t="s">
        <v>5416</v>
      </c>
      <c r="P19" s="309">
        <v>842156</v>
      </c>
      <c r="Q19" s="303">
        <v>0</v>
      </c>
      <c r="R19" s="303">
        <v>0</v>
      </c>
      <c r="S19" s="309">
        <v>0</v>
      </c>
      <c r="T19" s="309">
        <v>0</v>
      </c>
      <c r="U19" s="309">
        <v>0</v>
      </c>
      <c r="V19" s="309">
        <v>0</v>
      </c>
      <c r="W19" s="309">
        <v>0</v>
      </c>
      <c r="X19" s="309">
        <v>48</v>
      </c>
      <c r="Y19" s="309">
        <v>28</v>
      </c>
      <c r="Z19" s="309">
        <v>19</v>
      </c>
      <c r="AA19" s="309">
        <v>2</v>
      </c>
      <c r="AB19" s="307">
        <v>8.5120000000000005</v>
      </c>
      <c r="AC19" s="307">
        <v>5.1277108433734946E-2</v>
      </c>
      <c r="AD19" s="309">
        <v>0</v>
      </c>
      <c r="AE19" s="309">
        <v>0</v>
      </c>
      <c r="AF19" s="309" t="s">
        <v>1566</v>
      </c>
      <c r="AG19" s="309" t="s">
        <v>1566</v>
      </c>
      <c r="AH19" s="309">
        <v>0</v>
      </c>
      <c r="AI19" s="309"/>
      <c r="AJ19" s="309"/>
      <c r="AK19" s="309" t="s">
        <v>48</v>
      </c>
      <c r="AL19" s="309" t="s">
        <v>47</v>
      </c>
      <c r="AM19" s="299">
        <v>3.3378271990732173</v>
      </c>
      <c r="AN19" s="313"/>
      <c r="AO19" s="314"/>
      <c r="AP19" s="31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4"/>
    </row>
    <row r="20" spans="1:53" s="301" customFormat="1" ht="15" x14ac:dyDescent="0.25">
      <c r="A20" s="312">
        <v>191</v>
      </c>
      <c r="B20" s="311">
        <v>44940.458333333336</v>
      </c>
      <c r="C20" s="308">
        <v>0.46180555555555558</v>
      </c>
      <c r="D20" s="308">
        <v>0.47569444444444442</v>
      </c>
      <c r="E20" s="308">
        <v>0.49305555555555558</v>
      </c>
      <c r="F20" s="309" t="s">
        <v>171</v>
      </c>
      <c r="G20" s="309" t="s">
        <v>5410</v>
      </c>
      <c r="H20" s="307" t="s">
        <v>291</v>
      </c>
      <c r="I20" s="307" t="s">
        <v>172</v>
      </c>
      <c r="J20" s="307" t="s">
        <v>37</v>
      </c>
      <c r="K20" s="309" t="s">
        <v>180</v>
      </c>
      <c r="L20" s="309" t="s">
        <v>206</v>
      </c>
      <c r="M20" s="309" t="s">
        <v>5411</v>
      </c>
      <c r="N20" s="309" t="s">
        <v>59</v>
      </c>
      <c r="O20" s="309" t="s">
        <v>5417</v>
      </c>
      <c r="P20" s="309">
        <v>828678</v>
      </c>
      <c r="Q20" s="303">
        <v>2</v>
      </c>
      <c r="R20" s="303">
        <v>28</v>
      </c>
      <c r="S20" s="309">
        <v>2</v>
      </c>
      <c r="T20" s="309">
        <v>28</v>
      </c>
      <c r="U20" s="309">
        <v>0</v>
      </c>
      <c r="V20" s="309">
        <v>0</v>
      </c>
      <c r="W20" s="309">
        <v>27</v>
      </c>
      <c r="X20" s="309">
        <v>59</v>
      </c>
      <c r="Y20" s="309">
        <v>31</v>
      </c>
      <c r="Z20" s="309">
        <v>23</v>
      </c>
      <c r="AA20" s="309">
        <v>2</v>
      </c>
      <c r="AB20" s="307">
        <v>14.022333333333334</v>
      </c>
      <c r="AC20" s="307">
        <v>8.4471887550200811E-2</v>
      </c>
      <c r="AD20" s="309">
        <v>1186</v>
      </c>
      <c r="AE20" s="309" t="s">
        <v>111</v>
      </c>
      <c r="AF20" s="309" t="s">
        <v>1566</v>
      </c>
      <c r="AG20" s="309" t="s">
        <v>1566</v>
      </c>
      <c r="AH20" s="309">
        <v>0</v>
      </c>
      <c r="AI20" s="309"/>
      <c r="AJ20" s="309"/>
      <c r="AK20" s="309" t="s">
        <v>48</v>
      </c>
      <c r="AL20" s="309" t="s">
        <v>47</v>
      </c>
      <c r="AM20" s="299">
        <v>3.3378271990732173</v>
      </c>
      <c r="AN20" s="313"/>
      <c r="AO20" s="314"/>
      <c r="AP20" s="314"/>
      <c r="AQ20" s="314"/>
      <c r="AR20" s="314"/>
      <c r="AS20" s="314"/>
      <c r="AT20" s="314"/>
      <c r="AU20" s="314"/>
      <c r="AV20" s="314"/>
      <c r="AW20" s="314"/>
      <c r="AX20" s="314"/>
      <c r="AY20" s="314"/>
      <c r="AZ20" s="314"/>
      <c r="BA20" s="314"/>
    </row>
    <row r="21" spans="1:53" s="301" customFormat="1" ht="15" x14ac:dyDescent="0.25">
      <c r="A21" s="312">
        <v>192</v>
      </c>
      <c r="B21" s="311">
        <v>44940.458333333336</v>
      </c>
      <c r="C21" s="308">
        <v>0.46180555555555558</v>
      </c>
      <c r="D21" s="308">
        <v>0.47569444444444442</v>
      </c>
      <c r="E21" s="308">
        <v>0.49305555555555558</v>
      </c>
      <c r="F21" s="309" t="s">
        <v>171</v>
      </c>
      <c r="G21" s="309" t="s">
        <v>5410</v>
      </c>
      <c r="H21" s="307" t="s">
        <v>291</v>
      </c>
      <c r="I21" s="307" t="s">
        <v>172</v>
      </c>
      <c r="J21" s="307" t="s">
        <v>37</v>
      </c>
      <c r="K21" s="309" t="s">
        <v>180</v>
      </c>
      <c r="L21" s="309" t="s">
        <v>206</v>
      </c>
      <c r="M21" s="309" t="s">
        <v>5411</v>
      </c>
      <c r="N21" s="309" t="s">
        <v>59</v>
      </c>
      <c r="O21" s="309" t="s">
        <v>5418</v>
      </c>
      <c r="P21" s="309">
        <v>804629</v>
      </c>
      <c r="Q21" s="303">
        <v>3</v>
      </c>
      <c r="R21" s="303">
        <v>33</v>
      </c>
      <c r="S21" s="309">
        <v>3</v>
      </c>
      <c r="T21" s="309">
        <v>33</v>
      </c>
      <c r="U21" s="309">
        <v>0</v>
      </c>
      <c r="V21" s="309">
        <v>0</v>
      </c>
      <c r="W21" s="309">
        <v>32</v>
      </c>
      <c r="X21" s="309">
        <v>36</v>
      </c>
      <c r="Y21" s="309">
        <v>38</v>
      </c>
      <c r="Z21" s="309">
        <v>18</v>
      </c>
      <c r="AA21" s="309">
        <v>3</v>
      </c>
      <c r="AB21" s="307">
        <v>12.311999999999999</v>
      </c>
      <c r="AC21" s="307">
        <v>7.4168674698795178E-2</v>
      </c>
      <c r="AD21" s="309">
        <v>772.25</v>
      </c>
      <c r="AE21" s="309" t="s">
        <v>111</v>
      </c>
      <c r="AF21" s="309" t="s">
        <v>1566</v>
      </c>
      <c r="AG21" s="309" t="s">
        <v>1566</v>
      </c>
      <c r="AH21" s="309">
        <v>0</v>
      </c>
      <c r="AI21" s="309"/>
      <c r="AJ21" s="309"/>
      <c r="AK21" s="309" t="s">
        <v>48</v>
      </c>
      <c r="AL21" s="309" t="s">
        <v>47</v>
      </c>
      <c r="AM21" s="299">
        <v>3.3378271990732173</v>
      </c>
      <c r="AN21" s="313"/>
      <c r="AO21" s="314"/>
      <c r="AP21" s="314"/>
      <c r="AQ21" s="314"/>
      <c r="AR21" s="314"/>
      <c r="AS21" s="314"/>
      <c r="AT21" s="314"/>
      <c r="AU21" s="314"/>
      <c r="AV21" s="314"/>
      <c r="AW21" s="314"/>
      <c r="AX21" s="314"/>
      <c r="AY21" s="314"/>
      <c r="AZ21" s="314"/>
      <c r="BA21" s="314"/>
    </row>
    <row r="22" spans="1:53" s="301" customFormat="1" ht="15" x14ac:dyDescent="0.25">
      <c r="A22" s="312">
        <v>193</v>
      </c>
      <c r="B22" s="311">
        <v>44940.524305555555</v>
      </c>
      <c r="C22" s="308">
        <v>0.52777777777777779</v>
      </c>
      <c r="D22" s="308">
        <v>0.56597222222222221</v>
      </c>
      <c r="E22" s="308">
        <v>0.80555555555555547</v>
      </c>
      <c r="F22" s="309" t="s">
        <v>169</v>
      </c>
      <c r="G22" s="309" t="s">
        <v>5419</v>
      </c>
      <c r="H22" s="307" t="s">
        <v>282</v>
      </c>
      <c r="I22" s="307" t="s">
        <v>281</v>
      </c>
      <c r="J22" s="307" t="s">
        <v>37</v>
      </c>
      <c r="K22" s="309" t="s">
        <v>281</v>
      </c>
      <c r="L22" s="309" t="s">
        <v>37</v>
      </c>
      <c r="M22" s="309" t="s">
        <v>5420</v>
      </c>
      <c r="N22" s="309" t="s">
        <v>38</v>
      </c>
      <c r="O22" s="309" t="s">
        <v>5421</v>
      </c>
      <c r="P22" s="309">
        <v>2000062085</v>
      </c>
      <c r="Q22" s="303">
        <v>313</v>
      </c>
      <c r="R22" s="303">
        <v>3345</v>
      </c>
      <c r="S22" s="309">
        <v>313</v>
      </c>
      <c r="T22" s="309">
        <v>3345</v>
      </c>
      <c r="U22" s="309">
        <v>0</v>
      </c>
      <c r="V22" s="309">
        <v>0</v>
      </c>
      <c r="W22" s="309">
        <v>2810</v>
      </c>
      <c r="X22" s="309">
        <v>47</v>
      </c>
      <c r="Y22" s="309">
        <v>46</v>
      </c>
      <c r="Z22" s="309">
        <v>34</v>
      </c>
      <c r="AA22" s="309">
        <v>254</v>
      </c>
      <c r="AB22" s="307">
        <v>3111.8386666666665</v>
      </c>
      <c r="AC22" s="307">
        <v>18.746016064257027</v>
      </c>
      <c r="AD22" s="309">
        <v>33124.92</v>
      </c>
      <c r="AE22" s="309" t="s">
        <v>109</v>
      </c>
      <c r="AF22" s="309">
        <v>6957504</v>
      </c>
      <c r="AG22" s="309" t="s">
        <v>5244</v>
      </c>
      <c r="AH22" s="309" t="s">
        <v>5422</v>
      </c>
      <c r="AI22" s="309" t="s">
        <v>5358</v>
      </c>
      <c r="AJ22" s="309"/>
      <c r="AK22" s="309" t="s">
        <v>48</v>
      </c>
      <c r="AL22" s="309" t="s">
        <v>50</v>
      </c>
      <c r="AM22" s="299">
        <v>3.2718549768542289</v>
      </c>
      <c r="AN22" s="313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</row>
    <row r="23" spans="1:53" s="301" customFormat="1" ht="15" x14ac:dyDescent="0.25">
      <c r="A23" s="312">
        <v>193</v>
      </c>
      <c r="B23" s="311">
        <v>44940.524305555555</v>
      </c>
      <c r="C23" s="308">
        <v>0.52777777777777779</v>
      </c>
      <c r="D23" s="308">
        <v>0.56597222222222221</v>
      </c>
      <c r="E23" s="308">
        <v>0.80555555555555547</v>
      </c>
      <c r="F23" s="309" t="s">
        <v>169</v>
      </c>
      <c r="G23" s="309" t="s">
        <v>5419</v>
      </c>
      <c r="H23" s="307" t="s">
        <v>282</v>
      </c>
      <c r="I23" s="307" t="s">
        <v>281</v>
      </c>
      <c r="J23" s="307" t="s">
        <v>37</v>
      </c>
      <c r="K23" s="309" t="s">
        <v>281</v>
      </c>
      <c r="L23" s="309" t="s">
        <v>37</v>
      </c>
      <c r="M23" s="309" t="s">
        <v>5420</v>
      </c>
      <c r="N23" s="309" t="s">
        <v>38</v>
      </c>
      <c r="O23" s="309" t="s">
        <v>5421</v>
      </c>
      <c r="P23" s="309">
        <v>2000062085</v>
      </c>
      <c r="Q23" s="303">
        <v>0</v>
      </c>
      <c r="R23" s="303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54</v>
      </c>
      <c r="Y23" s="309">
        <v>52</v>
      </c>
      <c r="Z23" s="309">
        <v>36</v>
      </c>
      <c r="AA23" s="309">
        <v>59</v>
      </c>
      <c r="AB23" s="307">
        <v>994.03200000000004</v>
      </c>
      <c r="AC23" s="307">
        <v>5.9881445783132534</v>
      </c>
      <c r="AD23" s="309">
        <v>0</v>
      </c>
      <c r="AE23" s="309">
        <v>0</v>
      </c>
      <c r="AF23" s="309">
        <v>6957504</v>
      </c>
      <c r="AG23" s="309" t="s">
        <v>5244</v>
      </c>
      <c r="AH23" s="309" t="s">
        <v>5422</v>
      </c>
      <c r="AI23" s="309" t="s">
        <v>5358</v>
      </c>
      <c r="AJ23" s="309"/>
      <c r="AK23" s="309" t="s">
        <v>48</v>
      </c>
      <c r="AL23" s="309" t="s">
        <v>50</v>
      </c>
      <c r="AM23" s="299">
        <v>3.2718549768542289</v>
      </c>
      <c r="AN23" s="313"/>
      <c r="AO23" s="314"/>
      <c r="AP23" s="314"/>
      <c r="AQ23" s="314"/>
      <c r="AR23" s="314"/>
      <c r="AS23" s="314"/>
      <c r="AT23" s="314"/>
      <c r="AU23" s="314"/>
      <c r="AV23" s="314"/>
      <c r="AW23" s="314"/>
      <c r="AX23" s="314"/>
      <c r="AY23" s="314"/>
      <c r="AZ23" s="314"/>
      <c r="BA23" s="314"/>
    </row>
    <row r="24" spans="1:53" s="301" customFormat="1" ht="15" x14ac:dyDescent="0.25">
      <c r="A24" s="312">
        <v>195</v>
      </c>
      <c r="B24" s="311">
        <v>44940.638888888891</v>
      </c>
      <c r="C24" s="308">
        <v>0.64236111111111105</v>
      </c>
      <c r="D24" s="308">
        <v>0.65972222222222221</v>
      </c>
      <c r="E24" s="308">
        <v>0.69097222222222221</v>
      </c>
      <c r="F24" s="309" t="s">
        <v>170</v>
      </c>
      <c r="G24" s="309" t="s">
        <v>376</v>
      </c>
      <c r="H24" s="307" t="s">
        <v>55</v>
      </c>
      <c r="I24" s="307" t="s">
        <v>73</v>
      </c>
      <c r="J24" s="307" t="s">
        <v>37</v>
      </c>
      <c r="K24" s="309" t="s">
        <v>63</v>
      </c>
      <c r="L24" s="309" t="s">
        <v>216</v>
      </c>
      <c r="M24" s="309" t="s">
        <v>5427</v>
      </c>
      <c r="N24" s="309" t="s">
        <v>59</v>
      </c>
      <c r="O24" s="309">
        <v>92101005</v>
      </c>
      <c r="P24" s="309" t="s">
        <v>5428</v>
      </c>
      <c r="Q24" s="303">
        <v>2</v>
      </c>
      <c r="R24" s="303">
        <v>408</v>
      </c>
      <c r="S24" s="309">
        <v>0</v>
      </c>
      <c r="T24" s="309">
        <v>0</v>
      </c>
      <c r="U24" s="309">
        <v>2</v>
      </c>
      <c r="V24" s="309">
        <v>408</v>
      </c>
      <c r="W24" s="309">
        <v>394.8</v>
      </c>
      <c r="X24" s="309">
        <v>95</v>
      </c>
      <c r="Y24" s="309">
        <v>65</v>
      </c>
      <c r="Z24" s="309">
        <v>54</v>
      </c>
      <c r="AA24" s="309">
        <v>1</v>
      </c>
      <c r="AB24" s="307">
        <v>55.575000000000003</v>
      </c>
      <c r="AC24" s="307">
        <v>0.33478915662650605</v>
      </c>
      <c r="AD24" s="309">
        <v>2368.73</v>
      </c>
      <c r="AE24" s="309" t="s">
        <v>109</v>
      </c>
      <c r="AF24" s="309" t="s">
        <v>317</v>
      </c>
      <c r="AG24" s="309" t="s">
        <v>317</v>
      </c>
      <c r="AH24" s="309" t="s">
        <v>5429</v>
      </c>
      <c r="AI24" s="309" t="s">
        <v>5426</v>
      </c>
      <c r="AJ24" s="309"/>
      <c r="AK24" s="309" t="s">
        <v>37</v>
      </c>
      <c r="AL24" s="309" t="s">
        <v>49</v>
      </c>
      <c r="AM24" s="299">
        <v>3.1572716435184702</v>
      </c>
      <c r="AN24" s="313"/>
      <c r="AO24" s="314"/>
      <c r="AP24" s="314"/>
      <c r="AQ24" s="314"/>
      <c r="AR24" s="314"/>
      <c r="AS24" s="314"/>
      <c r="AT24" s="314"/>
      <c r="AU24" s="314"/>
      <c r="AV24" s="314"/>
      <c r="AW24" s="314"/>
      <c r="AX24" s="314"/>
      <c r="AY24" s="314"/>
      <c r="AZ24" s="314"/>
      <c r="BA24" s="314"/>
    </row>
    <row r="25" spans="1:53" s="301" customFormat="1" ht="15" x14ac:dyDescent="0.25">
      <c r="A25" s="312">
        <v>195</v>
      </c>
      <c r="B25" s="311">
        <v>44940.638888888891</v>
      </c>
      <c r="C25" s="308">
        <v>0.64236111111111105</v>
      </c>
      <c r="D25" s="308">
        <v>0.65972222222222221</v>
      </c>
      <c r="E25" s="308">
        <v>0.69097222222222221</v>
      </c>
      <c r="F25" s="309" t="s">
        <v>170</v>
      </c>
      <c r="G25" s="309" t="s">
        <v>376</v>
      </c>
      <c r="H25" s="307" t="s">
        <v>55</v>
      </c>
      <c r="I25" s="307" t="s">
        <v>73</v>
      </c>
      <c r="J25" s="307" t="s">
        <v>37</v>
      </c>
      <c r="K25" s="309" t="s">
        <v>63</v>
      </c>
      <c r="L25" s="309" t="s">
        <v>216</v>
      </c>
      <c r="M25" s="309" t="s">
        <v>5427</v>
      </c>
      <c r="N25" s="309" t="s">
        <v>59</v>
      </c>
      <c r="O25" s="309">
        <v>92101005</v>
      </c>
      <c r="P25" s="309" t="s">
        <v>5428</v>
      </c>
      <c r="Q25" s="303">
        <v>0</v>
      </c>
      <c r="R25" s="303">
        <v>0</v>
      </c>
      <c r="S25" s="309">
        <v>0</v>
      </c>
      <c r="T25" s="309">
        <v>0</v>
      </c>
      <c r="U25" s="309">
        <v>0</v>
      </c>
      <c r="V25" s="309">
        <v>0</v>
      </c>
      <c r="W25" s="309">
        <v>0</v>
      </c>
      <c r="X25" s="309">
        <v>65</v>
      </c>
      <c r="Y25" s="309">
        <v>60</v>
      </c>
      <c r="Z25" s="309">
        <v>45</v>
      </c>
      <c r="AA25" s="309">
        <v>1</v>
      </c>
      <c r="AB25" s="307">
        <v>29.25</v>
      </c>
      <c r="AC25" s="307">
        <v>0.17620481927710843</v>
      </c>
      <c r="AD25" s="309">
        <v>0</v>
      </c>
      <c r="AE25" s="309">
        <v>0</v>
      </c>
      <c r="AF25" s="309" t="s">
        <v>317</v>
      </c>
      <c r="AG25" s="309" t="s">
        <v>317</v>
      </c>
      <c r="AH25" s="309" t="s">
        <v>5429</v>
      </c>
      <c r="AI25" s="309" t="s">
        <v>5426</v>
      </c>
      <c r="AJ25" s="309"/>
      <c r="AK25" s="309" t="s">
        <v>37</v>
      </c>
      <c r="AL25" s="309" t="s">
        <v>49</v>
      </c>
      <c r="AM25" s="299">
        <v>3.1572716435184702</v>
      </c>
      <c r="AN25" s="313"/>
      <c r="AO25" s="314"/>
      <c r="AP25" s="314"/>
      <c r="AQ25" s="314"/>
      <c r="AR25" s="314"/>
      <c r="AS25" s="314"/>
      <c r="AT25" s="314"/>
      <c r="AU25" s="314"/>
      <c r="AV25" s="314"/>
      <c r="AW25" s="314"/>
      <c r="AX25" s="314"/>
      <c r="AY25" s="314"/>
      <c r="AZ25" s="314"/>
      <c r="BA25" s="314"/>
    </row>
    <row r="26" spans="1:53" s="301" customFormat="1" ht="15" x14ac:dyDescent="0.25">
      <c r="A26" s="312">
        <v>196</v>
      </c>
      <c r="B26" s="311">
        <v>44940.638888888891</v>
      </c>
      <c r="C26" s="308">
        <v>0.64236111111111105</v>
      </c>
      <c r="D26" s="308">
        <v>0.65972222222222221</v>
      </c>
      <c r="E26" s="308">
        <v>0.69097222222222221</v>
      </c>
      <c r="F26" s="309" t="s">
        <v>170</v>
      </c>
      <c r="G26" s="309" t="s">
        <v>376</v>
      </c>
      <c r="H26" s="307" t="s">
        <v>57</v>
      </c>
      <c r="I26" s="307" t="s">
        <v>110</v>
      </c>
      <c r="J26" s="307" t="s">
        <v>37</v>
      </c>
      <c r="K26" s="309" t="s">
        <v>63</v>
      </c>
      <c r="L26" s="309" t="s">
        <v>209</v>
      </c>
      <c r="M26" s="309" t="s">
        <v>5430</v>
      </c>
      <c r="N26" s="309" t="s">
        <v>186</v>
      </c>
      <c r="O26" s="309" t="s">
        <v>5431</v>
      </c>
      <c r="P26" s="309">
        <v>96244310</v>
      </c>
      <c r="Q26" s="303">
        <v>1</v>
      </c>
      <c r="R26" s="303">
        <v>109</v>
      </c>
      <c r="S26" s="309">
        <v>0</v>
      </c>
      <c r="T26" s="309">
        <v>0</v>
      </c>
      <c r="U26" s="309">
        <v>1</v>
      </c>
      <c r="V26" s="309">
        <v>109</v>
      </c>
      <c r="W26" s="309">
        <v>108</v>
      </c>
      <c r="X26" s="309">
        <v>80</v>
      </c>
      <c r="Y26" s="309">
        <v>60</v>
      </c>
      <c r="Z26" s="309">
        <v>69</v>
      </c>
      <c r="AA26" s="309">
        <v>1</v>
      </c>
      <c r="AB26" s="307">
        <v>55.2</v>
      </c>
      <c r="AC26" s="307">
        <v>0.3325301204819277</v>
      </c>
      <c r="AD26" s="309">
        <v>539.54999999999995</v>
      </c>
      <c r="AE26" s="309" t="s">
        <v>109</v>
      </c>
      <c r="AF26" s="309" t="s">
        <v>317</v>
      </c>
      <c r="AG26" s="309" t="s">
        <v>317</v>
      </c>
      <c r="AH26" s="309" t="s">
        <v>5432</v>
      </c>
      <c r="AI26" s="309" t="s">
        <v>5426</v>
      </c>
      <c r="AJ26" s="309"/>
      <c r="AK26" s="309" t="s">
        <v>37</v>
      </c>
      <c r="AL26" s="309" t="s">
        <v>49</v>
      </c>
      <c r="AM26" s="299">
        <v>3.1572716435184702</v>
      </c>
      <c r="AN26" s="313"/>
      <c r="AO26" s="314"/>
      <c r="AP26" s="314"/>
      <c r="AQ26" s="314"/>
      <c r="AR26" s="314"/>
      <c r="AS26" s="314"/>
      <c r="AT26" s="314"/>
      <c r="AU26" s="314"/>
      <c r="AV26" s="314"/>
      <c r="AW26" s="314"/>
      <c r="AX26" s="314"/>
      <c r="AY26" s="314"/>
      <c r="AZ26" s="314"/>
      <c r="BA26" s="314"/>
    </row>
    <row r="27" spans="1:53" s="301" customFormat="1" ht="15" x14ac:dyDescent="0.25">
      <c r="A27" s="312">
        <v>203</v>
      </c>
      <c r="B27" s="311">
        <v>44940.708333333336</v>
      </c>
      <c r="C27" s="308">
        <v>0.71527777777777779</v>
      </c>
      <c r="D27" s="308">
        <v>0.72222222222222221</v>
      </c>
      <c r="E27" s="308">
        <v>0.73263888888888884</v>
      </c>
      <c r="F27" s="309" t="s">
        <v>171</v>
      </c>
      <c r="G27" s="309" t="s">
        <v>101</v>
      </c>
      <c r="H27" s="307" t="s">
        <v>5453</v>
      </c>
      <c r="I27" s="307" t="s">
        <v>5454</v>
      </c>
      <c r="J27" s="307" t="s">
        <v>37</v>
      </c>
      <c r="K27" s="309" t="s">
        <v>180</v>
      </c>
      <c r="L27" s="309" t="s">
        <v>209</v>
      </c>
      <c r="M27" s="309" t="s">
        <v>5455</v>
      </c>
      <c r="N27" s="309" t="s">
        <v>42</v>
      </c>
      <c r="O27" s="309" t="s">
        <v>5456</v>
      </c>
      <c r="P27" s="309" t="s">
        <v>5457</v>
      </c>
      <c r="Q27" s="303">
        <v>7</v>
      </c>
      <c r="R27" s="303">
        <v>51</v>
      </c>
      <c r="S27" s="309">
        <v>7</v>
      </c>
      <c r="T27" s="309">
        <v>51</v>
      </c>
      <c r="U27" s="309">
        <v>0</v>
      </c>
      <c r="V27" s="309">
        <v>0</v>
      </c>
      <c r="W27" s="309">
        <v>33</v>
      </c>
      <c r="X27" s="309">
        <v>35</v>
      </c>
      <c r="Y27" s="309">
        <v>31</v>
      </c>
      <c r="Z27" s="309">
        <v>16</v>
      </c>
      <c r="AA27" s="309">
        <v>7</v>
      </c>
      <c r="AB27" s="307">
        <v>20.253333333333334</v>
      </c>
      <c r="AC27" s="307">
        <v>0.12200803212851406</v>
      </c>
      <c r="AD27" s="309">
        <v>13500</v>
      </c>
      <c r="AE27" s="309" t="s">
        <v>109</v>
      </c>
      <c r="AF27" s="309" t="s">
        <v>317</v>
      </c>
      <c r="AG27" s="309" t="s">
        <v>317</v>
      </c>
      <c r="AH27" s="309" t="s">
        <v>5458</v>
      </c>
      <c r="AI27" s="309" t="s">
        <v>5426</v>
      </c>
      <c r="AJ27" s="309" t="s">
        <v>5459</v>
      </c>
      <c r="AK27" s="309" t="s">
        <v>48</v>
      </c>
      <c r="AL27" s="309" t="s">
        <v>47</v>
      </c>
      <c r="AM27" s="299">
        <v>3.0878271990732173</v>
      </c>
      <c r="AN27" s="313"/>
      <c r="AO27" s="314"/>
      <c r="AP27" s="314"/>
      <c r="AQ27" s="314"/>
      <c r="AR27" s="314"/>
      <c r="AS27" s="314"/>
      <c r="AT27" s="314"/>
      <c r="AU27" s="314"/>
      <c r="AV27" s="314"/>
      <c r="AW27" s="314"/>
      <c r="AX27" s="314"/>
      <c r="AY27" s="314"/>
      <c r="AZ27" s="314"/>
      <c r="BA27" s="314"/>
    </row>
    <row r="28" spans="1:53" s="301" customFormat="1" ht="15" x14ac:dyDescent="0.25">
      <c r="A28" s="312">
        <v>204</v>
      </c>
      <c r="B28" s="311">
        <v>44940.75</v>
      </c>
      <c r="C28" s="308">
        <v>0.75694444444444453</v>
      </c>
      <c r="D28" s="308">
        <v>0.76041666666666663</v>
      </c>
      <c r="E28" s="308">
        <v>0.76736111111111116</v>
      </c>
      <c r="F28" s="309" t="s">
        <v>171</v>
      </c>
      <c r="G28" s="309" t="s">
        <v>148</v>
      </c>
      <c r="H28" s="307" t="s">
        <v>315</v>
      </c>
      <c r="I28" s="307" t="s">
        <v>172</v>
      </c>
      <c r="J28" s="307" t="s">
        <v>37</v>
      </c>
      <c r="K28" s="303" t="s">
        <v>180</v>
      </c>
      <c r="L28" s="214" t="s">
        <v>206</v>
      </c>
      <c r="M28" s="309" t="s">
        <v>5460</v>
      </c>
      <c r="N28" s="309" t="s">
        <v>59</v>
      </c>
      <c r="O28" s="309" t="s">
        <v>5461</v>
      </c>
      <c r="P28" s="309">
        <v>7821525508</v>
      </c>
      <c r="Q28" s="303">
        <v>1</v>
      </c>
      <c r="R28" s="303">
        <v>25</v>
      </c>
      <c r="S28" s="309">
        <v>1</v>
      </c>
      <c r="T28" s="309">
        <v>25</v>
      </c>
      <c r="U28" s="309">
        <v>0</v>
      </c>
      <c r="V28" s="309">
        <v>0</v>
      </c>
      <c r="W28" s="309">
        <v>23.5</v>
      </c>
      <c r="X28" s="309">
        <v>52</v>
      </c>
      <c r="Y28" s="309">
        <v>31</v>
      </c>
      <c r="Z28" s="309">
        <v>31</v>
      </c>
      <c r="AA28" s="309">
        <v>1</v>
      </c>
      <c r="AB28" s="307">
        <v>8.3286666666666669</v>
      </c>
      <c r="AC28" s="307">
        <v>5.0172690763052211E-2</v>
      </c>
      <c r="AD28" s="309">
        <v>784</v>
      </c>
      <c r="AE28" s="309" t="s">
        <v>111</v>
      </c>
      <c r="AF28" s="309" t="s">
        <v>1566</v>
      </c>
      <c r="AG28" s="309" t="s">
        <v>1566</v>
      </c>
      <c r="AH28" s="309" t="s">
        <v>5462</v>
      </c>
      <c r="AI28" s="309" t="s">
        <v>5463</v>
      </c>
      <c r="AJ28" s="309"/>
      <c r="AK28" s="309" t="s">
        <v>48</v>
      </c>
      <c r="AL28" s="309" t="s">
        <v>47</v>
      </c>
      <c r="AM28" s="299">
        <v>3.046160532408976</v>
      </c>
      <c r="AN28" s="313"/>
      <c r="AO28" s="314"/>
      <c r="AP28" s="314"/>
      <c r="AQ28" s="314"/>
      <c r="AR28" s="314"/>
      <c r="AS28" s="314"/>
      <c r="AT28" s="314"/>
      <c r="AU28" s="314"/>
      <c r="AV28" s="314"/>
      <c r="AW28" s="314"/>
      <c r="AX28" s="314"/>
      <c r="AY28" s="314"/>
      <c r="AZ28" s="314"/>
      <c r="BA28" s="314"/>
    </row>
    <row r="29" spans="1:53" s="301" customFormat="1" ht="15" x14ac:dyDescent="0.25">
      <c r="A29" s="312">
        <v>205</v>
      </c>
      <c r="B29" s="311">
        <v>44940.75</v>
      </c>
      <c r="C29" s="308">
        <v>0.75694444444444453</v>
      </c>
      <c r="D29" s="308">
        <v>0.76041666666666663</v>
      </c>
      <c r="E29" s="308">
        <v>0.76736111111111116</v>
      </c>
      <c r="F29" s="309" t="s">
        <v>171</v>
      </c>
      <c r="G29" s="309" t="s">
        <v>148</v>
      </c>
      <c r="H29" s="307" t="s">
        <v>315</v>
      </c>
      <c r="I29" s="307" t="s">
        <v>172</v>
      </c>
      <c r="J29" s="307" t="s">
        <v>37</v>
      </c>
      <c r="K29" s="303" t="s">
        <v>180</v>
      </c>
      <c r="L29" s="214" t="s">
        <v>206</v>
      </c>
      <c r="M29" s="309" t="s">
        <v>5460</v>
      </c>
      <c r="N29" s="309" t="s">
        <v>59</v>
      </c>
      <c r="O29" s="309" t="s">
        <v>5464</v>
      </c>
      <c r="P29" s="309">
        <v>7821525508</v>
      </c>
      <c r="Q29" s="303">
        <v>2</v>
      </c>
      <c r="R29" s="303">
        <v>50</v>
      </c>
      <c r="S29" s="309">
        <v>2</v>
      </c>
      <c r="T29" s="309">
        <v>50</v>
      </c>
      <c r="U29" s="309">
        <v>0</v>
      </c>
      <c r="V29" s="309">
        <v>0</v>
      </c>
      <c r="W29" s="309">
        <v>47</v>
      </c>
      <c r="X29" s="309">
        <v>52</v>
      </c>
      <c r="Y29" s="309">
        <v>31</v>
      </c>
      <c r="Z29" s="309">
        <v>31</v>
      </c>
      <c r="AA29" s="309">
        <v>2</v>
      </c>
      <c r="AB29" s="307">
        <v>16.657333333333334</v>
      </c>
      <c r="AC29" s="307">
        <v>0.10034538152610442</v>
      </c>
      <c r="AD29" s="309">
        <v>1567</v>
      </c>
      <c r="AE29" s="309" t="s">
        <v>111</v>
      </c>
      <c r="AF29" s="309" t="s">
        <v>1566</v>
      </c>
      <c r="AG29" s="309" t="s">
        <v>1566</v>
      </c>
      <c r="AH29" s="309" t="s">
        <v>5465</v>
      </c>
      <c r="AI29" s="309" t="s">
        <v>5463</v>
      </c>
      <c r="AJ29" s="309"/>
      <c r="AK29" s="309" t="s">
        <v>48</v>
      </c>
      <c r="AL29" s="309" t="s">
        <v>47</v>
      </c>
      <c r="AM29" s="299">
        <v>3.046160532408976</v>
      </c>
      <c r="AN29" s="313"/>
      <c r="AO29" s="314"/>
      <c r="AP29" s="314"/>
      <c r="AQ29" s="314"/>
      <c r="AR29" s="314"/>
      <c r="AS29" s="314"/>
      <c r="AT29" s="314"/>
      <c r="AU29" s="314"/>
      <c r="AV29" s="314"/>
      <c r="AW29" s="314"/>
      <c r="AX29" s="314"/>
      <c r="AY29" s="314"/>
      <c r="AZ29" s="314"/>
      <c r="BA29" s="314"/>
    </row>
    <row r="30" spans="1:53" s="301" customFormat="1" ht="15" x14ac:dyDescent="0.25">
      <c r="A30" s="312">
        <v>206</v>
      </c>
      <c r="B30" s="311">
        <v>44940.75</v>
      </c>
      <c r="C30" s="308">
        <v>0.75694444444444453</v>
      </c>
      <c r="D30" s="308">
        <v>0.76041666666666663</v>
      </c>
      <c r="E30" s="308">
        <v>0.76736111111111116</v>
      </c>
      <c r="F30" s="309" t="s">
        <v>171</v>
      </c>
      <c r="G30" s="309" t="s">
        <v>148</v>
      </c>
      <c r="H30" s="307" t="s">
        <v>315</v>
      </c>
      <c r="I30" s="307" t="s">
        <v>172</v>
      </c>
      <c r="J30" s="307" t="s">
        <v>37</v>
      </c>
      <c r="K30" s="303" t="s">
        <v>180</v>
      </c>
      <c r="L30" s="214" t="s">
        <v>206</v>
      </c>
      <c r="M30" s="309" t="s">
        <v>5460</v>
      </c>
      <c r="N30" s="309" t="s">
        <v>59</v>
      </c>
      <c r="O30" s="309" t="s">
        <v>5466</v>
      </c>
      <c r="P30" s="309">
        <v>7865960108</v>
      </c>
      <c r="Q30" s="303">
        <v>1</v>
      </c>
      <c r="R30" s="303">
        <v>31</v>
      </c>
      <c r="S30" s="309">
        <v>1</v>
      </c>
      <c r="T30" s="309">
        <v>31</v>
      </c>
      <c r="U30" s="309">
        <v>0</v>
      </c>
      <c r="V30" s="309">
        <v>0</v>
      </c>
      <c r="W30" s="309">
        <v>30.5</v>
      </c>
      <c r="X30" s="309">
        <v>59</v>
      </c>
      <c r="Y30" s="309">
        <v>37</v>
      </c>
      <c r="Z30" s="309">
        <v>33</v>
      </c>
      <c r="AA30" s="309">
        <v>1</v>
      </c>
      <c r="AB30" s="307">
        <v>12.006500000000001</v>
      </c>
      <c r="AC30" s="307">
        <v>7.2328313253012047E-2</v>
      </c>
      <c r="AD30" s="309">
        <v>659.5</v>
      </c>
      <c r="AE30" s="309" t="s">
        <v>111</v>
      </c>
      <c r="AF30" s="309" t="s">
        <v>1566</v>
      </c>
      <c r="AG30" s="309" t="s">
        <v>1566</v>
      </c>
      <c r="AH30" s="309" t="s">
        <v>5467</v>
      </c>
      <c r="AI30" s="309" t="s">
        <v>5463</v>
      </c>
      <c r="AJ30" s="309"/>
      <c r="AK30" s="309" t="s">
        <v>48</v>
      </c>
      <c r="AL30" s="309" t="s">
        <v>47</v>
      </c>
      <c r="AM30" s="299">
        <v>3.046160532408976</v>
      </c>
      <c r="AN30" s="313"/>
      <c r="AO30" s="314"/>
      <c r="AP30" s="314"/>
      <c r="AQ30" s="314"/>
      <c r="AR30" s="314"/>
      <c r="AS30" s="314"/>
      <c r="AT30" s="314"/>
      <c r="AU30" s="314"/>
      <c r="AV30" s="314"/>
      <c r="AW30" s="314"/>
      <c r="AX30" s="314"/>
      <c r="AY30" s="314"/>
      <c r="AZ30" s="314"/>
      <c r="BA30" s="314"/>
    </row>
    <row r="31" spans="1:53" s="301" customFormat="1" ht="15" x14ac:dyDescent="0.25">
      <c r="A31" s="312">
        <v>209</v>
      </c>
      <c r="B31" s="311">
        <v>44940.75</v>
      </c>
      <c r="C31" s="308">
        <v>0.77083333333333337</v>
      </c>
      <c r="D31" s="308">
        <v>0.77430555555555547</v>
      </c>
      <c r="E31" s="308">
        <v>0.79513888888888884</v>
      </c>
      <c r="F31" s="309" t="s">
        <v>171</v>
      </c>
      <c r="G31" s="309" t="s">
        <v>627</v>
      </c>
      <c r="H31" s="303" t="s">
        <v>464</v>
      </c>
      <c r="I31" s="303" t="s">
        <v>374</v>
      </c>
      <c r="J31" s="303" t="s">
        <v>37</v>
      </c>
      <c r="K31" s="303" t="s">
        <v>241</v>
      </c>
      <c r="L31" s="303" t="s">
        <v>465</v>
      </c>
      <c r="M31" s="309" t="s">
        <v>5486</v>
      </c>
      <c r="N31" s="309" t="s">
        <v>5474</v>
      </c>
      <c r="O31" s="309" t="s">
        <v>5477</v>
      </c>
      <c r="P31" s="309">
        <v>80008573</v>
      </c>
      <c r="Q31" s="303">
        <v>2</v>
      </c>
      <c r="R31" s="303">
        <v>54</v>
      </c>
      <c r="S31" s="309">
        <v>0</v>
      </c>
      <c r="T31" s="309">
        <v>0</v>
      </c>
      <c r="U31" s="309">
        <v>2</v>
      </c>
      <c r="V31" s="309">
        <v>54</v>
      </c>
      <c r="W31" s="309">
        <v>57</v>
      </c>
      <c r="X31" s="309">
        <v>40</v>
      </c>
      <c r="Y31" s="309">
        <v>40</v>
      </c>
      <c r="Z31" s="309">
        <v>51</v>
      </c>
      <c r="AA31" s="309">
        <v>1</v>
      </c>
      <c r="AB31" s="307">
        <v>13.6</v>
      </c>
      <c r="AC31" s="307">
        <v>8.1927710843373497E-2</v>
      </c>
      <c r="AD31" s="309">
        <v>10299</v>
      </c>
      <c r="AE31" s="309" t="s">
        <v>109</v>
      </c>
      <c r="AF31" s="309" t="s">
        <v>1566</v>
      </c>
      <c r="AG31" s="309" t="s">
        <v>1566</v>
      </c>
      <c r="AH31" s="309" t="s">
        <v>5475</v>
      </c>
      <c r="AI31" s="309" t="s">
        <v>5358</v>
      </c>
      <c r="AJ31" s="308">
        <v>0.1673611111111111</v>
      </c>
      <c r="AK31" s="309" t="s">
        <v>41</v>
      </c>
      <c r="AL31" s="309" t="s">
        <v>39</v>
      </c>
      <c r="AM31" s="299">
        <v>3.046160532408976</v>
      </c>
      <c r="AN31" s="313"/>
      <c r="AO31" s="314"/>
      <c r="AP31" s="314"/>
      <c r="AQ31" s="314"/>
      <c r="AR31" s="314"/>
      <c r="AS31" s="314"/>
      <c r="AT31" s="314"/>
      <c r="AU31" s="314"/>
      <c r="AV31" s="314"/>
      <c r="AW31" s="314"/>
      <c r="AX31" s="314"/>
      <c r="AY31" s="314"/>
      <c r="AZ31" s="314"/>
      <c r="BA31" s="314"/>
    </row>
    <row r="32" spans="1:53" s="301" customFormat="1" ht="15" x14ac:dyDescent="0.25">
      <c r="A32" s="312">
        <v>209</v>
      </c>
      <c r="B32" s="311">
        <v>44940.75</v>
      </c>
      <c r="C32" s="308">
        <v>0.77083333333333337</v>
      </c>
      <c r="D32" s="308">
        <v>0.77430555555555547</v>
      </c>
      <c r="E32" s="308">
        <v>0.79513888888888884</v>
      </c>
      <c r="F32" s="309" t="s">
        <v>171</v>
      </c>
      <c r="G32" s="309" t="s">
        <v>627</v>
      </c>
      <c r="H32" s="303" t="s">
        <v>464</v>
      </c>
      <c r="I32" s="303" t="s">
        <v>374</v>
      </c>
      <c r="J32" s="303" t="s">
        <v>37</v>
      </c>
      <c r="K32" s="303" t="s">
        <v>241</v>
      </c>
      <c r="L32" s="303" t="s">
        <v>465</v>
      </c>
      <c r="M32" s="309" t="s">
        <v>5486</v>
      </c>
      <c r="N32" s="309" t="s">
        <v>5474</v>
      </c>
      <c r="O32" s="309" t="s">
        <v>5477</v>
      </c>
      <c r="P32" s="309">
        <v>80008573</v>
      </c>
      <c r="Q32" s="303">
        <v>0</v>
      </c>
      <c r="R32" s="303">
        <v>0</v>
      </c>
      <c r="S32" s="309">
        <v>0</v>
      </c>
      <c r="T32" s="309">
        <v>0</v>
      </c>
      <c r="U32" s="309">
        <v>0</v>
      </c>
      <c r="V32" s="309">
        <v>0</v>
      </c>
      <c r="W32" s="309">
        <v>0</v>
      </c>
      <c r="X32" s="309">
        <v>79</v>
      </c>
      <c r="Y32" s="309">
        <v>79</v>
      </c>
      <c r="Z32" s="309">
        <v>5</v>
      </c>
      <c r="AA32" s="309">
        <v>1</v>
      </c>
      <c r="AB32" s="307">
        <v>5.2008333333333336</v>
      </c>
      <c r="AC32" s="307">
        <v>3.1330321285140565E-2</v>
      </c>
      <c r="AD32" s="309">
        <v>0</v>
      </c>
      <c r="AE32" s="309">
        <v>0</v>
      </c>
      <c r="AF32" s="309" t="s">
        <v>1566</v>
      </c>
      <c r="AG32" s="309" t="s">
        <v>1566</v>
      </c>
      <c r="AH32" s="309">
        <v>0</v>
      </c>
      <c r="AI32" s="309">
        <v>0</v>
      </c>
      <c r="AJ32" s="309">
        <v>0</v>
      </c>
      <c r="AK32" s="309" t="s">
        <v>41</v>
      </c>
      <c r="AL32" s="309" t="s">
        <v>39</v>
      </c>
      <c r="AM32" s="299">
        <v>3.046160532408976</v>
      </c>
      <c r="AN32" s="313"/>
      <c r="AO32" s="314"/>
      <c r="AP32" s="314"/>
      <c r="AQ32" s="314"/>
      <c r="AR32" s="314"/>
      <c r="AS32" s="314"/>
      <c r="AT32" s="314"/>
      <c r="AU32" s="314"/>
      <c r="AV32" s="314"/>
      <c r="AW32" s="314"/>
      <c r="AX32" s="314"/>
      <c r="AY32" s="314"/>
      <c r="AZ32" s="314"/>
      <c r="BA32" s="314"/>
    </row>
    <row r="33" spans="1:53" s="301" customFormat="1" ht="15" x14ac:dyDescent="0.25">
      <c r="A33" s="312">
        <v>210</v>
      </c>
      <c r="B33" s="311">
        <v>44940.75</v>
      </c>
      <c r="C33" s="308">
        <v>0.77083333333333337</v>
      </c>
      <c r="D33" s="308">
        <v>0.77430555555555547</v>
      </c>
      <c r="E33" s="308">
        <v>0.79513888888888884</v>
      </c>
      <c r="F33" s="309" t="s">
        <v>171</v>
      </c>
      <c r="G33" s="309" t="s">
        <v>627</v>
      </c>
      <c r="H33" s="303" t="s">
        <v>464</v>
      </c>
      <c r="I33" s="303" t="s">
        <v>374</v>
      </c>
      <c r="J33" s="303" t="s">
        <v>37</v>
      </c>
      <c r="K33" s="303" t="s">
        <v>241</v>
      </c>
      <c r="L33" s="303" t="s">
        <v>465</v>
      </c>
      <c r="M33" s="309" t="s">
        <v>5486</v>
      </c>
      <c r="N33" s="309" t="s">
        <v>5474</v>
      </c>
      <c r="O33" s="309" t="s">
        <v>5478</v>
      </c>
      <c r="P33" s="309">
        <v>80008769</v>
      </c>
      <c r="Q33" s="303">
        <v>1</v>
      </c>
      <c r="R33" s="303">
        <v>5</v>
      </c>
      <c r="S33" s="309">
        <v>1</v>
      </c>
      <c r="T33" s="309">
        <v>5</v>
      </c>
      <c r="U33" s="309">
        <v>0</v>
      </c>
      <c r="V33" s="309">
        <v>0</v>
      </c>
      <c r="W33" s="309">
        <v>10</v>
      </c>
      <c r="X33" s="309">
        <v>32</v>
      </c>
      <c r="Y33" s="309">
        <v>32</v>
      </c>
      <c r="Z33" s="309">
        <v>33</v>
      </c>
      <c r="AA33" s="309">
        <v>1</v>
      </c>
      <c r="AB33" s="307">
        <v>5.6319999999999997</v>
      </c>
      <c r="AC33" s="307">
        <v>3.3927710843373489E-2</v>
      </c>
      <c r="AD33" s="309">
        <v>8931</v>
      </c>
      <c r="AE33" s="309" t="s">
        <v>109</v>
      </c>
      <c r="AF33" s="309" t="s">
        <v>1566</v>
      </c>
      <c r="AG33" s="309" t="s">
        <v>1566</v>
      </c>
      <c r="AH33" s="309" t="s">
        <v>5476</v>
      </c>
      <c r="AI33" s="309" t="s">
        <v>5358</v>
      </c>
      <c r="AJ33" s="308">
        <v>0.16527777777777777</v>
      </c>
      <c r="AK33" s="309" t="s">
        <v>41</v>
      </c>
      <c r="AL33" s="309" t="s">
        <v>39</v>
      </c>
      <c r="AM33" s="299">
        <v>3.046160532408976</v>
      </c>
      <c r="AN33" s="313"/>
      <c r="AO33" s="314"/>
      <c r="AP33" s="314"/>
      <c r="AQ33" s="314"/>
      <c r="AR33" s="314"/>
      <c r="AS33" s="314"/>
      <c r="AT33" s="314"/>
      <c r="AU33" s="314"/>
      <c r="AV33" s="314"/>
      <c r="AW33" s="314"/>
      <c r="AX33" s="314"/>
      <c r="AY33" s="314"/>
      <c r="AZ33" s="314"/>
      <c r="BA33" s="314"/>
    </row>
    <row r="34" spans="1:53" s="301" customFormat="1" ht="15" x14ac:dyDescent="0.25">
      <c r="A34" s="312">
        <v>211</v>
      </c>
      <c r="B34" s="311">
        <v>44940.75</v>
      </c>
      <c r="C34" s="308">
        <v>0.77083333333333337</v>
      </c>
      <c r="D34" s="308">
        <v>0.77430555555555547</v>
      </c>
      <c r="E34" s="308">
        <v>0.79513888888888884</v>
      </c>
      <c r="F34" s="309" t="s">
        <v>171</v>
      </c>
      <c r="G34" s="309" t="s">
        <v>627</v>
      </c>
      <c r="H34" s="303" t="s">
        <v>464</v>
      </c>
      <c r="I34" s="303" t="s">
        <v>374</v>
      </c>
      <c r="J34" s="303" t="s">
        <v>37</v>
      </c>
      <c r="K34" s="303" t="s">
        <v>241</v>
      </c>
      <c r="L34" s="303" t="s">
        <v>465</v>
      </c>
      <c r="M34" s="309" t="s">
        <v>5486</v>
      </c>
      <c r="N34" s="309" t="s">
        <v>5474</v>
      </c>
      <c r="O34" s="309" t="s">
        <v>5479</v>
      </c>
      <c r="P34" s="309">
        <v>80008521</v>
      </c>
      <c r="Q34" s="303">
        <v>2</v>
      </c>
      <c r="R34" s="303">
        <v>145</v>
      </c>
      <c r="S34" s="309">
        <v>0</v>
      </c>
      <c r="T34" s="309">
        <v>0</v>
      </c>
      <c r="U34" s="309">
        <v>2</v>
      </c>
      <c r="V34" s="309">
        <v>145</v>
      </c>
      <c r="W34" s="309">
        <v>130</v>
      </c>
      <c r="X34" s="309">
        <v>53</v>
      </c>
      <c r="Y34" s="309">
        <v>53</v>
      </c>
      <c r="Z34" s="309">
        <v>65</v>
      </c>
      <c r="AA34" s="309">
        <v>1</v>
      </c>
      <c r="AB34" s="307">
        <v>30.430833333333332</v>
      </c>
      <c r="AC34" s="307">
        <v>0.18331827309236948</v>
      </c>
      <c r="AD34" s="309">
        <v>98819</v>
      </c>
      <c r="AE34" s="309" t="s">
        <v>109</v>
      </c>
      <c r="AF34" s="309" t="s">
        <v>1566</v>
      </c>
      <c r="AG34" s="309" t="s">
        <v>1566</v>
      </c>
      <c r="AH34" s="309" t="s">
        <v>5476</v>
      </c>
      <c r="AI34" s="309" t="s">
        <v>5358</v>
      </c>
      <c r="AJ34" s="308">
        <v>0.16527777777777777</v>
      </c>
      <c r="AK34" s="309" t="s">
        <v>41</v>
      </c>
      <c r="AL34" s="309" t="s">
        <v>39</v>
      </c>
      <c r="AM34" s="299">
        <v>3.046160532408976</v>
      </c>
      <c r="AN34" s="313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</row>
    <row r="35" spans="1:53" s="301" customFormat="1" ht="15" x14ac:dyDescent="0.25">
      <c r="A35" s="312">
        <v>211</v>
      </c>
      <c r="B35" s="311">
        <v>44940.75</v>
      </c>
      <c r="C35" s="308">
        <v>0.77083333333333337</v>
      </c>
      <c r="D35" s="308">
        <v>0.77430555555555547</v>
      </c>
      <c r="E35" s="308">
        <v>0.79513888888888884</v>
      </c>
      <c r="F35" s="309" t="s">
        <v>171</v>
      </c>
      <c r="G35" s="309" t="s">
        <v>627</v>
      </c>
      <c r="H35" s="303" t="s">
        <v>464</v>
      </c>
      <c r="I35" s="303" t="s">
        <v>374</v>
      </c>
      <c r="J35" s="303" t="s">
        <v>37</v>
      </c>
      <c r="K35" s="303" t="s">
        <v>241</v>
      </c>
      <c r="L35" s="303" t="s">
        <v>465</v>
      </c>
      <c r="M35" s="309" t="s">
        <v>5486</v>
      </c>
      <c r="N35" s="309" t="s">
        <v>5474</v>
      </c>
      <c r="O35" s="309" t="s">
        <v>5479</v>
      </c>
      <c r="P35" s="309">
        <v>80008521</v>
      </c>
      <c r="Q35" s="303">
        <v>0</v>
      </c>
      <c r="R35" s="303">
        <v>0</v>
      </c>
      <c r="S35" s="309">
        <v>0</v>
      </c>
      <c r="T35" s="309">
        <v>0</v>
      </c>
      <c r="U35" s="309">
        <v>0</v>
      </c>
      <c r="V35" s="309">
        <v>0</v>
      </c>
      <c r="W35" s="309">
        <v>0</v>
      </c>
      <c r="X35" s="309">
        <v>156</v>
      </c>
      <c r="Y35" s="309">
        <v>13</v>
      </c>
      <c r="Z35" s="309">
        <v>13</v>
      </c>
      <c r="AA35" s="309">
        <v>1</v>
      </c>
      <c r="AB35" s="307">
        <v>4.3940000000000001</v>
      </c>
      <c r="AC35" s="307">
        <v>2.6469879518072292E-2</v>
      </c>
      <c r="AD35" s="309">
        <v>0</v>
      </c>
      <c r="AE35" s="309">
        <v>0</v>
      </c>
      <c r="AF35" s="309" t="s">
        <v>1566</v>
      </c>
      <c r="AG35" s="309" t="s">
        <v>1566</v>
      </c>
      <c r="AH35" s="309" t="s">
        <v>5476</v>
      </c>
      <c r="AI35" s="309" t="s">
        <v>5358</v>
      </c>
      <c r="AJ35" s="308">
        <v>0.16527777777777777</v>
      </c>
      <c r="AK35" s="309" t="s">
        <v>41</v>
      </c>
      <c r="AL35" s="309" t="s">
        <v>39</v>
      </c>
      <c r="AM35" s="299">
        <v>3.046160532408976</v>
      </c>
      <c r="AN35" s="313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</row>
    <row r="36" spans="1:53" s="301" customFormat="1" ht="15" x14ac:dyDescent="0.25">
      <c r="A36" s="312">
        <v>212</v>
      </c>
      <c r="B36" s="311">
        <v>44940.75</v>
      </c>
      <c r="C36" s="308">
        <v>0.77083333333333337</v>
      </c>
      <c r="D36" s="308">
        <v>0.77430555555555547</v>
      </c>
      <c r="E36" s="308">
        <v>0.79513888888888884</v>
      </c>
      <c r="F36" s="309" t="s">
        <v>171</v>
      </c>
      <c r="G36" s="309" t="s">
        <v>627</v>
      </c>
      <c r="H36" s="303" t="s">
        <v>464</v>
      </c>
      <c r="I36" s="303" t="s">
        <v>374</v>
      </c>
      <c r="J36" s="303" t="s">
        <v>37</v>
      </c>
      <c r="K36" s="303" t="s">
        <v>241</v>
      </c>
      <c r="L36" s="303" t="s">
        <v>465</v>
      </c>
      <c r="M36" s="309" t="s">
        <v>5486</v>
      </c>
      <c r="N36" s="309" t="s">
        <v>5474</v>
      </c>
      <c r="O36" s="309" t="s">
        <v>5480</v>
      </c>
      <c r="P36" s="309">
        <v>80008475</v>
      </c>
      <c r="Q36" s="303">
        <v>1</v>
      </c>
      <c r="R36" s="303">
        <v>51</v>
      </c>
      <c r="S36" s="309">
        <v>0</v>
      </c>
      <c r="T36" s="309">
        <v>0</v>
      </c>
      <c r="U36" s="309">
        <v>1</v>
      </c>
      <c r="V36" s="309">
        <v>51</v>
      </c>
      <c r="W36" s="309">
        <v>60</v>
      </c>
      <c r="X36" s="309">
        <v>53</v>
      </c>
      <c r="Y36" s="309">
        <v>53</v>
      </c>
      <c r="Z36" s="309">
        <v>65</v>
      </c>
      <c r="AA36" s="309">
        <v>1</v>
      </c>
      <c r="AB36" s="307">
        <v>30.430833333333332</v>
      </c>
      <c r="AC36" s="307">
        <v>0.18331827309236948</v>
      </c>
      <c r="AD36" s="309">
        <v>35755</v>
      </c>
      <c r="AE36" s="309" t="s">
        <v>109</v>
      </c>
      <c r="AF36" s="309" t="s">
        <v>1566</v>
      </c>
      <c r="AG36" s="309" t="s">
        <v>1566</v>
      </c>
      <c r="AH36" s="309" t="s">
        <v>5476</v>
      </c>
      <c r="AI36" s="309" t="s">
        <v>5358</v>
      </c>
      <c r="AJ36" s="308">
        <v>0.16527777777777777</v>
      </c>
      <c r="AK36" s="309" t="s">
        <v>41</v>
      </c>
      <c r="AL36" s="309" t="s">
        <v>39</v>
      </c>
      <c r="AM36" s="299">
        <v>3.046160532408976</v>
      </c>
      <c r="AN36" s="313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</row>
    <row r="37" spans="1:53" s="301" customFormat="1" ht="15" x14ac:dyDescent="0.25">
      <c r="A37" s="312">
        <v>217</v>
      </c>
      <c r="B37" s="311">
        <v>44942.458333333336</v>
      </c>
      <c r="C37" s="308">
        <v>0.47569444444444442</v>
      </c>
      <c r="D37" s="308">
        <v>0.4826388888888889</v>
      </c>
      <c r="E37" s="308">
        <v>0.4861111111111111</v>
      </c>
      <c r="F37" s="309" t="s">
        <v>169</v>
      </c>
      <c r="G37" s="309" t="s">
        <v>5498</v>
      </c>
      <c r="H37" s="307" t="s">
        <v>494</v>
      </c>
      <c r="I37" s="307" t="s">
        <v>354</v>
      </c>
      <c r="J37" s="307" t="s">
        <v>37</v>
      </c>
      <c r="K37" s="307" t="s">
        <v>241</v>
      </c>
      <c r="L37" s="309">
        <v>0</v>
      </c>
      <c r="M37" s="309" t="s">
        <v>5499</v>
      </c>
      <c r="N37" s="309" t="s">
        <v>42</v>
      </c>
      <c r="O37" s="309" t="s">
        <v>5500</v>
      </c>
      <c r="P37" s="309">
        <v>10263420</v>
      </c>
      <c r="Q37" s="303">
        <v>126</v>
      </c>
      <c r="R37" s="303">
        <v>291</v>
      </c>
      <c r="S37" s="309">
        <v>126</v>
      </c>
      <c r="T37" s="309">
        <v>291</v>
      </c>
      <c r="U37" s="309">
        <v>0</v>
      </c>
      <c r="V37" s="309">
        <v>0</v>
      </c>
      <c r="W37" s="309">
        <v>359.66</v>
      </c>
      <c r="X37" s="309">
        <v>37</v>
      </c>
      <c r="Y37" s="309">
        <v>30</v>
      </c>
      <c r="Z37" s="309">
        <v>16</v>
      </c>
      <c r="AA37" s="309">
        <v>126</v>
      </c>
      <c r="AB37" s="307">
        <v>372.96</v>
      </c>
      <c r="AC37" s="307">
        <v>2.2467469879518069</v>
      </c>
      <c r="AD37" s="309">
        <v>8199</v>
      </c>
      <c r="AE37" s="309" t="s">
        <v>109</v>
      </c>
      <c r="AF37" s="309" t="s">
        <v>1566</v>
      </c>
      <c r="AG37" s="309" t="s">
        <v>1566</v>
      </c>
      <c r="AH37" s="309" t="s">
        <v>5501</v>
      </c>
      <c r="AI37" s="309" t="s">
        <v>5352</v>
      </c>
      <c r="AJ37" s="309">
        <v>0</v>
      </c>
      <c r="AK37" s="309" t="s">
        <v>48</v>
      </c>
      <c r="AL37" s="309" t="s">
        <v>50</v>
      </c>
      <c r="AM37" s="299">
        <v>1.3378271990732173</v>
      </c>
      <c r="AN37" s="313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</row>
    <row r="38" spans="1:53" s="301" customFormat="1" ht="24" x14ac:dyDescent="0.25">
      <c r="A38" s="312">
        <v>218</v>
      </c>
      <c r="B38" s="311">
        <v>44943.5</v>
      </c>
      <c r="C38" s="308">
        <v>0.55902777777777779</v>
      </c>
      <c r="D38" s="308">
        <v>0.56597222222222221</v>
      </c>
      <c r="E38" s="308">
        <v>0.625</v>
      </c>
      <c r="F38" s="309" t="s">
        <v>170</v>
      </c>
      <c r="G38" s="309" t="s">
        <v>3019</v>
      </c>
      <c r="H38" s="307" t="s">
        <v>227</v>
      </c>
      <c r="I38" s="307" t="s">
        <v>189</v>
      </c>
      <c r="J38" s="307" t="s">
        <v>37</v>
      </c>
      <c r="K38" s="309" t="s">
        <v>63</v>
      </c>
      <c r="L38" s="309" t="s">
        <v>206</v>
      </c>
      <c r="M38" s="309" t="s">
        <v>5509</v>
      </c>
      <c r="N38" s="309" t="s">
        <v>43</v>
      </c>
      <c r="O38" s="309" t="s">
        <v>5503</v>
      </c>
      <c r="P38" s="309" t="s">
        <v>5504</v>
      </c>
      <c r="Q38" s="303">
        <v>5</v>
      </c>
      <c r="R38" s="303">
        <v>1377</v>
      </c>
      <c r="S38" s="309">
        <v>0</v>
      </c>
      <c r="T38" s="309">
        <v>0</v>
      </c>
      <c r="U38" s="309">
        <v>5</v>
      </c>
      <c r="V38" s="309">
        <v>1377</v>
      </c>
      <c r="W38" s="309">
        <v>1140</v>
      </c>
      <c r="X38" s="309">
        <v>174</v>
      </c>
      <c r="Y38" s="309">
        <v>145</v>
      </c>
      <c r="Z38" s="309">
        <v>93</v>
      </c>
      <c r="AA38" s="309">
        <v>4</v>
      </c>
      <c r="AB38" s="307">
        <v>1564.26</v>
      </c>
      <c r="AC38" s="307">
        <v>9.4232530120481925</v>
      </c>
      <c r="AD38" s="309">
        <v>947488</v>
      </c>
      <c r="AE38" s="309" t="s">
        <v>5505</v>
      </c>
      <c r="AF38" s="309" t="s">
        <v>317</v>
      </c>
      <c r="AG38" s="309" t="s">
        <v>317</v>
      </c>
      <c r="AH38" s="309" t="s">
        <v>5506</v>
      </c>
      <c r="AI38" s="308" t="s">
        <v>5463</v>
      </c>
      <c r="AJ38" s="308">
        <v>0.5</v>
      </c>
      <c r="AK38" s="309" t="s">
        <v>37</v>
      </c>
      <c r="AL38" s="309" t="s">
        <v>58</v>
      </c>
      <c r="AM38" s="299">
        <v>0.296160532408976</v>
      </c>
      <c r="AN38" s="313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</row>
    <row r="39" spans="1:53" s="301" customFormat="1" ht="15" x14ac:dyDescent="0.25">
      <c r="A39" s="312">
        <v>218</v>
      </c>
      <c r="B39" s="311">
        <v>44943.5</v>
      </c>
      <c r="C39" s="308">
        <v>0.55902777777777779</v>
      </c>
      <c r="D39" s="308">
        <v>0.56597222222222221</v>
      </c>
      <c r="E39" s="308">
        <v>0.625</v>
      </c>
      <c r="F39" s="309" t="s">
        <v>170</v>
      </c>
      <c r="G39" s="309" t="s">
        <v>3019</v>
      </c>
      <c r="H39" s="307" t="s">
        <v>227</v>
      </c>
      <c r="I39" s="307" t="s">
        <v>189</v>
      </c>
      <c r="J39" s="307" t="s">
        <v>37</v>
      </c>
      <c r="K39" s="309" t="s">
        <v>63</v>
      </c>
      <c r="L39" s="309" t="s">
        <v>206</v>
      </c>
      <c r="M39" s="309" t="s">
        <v>5509</v>
      </c>
      <c r="N39" s="309" t="s">
        <v>43</v>
      </c>
      <c r="O39" s="309" t="s">
        <v>5503</v>
      </c>
      <c r="P39" s="309" t="s">
        <v>5504</v>
      </c>
      <c r="Q39" s="303">
        <v>0</v>
      </c>
      <c r="R39" s="303">
        <v>0</v>
      </c>
      <c r="S39" s="309">
        <v>0</v>
      </c>
      <c r="T39" s="309">
        <v>0</v>
      </c>
      <c r="U39" s="309">
        <v>0</v>
      </c>
      <c r="V39" s="309">
        <v>0</v>
      </c>
      <c r="W39" s="309">
        <v>0</v>
      </c>
      <c r="X39" s="309">
        <v>159</v>
      </c>
      <c r="Y39" s="309">
        <v>73</v>
      </c>
      <c r="Z39" s="309">
        <v>80</v>
      </c>
      <c r="AA39" s="309">
        <v>1</v>
      </c>
      <c r="AB39" s="307">
        <v>154.76</v>
      </c>
      <c r="AC39" s="307">
        <v>0.93228915662650602</v>
      </c>
      <c r="AD39" s="309">
        <v>0</v>
      </c>
      <c r="AE39" s="309">
        <v>0</v>
      </c>
      <c r="AF39" s="309">
        <v>0</v>
      </c>
      <c r="AG39" s="309">
        <v>0</v>
      </c>
      <c r="AH39" s="309">
        <v>0</v>
      </c>
      <c r="AI39" s="309">
        <v>0</v>
      </c>
      <c r="AJ39" s="309">
        <v>0</v>
      </c>
      <c r="AK39" s="309" t="s">
        <v>37</v>
      </c>
      <c r="AL39" s="309" t="s">
        <v>58</v>
      </c>
      <c r="AM39" s="299">
        <v>0.296160532408976</v>
      </c>
      <c r="AN39" s="313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</row>
    <row r="40" spans="1:53" s="301" customFormat="1" ht="15" x14ac:dyDescent="0.25">
      <c r="A40" s="312">
        <v>219</v>
      </c>
      <c r="B40" s="311">
        <v>44943.5</v>
      </c>
      <c r="C40" s="308">
        <v>0.55902777777777779</v>
      </c>
      <c r="D40" s="308">
        <v>0.56597222222222221</v>
      </c>
      <c r="E40" s="308">
        <v>0.625</v>
      </c>
      <c r="F40" s="309" t="s">
        <v>170</v>
      </c>
      <c r="G40" s="309" t="s">
        <v>3019</v>
      </c>
      <c r="H40" s="307" t="s">
        <v>227</v>
      </c>
      <c r="I40" s="307" t="s">
        <v>189</v>
      </c>
      <c r="J40" s="307" t="s">
        <v>37</v>
      </c>
      <c r="K40" s="309" t="s">
        <v>63</v>
      </c>
      <c r="L40" s="309" t="s">
        <v>206</v>
      </c>
      <c r="M40" s="309" t="s">
        <v>5508</v>
      </c>
      <c r="N40" s="309" t="s">
        <v>42</v>
      </c>
      <c r="O40" s="309">
        <v>1283</v>
      </c>
      <c r="P40" s="309">
        <v>3280</v>
      </c>
      <c r="Q40" s="303">
        <v>10</v>
      </c>
      <c r="R40" s="303">
        <v>2943</v>
      </c>
      <c r="S40" s="309">
        <v>0</v>
      </c>
      <c r="T40" s="309">
        <v>0</v>
      </c>
      <c r="U40" s="309">
        <v>10</v>
      </c>
      <c r="V40" s="309">
        <v>2943</v>
      </c>
      <c r="W40" s="309">
        <v>3100</v>
      </c>
      <c r="X40" s="309">
        <v>103</v>
      </c>
      <c r="Y40" s="309">
        <v>43</v>
      </c>
      <c r="Z40" s="309">
        <v>43</v>
      </c>
      <c r="AA40" s="309">
        <v>10</v>
      </c>
      <c r="AB40" s="307">
        <v>317.41166666666669</v>
      </c>
      <c r="AC40" s="307">
        <v>1.9121184738955825</v>
      </c>
      <c r="AD40" s="309">
        <v>1499252</v>
      </c>
      <c r="AE40" s="309" t="s">
        <v>5505</v>
      </c>
      <c r="AF40" s="309" t="s">
        <v>317</v>
      </c>
      <c r="AG40" s="309" t="s">
        <v>317</v>
      </c>
      <c r="AH40" s="309" t="s">
        <v>5507</v>
      </c>
      <c r="AI40" s="308" t="s">
        <v>5463</v>
      </c>
      <c r="AJ40" s="308">
        <v>0.5</v>
      </c>
      <c r="AK40" s="309" t="s">
        <v>406</v>
      </c>
      <c r="AL40" s="309" t="s">
        <v>58</v>
      </c>
      <c r="AM40" s="299">
        <v>0.296160532408976</v>
      </c>
      <c r="AN40" s="313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</row>
    <row r="41" spans="1:53" s="301" customFormat="1" ht="15" x14ac:dyDescent="0.25">
      <c r="A41" s="312">
        <v>220</v>
      </c>
      <c r="B41" s="311">
        <v>44943.625</v>
      </c>
      <c r="C41" s="308">
        <v>0.625</v>
      </c>
      <c r="D41" s="308">
        <v>0.62847222222222221</v>
      </c>
      <c r="E41" s="308">
        <v>0.63541666666666663</v>
      </c>
      <c r="F41" s="309" t="s">
        <v>171</v>
      </c>
      <c r="G41" s="309" t="s">
        <v>5510</v>
      </c>
      <c r="H41" s="307" t="s">
        <v>254</v>
      </c>
      <c r="I41" s="307" t="s">
        <v>5511</v>
      </c>
      <c r="J41" s="307" t="s">
        <v>37</v>
      </c>
      <c r="K41" s="309" t="s">
        <v>180</v>
      </c>
      <c r="L41" s="309" t="s">
        <v>209</v>
      </c>
      <c r="M41" s="309" t="s">
        <v>5515</v>
      </c>
      <c r="N41" s="309" t="s">
        <v>186</v>
      </c>
      <c r="O41" s="309" t="s">
        <v>5512</v>
      </c>
      <c r="P41" s="309" t="s">
        <v>5513</v>
      </c>
      <c r="Q41" s="303">
        <v>4</v>
      </c>
      <c r="R41" s="303">
        <v>109</v>
      </c>
      <c r="S41" s="309">
        <v>4</v>
      </c>
      <c r="T41" s="309">
        <v>109</v>
      </c>
      <c r="U41" s="309">
        <v>0</v>
      </c>
      <c r="V41" s="309">
        <v>0</v>
      </c>
      <c r="W41" s="309">
        <v>110</v>
      </c>
      <c r="X41" s="309">
        <v>73</v>
      </c>
      <c r="Y41" s="309">
        <v>46</v>
      </c>
      <c r="Z41" s="309">
        <v>48</v>
      </c>
      <c r="AA41" s="309">
        <v>4</v>
      </c>
      <c r="AB41" s="307">
        <v>107.456</v>
      </c>
      <c r="AC41" s="307">
        <v>0.64732530120481935</v>
      </c>
      <c r="AD41" s="309">
        <v>27390</v>
      </c>
      <c r="AE41" s="309" t="s">
        <v>111</v>
      </c>
      <c r="AF41" s="309" t="s">
        <v>3432</v>
      </c>
      <c r="AG41" s="309" t="s">
        <v>3432</v>
      </c>
      <c r="AH41" s="309" t="s">
        <v>5514</v>
      </c>
      <c r="AI41" s="308" t="s">
        <v>5463</v>
      </c>
      <c r="AJ41" s="308">
        <v>0.5</v>
      </c>
      <c r="AK41" s="309" t="s">
        <v>48</v>
      </c>
      <c r="AL41" s="309" t="s">
        <v>50</v>
      </c>
      <c r="AM41" s="299">
        <v>0.171160532408976</v>
      </c>
      <c r="AN41" s="313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</row>
    <row r="42" spans="1:53" s="301" customFormat="1" ht="15" x14ac:dyDescent="0.25">
      <c r="A42" s="312">
        <v>221</v>
      </c>
      <c r="B42" s="311">
        <v>44943.625</v>
      </c>
      <c r="C42" s="308">
        <v>0.66666666666666663</v>
      </c>
      <c r="D42" s="308">
        <v>0.69791666666666663</v>
      </c>
      <c r="E42" s="308">
        <v>0.73263888888888884</v>
      </c>
      <c r="F42" s="309" t="s">
        <v>169</v>
      </c>
      <c r="G42" s="309" t="s">
        <v>5516</v>
      </c>
      <c r="H42" s="307" t="s">
        <v>2679</v>
      </c>
      <c r="I42" s="307" t="s">
        <v>5517</v>
      </c>
      <c r="J42" s="307" t="s">
        <v>37</v>
      </c>
      <c r="K42" s="309" t="s">
        <v>241</v>
      </c>
      <c r="L42" s="309" t="s">
        <v>206</v>
      </c>
      <c r="M42" s="309" t="s">
        <v>5518</v>
      </c>
      <c r="N42" s="309" t="s">
        <v>42</v>
      </c>
      <c r="O42" s="309" t="s">
        <v>5519</v>
      </c>
      <c r="P42" s="309" t="s">
        <v>5520</v>
      </c>
      <c r="Q42" s="303">
        <v>168</v>
      </c>
      <c r="R42" s="303">
        <v>1876</v>
      </c>
      <c r="S42" s="309">
        <v>168</v>
      </c>
      <c r="T42" s="309">
        <v>1876</v>
      </c>
      <c r="U42" s="309">
        <v>0</v>
      </c>
      <c r="V42" s="309">
        <v>0</v>
      </c>
      <c r="W42" s="309">
        <v>1854.84</v>
      </c>
      <c r="X42" s="309">
        <v>60</v>
      </c>
      <c r="Y42" s="309">
        <v>40</v>
      </c>
      <c r="Z42" s="309">
        <v>26</v>
      </c>
      <c r="AA42" s="309">
        <v>163</v>
      </c>
      <c r="AB42" s="307">
        <v>1695.2</v>
      </c>
      <c r="AC42" s="307">
        <v>10.212048192771084</v>
      </c>
      <c r="AD42" s="309">
        <v>87543.7</v>
      </c>
      <c r="AE42" s="309" t="s">
        <v>109</v>
      </c>
      <c r="AF42" s="309" t="s">
        <v>5521</v>
      </c>
      <c r="AG42" s="309" t="s">
        <v>5463</v>
      </c>
      <c r="AH42" s="309" t="s">
        <v>5522</v>
      </c>
      <c r="AI42" s="308" t="s">
        <v>5463</v>
      </c>
      <c r="AJ42" s="308">
        <v>0.5</v>
      </c>
      <c r="AK42" s="309" t="s">
        <v>48</v>
      </c>
      <c r="AL42" s="309" t="s">
        <v>56</v>
      </c>
      <c r="AM42" s="299">
        <v>0.171160532408976</v>
      </c>
      <c r="AN42" s="313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</row>
    <row r="43" spans="1:53" s="301" customFormat="1" ht="15" x14ac:dyDescent="0.25">
      <c r="A43" s="312">
        <v>221</v>
      </c>
      <c r="B43" s="311">
        <v>44943.625</v>
      </c>
      <c r="C43" s="308">
        <v>0.66666666666666663</v>
      </c>
      <c r="D43" s="308">
        <v>0.69791666666666663</v>
      </c>
      <c r="E43" s="308">
        <v>0.73263888888888884</v>
      </c>
      <c r="F43" s="309" t="s">
        <v>169</v>
      </c>
      <c r="G43" s="309" t="s">
        <v>5516</v>
      </c>
      <c r="H43" s="307" t="s">
        <v>2679</v>
      </c>
      <c r="I43" s="307" t="s">
        <v>5517</v>
      </c>
      <c r="J43" s="307" t="s">
        <v>37</v>
      </c>
      <c r="K43" s="309" t="s">
        <v>241</v>
      </c>
      <c r="L43" s="309" t="s">
        <v>206</v>
      </c>
      <c r="M43" s="309" t="s">
        <v>5518</v>
      </c>
      <c r="N43" s="309" t="s">
        <v>42</v>
      </c>
      <c r="O43" s="309" t="s">
        <v>5519</v>
      </c>
      <c r="P43" s="309" t="s">
        <v>5520</v>
      </c>
      <c r="Q43" s="303">
        <v>0</v>
      </c>
      <c r="R43" s="303">
        <v>0</v>
      </c>
      <c r="S43" s="309">
        <v>0</v>
      </c>
      <c r="T43" s="309">
        <v>0</v>
      </c>
      <c r="U43" s="309">
        <v>0</v>
      </c>
      <c r="V43" s="309">
        <v>0</v>
      </c>
      <c r="W43" s="309">
        <v>0</v>
      </c>
      <c r="X43" s="309">
        <v>61</v>
      </c>
      <c r="Y43" s="309">
        <v>40</v>
      </c>
      <c r="Z43" s="309">
        <v>21</v>
      </c>
      <c r="AA43" s="309">
        <v>5</v>
      </c>
      <c r="AB43" s="307">
        <v>42.7</v>
      </c>
      <c r="AC43" s="307">
        <v>0.2572289156626506</v>
      </c>
      <c r="AD43" s="309">
        <v>0</v>
      </c>
      <c r="AE43" s="309">
        <v>0</v>
      </c>
      <c r="AF43" s="309">
        <v>0</v>
      </c>
      <c r="AG43" s="309">
        <v>0</v>
      </c>
      <c r="AH43" s="309">
        <v>0</v>
      </c>
      <c r="AI43" s="309">
        <v>0</v>
      </c>
      <c r="AJ43" s="308">
        <v>0.5</v>
      </c>
      <c r="AK43" s="309" t="s">
        <v>48</v>
      </c>
      <c r="AL43" s="309" t="s">
        <v>56</v>
      </c>
      <c r="AM43" s="299">
        <v>0.171160532408976</v>
      </c>
      <c r="AN43" s="313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</row>
    <row r="44" spans="1:53" s="301" customFormat="1" ht="15" x14ac:dyDescent="0.25">
      <c r="A44" s="312">
        <v>222</v>
      </c>
      <c r="B44" s="311">
        <v>44943.625</v>
      </c>
      <c r="C44" s="308">
        <v>0.66666666666666663</v>
      </c>
      <c r="D44" s="308">
        <v>0.69791666666666663</v>
      </c>
      <c r="E44" s="308">
        <v>0.73263888888888884</v>
      </c>
      <c r="F44" s="309" t="s">
        <v>169</v>
      </c>
      <c r="G44" s="309" t="s">
        <v>5516</v>
      </c>
      <c r="H44" s="307" t="s">
        <v>2679</v>
      </c>
      <c r="I44" s="307" t="s">
        <v>5517</v>
      </c>
      <c r="J44" s="307" t="s">
        <v>37</v>
      </c>
      <c r="K44" s="309" t="s">
        <v>241</v>
      </c>
      <c r="L44" s="309" t="s">
        <v>206</v>
      </c>
      <c r="M44" s="309" t="s">
        <v>5525</v>
      </c>
      <c r="N44" s="309" t="s">
        <v>42</v>
      </c>
      <c r="O44" s="309" t="s">
        <v>5523</v>
      </c>
      <c r="P44" s="309" t="s">
        <v>5524</v>
      </c>
      <c r="Q44" s="303">
        <v>150</v>
      </c>
      <c r="R44" s="303">
        <v>1804</v>
      </c>
      <c r="S44" s="309">
        <v>150</v>
      </c>
      <c r="T44" s="309">
        <v>1804</v>
      </c>
      <c r="U44" s="309">
        <v>0</v>
      </c>
      <c r="V44" s="309">
        <v>0</v>
      </c>
      <c r="W44" s="309">
        <v>1781.88</v>
      </c>
      <c r="X44" s="309">
        <v>60</v>
      </c>
      <c r="Y44" s="309">
        <v>40</v>
      </c>
      <c r="Z44" s="309">
        <v>26</v>
      </c>
      <c r="AA44" s="309">
        <v>147</v>
      </c>
      <c r="AB44" s="307">
        <v>1528.8</v>
      </c>
      <c r="AC44" s="307">
        <v>9.2096385542168679</v>
      </c>
      <c r="AD44" s="309">
        <v>64453.65</v>
      </c>
      <c r="AE44" s="309" t="s">
        <v>109</v>
      </c>
      <c r="AF44" s="309" t="s">
        <v>5526</v>
      </c>
      <c r="AG44" s="309" t="s">
        <v>5463</v>
      </c>
      <c r="AH44" s="309" t="s">
        <v>5527</v>
      </c>
      <c r="AI44" s="309" t="s">
        <v>5463</v>
      </c>
      <c r="AJ44" s="308">
        <v>0.5</v>
      </c>
      <c r="AK44" s="309" t="s">
        <v>48</v>
      </c>
      <c r="AL44" s="309" t="s">
        <v>56</v>
      </c>
      <c r="AM44" s="299">
        <v>0.171160532408976</v>
      </c>
      <c r="AN44" s="313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</row>
    <row r="45" spans="1:53" s="301" customFormat="1" ht="15" x14ac:dyDescent="0.25">
      <c r="A45" s="312">
        <v>222</v>
      </c>
      <c r="B45" s="311">
        <v>44943.625</v>
      </c>
      <c r="C45" s="308">
        <v>0.66666666666666663</v>
      </c>
      <c r="D45" s="308">
        <v>0.69791666666666663</v>
      </c>
      <c r="E45" s="308">
        <v>0.73263888888888884</v>
      </c>
      <c r="F45" s="309" t="s">
        <v>169</v>
      </c>
      <c r="G45" s="309" t="s">
        <v>5516</v>
      </c>
      <c r="H45" s="307" t="s">
        <v>2679</v>
      </c>
      <c r="I45" s="307" t="s">
        <v>5517</v>
      </c>
      <c r="J45" s="307" t="s">
        <v>37</v>
      </c>
      <c r="K45" s="309" t="s">
        <v>241</v>
      </c>
      <c r="L45" s="309" t="s">
        <v>206</v>
      </c>
      <c r="M45" s="309" t="s">
        <v>5525</v>
      </c>
      <c r="N45" s="309" t="s">
        <v>42</v>
      </c>
      <c r="O45" s="309" t="s">
        <v>5523</v>
      </c>
      <c r="P45" s="309" t="s">
        <v>5524</v>
      </c>
      <c r="Q45" s="303">
        <v>0</v>
      </c>
      <c r="R45" s="303">
        <v>0</v>
      </c>
      <c r="S45" s="309">
        <v>0</v>
      </c>
      <c r="T45" s="309">
        <v>0</v>
      </c>
      <c r="U45" s="309">
        <v>0</v>
      </c>
      <c r="V45" s="309">
        <v>0</v>
      </c>
      <c r="W45" s="309">
        <v>0</v>
      </c>
      <c r="X45" s="309">
        <v>61</v>
      </c>
      <c r="Y45" s="309">
        <v>40</v>
      </c>
      <c r="Z45" s="309">
        <v>21</v>
      </c>
      <c r="AA45" s="309">
        <v>3</v>
      </c>
      <c r="AB45" s="307">
        <v>25.62</v>
      </c>
      <c r="AC45" s="307">
        <v>0.15433734939759036</v>
      </c>
      <c r="AD45" s="309">
        <v>0</v>
      </c>
      <c r="AE45" s="309">
        <v>0</v>
      </c>
      <c r="AF45" s="309">
        <v>0</v>
      </c>
      <c r="AG45" s="309">
        <v>0</v>
      </c>
      <c r="AH45" s="309">
        <v>0</v>
      </c>
      <c r="AI45" s="309">
        <v>0</v>
      </c>
      <c r="AJ45" s="308">
        <v>0.5</v>
      </c>
      <c r="AK45" s="309" t="s">
        <v>48</v>
      </c>
      <c r="AL45" s="309" t="s">
        <v>56</v>
      </c>
      <c r="AM45" s="299">
        <v>0.171160532408976</v>
      </c>
      <c r="AN45" s="313"/>
      <c r="AO45" s="314"/>
      <c r="AP45" s="314"/>
      <c r="AQ45" s="314"/>
      <c r="AR45" s="314"/>
      <c r="AS45" s="314"/>
      <c r="AT45" s="314"/>
      <c r="AU45" s="314"/>
      <c r="AV45" s="314"/>
      <c r="AW45" s="314"/>
      <c r="AX45" s="314"/>
      <c r="AY45" s="314"/>
      <c r="AZ45" s="314"/>
      <c r="BA45" s="314"/>
    </row>
    <row r="46" spans="1:53" s="301" customFormat="1" ht="15" x14ac:dyDescent="0.25">
      <c r="A46" s="312">
        <v>223</v>
      </c>
      <c r="B46" s="311">
        <v>44943.625</v>
      </c>
      <c r="C46" s="308">
        <v>0.70833333333333337</v>
      </c>
      <c r="D46" s="308">
        <v>0.73958333333333337</v>
      </c>
      <c r="E46" s="308">
        <v>0.74652777777777779</v>
      </c>
      <c r="F46" s="309" t="s">
        <v>169</v>
      </c>
      <c r="G46" s="309" t="s">
        <v>5528</v>
      </c>
      <c r="H46" s="307" t="s">
        <v>230</v>
      </c>
      <c r="I46" s="309" t="s">
        <v>407</v>
      </c>
      <c r="J46" s="307" t="s">
        <v>37</v>
      </c>
      <c r="K46" s="307" t="s">
        <v>61</v>
      </c>
      <c r="L46" s="214" t="s">
        <v>224</v>
      </c>
      <c r="M46" s="309" t="s">
        <v>5529</v>
      </c>
      <c r="N46" s="309" t="s">
        <v>42</v>
      </c>
      <c r="O46" s="309" t="s">
        <v>5530</v>
      </c>
      <c r="P46" s="309">
        <v>5031110</v>
      </c>
      <c r="Q46" s="303">
        <v>152</v>
      </c>
      <c r="R46" s="303">
        <v>2214</v>
      </c>
      <c r="S46" s="309">
        <v>152</v>
      </c>
      <c r="T46" s="309">
        <v>2214</v>
      </c>
      <c r="U46" s="309">
        <v>0</v>
      </c>
      <c r="V46" s="309">
        <v>0</v>
      </c>
      <c r="W46" s="309">
        <v>2360.71</v>
      </c>
      <c r="X46" s="309">
        <v>59</v>
      </c>
      <c r="Y46" s="309">
        <v>44</v>
      </c>
      <c r="Z46" s="309">
        <v>26</v>
      </c>
      <c r="AA46" s="309">
        <v>152</v>
      </c>
      <c r="AB46" s="307">
        <v>1709.8986666666667</v>
      </c>
      <c r="AC46" s="307">
        <v>10.300594377510041</v>
      </c>
      <c r="AD46" s="309">
        <v>69534.45</v>
      </c>
      <c r="AE46" s="309" t="s">
        <v>109</v>
      </c>
      <c r="AF46" s="309">
        <v>7017270</v>
      </c>
      <c r="AG46" s="309" t="s">
        <v>5463</v>
      </c>
      <c r="AH46" s="309" t="s">
        <v>5531</v>
      </c>
      <c r="AI46" s="309" t="s">
        <v>5352</v>
      </c>
      <c r="AJ46" s="308">
        <v>0.5</v>
      </c>
      <c r="AK46" s="309" t="s">
        <v>48</v>
      </c>
      <c r="AL46" s="309" t="s">
        <v>56</v>
      </c>
      <c r="AM46" s="299">
        <v>0.171160532408976</v>
      </c>
      <c r="AN46" s="313"/>
      <c r="AO46" s="314"/>
      <c r="AP46" s="314"/>
      <c r="AQ46" s="314"/>
      <c r="AR46" s="314"/>
      <c r="AS46" s="314"/>
      <c r="AT46" s="314"/>
      <c r="AU46" s="314"/>
      <c r="AV46" s="314"/>
      <c r="AW46" s="314"/>
      <c r="AX46" s="314"/>
      <c r="AY46" s="314"/>
      <c r="AZ46" s="314"/>
      <c r="BA46" s="314"/>
    </row>
    <row r="47" spans="1:53" s="301" customFormat="1" ht="15" x14ac:dyDescent="0.25">
      <c r="A47" s="312">
        <v>224</v>
      </c>
      <c r="B47" s="311"/>
      <c r="C47" s="308"/>
      <c r="D47" s="308"/>
      <c r="E47" s="308"/>
      <c r="F47" s="309"/>
      <c r="G47" s="309"/>
      <c r="H47" s="307"/>
      <c r="I47" s="307"/>
      <c r="J47" s="307"/>
      <c r="K47" s="309"/>
      <c r="L47" s="309"/>
      <c r="M47" s="309"/>
      <c r="N47" s="309"/>
      <c r="O47" s="309"/>
      <c r="P47" s="309"/>
      <c r="Q47" s="303"/>
      <c r="R47" s="303"/>
      <c r="S47" s="309"/>
      <c r="T47" s="309"/>
      <c r="U47" s="309"/>
      <c r="V47" s="309"/>
      <c r="W47" s="309"/>
      <c r="X47" s="309"/>
      <c r="Y47" s="309"/>
      <c r="Z47" s="309"/>
      <c r="AA47" s="309"/>
      <c r="AB47" s="307"/>
      <c r="AC47" s="307"/>
      <c r="AD47" s="309"/>
      <c r="AE47" s="309"/>
      <c r="AF47" s="309"/>
      <c r="AG47" s="309"/>
      <c r="AH47" s="309"/>
      <c r="AI47" s="309"/>
      <c r="AJ47" s="309"/>
      <c r="AK47" s="309"/>
      <c r="AL47" s="309"/>
      <c r="AM47" s="299"/>
      <c r="AN47" s="313"/>
      <c r="AO47" s="314"/>
      <c r="AP47" s="314"/>
      <c r="AQ47" s="314"/>
      <c r="AR47" s="314"/>
      <c r="AS47" s="314"/>
      <c r="AT47" s="314"/>
      <c r="AU47" s="314"/>
      <c r="AV47" s="314"/>
      <c r="AW47" s="314"/>
      <c r="AX47" s="314"/>
      <c r="AY47" s="314"/>
      <c r="AZ47" s="314"/>
      <c r="BA47" s="314"/>
    </row>
  </sheetData>
  <mergeCells count="1">
    <mergeCell ref="A1:A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99"/>
  <sheetViews>
    <sheetView zoomScaleNormal="100" workbookViewId="0">
      <pane ySplit="1" topLeftCell="A2" activePane="bottomLeft" state="frozen"/>
      <selection sqref="A1:AL1"/>
      <selection pane="bottomLeft"/>
    </sheetView>
  </sheetViews>
  <sheetFormatPr defaultRowHeight="15" x14ac:dyDescent="0.25"/>
  <cols>
    <col min="1" max="1" width="5.28515625" style="22" bestFit="1" customWidth="1"/>
    <col min="2" max="2" width="14.140625" style="22" customWidth="1"/>
    <col min="3" max="4" width="9.140625" style="22" customWidth="1"/>
    <col min="5" max="5" width="12.7109375" style="22" customWidth="1"/>
    <col min="6" max="6" width="12.42578125" style="22" customWidth="1"/>
    <col min="7" max="7" width="30.28515625" style="22" customWidth="1"/>
    <col min="8" max="8" width="23.42578125" style="22" customWidth="1"/>
    <col min="9" max="9" width="22.28515625" style="22" customWidth="1"/>
    <col min="10" max="10" width="5" style="22" customWidth="1"/>
    <col min="11" max="11" width="9.28515625" style="22" customWidth="1"/>
    <col min="12" max="12" width="12.85546875" style="22" customWidth="1"/>
    <col min="13" max="13" width="10.7109375" style="31" customWidth="1"/>
    <col min="14" max="14" width="13.140625" style="22" customWidth="1"/>
    <col min="15" max="15" width="53.28515625" style="22" customWidth="1"/>
    <col min="16" max="16" width="65.28515625" style="22" customWidth="1"/>
    <col min="17" max="17" width="8.28515625" style="22" customWidth="1"/>
    <col min="18" max="18" width="7.140625" style="22" customWidth="1"/>
    <col min="19" max="19" width="7.85546875" style="22" customWidth="1"/>
    <col min="20" max="20" width="7.140625" style="22" customWidth="1"/>
    <col min="21" max="21" width="8" style="22" customWidth="1"/>
    <col min="22" max="22" width="7.140625" style="22" customWidth="1"/>
    <col min="23" max="23" width="7.85546875" style="22" customWidth="1"/>
    <col min="24" max="24" width="5.28515625" style="22" customWidth="1"/>
    <col min="25" max="25" width="5.5703125" style="22" customWidth="1"/>
    <col min="26" max="26" width="5.7109375" style="22" customWidth="1"/>
    <col min="27" max="27" width="8" style="22" customWidth="1"/>
    <col min="28" max="30" width="10.42578125" style="22" customWidth="1"/>
    <col min="31" max="31" width="7.7109375" style="22" customWidth="1"/>
    <col min="32" max="32" width="13.85546875" style="22" customWidth="1"/>
    <col min="33" max="33" width="13.7109375" style="22" customWidth="1"/>
    <col min="34" max="34" width="12.85546875" style="22" customWidth="1"/>
    <col min="35" max="36" width="12.85546875" style="301" customWidth="1"/>
    <col min="37" max="37" width="8.5703125" style="22" customWidth="1"/>
    <col min="38" max="38" width="8.42578125" style="22" customWidth="1"/>
    <col min="39" max="39" width="8.85546875" style="22" customWidth="1"/>
    <col min="40" max="40" width="49.5703125" style="22" customWidth="1"/>
    <col min="41" max="41" width="8.85546875" style="22" bestFit="1" customWidth="1"/>
    <col min="42" max="42" width="9.85546875" style="22" bestFit="1" customWidth="1"/>
    <col min="43" max="43" width="13.7109375" style="22" bestFit="1" customWidth="1"/>
    <col min="44" max="44" width="15.85546875" style="22" bestFit="1" customWidth="1"/>
    <col min="45" max="45" width="49" style="22" bestFit="1" customWidth="1"/>
    <col min="46" max="46" width="9.5703125" style="22" bestFit="1" customWidth="1"/>
    <col min="47" max="47" width="17.85546875" style="22" bestFit="1" customWidth="1"/>
    <col min="48" max="48" width="9.5703125" style="22" bestFit="1" customWidth="1"/>
    <col min="49" max="49" width="14.5703125" style="22" bestFit="1" customWidth="1"/>
    <col min="50" max="50" width="9.28515625" style="22" bestFit="1" customWidth="1"/>
    <col min="51" max="51" width="20.140625" style="22" bestFit="1" customWidth="1"/>
    <col min="52" max="52" width="21.7109375" style="22" bestFit="1" customWidth="1"/>
    <col min="53" max="53" width="18.42578125" style="22" bestFit="1" customWidth="1"/>
    <col min="54" max="16384" width="9.140625" style="22"/>
  </cols>
  <sheetData>
    <row r="1" spans="1:53" ht="36" x14ac:dyDescent="0.25">
      <c r="A1" s="1" t="s">
        <v>1</v>
      </c>
      <c r="B1" s="1" t="s">
        <v>2</v>
      </c>
      <c r="C1" s="2" t="s">
        <v>3</v>
      </c>
      <c r="D1" s="2" t="s">
        <v>4</v>
      </c>
      <c r="E1" s="3" t="s">
        <v>5</v>
      </c>
      <c r="F1" s="3" t="s">
        <v>168</v>
      </c>
      <c r="G1" s="3" t="s">
        <v>6</v>
      </c>
      <c r="H1" s="3" t="s">
        <v>7</v>
      </c>
      <c r="I1" s="3" t="s">
        <v>8</v>
      </c>
      <c r="J1" s="5" t="s">
        <v>24</v>
      </c>
      <c r="K1" s="5" t="s">
        <v>15</v>
      </c>
      <c r="L1" s="19" t="s">
        <v>205</v>
      </c>
      <c r="M1" s="7" t="s">
        <v>10</v>
      </c>
      <c r="N1" s="5" t="s">
        <v>9</v>
      </c>
      <c r="O1" s="3" t="s">
        <v>11</v>
      </c>
      <c r="P1" s="3" t="s">
        <v>12</v>
      </c>
      <c r="Q1" s="19" t="s">
        <v>113</v>
      </c>
      <c r="R1" s="19" t="s">
        <v>114</v>
      </c>
      <c r="S1" s="5" t="s">
        <v>13</v>
      </c>
      <c r="T1" s="4" t="s">
        <v>103</v>
      </c>
      <c r="U1" s="5" t="s">
        <v>14</v>
      </c>
      <c r="V1" s="4" t="s">
        <v>104</v>
      </c>
      <c r="W1" s="4" t="s">
        <v>16</v>
      </c>
      <c r="X1" s="3" t="s">
        <v>17</v>
      </c>
      <c r="Y1" s="3" t="s">
        <v>18</v>
      </c>
      <c r="Z1" s="3" t="s">
        <v>19</v>
      </c>
      <c r="AA1" s="3" t="s">
        <v>60</v>
      </c>
      <c r="AB1" s="6" t="s">
        <v>20</v>
      </c>
      <c r="AC1" s="5" t="s">
        <v>21</v>
      </c>
      <c r="AD1" s="5" t="s">
        <v>23</v>
      </c>
      <c r="AE1" s="5" t="s">
        <v>108</v>
      </c>
      <c r="AF1" s="19" t="s">
        <v>115</v>
      </c>
      <c r="AG1" s="19" t="s">
        <v>116</v>
      </c>
      <c r="AH1" s="5" t="s">
        <v>22</v>
      </c>
      <c r="AI1" s="5" t="s">
        <v>5243</v>
      </c>
      <c r="AJ1" s="5" t="s">
        <v>5288</v>
      </c>
      <c r="AK1" s="9" t="s">
        <v>28</v>
      </c>
      <c r="AL1" s="3" t="s">
        <v>25</v>
      </c>
      <c r="AM1" s="3" t="s">
        <v>26</v>
      </c>
      <c r="AN1" s="8" t="s">
        <v>27</v>
      </c>
      <c r="AO1" s="10" t="s">
        <v>9</v>
      </c>
      <c r="AP1" s="11" t="s">
        <v>10</v>
      </c>
      <c r="AQ1" s="10" t="s">
        <v>29</v>
      </c>
      <c r="AR1" s="12" t="s">
        <v>30</v>
      </c>
      <c r="AS1" s="12" t="s">
        <v>6</v>
      </c>
      <c r="AT1" s="12" t="s">
        <v>31</v>
      </c>
      <c r="AU1" s="12" t="s">
        <v>33</v>
      </c>
      <c r="AV1" s="12" t="s">
        <v>32</v>
      </c>
      <c r="AW1" s="13" t="s">
        <v>36</v>
      </c>
      <c r="AX1" s="13" t="s">
        <v>105</v>
      </c>
      <c r="AY1" s="14" t="s">
        <v>34</v>
      </c>
      <c r="AZ1" s="14" t="s">
        <v>35</v>
      </c>
      <c r="BA1" s="15" t="s">
        <v>27</v>
      </c>
    </row>
    <row r="2" spans="1:53" x14ac:dyDescent="0.25">
      <c r="A2" s="26">
        <v>235</v>
      </c>
      <c r="B2" s="23">
        <v>43897.784722222219</v>
      </c>
      <c r="C2" s="27">
        <v>0.78819444444444453</v>
      </c>
      <c r="D2" s="27">
        <v>0.79513888888888884</v>
      </c>
      <c r="E2" s="27">
        <v>0.79861111111111116</v>
      </c>
      <c r="F2" s="27"/>
      <c r="G2" s="26" t="s">
        <v>456</v>
      </c>
      <c r="H2" s="26" t="s">
        <v>457</v>
      </c>
      <c r="I2" s="26" t="s">
        <v>457</v>
      </c>
      <c r="J2" s="26" t="s">
        <v>41</v>
      </c>
      <c r="K2" s="26" t="s">
        <v>458</v>
      </c>
      <c r="L2" s="16"/>
      <c r="M2" s="30">
        <v>0</v>
      </c>
      <c r="N2" s="26">
        <v>0</v>
      </c>
      <c r="O2" s="26">
        <v>0</v>
      </c>
      <c r="P2" s="26">
        <v>0</v>
      </c>
      <c r="Q2" s="26">
        <f t="shared" ref="Q2" si="0">S2+U2</f>
        <v>9</v>
      </c>
      <c r="R2" s="26">
        <f t="shared" ref="R2" si="1">T2+V2</f>
        <v>0</v>
      </c>
      <c r="S2" s="26">
        <v>9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9</v>
      </c>
      <c r="AB2" s="17">
        <f t="shared" ref="AB2" si="2">X2*Y2*Z2*AA2/6000</f>
        <v>0</v>
      </c>
      <c r="AC2" s="17">
        <f t="shared" ref="AC2" si="3">AB2/166</f>
        <v>0</v>
      </c>
      <c r="AD2" s="26">
        <v>0</v>
      </c>
      <c r="AE2" s="26" t="s">
        <v>48</v>
      </c>
      <c r="AF2" s="26"/>
      <c r="AG2" s="26"/>
      <c r="AH2" s="26">
        <v>0</v>
      </c>
      <c r="AI2" s="303"/>
      <c r="AJ2" s="303"/>
      <c r="AK2" s="26" t="s">
        <v>48</v>
      </c>
      <c r="AL2" s="16" t="s">
        <v>182</v>
      </c>
      <c r="AM2" s="16">
        <f t="shared" ref="AM2" ca="1" si="4">IF(AP2="",NOW()-B2,AR2-B2)</f>
        <v>1046.0179290509259</v>
      </c>
      <c r="AN2" s="28"/>
      <c r="AO2" s="28"/>
      <c r="AP2" s="28"/>
      <c r="AQ2" s="23"/>
      <c r="AR2" s="54"/>
      <c r="AS2" s="28"/>
      <c r="AT2" s="54"/>
      <c r="AU2" s="26"/>
      <c r="AV2" s="26"/>
      <c r="AW2" s="55"/>
      <c r="AX2" s="16"/>
      <c r="AY2" s="16"/>
      <c r="AZ2" s="26"/>
      <c r="BA2" s="26"/>
    </row>
    <row r="3" spans="1:53" x14ac:dyDescent="0.25">
      <c r="A3" s="48">
        <v>504</v>
      </c>
      <c r="B3" s="72">
        <v>44859.416666666664</v>
      </c>
      <c r="C3" s="67">
        <v>0.44791666666666669</v>
      </c>
      <c r="D3" s="67">
        <v>0.45833333333333331</v>
      </c>
      <c r="E3" s="67">
        <v>0.46527777777777773</v>
      </c>
      <c r="F3" s="68" t="s">
        <v>171</v>
      </c>
      <c r="G3" s="68" t="s">
        <v>275</v>
      </c>
      <c r="H3" s="60" t="s">
        <v>91</v>
      </c>
      <c r="I3" s="26" t="s">
        <v>287</v>
      </c>
      <c r="J3" s="60" t="s">
        <v>41</v>
      </c>
      <c r="K3" s="60" t="s">
        <v>180</v>
      </c>
      <c r="L3" s="69" t="s">
        <v>206</v>
      </c>
      <c r="M3" s="68" t="s">
        <v>500</v>
      </c>
      <c r="N3" s="37" t="s">
        <v>175</v>
      </c>
      <c r="O3" s="37">
        <v>1054968155</v>
      </c>
      <c r="P3" s="37">
        <v>1213871035</v>
      </c>
      <c r="Q3" s="303">
        <f t="shared" ref="Q3" si="5">S3+U3</f>
        <v>2</v>
      </c>
      <c r="R3" s="303">
        <f t="shared" ref="R3" si="6">T3+V3</f>
        <v>174</v>
      </c>
      <c r="S3" s="37">
        <v>0</v>
      </c>
      <c r="T3" s="37">
        <v>0</v>
      </c>
      <c r="U3" s="37">
        <v>2</v>
      </c>
      <c r="V3" s="37">
        <f>87+87</f>
        <v>174</v>
      </c>
      <c r="W3" s="37">
        <v>178</v>
      </c>
      <c r="X3" s="37">
        <v>131</v>
      </c>
      <c r="Y3" s="37">
        <v>76</v>
      </c>
      <c r="Z3" s="37">
        <v>73</v>
      </c>
      <c r="AA3" s="37">
        <v>2</v>
      </c>
      <c r="AB3" s="300">
        <f t="shared" ref="AB3" si="7">X3*Y3*Z3*AA3/6000</f>
        <v>242.26266666666666</v>
      </c>
      <c r="AC3" s="300">
        <f t="shared" ref="AC3" si="8">AB3/166</f>
        <v>1.4594136546184739</v>
      </c>
      <c r="AD3" s="37">
        <v>94779</v>
      </c>
      <c r="AE3" s="68" t="s">
        <v>109</v>
      </c>
      <c r="AF3" s="68" t="s">
        <v>317</v>
      </c>
      <c r="AG3" s="68" t="s">
        <v>317</v>
      </c>
      <c r="AH3" s="68" t="s">
        <v>499</v>
      </c>
      <c r="AI3" s="309"/>
      <c r="AJ3" s="309"/>
      <c r="AK3" s="68" t="s">
        <v>37</v>
      </c>
      <c r="AL3" s="68" t="s">
        <v>54</v>
      </c>
      <c r="AM3" s="299">
        <f t="shared" ref="AM3" ca="1" si="9">IF(AP3="",NOW()-B3,AR3-B3)</f>
        <v>8.3090277777810115</v>
      </c>
      <c r="AN3" s="51"/>
      <c r="AO3" s="61" t="s">
        <v>181</v>
      </c>
      <c r="AP3" s="62" t="s">
        <v>500</v>
      </c>
      <c r="AQ3" s="61" t="s">
        <v>837</v>
      </c>
      <c r="AR3" s="64">
        <v>44867.725694444445</v>
      </c>
      <c r="AS3" s="61" t="s">
        <v>95</v>
      </c>
      <c r="AT3" s="61" t="s">
        <v>225</v>
      </c>
      <c r="AU3" s="59">
        <v>0.72569444444444453</v>
      </c>
      <c r="AV3" s="61">
        <v>2</v>
      </c>
      <c r="AW3" s="58" t="s">
        <v>66</v>
      </c>
      <c r="AX3" s="52"/>
      <c r="AY3" s="52"/>
      <c r="AZ3" s="52"/>
      <c r="BA3" s="52"/>
    </row>
    <row r="4" spans="1:53" x14ac:dyDescent="0.25">
      <c r="A4" s="73">
        <v>528</v>
      </c>
      <c r="B4" s="72">
        <v>44860.604166666664</v>
      </c>
      <c r="C4" s="67">
        <v>0.60763888888888895</v>
      </c>
      <c r="D4" s="67">
        <v>0.61111111111111105</v>
      </c>
      <c r="E4" s="67">
        <v>0.61805555555555558</v>
      </c>
      <c r="F4" s="68" t="s">
        <v>171</v>
      </c>
      <c r="G4" s="68" t="s">
        <v>279</v>
      </c>
      <c r="H4" s="66" t="s">
        <v>149</v>
      </c>
      <c r="I4" s="66" t="s">
        <v>149</v>
      </c>
      <c r="J4" s="66" t="s">
        <v>37</v>
      </c>
      <c r="K4" s="66" t="s">
        <v>180</v>
      </c>
      <c r="L4" s="70" t="s">
        <v>206</v>
      </c>
      <c r="M4" s="68" t="s">
        <v>504</v>
      </c>
      <c r="N4" s="68" t="s">
        <v>44</v>
      </c>
      <c r="O4" s="68" t="s">
        <v>505</v>
      </c>
      <c r="P4" s="68" t="s">
        <v>506</v>
      </c>
      <c r="Q4" s="303">
        <f t="shared" ref="Q4:Q10" si="10">S4+U4</f>
        <v>1</v>
      </c>
      <c r="R4" s="303">
        <f t="shared" ref="R4:R10" si="11">T4+V4</f>
        <v>254</v>
      </c>
      <c r="S4" s="68">
        <v>0</v>
      </c>
      <c r="T4" s="68">
        <v>0</v>
      </c>
      <c r="U4" s="68">
        <v>1</v>
      </c>
      <c r="V4" s="68">
        <v>254</v>
      </c>
      <c r="W4" s="68">
        <v>237.47</v>
      </c>
      <c r="X4" s="68">
        <v>110</v>
      </c>
      <c r="Y4" s="68">
        <v>58</v>
      </c>
      <c r="Z4" s="68">
        <v>66</v>
      </c>
      <c r="AA4" s="68">
        <v>1</v>
      </c>
      <c r="AB4" s="300">
        <f t="shared" ref="AB4:AB10" si="12">X4*Y4*Z4*AA4/6000</f>
        <v>70.180000000000007</v>
      </c>
      <c r="AC4" s="300">
        <f t="shared" ref="AC4:AC10" si="13">AB4/166</f>
        <v>0.42277108433734945</v>
      </c>
      <c r="AD4" s="68">
        <v>2511.3000000000002</v>
      </c>
      <c r="AE4" s="68" t="s">
        <v>109</v>
      </c>
      <c r="AF4" s="68" t="s">
        <v>317</v>
      </c>
      <c r="AG4" s="68" t="s">
        <v>317</v>
      </c>
      <c r="AH4" s="68" t="s">
        <v>507</v>
      </c>
      <c r="AI4" s="309"/>
      <c r="AJ4" s="309"/>
      <c r="AK4" s="68" t="s">
        <v>37</v>
      </c>
      <c r="AL4" s="68" t="s">
        <v>39</v>
      </c>
      <c r="AM4" s="299">
        <f t="shared" ref="AM4:AM9" ca="1" si="14">IF(AP4="",NOW()-B4,AR4-B4)</f>
        <v>5.9583333333357587</v>
      </c>
      <c r="AN4" s="51"/>
      <c r="AO4" s="61" t="s">
        <v>196</v>
      </c>
      <c r="AP4" s="62" t="s">
        <v>504</v>
      </c>
      <c r="AQ4" s="78" t="s">
        <v>719</v>
      </c>
      <c r="AR4" s="64">
        <v>44866.5625</v>
      </c>
      <c r="AS4" s="61" t="s">
        <v>136</v>
      </c>
      <c r="AT4" s="61" t="s">
        <v>225</v>
      </c>
      <c r="AU4" s="63">
        <v>0.5625</v>
      </c>
      <c r="AV4" s="61">
        <v>1</v>
      </c>
      <c r="AW4" s="61" t="s">
        <v>66</v>
      </c>
      <c r="AX4" s="52"/>
      <c r="AY4" s="52"/>
      <c r="AZ4" s="52"/>
      <c r="BA4" s="52"/>
    </row>
    <row r="5" spans="1:53" x14ac:dyDescent="0.25">
      <c r="A5" s="73">
        <v>548</v>
      </c>
      <c r="B5" s="72">
        <v>44861.774305555555</v>
      </c>
      <c r="C5" s="67">
        <v>0.77430555555555547</v>
      </c>
      <c r="D5" s="67">
        <v>0.77777777777777779</v>
      </c>
      <c r="E5" s="67">
        <v>0.78819444444444453</v>
      </c>
      <c r="F5" s="68" t="s">
        <v>169</v>
      </c>
      <c r="G5" s="68" t="s">
        <v>513</v>
      </c>
      <c r="H5" s="71" t="s">
        <v>514</v>
      </c>
      <c r="I5" s="71" t="s">
        <v>515</v>
      </c>
      <c r="J5" s="71" t="s">
        <v>41</v>
      </c>
      <c r="K5" s="71" t="s">
        <v>241</v>
      </c>
      <c r="L5" s="71">
        <v>0</v>
      </c>
      <c r="M5" s="68" t="s">
        <v>521</v>
      </c>
      <c r="N5" s="68" t="s">
        <v>42</v>
      </c>
      <c r="O5" s="68" t="s">
        <v>516</v>
      </c>
      <c r="P5" s="68">
        <v>748069</v>
      </c>
      <c r="Q5" s="303">
        <f t="shared" si="10"/>
        <v>2</v>
      </c>
      <c r="R5" s="303">
        <f t="shared" si="11"/>
        <v>0</v>
      </c>
      <c r="S5" s="68">
        <v>0</v>
      </c>
      <c r="T5" s="68">
        <v>0</v>
      </c>
      <c r="U5" s="68">
        <v>2</v>
      </c>
      <c r="V5" s="68">
        <v>0</v>
      </c>
      <c r="W5" s="68">
        <v>1017.2</v>
      </c>
      <c r="X5" s="68">
        <v>359</v>
      </c>
      <c r="Y5" s="68">
        <v>108</v>
      </c>
      <c r="Z5" s="68">
        <v>96</v>
      </c>
      <c r="AA5" s="68">
        <v>2</v>
      </c>
      <c r="AB5" s="300">
        <f t="shared" si="12"/>
        <v>1240.704</v>
      </c>
      <c r="AC5" s="300">
        <f t="shared" si="13"/>
        <v>7.4741204819277103</v>
      </c>
      <c r="AD5" s="68" t="s">
        <v>48</v>
      </c>
      <c r="AE5" s="68" t="s">
        <v>48</v>
      </c>
      <c r="AF5" s="68" t="s">
        <v>317</v>
      </c>
      <c r="AG5" s="68" t="s">
        <v>317</v>
      </c>
      <c r="AH5" s="68">
        <v>0</v>
      </c>
      <c r="AI5" s="309"/>
      <c r="AJ5" s="309"/>
      <c r="AK5" s="68" t="s">
        <v>37</v>
      </c>
      <c r="AL5" s="68" t="s">
        <v>52</v>
      </c>
      <c r="AM5" s="299">
        <f t="shared" ca="1" si="14"/>
        <v>5.7951388888905058</v>
      </c>
      <c r="AN5" s="51"/>
      <c r="AO5" s="61" t="s">
        <v>408</v>
      </c>
      <c r="AP5" s="62" t="s">
        <v>521</v>
      </c>
      <c r="AQ5" s="61" t="s">
        <v>826</v>
      </c>
      <c r="AR5" s="64">
        <v>44867.569444444445</v>
      </c>
      <c r="AS5" s="61" t="s">
        <v>439</v>
      </c>
      <c r="AT5" s="61" t="s">
        <v>827</v>
      </c>
      <c r="AU5" s="63">
        <v>0.56944444444444442</v>
      </c>
      <c r="AV5" s="61">
        <v>1</v>
      </c>
      <c r="AW5" s="58" t="s">
        <v>66</v>
      </c>
      <c r="AX5" s="52"/>
      <c r="AY5" s="52"/>
      <c r="AZ5" s="52"/>
      <c r="BA5" s="52"/>
    </row>
    <row r="6" spans="1:53" x14ac:dyDescent="0.25">
      <c r="A6" s="73">
        <v>549</v>
      </c>
      <c r="B6" s="72">
        <v>44861.777777777781</v>
      </c>
      <c r="C6" s="67">
        <v>0.78125</v>
      </c>
      <c r="D6" s="67">
        <v>0.78819444444444453</v>
      </c>
      <c r="E6" s="67">
        <v>0.79166666666666663</v>
      </c>
      <c r="F6" s="68" t="s">
        <v>171</v>
      </c>
      <c r="G6" s="68" t="s">
        <v>366</v>
      </c>
      <c r="H6" s="66" t="s">
        <v>517</v>
      </c>
      <c r="I6" s="66" t="s">
        <v>372</v>
      </c>
      <c r="J6" s="66" t="s">
        <v>37</v>
      </c>
      <c r="K6" s="66" t="s">
        <v>233</v>
      </c>
      <c r="L6" s="66">
        <v>0</v>
      </c>
      <c r="M6" s="68" t="s">
        <v>518</v>
      </c>
      <c r="N6" s="68" t="s">
        <v>43</v>
      </c>
      <c r="O6" s="68" t="s">
        <v>519</v>
      </c>
      <c r="P6" s="68">
        <v>16823</v>
      </c>
      <c r="Q6" s="303">
        <f t="shared" si="10"/>
        <v>1</v>
      </c>
      <c r="R6" s="303">
        <f t="shared" si="11"/>
        <v>75</v>
      </c>
      <c r="S6" s="68">
        <v>0</v>
      </c>
      <c r="T6" s="68">
        <v>0</v>
      </c>
      <c r="U6" s="68">
        <v>1</v>
      </c>
      <c r="V6" s="68">
        <v>75</v>
      </c>
      <c r="W6" s="68">
        <v>75</v>
      </c>
      <c r="X6" s="68">
        <v>76</v>
      </c>
      <c r="Y6" s="68">
        <v>76</v>
      </c>
      <c r="Z6" s="68">
        <v>44</v>
      </c>
      <c r="AA6" s="68">
        <v>1</v>
      </c>
      <c r="AB6" s="300">
        <f t="shared" si="12"/>
        <v>42.357333333333337</v>
      </c>
      <c r="AC6" s="300">
        <f t="shared" si="13"/>
        <v>0.25516465863453819</v>
      </c>
      <c r="AD6" s="68">
        <v>5465.21</v>
      </c>
      <c r="AE6" s="68" t="s">
        <v>111</v>
      </c>
      <c r="AF6" s="68" t="s">
        <v>317</v>
      </c>
      <c r="AG6" s="68" t="s">
        <v>317</v>
      </c>
      <c r="AH6" s="68" t="s">
        <v>520</v>
      </c>
      <c r="AI6" s="309"/>
      <c r="AJ6" s="309"/>
      <c r="AK6" s="68" t="s">
        <v>37</v>
      </c>
      <c r="AL6" s="68" t="s">
        <v>49</v>
      </c>
      <c r="AM6" s="299">
        <f t="shared" ca="1" si="14"/>
        <v>4.8819444444379769</v>
      </c>
      <c r="AN6" s="51"/>
      <c r="AO6" s="61" t="s">
        <v>161</v>
      </c>
      <c r="AP6" s="62" t="s">
        <v>518</v>
      </c>
      <c r="AQ6" s="61" t="s">
        <v>721</v>
      </c>
      <c r="AR6" s="64">
        <v>44866.659722222219</v>
      </c>
      <c r="AS6" s="57" t="s">
        <v>173</v>
      </c>
      <c r="AT6" s="61" t="s">
        <v>225</v>
      </c>
      <c r="AU6" s="63">
        <v>0.65972222222222221</v>
      </c>
      <c r="AV6" s="61">
        <v>2</v>
      </c>
      <c r="AW6" s="61" t="s">
        <v>66</v>
      </c>
      <c r="AX6" s="52"/>
      <c r="AY6" s="52"/>
      <c r="AZ6" s="52"/>
      <c r="BA6" s="52"/>
    </row>
    <row r="7" spans="1:53" x14ac:dyDescent="0.25">
      <c r="A7" s="73">
        <v>562</v>
      </c>
      <c r="B7" s="72">
        <v>44862.670138888891</v>
      </c>
      <c r="C7" s="67">
        <v>0.67361111111111116</v>
      </c>
      <c r="D7" s="67">
        <v>0.68402777777777779</v>
      </c>
      <c r="E7" s="67">
        <v>0.69097222222222221</v>
      </c>
      <c r="F7" s="68" t="s">
        <v>170</v>
      </c>
      <c r="G7" s="68" t="s">
        <v>523</v>
      </c>
      <c r="H7" s="66" t="s">
        <v>57</v>
      </c>
      <c r="I7" s="66" t="s">
        <v>110</v>
      </c>
      <c r="J7" s="66" t="s">
        <v>37</v>
      </c>
      <c r="K7" s="66" t="s">
        <v>63</v>
      </c>
      <c r="L7" s="66" t="s">
        <v>209</v>
      </c>
      <c r="M7" s="68" t="s">
        <v>524</v>
      </c>
      <c r="N7" s="68" t="s">
        <v>186</v>
      </c>
      <c r="O7" s="68" t="s">
        <v>525</v>
      </c>
      <c r="P7" s="68">
        <v>96236314</v>
      </c>
      <c r="Q7" s="303">
        <f t="shared" si="10"/>
        <v>1</v>
      </c>
      <c r="R7" s="303">
        <f t="shared" si="11"/>
        <v>23</v>
      </c>
      <c r="S7" s="68">
        <v>0</v>
      </c>
      <c r="T7" s="68">
        <v>0</v>
      </c>
      <c r="U7" s="68">
        <v>1</v>
      </c>
      <c r="V7" s="68">
        <v>23</v>
      </c>
      <c r="W7" s="68">
        <v>23</v>
      </c>
      <c r="X7" s="68">
        <v>59</v>
      </c>
      <c r="Y7" s="68">
        <v>44</v>
      </c>
      <c r="Z7" s="68">
        <v>39</v>
      </c>
      <c r="AA7" s="68">
        <v>1</v>
      </c>
      <c r="AB7" s="300">
        <f t="shared" si="12"/>
        <v>16.873999999999999</v>
      </c>
      <c r="AC7" s="300">
        <f t="shared" si="13"/>
        <v>0.10165060240963855</v>
      </c>
      <c r="AD7" s="68">
        <v>1277.0999999999999</v>
      </c>
      <c r="AE7" s="68" t="s">
        <v>109</v>
      </c>
      <c r="AF7" s="68" t="s">
        <v>317</v>
      </c>
      <c r="AG7" s="68" t="s">
        <v>317</v>
      </c>
      <c r="AH7" s="68" t="s">
        <v>526</v>
      </c>
      <c r="AI7" s="309"/>
      <c r="AJ7" s="309"/>
      <c r="AK7" s="68" t="s">
        <v>37</v>
      </c>
      <c r="AL7" s="68" t="s">
        <v>54</v>
      </c>
      <c r="AM7" s="299">
        <f t="shared" ca="1" si="14"/>
        <v>4.9965277777737356</v>
      </c>
      <c r="AN7" s="51"/>
      <c r="AO7" s="61" t="s">
        <v>131</v>
      </c>
      <c r="AP7" s="62" t="s">
        <v>524</v>
      </c>
      <c r="AQ7" s="61" t="s">
        <v>829</v>
      </c>
      <c r="AR7" s="64">
        <v>44867.666666666664</v>
      </c>
      <c r="AS7" s="61" t="s">
        <v>117</v>
      </c>
      <c r="AT7" s="61" t="s">
        <v>225</v>
      </c>
      <c r="AU7" s="59">
        <v>0.66666666666666663</v>
      </c>
      <c r="AV7" s="61">
        <v>2</v>
      </c>
      <c r="AW7" s="58" t="s">
        <v>66</v>
      </c>
      <c r="AX7" s="52"/>
      <c r="AY7" s="52"/>
      <c r="AZ7" s="52"/>
      <c r="BA7" s="52"/>
    </row>
    <row r="8" spans="1:53" x14ac:dyDescent="0.25">
      <c r="A8" s="73">
        <v>563</v>
      </c>
      <c r="B8" s="72">
        <v>44862.670138888891</v>
      </c>
      <c r="C8" s="67">
        <v>0.67361111111111116</v>
      </c>
      <c r="D8" s="67">
        <v>0.68402777777777779</v>
      </c>
      <c r="E8" s="67">
        <v>0.69097222222222221</v>
      </c>
      <c r="F8" s="68" t="s">
        <v>170</v>
      </c>
      <c r="G8" s="68" t="s">
        <v>523</v>
      </c>
      <c r="H8" s="66" t="s">
        <v>57</v>
      </c>
      <c r="I8" s="66" t="s">
        <v>110</v>
      </c>
      <c r="J8" s="66" t="s">
        <v>37</v>
      </c>
      <c r="K8" s="66" t="s">
        <v>63</v>
      </c>
      <c r="L8" s="66" t="s">
        <v>209</v>
      </c>
      <c r="M8" s="68" t="s">
        <v>524</v>
      </c>
      <c r="N8" s="68" t="s">
        <v>186</v>
      </c>
      <c r="O8" s="68" t="s">
        <v>527</v>
      </c>
      <c r="P8" s="68">
        <v>96236589</v>
      </c>
      <c r="Q8" s="303">
        <f t="shared" si="10"/>
        <v>1</v>
      </c>
      <c r="R8" s="303">
        <f t="shared" si="11"/>
        <v>107</v>
      </c>
      <c r="S8" s="68">
        <v>0</v>
      </c>
      <c r="T8" s="68">
        <v>0</v>
      </c>
      <c r="U8" s="68">
        <v>1</v>
      </c>
      <c r="V8" s="68">
        <v>107</v>
      </c>
      <c r="W8" s="68">
        <v>107</v>
      </c>
      <c r="X8" s="68">
        <v>80</v>
      </c>
      <c r="Y8" s="68">
        <v>60</v>
      </c>
      <c r="Z8" s="68">
        <v>69</v>
      </c>
      <c r="AA8" s="68">
        <v>1</v>
      </c>
      <c r="AB8" s="300">
        <f t="shared" si="12"/>
        <v>55.2</v>
      </c>
      <c r="AC8" s="300">
        <f t="shared" si="13"/>
        <v>0.3325301204819277</v>
      </c>
      <c r="AD8" s="68">
        <v>539.54999999999995</v>
      </c>
      <c r="AE8" s="68" t="s">
        <v>109</v>
      </c>
      <c r="AF8" s="68" t="s">
        <v>317</v>
      </c>
      <c r="AG8" s="68" t="s">
        <v>317</v>
      </c>
      <c r="AH8" s="68" t="s">
        <v>528</v>
      </c>
      <c r="AI8" s="309"/>
      <c r="AJ8" s="309"/>
      <c r="AK8" s="68" t="s">
        <v>37</v>
      </c>
      <c r="AL8" s="68" t="s">
        <v>54</v>
      </c>
      <c r="AM8" s="299">
        <f t="shared" ca="1" si="14"/>
        <v>4.9965277777737356</v>
      </c>
      <c r="AN8" s="51"/>
      <c r="AO8" s="61" t="s">
        <v>131</v>
      </c>
      <c r="AP8" s="62" t="s">
        <v>524</v>
      </c>
      <c r="AQ8" s="61" t="s">
        <v>829</v>
      </c>
      <c r="AR8" s="64">
        <v>44867.666666666664</v>
      </c>
      <c r="AS8" s="61" t="s">
        <v>117</v>
      </c>
      <c r="AT8" s="61" t="s">
        <v>225</v>
      </c>
      <c r="AU8" s="59">
        <v>0.66666666666666663</v>
      </c>
      <c r="AV8" s="61">
        <v>2</v>
      </c>
      <c r="AW8" s="58" t="s">
        <v>66</v>
      </c>
      <c r="AX8" s="52"/>
      <c r="AY8" s="52"/>
      <c r="AZ8" s="52"/>
      <c r="BA8" s="52"/>
    </row>
    <row r="9" spans="1:53" x14ac:dyDescent="0.25">
      <c r="A9" s="73">
        <v>570</v>
      </c>
      <c r="B9" s="72">
        <v>44862.684027777781</v>
      </c>
      <c r="C9" s="67">
        <v>0.6875</v>
      </c>
      <c r="D9" s="67">
        <v>0.70138888888888884</v>
      </c>
      <c r="E9" s="67">
        <v>0.71527777777777779</v>
      </c>
      <c r="F9" s="68" t="s">
        <v>170</v>
      </c>
      <c r="G9" s="68" t="s">
        <v>529</v>
      </c>
      <c r="H9" s="66" t="s">
        <v>45</v>
      </c>
      <c r="I9" s="66" t="s">
        <v>110</v>
      </c>
      <c r="J9" s="66" t="s">
        <v>37</v>
      </c>
      <c r="K9" s="66" t="s">
        <v>63</v>
      </c>
      <c r="L9" s="66" t="s">
        <v>222</v>
      </c>
      <c r="M9" s="68" t="s">
        <v>530</v>
      </c>
      <c r="N9" s="68" t="s">
        <v>186</v>
      </c>
      <c r="O9" s="68">
        <v>3500669</v>
      </c>
      <c r="P9" s="68">
        <v>5051968198</v>
      </c>
      <c r="Q9" s="303">
        <f t="shared" si="10"/>
        <v>1</v>
      </c>
      <c r="R9" s="303">
        <f t="shared" si="11"/>
        <v>69</v>
      </c>
      <c r="S9" s="68">
        <v>0</v>
      </c>
      <c r="T9" s="68">
        <v>0</v>
      </c>
      <c r="U9" s="68">
        <v>1</v>
      </c>
      <c r="V9" s="68">
        <v>69</v>
      </c>
      <c r="W9" s="68">
        <v>71.823999999999998</v>
      </c>
      <c r="X9" s="68">
        <v>90</v>
      </c>
      <c r="Y9" s="68">
        <v>68</v>
      </c>
      <c r="Z9" s="68">
        <v>32</v>
      </c>
      <c r="AA9" s="68">
        <v>1</v>
      </c>
      <c r="AB9" s="300">
        <f t="shared" si="12"/>
        <v>32.64</v>
      </c>
      <c r="AC9" s="300">
        <f t="shared" si="13"/>
        <v>0.1966265060240964</v>
      </c>
      <c r="AD9" s="68">
        <v>5784</v>
      </c>
      <c r="AE9" s="68" t="s">
        <v>109</v>
      </c>
      <c r="AF9" s="68" t="s">
        <v>317</v>
      </c>
      <c r="AG9" s="68" t="s">
        <v>317</v>
      </c>
      <c r="AH9" s="68" t="s">
        <v>531</v>
      </c>
      <c r="AI9" s="309"/>
      <c r="AJ9" s="309"/>
      <c r="AK9" s="68" t="s">
        <v>37</v>
      </c>
      <c r="AL9" s="68" t="s">
        <v>54</v>
      </c>
      <c r="AM9" s="299">
        <f t="shared" ca="1" si="14"/>
        <v>4.9826388888832298</v>
      </c>
      <c r="AN9" s="51"/>
      <c r="AO9" s="61" t="s">
        <v>131</v>
      </c>
      <c r="AP9" s="62" t="s">
        <v>530</v>
      </c>
      <c r="AQ9" s="61" t="s">
        <v>829</v>
      </c>
      <c r="AR9" s="64">
        <v>44867.666666666664</v>
      </c>
      <c r="AS9" s="61" t="s">
        <v>117</v>
      </c>
      <c r="AT9" s="61" t="s">
        <v>225</v>
      </c>
      <c r="AU9" s="59">
        <v>0.66666666666666663</v>
      </c>
      <c r="AV9" s="61">
        <v>2</v>
      </c>
      <c r="AW9" s="58" t="s">
        <v>66</v>
      </c>
      <c r="AX9" s="52"/>
      <c r="AY9" s="52"/>
      <c r="AZ9" s="52"/>
      <c r="BA9" s="52"/>
    </row>
    <row r="10" spans="1:53" x14ac:dyDescent="0.25">
      <c r="A10" s="73">
        <v>572</v>
      </c>
      <c r="B10" s="72">
        <v>44862.684027777781</v>
      </c>
      <c r="C10" s="67">
        <v>0.6875</v>
      </c>
      <c r="D10" s="67">
        <v>0.70138888888888884</v>
      </c>
      <c r="E10" s="67">
        <v>0.71527777777777779</v>
      </c>
      <c r="F10" s="68" t="s">
        <v>170</v>
      </c>
      <c r="G10" s="68" t="s">
        <v>529</v>
      </c>
      <c r="H10" s="66" t="s">
        <v>532</v>
      </c>
      <c r="I10" s="66" t="s">
        <v>533</v>
      </c>
      <c r="J10" s="66" t="s">
        <v>37</v>
      </c>
      <c r="K10" s="66" t="s">
        <v>63</v>
      </c>
      <c r="L10" s="66" t="s">
        <v>206</v>
      </c>
      <c r="M10" s="68" t="s">
        <v>534</v>
      </c>
      <c r="N10" s="68" t="s">
        <v>139</v>
      </c>
      <c r="O10" s="68" t="s">
        <v>365</v>
      </c>
      <c r="P10" s="68" t="s">
        <v>535</v>
      </c>
      <c r="Q10" s="303">
        <f t="shared" si="10"/>
        <v>1</v>
      </c>
      <c r="R10" s="303">
        <f t="shared" si="11"/>
        <v>197</v>
      </c>
      <c r="S10" s="68">
        <v>0</v>
      </c>
      <c r="T10" s="68">
        <v>0</v>
      </c>
      <c r="U10" s="68">
        <v>1</v>
      </c>
      <c r="V10" s="68">
        <v>197</v>
      </c>
      <c r="W10" s="68">
        <v>198</v>
      </c>
      <c r="X10" s="68">
        <v>79</v>
      </c>
      <c r="Y10" s="68">
        <v>36</v>
      </c>
      <c r="Z10" s="68">
        <v>86</v>
      </c>
      <c r="AA10" s="68">
        <v>1</v>
      </c>
      <c r="AB10" s="300">
        <f t="shared" si="12"/>
        <v>40.764000000000003</v>
      </c>
      <c r="AC10" s="300">
        <f t="shared" si="13"/>
        <v>0.24556626506024098</v>
      </c>
      <c r="AD10" s="68">
        <v>2137.5</v>
      </c>
      <c r="AE10" s="68" t="s">
        <v>111</v>
      </c>
      <c r="AF10" s="68" t="s">
        <v>317</v>
      </c>
      <c r="AG10" s="68" t="s">
        <v>317</v>
      </c>
      <c r="AH10" s="68" t="s">
        <v>536</v>
      </c>
      <c r="AI10" s="309"/>
      <c r="AJ10" s="309"/>
      <c r="AK10" s="68" t="s">
        <v>37</v>
      </c>
      <c r="AL10" s="68" t="s">
        <v>54</v>
      </c>
      <c r="AM10" s="299">
        <f t="shared" ref="AM10:AM40" ca="1" si="15">IF(AP10="",NOW()-B10,AR10-B10)</f>
        <v>3.8784722222189885</v>
      </c>
      <c r="AN10" s="51"/>
      <c r="AO10" s="61" t="s">
        <v>286</v>
      </c>
      <c r="AP10" s="62" t="s">
        <v>534</v>
      </c>
      <c r="AQ10" s="61" t="s">
        <v>718</v>
      </c>
      <c r="AR10" s="64">
        <v>44866.5625</v>
      </c>
      <c r="AS10" s="61" t="s">
        <v>136</v>
      </c>
      <c r="AT10" s="61" t="s">
        <v>225</v>
      </c>
      <c r="AU10" s="63">
        <v>0.5625</v>
      </c>
      <c r="AV10" s="61">
        <v>1</v>
      </c>
      <c r="AW10" s="61" t="s">
        <v>66</v>
      </c>
      <c r="AX10" s="52"/>
      <c r="AY10" s="52"/>
      <c r="AZ10" s="52"/>
      <c r="BA10" s="52"/>
    </row>
    <row r="11" spans="1:53" x14ac:dyDescent="0.25">
      <c r="A11" s="73">
        <v>578</v>
      </c>
      <c r="B11" s="72">
        <v>44862.715277777781</v>
      </c>
      <c r="C11" s="67">
        <v>0.72222222222222221</v>
      </c>
      <c r="D11" s="67">
        <v>0.75694444444444453</v>
      </c>
      <c r="E11" s="67">
        <v>0.76388888888888884</v>
      </c>
      <c r="F11" s="68" t="s">
        <v>169</v>
      </c>
      <c r="G11" s="68" t="s">
        <v>542</v>
      </c>
      <c r="H11" s="66" t="s">
        <v>282</v>
      </c>
      <c r="I11" s="66" t="s">
        <v>281</v>
      </c>
      <c r="J11" s="66" t="s">
        <v>37</v>
      </c>
      <c r="K11" s="66" t="s">
        <v>233</v>
      </c>
      <c r="L11" s="66" t="s">
        <v>285</v>
      </c>
      <c r="M11" s="68" t="s">
        <v>543</v>
      </c>
      <c r="N11" s="68" t="s">
        <v>38</v>
      </c>
      <c r="O11" s="68" t="s">
        <v>544</v>
      </c>
      <c r="P11" s="68">
        <v>2000056069</v>
      </c>
      <c r="Q11" s="303">
        <f t="shared" ref="Q11:Q41" si="16">S11+U11</f>
        <v>65</v>
      </c>
      <c r="R11" s="303">
        <f t="shared" ref="R11:R41" si="17">T11+V11</f>
        <v>688</v>
      </c>
      <c r="S11" s="68">
        <v>65</v>
      </c>
      <c r="T11" s="68">
        <v>688</v>
      </c>
      <c r="U11" s="68">
        <v>0</v>
      </c>
      <c r="V11" s="68">
        <v>0</v>
      </c>
      <c r="W11" s="68">
        <v>711</v>
      </c>
      <c r="X11" s="68">
        <v>56</v>
      </c>
      <c r="Y11" s="68">
        <v>42</v>
      </c>
      <c r="Z11" s="68">
        <v>38</v>
      </c>
      <c r="AA11" s="68">
        <v>33</v>
      </c>
      <c r="AB11" s="300">
        <f t="shared" ref="AB11:AB41" si="18">X11*Y11*Z11*AA11/6000</f>
        <v>491.56799999999998</v>
      </c>
      <c r="AC11" s="300">
        <f t="shared" ref="AC11:AC41" si="19">AB11/166</f>
        <v>2.9612530120481928</v>
      </c>
      <c r="AD11" s="68">
        <v>7265.7</v>
      </c>
      <c r="AE11" s="68" t="s">
        <v>109</v>
      </c>
      <c r="AF11" s="68" t="s">
        <v>317</v>
      </c>
      <c r="AG11" s="68" t="s">
        <v>317</v>
      </c>
      <c r="AH11" s="68" t="s">
        <v>545</v>
      </c>
      <c r="AI11" s="309"/>
      <c r="AJ11" s="309"/>
      <c r="AK11" s="68" t="s">
        <v>48</v>
      </c>
      <c r="AL11" s="68" t="s">
        <v>47</v>
      </c>
      <c r="AM11" s="299">
        <f t="shared" ca="1" si="15"/>
        <v>3.7638888888832298</v>
      </c>
      <c r="AN11" s="51"/>
      <c r="AO11" s="61" t="s">
        <v>67</v>
      </c>
      <c r="AP11" s="62" t="s">
        <v>543</v>
      </c>
      <c r="AQ11" s="61" t="s">
        <v>715</v>
      </c>
      <c r="AR11" s="64">
        <v>44866.479166666664</v>
      </c>
      <c r="AS11" s="57" t="s">
        <v>173</v>
      </c>
      <c r="AT11" s="61" t="s">
        <v>225</v>
      </c>
      <c r="AU11" s="63">
        <v>0.47916666666666669</v>
      </c>
      <c r="AV11" s="61">
        <v>1</v>
      </c>
      <c r="AW11" s="61" t="s">
        <v>66</v>
      </c>
      <c r="AX11" s="52"/>
      <c r="AY11" s="52"/>
      <c r="AZ11" s="52"/>
      <c r="BA11" s="52"/>
    </row>
    <row r="12" spans="1:53" x14ac:dyDescent="0.25">
      <c r="A12" s="73">
        <v>578</v>
      </c>
      <c r="B12" s="72">
        <v>44862.715277777781</v>
      </c>
      <c r="C12" s="67">
        <v>0.72222222222222221</v>
      </c>
      <c r="D12" s="67">
        <v>0.75694444444444453</v>
      </c>
      <c r="E12" s="67">
        <v>0.76388888888888884</v>
      </c>
      <c r="F12" s="68" t="s">
        <v>169</v>
      </c>
      <c r="G12" s="68" t="s">
        <v>542</v>
      </c>
      <c r="H12" s="66" t="s">
        <v>282</v>
      </c>
      <c r="I12" s="66" t="s">
        <v>281</v>
      </c>
      <c r="J12" s="66" t="s">
        <v>37</v>
      </c>
      <c r="K12" s="66" t="s">
        <v>233</v>
      </c>
      <c r="L12" s="66" t="s">
        <v>285</v>
      </c>
      <c r="M12" s="68" t="s">
        <v>543</v>
      </c>
      <c r="N12" s="68" t="s">
        <v>38</v>
      </c>
      <c r="O12" s="68" t="s">
        <v>544</v>
      </c>
      <c r="P12" s="68">
        <v>2000056069</v>
      </c>
      <c r="Q12" s="303">
        <f t="shared" si="16"/>
        <v>0</v>
      </c>
      <c r="R12" s="303">
        <f t="shared" si="17"/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53</v>
      </c>
      <c r="Y12" s="68">
        <v>42</v>
      </c>
      <c r="Z12" s="68">
        <v>37</v>
      </c>
      <c r="AA12" s="68">
        <v>32</v>
      </c>
      <c r="AB12" s="300">
        <f t="shared" si="18"/>
        <v>439.26400000000001</v>
      </c>
      <c r="AC12" s="300">
        <f t="shared" si="19"/>
        <v>2.6461686746987954</v>
      </c>
      <c r="AD12" s="68">
        <v>0</v>
      </c>
      <c r="AE12" s="68">
        <v>0</v>
      </c>
      <c r="AF12" s="68" t="s">
        <v>317</v>
      </c>
      <c r="AG12" s="68" t="s">
        <v>317</v>
      </c>
      <c r="AH12" s="68" t="s">
        <v>545</v>
      </c>
      <c r="AI12" s="309"/>
      <c r="AJ12" s="309"/>
      <c r="AK12" s="68" t="s">
        <v>48</v>
      </c>
      <c r="AL12" s="68" t="s">
        <v>47</v>
      </c>
      <c r="AM12" s="299">
        <f t="shared" ca="1" si="15"/>
        <v>3.7638888888832298</v>
      </c>
      <c r="AN12" s="51"/>
      <c r="AO12" s="61" t="s">
        <v>67</v>
      </c>
      <c r="AP12" s="62" t="s">
        <v>543</v>
      </c>
      <c r="AQ12" s="61" t="s">
        <v>715</v>
      </c>
      <c r="AR12" s="64">
        <v>44866.479166666664</v>
      </c>
      <c r="AS12" s="57" t="s">
        <v>173</v>
      </c>
      <c r="AT12" s="61" t="s">
        <v>225</v>
      </c>
      <c r="AU12" s="63">
        <v>0.47916666666666669</v>
      </c>
      <c r="AV12" s="61">
        <v>1</v>
      </c>
      <c r="AW12" s="61" t="s">
        <v>66</v>
      </c>
      <c r="AX12" s="52"/>
      <c r="AY12" s="52"/>
      <c r="AZ12" s="52"/>
      <c r="BA12" s="52"/>
    </row>
    <row r="13" spans="1:53" x14ac:dyDescent="0.25">
      <c r="A13" s="73">
        <v>579</v>
      </c>
      <c r="B13" s="72">
        <v>44862.715277777781</v>
      </c>
      <c r="C13" s="67">
        <v>0.72222222222222221</v>
      </c>
      <c r="D13" s="67">
        <v>0.75694444444444453</v>
      </c>
      <c r="E13" s="67">
        <v>0.76388888888888884</v>
      </c>
      <c r="F13" s="68" t="s">
        <v>169</v>
      </c>
      <c r="G13" s="68" t="s">
        <v>542</v>
      </c>
      <c r="H13" s="66" t="s">
        <v>282</v>
      </c>
      <c r="I13" s="66" t="s">
        <v>281</v>
      </c>
      <c r="J13" s="66" t="s">
        <v>37</v>
      </c>
      <c r="K13" s="66" t="s">
        <v>233</v>
      </c>
      <c r="L13" s="66" t="s">
        <v>285</v>
      </c>
      <c r="M13" s="68" t="s">
        <v>546</v>
      </c>
      <c r="N13" s="68" t="s">
        <v>38</v>
      </c>
      <c r="O13" s="68" t="s">
        <v>547</v>
      </c>
      <c r="P13" s="68">
        <v>2000056063</v>
      </c>
      <c r="Q13" s="303">
        <f t="shared" si="16"/>
        <v>112</v>
      </c>
      <c r="R13" s="303">
        <f t="shared" si="17"/>
        <v>919</v>
      </c>
      <c r="S13" s="68">
        <v>112</v>
      </c>
      <c r="T13" s="68">
        <v>919</v>
      </c>
      <c r="U13" s="68">
        <v>0</v>
      </c>
      <c r="V13" s="68">
        <v>0</v>
      </c>
      <c r="W13" s="68">
        <v>897</v>
      </c>
      <c r="X13" s="68">
        <v>53</v>
      </c>
      <c r="Y13" s="68">
        <v>40</v>
      </c>
      <c r="Z13" s="68">
        <v>30</v>
      </c>
      <c r="AA13" s="68">
        <v>112</v>
      </c>
      <c r="AB13" s="300">
        <f t="shared" si="18"/>
        <v>1187.2</v>
      </c>
      <c r="AC13" s="300">
        <f t="shared" si="19"/>
        <v>7.1518072289156631</v>
      </c>
      <c r="AD13" s="68">
        <v>13281.84</v>
      </c>
      <c r="AE13" s="68" t="s">
        <v>109</v>
      </c>
      <c r="AF13" s="68" t="s">
        <v>317</v>
      </c>
      <c r="AG13" s="68" t="s">
        <v>317</v>
      </c>
      <c r="AH13" s="68" t="s">
        <v>548</v>
      </c>
      <c r="AI13" s="309"/>
      <c r="AJ13" s="309"/>
      <c r="AK13" s="68" t="s">
        <v>48</v>
      </c>
      <c r="AL13" s="68" t="s">
        <v>50</v>
      </c>
      <c r="AM13" s="299">
        <f t="shared" ca="1" si="15"/>
        <v>3.7638888888832298</v>
      </c>
      <c r="AN13" s="51"/>
      <c r="AO13" s="61" t="s">
        <v>67</v>
      </c>
      <c r="AP13" s="62" t="s">
        <v>546</v>
      </c>
      <c r="AQ13" s="61" t="s">
        <v>715</v>
      </c>
      <c r="AR13" s="64">
        <v>44866.479166666664</v>
      </c>
      <c r="AS13" s="57" t="s">
        <v>173</v>
      </c>
      <c r="AT13" s="61" t="s">
        <v>225</v>
      </c>
      <c r="AU13" s="63">
        <v>0.47916666666666669</v>
      </c>
      <c r="AV13" s="61">
        <v>1</v>
      </c>
      <c r="AW13" s="61" t="s">
        <v>66</v>
      </c>
      <c r="AX13" s="52"/>
      <c r="AY13" s="52"/>
      <c r="AZ13" s="52"/>
      <c r="BA13" s="52"/>
    </row>
    <row r="14" spans="1:53" x14ac:dyDescent="0.25">
      <c r="A14" s="73">
        <v>580</v>
      </c>
      <c r="B14" s="72">
        <v>44862.715277777781</v>
      </c>
      <c r="C14" s="67">
        <v>0.72222222222222221</v>
      </c>
      <c r="D14" s="67">
        <v>0.75694444444444453</v>
      </c>
      <c r="E14" s="67">
        <v>0.76388888888888884</v>
      </c>
      <c r="F14" s="68" t="s">
        <v>169</v>
      </c>
      <c r="G14" s="68" t="s">
        <v>542</v>
      </c>
      <c r="H14" s="66" t="s">
        <v>282</v>
      </c>
      <c r="I14" s="66" t="s">
        <v>281</v>
      </c>
      <c r="J14" s="66" t="s">
        <v>37</v>
      </c>
      <c r="K14" s="66" t="s">
        <v>233</v>
      </c>
      <c r="L14" s="66" t="s">
        <v>285</v>
      </c>
      <c r="M14" s="68" t="s">
        <v>549</v>
      </c>
      <c r="N14" s="68" t="s">
        <v>38</v>
      </c>
      <c r="O14" s="68" t="s">
        <v>550</v>
      </c>
      <c r="P14" s="68">
        <v>2000056063</v>
      </c>
      <c r="Q14" s="303">
        <f t="shared" si="16"/>
        <v>101</v>
      </c>
      <c r="R14" s="303">
        <f t="shared" si="17"/>
        <v>1281</v>
      </c>
      <c r="S14" s="68">
        <v>101</v>
      </c>
      <c r="T14" s="68">
        <v>1281</v>
      </c>
      <c r="U14" s="68">
        <v>0</v>
      </c>
      <c r="V14" s="68">
        <v>0</v>
      </c>
      <c r="W14" s="68">
        <v>1061</v>
      </c>
      <c r="X14" s="68">
        <v>57</v>
      </c>
      <c r="Y14" s="68">
        <v>41</v>
      </c>
      <c r="Z14" s="68">
        <v>38</v>
      </c>
      <c r="AA14" s="68">
        <v>31</v>
      </c>
      <c r="AB14" s="300">
        <f t="shared" si="18"/>
        <v>458.83100000000002</v>
      </c>
      <c r="AC14" s="300">
        <f t="shared" si="19"/>
        <v>2.764042168674699</v>
      </c>
      <c r="AD14" s="68">
        <v>13404</v>
      </c>
      <c r="AE14" s="68" t="s">
        <v>109</v>
      </c>
      <c r="AF14" s="68" t="s">
        <v>317</v>
      </c>
      <c r="AG14" s="68" t="s">
        <v>317</v>
      </c>
      <c r="AH14" s="68" t="s">
        <v>551</v>
      </c>
      <c r="AI14" s="309"/>
      <c r="AJ14" s="309"/>
      <c r="AK14" s="68" t="s">
        <v>48</v>
      </c>
      <c r="AL14" s="68" t="s">
        <v>47</v>
      </c>
      <c r="AM14" s="299">
        <f t="shared" ca="1" si="15"/>
        <v>3.7638888888832298</v>
      </c>
      <c r="AN14" s="51"/>
      <c r="AO14" s="61" t="s">
        <v>67</v>
      </c>
      <c r="AP14" s="62" t="s">
        <v>549</v>
      </c>
      <c r="AQ14" s="61" t="s">
        <v>715</v>
      </c>
      <c r="AR14" s="64">
        <v>44866.479166666664</v>
      </c>
      <c r="AS14" s="57" t="s">
        <v>173</v>
      </c>
      <c r="AT14" s="61" t="s">
        <v>225</v>
      </c>
      <c r="AU14" s="63">
        <v>0.47916666666666669</v>
      </c>
      <c r="AV14" s="61">
        <v>1</v>
      </c>
      <c r="AW14" s="61" t="s">
        <v>66</v>
      </c>
      <c r="AX14" s="52"/>
      <c r="AY14" s="52"/>
      <c r="AZ14" s="52"/>
      <c r="BA14" s="52"/>
    </row>
    <row r="15" spans="1:53" x14ac:dyDescent="0.25">
      <c r="A15" s="73">
        <v>580</v>
      </c>
      <c r="B15" s="72">
        <v>44862.715277777781</v>
      </c>
      <c r="C15" s="67">
        <v>0.72222222222222221</v>
      </c>
      <c r="D15" s="67">
        <v>0.75694444444444453</v>
      </c>
      <c r="E15" s="67">
        <v>0.76388888888888884</v>
      </c>
      <c r="F15" s="68" t="s">
        <v>169</v>
      </c>
      <c r="G15" s="68" t="s">
        <v>542</v>
      </c>
      <c r="H15" s="66" t="s">
        <v>282</v>
      </c>
      <c r="I15" s="66" t="s">
        <v>281</v>
      </c>
      <c r="J15" s="66" t="s">
        <v>37</v>
      </c>
      <c r="K15" s="66" t="s">
        <v>233</v>
      </c>
      <c r="L15" s="66" t="s">
        <v>285</v>
      </c>
      <c r="M15" s="68" t="s">
        <v>549</v>
      </c>
      <c r="N15" s="68" t="s">
        <v>38</v>
      </c>
      <c r="O15" s="68" t="s">
        <v>550</v>
      </c>
      <c r="P15" s="68">
        <v>2000056063</v>
      </c>
      <c r="Q15" s="303">
        <f t="shared" si="16"/>
        <v>0</v>
      </c>
      <c r="R15" s="303">
        <f t="shared" si="17"/>
        <v>0</v>
      </c>
      <c r="S15" s="6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66</v>
      </c>
      <c r="Y15" s="68">
        <v>41</v>
      </c>
      <c r="Z15" s="68">
        <v>38</v>
      </c>
      <c r="AA15" s="68">
        <v>45</v>
      </c>
      <c r="AB15" s="300">
        <f t="shared" si="18"/>
        <v>771.21</v>
      </c>
      <c r="AC15" s="300">
        <f t="shared" si="19"/>
        <v>4.6458433734939764</v>
      </c>
      <c r="AD15" s="68">
        <v>0</v>
      </c>
      <c r="AE15" s="68">
        <v>0</v>
      </c>
      <c r="AF15" s="68" t="s">
        <v>317</v>
      </c>
      <c r="AG15" s="68" t="s">
        <v>317</v>
      </c>
      <c r="AH15" s="68" t="s">
        <v>551</v>
      </c>
      <c r="AI15" s="309"/>
      <c r="AJ15" s="309"/>
      <c r="AK15" s="68" t="s">
        <v>48</v>
      </c>
      <c r="AL15" s="68" t="s">
        <v>47</v>
      </c>
      <c r="AM15" s="299">
        <f t="shared" ca="1" si="15"/>
        <v>3.7638888888832298</v>
      </c>
      <c r="AN15" s="51"/>
      <c r="AO15" s="61" t="s">
        <v>67</v>
      </c>
      <c r="AP15" s="62" t="s">
        <v>549</v>
      </c>
      <c r="AQ15" s="61" t="s">
        <v>715</v>
      </c>
      <c r="AR15" s="64">
        <v>44866.479166666664</v>
      </c>
      <c r="AS15" s="57" t="s">
        <v>173</v>
      </c>
      <c r="AT15" s="61" t="s">
        <v>225</v>
      </c>
      <c r="AU15" s="63">
        <v>0.47916666666666669</v>
      </c>
      <c r="AV15" s="61">
        <v>1</v>
      </c>
      <c r="AW15" s="61" t="s">
        <v>66</v>
      </c>
      <c r="AX15" s="52"/>
      <c r="AY15" s="52"/>
      <c r="AZ15" s="52"/>
      <c r="BA15" s="52"/>
    </row>
    <row r="16" spans="1:53" x14ac:dyDescent="0.25">
      <c r="A16" s="73">
        <v>580</v>
      </c>
      <c r="B16" s="72">
        <v>44862.715277777781</v>
      </c>
      <c r="C16" s="67">
        <v>0.72222222222222221</v>
      </c>
      <c r="D16" s="67">
        <v>0.75694444444444453</v>
      </c>
      <c r="E16" s="67">
        <v>0.76388888888888884</v>
      </c>
      <c r="F16" s="68" t="s">
        <v>169</v>
      </c>
      <c r="G16" s="68" t="s">
        <v>542</v>
      </c>
      <c r="H16" s="66" t="s">
        <v>282</v>
      </c>
      <c r="I16" s="66" t="s">
        <v>281</v>
      </c>
      <c r="J16" s="66" t="s">
        <v>37</v>
      </c>
      <c r="K16" s="66" t="s">
        <v>233</v>
      </c>
      <c r="L16" s="66" t="s">
        <v>285</v>
      </c>
      <c r="M16" s="68" t="s">
        <v>549</v>
      </c>
      <c r="N16" s="68" t="s">
        <v>38</v>
      </c>
      <c r="O16" s="68" t="s">
        <v>550</v>
      </c>
      <c r="P16" s="68">
        <v>2000056063</v>
      </c>
      <c r="Q16" s="303">
        <f t="shared" si="16"/>
        <v>0</v>
      </c>
      <c r="R16" s="303">
        <f t="shared" si="17"/>
        <v>0</v>
      </c>
      <c r="S16" s="68">
        <v>0</v>
      </c>
      <c r="T16" s="68">
        <v>0</v>
      </c>
      <c r="U16" s="68">
        <v>0</v>
      </c>
      <c r="V16" s="68">
        <v>0</v>
      </c>
      <c r="W16" s="68">
        <v>0</v>
      </c>
      <c r="X16" s="68">
        <v>73</v>
      </c>
      <c r="Y16" s="68">
        <v>38</v>
      </c>
      <c r="Z16" s="68">
        <v>45</v>
      </c>
      <c r="AA16" s="68">
        <v>23</v>
      </c>
      <c r="AB16" s="300">
        <f t="shared" si="18"/>
        <v>478.51499999999999</v>
      </c>
      <c r="AC16" s="300">
        <f t="shared" si="19"/>
        <v>2.8826204819277108</v>
      </c>
      <c r="AD16" s="68">
        <v>0</v>
      </c>
      <c r="AE16" s="68">
        <v>0</v>
      </c>
      <c r="AF16" s="68" t="s">
        <v>317</v>
      </c>
      <c r="AG16" s="68" t="s">
        <v>317</v>
      </c>
      <c r="AH16" s="68" t="s">
        <v>551</v>
      </c>
      <c r="AI16" s="309"/>
      <c r="AJ16" s="309"/>
      <c r="AK16" s="68" t="s">
        <v>48</v>
      </c>
      <c r="AL16" s="68" t="s">
        <v>47</v>
      </c>
      <c r="AM16" s="299">
        <f t="shared" ca="1" si="15"/>
        <v>3.7638888888832298</v>
      </c>
      <c r="AN16" s="51"/>
      <c r="AO16" s="61" t="s">
        <v>67</v>
      </c>
      <c r="AP16" s="62" t="s">
        <v>549</v>
      </c>
      <c r="AQ16" s="61" t="s">
        <v>715</v>
      </c>
      <c r="AR16" s="64">
        <v>44866.479166666664</v>
      </c>
      <c r="AS16" s="57" t="s">
        <v>173</v>
      </c>
      <c r="AT16" s="61" t="s">
        <v>225</v>
      </c>
      <c r="AU16" s="63">
        <v>0.47916666666666669</v>
      </c>
      <c r="AV16" s="61">
        <v>1</v>
      </c>
      <c r="AW16" s="61" t="s">
        <v>66</v>
      </c>
      <c r="AX16" s="52"/>
      <c r="AY16" s="52"/>
      <c r="AZ16" s="52"/>
      <c r="BA16" s="52"/>
    </row>
    <row r="17" spans="1:53" x14ac:dyDescent="0.25">
      <c r="A17" s="73">
        <v>580</v>
      </c>
      <c r="B17" s="72">
        <v>44862.715277777781</v>
      </c>
      <c r="C17" s="67">
        <v>0.72222222222222221</v>
      </c>
      <c r="D17" s="67">
        <v>0.75694444444444453</v>
      </c>
      <c r="E17" s="67">
        <v>0.76388888888888884</v>
      </c>
      <c r="F17" s="68" t="s">
        <v>169</v>
      </c>
      <c r="G17" s="68" t="s">
        <v>542</v>
      </c>
      <c r="H17" s="66" t="s">
        <v>282</v>
      </c>
      <c r="I17" s="66" t="s">
        <v>281</v>
      </c>
      <c r="J17" s="66" t="s">
        <v>37</v>
      </c>
      <c r="K17" s="66" t="s">
        <v>233</v>
      </c>
      <c r="L17" s="66" t="s">
        <v>285</v>
      </c>
      <c r="M17" s="68" t="s">
        <v>549</v>
      </c>
      <c r="N17" s="68" t="s">
        <v>38</v>
      </c>
      <c r="O17" s="68" t="s">
        <v>550</v>
      </c>
      <c r="P17" s="68">
        <v>2000056063</v>
      </c>
      <c r="Q17" s="303">
        <f t="shared" si="16"/>
        <v>0</v>
      </c>
      <c r="R17" s="303">
        <f t="shared" si="17"/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54</v>
      </c>
      <c r="Y17" s="68">
        <v>27</v>
      </c>
      <c r="Z17" s="68">
        <v>36</v>
      </c>
      <c r="AA17" s="68">
        <v>1</v>
      </c>
      <c r="AB17" s="300">
        <f t="shared" si="18"/>
        <v>8.7479999999999993</v>
      </c>
      <c r="AC17" s="300">
        <f t="shared" si="19"/>
        <v>5.2698795180722888E-2</v>
      </c>
      <c r="AD17" s="68">
        <v>0</v>
      </c>
      <c r="AE17" s="68">
        <v>0</v>
      </c>
      <c r="AF17" s="68" t="s">
        <v>317</v>
      </c>
      <c r="AG17" s="68" t="s">
        <v>317</v>
      </c>
      <c r="AH17" s="68" t="s">
        <v>551</v>
      </c>
      <c r="AI17" s="309"/>
      <c r="AJ17" s="309"/>
      <c r="AK17" s="68" t="s">
        <v>48</v>
      </c>
      <c r="AL17" s="68" t="s">
        <v>47</v>
      </c>
      <c r="AM17" s="299">
        <f t="shared" ca="1" si="15"/>
        <v>3.7638888888832298</v>
      </c>
      <c r="AN17" s="51"/>
      <c r="AO17" s="61" t="s">
        <v>67</v>
      </c>
      <c r="AP17" s="62" t="s">
        <v>549</v>
      </c>
      <c r="AQ17" s="61" t="s">
        <v>715</v>
      </c>
      <c r="AR17" s="64">
        <v>44866.479166666664</v>
      </c>
      <c r="AS17" s="57" t="s">
        <v>173</v>
      </c>
      <c r="AT17" s="61" t="s">
        <v>225</v>
      </c>
      <c r="AU17" s="63">
        <v>0.47916666666666669</v>
      </c>
      <c r="AV17" s="61">
        <v>1</v>
      </c>
      <c r="AW17" s="61" t="s">
        <v>66</v>
      </c>
      <c r="AX17" s="52"/>
      <c r="AY17" s="52"/>
      <c r="AZ17" s="52"/>
      <c r="BA17" s="52"/>
    </row>
    <row r="18" spans="1:53" x14ac:dyDescent="0.25">
      <c r="A18" s="73">
        <v>580</v>
      </c>
      <c r="B18" s="72">
        <v>44862.715277777781</v>
      </c>
      <c r="C18" s="67">
        <v>0.72222222222222221</v>
      </c>
      <c r="D18" s="67">
        <v>0.75694444444444453</v>
      </c>
      <c r="E18" s="67">
        <v>0.76388888888888884</v>
      </c>
      <c r="F18" s="68" t="s">
        <v>169</v>
      </c>
      <c r="G18" s="68" t="s">
        <v>542</v>
      </c>
      <c r="H18" s="66" t="s">
        <v>282</v>
      </c>
      <c r="I18" s="66" t="s">
        <v>281</v>
      </c>
      <c r="J18" s="66" t="s">
        <v>37</v>
      </c>
      <c r="K18" s="66" t="s">
        <v>233</v>
      </c>
      <c r="L18" s="66" t="s">
        <v>285</v>
      </c>
      <c r="M18" s="68" t="s">
        <v>549</v>
      </c>
      <c r="N18" s="68" t="s">
        <v>38</v>
      </c>
      <c r="O18" s="68" t="s">
        <v>550</v>
      </c>
      <c r="P18" s="68">
        <v>2000056063</v>
      </c>
      <c r="Q18" s="303">
        <f t="shared" si="16"/>
        <v>0</v>
      </c>
      <c r="R18" s="303">
        <f t="shared" si="17"/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28</v>
      </c>
      <c r="Y18" s="68">
        <v>28</v>
      </c>
      <c r="Z18" s="68">
        <v>37</v>
      </c>
      <c r="AA18" s="68">
        <v>1</v>
      </c>
      <c r="AB18" s="300">
        <f t="shared" si="18"/>
        <v>4.8346666666666662</v>
      </c>
      <c r="AC18" s="300">
        <f t="shared" si="19"/>
        <v>2.9124497991967868E-2</v>
      </c>
      <c r="AD18" s="68">
        <v>0</v>
      </c>
      <c r="AE18" s="68">
        <v>0</v>
      </c>
      <c r="AF18" s="68" t="s">
        <v>317</v>
      </c>
      <c r="AG18" s="68" t="s">
        <v>317</v>
      </c>
      <c r="AH18" s="68" t="s">
        <v>551</v>
      </c>
      <c r="AI18" s="309"/>
      <c r="AJ18" s="309"/>
      <c r="AK18" s="68" t="s">
        <v>48</v>
      </c>
      <c r="AL18" s="68" t="s">
        <v>47</v>
      </c>
      <c r="AM18" s="299">
        <f t="shared" ca="1" si="15"/>
        <v>3.7638888888832298</v>
      </c>
      <c r="AN18" s="51"/>
      <c r="AO18" s="61" t="s">
        <v>67</v>
      </c>
      <c r="AP18" s="62" t="s">
        <v>549</v>
      </c>
      <c r="AQ18" s="61" t="s">
        <v>715</v>
      </c>
      <c r="AR18" s="64">
        <v>44866.479166666664</v>
      </c>
      <c r="AS18" s="57" t="s">
        <v>173</v>
      </c>
      <c r="AT18" s="61" t="s">
        <v>225</v>
      </c>
      <c r="AU18" s="63">
        <v>0.47916666666666669</v>
      </c>
      <c r="AV18" s="61">
        <v>1</v>
      </c>
      <c r="AW18" s="61" t="s">
        <v>66</v>
      </c>
      <c r="AX18" s="52"/>
      <c r="AY18" s="52"/>
      <c r="AZ18" s="52"/>
      <c r="BA18" s="52"/>
    </row>
    <row r="19" spans="1:53" x14ac:dyDescent="0.25">
      <c r="A19" s="73">
        <v>598</v>
      </c>
      <c r="B19" s="72">
        <v>44863.427083333336</v>
      </c>
      <c r="C19" s="67">
        <v>0.43055555555555558</v>
      </c>
      <c r="D19" s="67">
        <v>0.44444444444444442</v>
      </c>
      <c r="E19" s="67">
        <v>0.45833333333333331</v>
      </c>
      <c r="F19" s="68" t="s">
        <v>170</v>
      </c>
      <c r="G19" s="68" t="s">
        <v>554</v>
      </c>
      <c r="H19" s="66" t="s">
        <v>389</v>
      </c>
      <c r="I19" s="66" t="s">
        <v>389</v>
      </c>
      <c r="J19" s="66" t="s">
        <v>37</v>
      </c>
      <c r="K19" s="66" t="s">
        <v>63</v>
      </c>
      <c r="L19" s="70" t="s">
        <v>206</v>
      </c>
      <c r="M19" s="68" t="s">
        <v>555</v>
      </c>
      <c r="N19" s="68" t="s">
        <v>38</v>
      </c>
      <c r="O19" s="68" t="s">
        <v>556</v>
      </c>
      <c r="P19" s="68">
        <v>4500207327</v>
      </c>
      <c r="Q19" s="303">
        <f t="shared" si="16"/>
        <v>1</v>
      </c>
      <c r="R19" s="303">
        <f t="shared" si="17"/>
        <v>183</v>
      </c>
      <c r="S19" s="68">
        <v>0</v>
      </c>
      <c r="T19" s="68">
        <v>0</v>
      </c>
      <c r="U19" s="68">
        <v>1</v>
      </c>
      <c r="V19" s="68">
        <v>183</v>
      </c>
      <c r="W19" s="68">
        <v>180</v>
      </c>
      <c r="X19" s="68">
        <v>89</v>
      </c>
      <c r="Y19" s="68">
        <v>81</v>
      </c>
      <c r="Z19" s="68">
        <v>67</v>
      </c>
      <c r="AA19" s="68">
        <v>1</v>
      </c>
      <c r="AB19" s="300">
        <f t="shared" si="18"/>
        <v>80.500500000000002</v>
      </c>
      <c r="AC19" s="300">
        <f t="shared" si="19"/>
        <v>0.48494277108433737</v>
      </c>
      <c r="AD19" s="68">
        <v>6105.9</v>
      </c>
      <c r="AE19" s="68" t="s">
        <v>111</v>
      </c>
      <c r="AF19" s="68" t="s">
        <v>317</v>
      </c>
      <c r="AG19" s="68" t="s">
        <v>317</v>
      </c>
      <c r="AH19" s="68" t="s">
        <v>557</v>
      </c>
      <c r="AI19" s="309"/>
      <c r="AJ19" s="309"/>
      <c r="AK19" s="68" t="s">
        <v>37</v>
      </c>
      <c r="AL19" s="68" t="s">
        <v>58</v>
      </c>
      <c r="AM19" s="299">
        <f t="shared" ca="1" si="15"/>
        <v>3.0520833333284827</v>
      </c>
      <c r="AN19" s="51"/>
      <c r="AO19" s="61" t="s">
        <v>67</v>
      </c>
      <c r="AP19" s="62" t="s">
        <v>555</v>
      </c>
      <c r="AQ19" s="61" t="s">
        <v>715</v>
      </c>
      <c r="AR19" s="64">
        <v>44866.479166666664</v>
      </c>
      <c r="AS19" s="57" t="s">
        <v>173</v>
      </c>
      <c r="AT19" s="61" t="s">
        <v>225</v>
      </c>
      <c r="AU19" s="63">
        <v>0.47916666666666669</v>
      </c>
      <c r="AV19" s="61">
        <v>1</v>
      </c>
      <c r="AW19" s="61" t="s">
        <v>66</v>
      </c>
      <c r="AX19" s="52"/>
      <c r="AY19" s="52"/>
      <c r="AZ19" s="52"/>
      <c r="BA19" s="52"/>
    </row>
    <row r="20" spans="1:53" x14ac:dyDescent="0.25">
      <c r="A20" s="73">
        <v>500</v>
      </c>
      <c r="B20" s="72">
        <v>44863.427083333336</v>
      </c>
      <c r="C20" s="67">
        <v>0.43055555555555558</v>
      </c>
      <c r="D20" s="67">
        <v>0.44444444444444442</v>
      </c>
      <c r="E20" s="67">
        <v>0.45833333333333331</v>
      </c>
      <c r="F20" s="68" t="s">
        <v>170</v>
      </c>
      <c r="G20" s="68" t="s">
        <v>554</v>
      </c>
      <c r="H20" s="66" t="s">
        <v>356</v>
      </c>
      <c r="I20" s="66" t="s">
        <v>40</v>
      </c>
      <c r="J20" s="66" t="s">
        <v>41</v>
      </c>
      <c r="K20" s="66" t="s">
        <v>63</v>
      </c>
      <c r="L20" s="66">
        <v>0</v>
      </c>
      <c r="M20" s="68" t="s">
        <v>558</v>
      </c>
      <c r="N20" s="68" t="s">
        <v>42</v>
      </c>
      <c r="O20" s="68">
        <v>5600007027</v>
      </c>
      <c r="P20" s="68">
        <v>4513504768</v>
      </c>
      <c r="Q20" s="303">
        <f t="shared" si="16"/>
        <v>5</v>
      </c>
      <c r="R20" s="303">
        <f t="shared" si="17"/>
        <v>79</v>
      </c>
      <c r="S20" s="68">
        <v>5</v>
      </c>
      <c r="T20" s="68">
        <v>79</v>
      </c>
      <c r="U20" s="68">
        <v>0</v>
      </c>
      <c r="V20" s="68">
        <v>0</v>
      </c>
      <c r="W20" s="68">
        <v>74.7</v>
      </c>
      <c r="X20" s="68">
        <v>47</v>
      </c>
      <c r="Y20" s="68">
        <v>24</v>
      </c>
      <c r="Z20" s="68">
        <v>16</v>
      </c>
      <c r="AA20" s="68">
        <v>5</v>
      </c>
      <c r="AB20" s="300">
        <f t="shared" si="18"/>
        <v>15.04</v>
      </c>
      <c r="AC20" s="300">
        <f t="shared" si="19"/>
        <v>9.0602409638554218E-2</v>
      </c>
      <c r="AD20" s="68">
        <v>3020</v>
      </c>
      <c r="AE20" s="68" t="s">
        <v>109</v>
      </c>
      <c r="AF20" s="68" t="s">
        <v>317</v>
      </c>
      <c r="AG20" s="68" t="s">
        <v>317</v>
      </c>
      <c r="AH20" s="68" t="s">
        <v>559</v>
      </c>
      <c r="AI20" s="309"/>
      <c r="AJ20" s="309"/>
      <c r="AK20" s="68" t="s">
        <v>48</v>
      </c>
      <c r="AL20" s="68" t="s">
        <v>47</v>
      </c>
      <c r="AM20" s="299">
        <f t="shared" ca="1" si="15"/>
        <v>4.0659722222189885</v>
      </c>
      <c r="AN20" s="51"/>
      <c r="AO20" s="61" t="s">
        <v>120</v>
      </c>
      <c r="AP20" s="62" t="s">
        <v>558</v>
      </c>
      <c r="AQ20" s="61" t="s">
        <v>821</v>
      </c>
      <c r="AR20" s="64">
        <v>44867.493055555555</v>
      </c>
      <c r="AS20" s="57" t="s">
        <v>173</v>
      </c>
      <c r="AT20" s="61" t="s">
        <v>225</v>
      </c>
      <c r="AU20" s="63">
        <v>0.49305555555555558</v>
      </c>
      <c r="AV20" s="58">
        <v>1</v>
      </c>
      <c r="AW20" s="58" t="s">
        <v>66</v>
      </c>
      <c r="AX20" s="52"/>
      <c r="AY20" s="52"/>
      <c r="AZ20" s="52"/>
      <c r="BA20" s="52"/>
    </row>
    <row r="21" spans="1:53" x14ac:dyDescent="0.25">
      <c r="A21" s="73">
        <v>501</v>
      </c>
      <c r="B21" s="72">
        <v>44863.427083333336</v>
      </c>
      <c r="C21" s="67">
        <v>0.43055555555555558</v>
      </c>
      <c r="D21" s="67">
        <v>0.44444444444444442</v>
      </c>
      <c r="E21" s="67">
        <v>0.45833333333333331</v>
      </c>
      <c r="F21" s="68" t="s">
        <v>170</v>
      </c>
      <c r="G21" s="68" t="s">
        <v>554</v>
      </c>
      <c r="H21" s="66" t="s">
        <v>356</v>
      </c>
      <c r="I21" s="66" t="s">
        <v>40</v>
      </c>
      <c r="J21" s="66" t="s">
        <v>41</v>
      </c>
      <c r="K21" s="66" t="s">
        <v>63</v>
      </c>
      <c r="L21" s="66">
        <v>0</v>
      </c>
      <c r="M21" s="68" t="s">
        <v>558</v>
      </c>
      <c r="N21" s="68" t="s">
        <v>42</v>
      </c>
      <c r="O21" s="68" t="s">
        <v>560</v>
      </c>
      <c r="P21" s="68">
        <v>4513503104</v>
      </c>
      <c r="Q21" s="303">
        <f t="shared" si="16"/>
        <v>5</v>
      </c>
      <c r="R21" s="303">
        <f t="shared" si="17"/>
        <v>79</v>
      </c>
      <c r="S21" s="68">
        <v>5</v>
      </c>
      <c r="T21" s="68">
        <v>79</v>
      </c>
      <c r="U21" s="68">
        <v>0</v>
      </c>
      <c r="V21" s="68">
        <v>0</v>
      </c>
      <c r="W21" s="68">
        <v>74.7</v>
      </c>
      <c r="X21" s="68">
        <v>47</v>
      </c>
      <c r="Y21" s="68">
        <v>24</v>
      </c>
      <c r="Z21" s="68">
        <v>16</v>
      </c>
      <c r="AA21" s="68">
        <v>5</v>
      </c>
      <c r="AB21" s="300">
        <f t="shared" si="18"/>
        <v>15.04</v>
      </c>
      <c r="AC21" s="300">
        <f t="shared" si="19"/>
        <v>9.0602409638554218E-2</v>
      </c>
      <c r="AD21" s="68">
        <v>3020</v>
      </c>
      <c r="AE21" s="68" t="s">
        <v>109</v>
      </c>
      <c r="AF21" s="68" t="s">
        <v>317</v>
      </c>
      <c r="AG21" s="68" t="s">
        <v>317</v>
      </c>
      <c r="AH21" s="68">
        <v>0</v>
      </c>
      <c r="AI21" s="309"/>
      <c r="AJ21" s="309"/>
      <c r="AK21" s="68" t="s">
        <v>48</v>
      </c>
      <c r="AL21" s="68" t="s">
        <v>47</v>
      </c>
      <c r="AM21" s="299">
        <f t="shared" ca="1" si="15"/>
        <v>4.0659722222189885</v>
      </c>
      <c r="AN21" s="51"/>
      <c r="AO21" s="61" t="s">
        <v>120</v>
      </c>
      <c r="AP21" s="62" t="s">
        <v>558</v>
      </c>
      <c r="AQ21" s="61" t="s">
        <v>821</v>
      </c>
      <c r="AR21" s="64">
        <v>44867.493055555555</v>
      </c>
      <c r="AS21" s="57" t="s">
        <v>173</v>
      </c>
      <c r="AT21" s="61" t="s">
        <v>225</v>
      </c>
      <c r="AU21" s="63">
        <v>0.49305555555555558</v>
      </c>
      <c r="AV21" s="58">
        <v>1</v>
      </c>
      <c r="AW21" s="58" t="s">
        <v>66</v>
      </c>
      <c r="AX21" s="52"/>
      <c r="AY21" s="52"/>
      <c r="AZ21" s="52"/>
      <c r="BA21" s="52"/>
    </row>
    <row r="22" spans="1:53" x14ac:dyDescent="0.25">
      <c r="A22" s="73">
        <v>502</v>
      </c>
      <c r="B22" s="72">
        <v>44863.427083333336</v>
      </c>
      <c r="C22" s="67">
        <v>0.43055555555555558</v>
      </c>
      <c r="D22" s="67">
        <v>0.44444444444444442</v>
      </c>
      <c r="E22" s="67">
        <v>0.45833333333333331</v>
      </c>
      <c r="F22" s="68" t="s">
        <v>170</v>
      </c>
      <c r="G22" s="68" t="s">
        <v>554</v>
      </c>
      <c r="H22" s="66" t="s">
        <v>356</v>
      </c>
      <c r="I22" s="66" t="s">
        <v>40</v>
      </c>
      <c r="J22" s="66" t="s">
        <v>41</v>
      </c>
      <c r="K22" s="66" t="s">
        <v>63</v>
      </c>
      <c r="L22" s="66">
        <v>0</v>
      </c>
      <c r="M22" s="68" t="s">
        <v>558</v>
      </c>
      <c r="N22" s="68" t="s">
        <v>42</v>
      </c>
      <c r="O22" s="68" t="s">
        <v>561</v>
      </c>
      <c r="P22" s="68">
        <v>5413600578</v>
      </c>
      <c r="Q22" s="303">
        <f t="shared" si="16"/>
        <v>2</v>
      </c>
      <c r="R22" s="303">
        <f t="shared" si="17"/>
        <v>31</v>
      </c>
      <c r="S22" s="68">
        <v>2</v>
      </c>
      <c r="T22" s="68">
        <v>31</v>
      </c>
      <c r="U22" s="68">
        <v>0</v>
      </c>
      <c r="V22" s="68">
        <v>0</v>
      </c>
      <c r="W22" s="68">
        <v>29.88</v>
      </c>
      <c r="X22" s="68">
        <v>47</v>
      </c>
      <c r="Y22" s="68">
        <v>24</v>
      </c>
      <c r="Z22" s="68">
        <v>16</v>
      </c>
      <c r="AA22" s="68">
        <v>2</v>
      </c>
      <c r="AB22" s="300">
        <f t="shared" si="18"/>
        <v>6.016</v>
      </c>
      <c r="AC22" s="300">
        <f t="shared" si="19"/>
        <v>3.6240963855421686E-2</v>
      </c>
      <c r="AD22" s="68">
        <v>1208</v>
      </c>
      <c r="AE22" s="68" t="s">
        <v>109</v>
      </c>
      <c r="AF22" s="68" t="s">
        <v>317</v>
      </c>
      <c r="AG22" s="68" t="s">
        <v>317</v>
      </c>
      <c r="AH22" s="68">
        <v>0</v>
      </c>
      <c r="AI22" s="309"/>
      <c r="AJ22" s="309"/>
      <c r="AK22" s="68" t="s">
        <v>48</v>
      </c>
      <c r="AL22" s="68" t="s">
        <v>47</v>
      </c>
      <c r="AM22" s="299">
        <f t="shared" ca="1" si="15"/>
        <v>4.0659722222189885</v>
      </c>
      <c r="AN22" s="51"/>
      <c r="AO22" s="61" t="s">
        <v>120</v>
      </c>
      <c r="AP22" s="62" t="s">
        <v>558</v>
      </c>
      <c r="AQ22" s="61" t="s">
        <v>821</v>
      </c>
      <c r="AR22" s="64">
        <v>44867.493055555555</v>
      </c>
      <c r="AS22" s="57" t="s">
        <v>173</v>
      </c>
      <c r="AT22" s="61" t="s">
        <v>225</v>
      </c>
      <c r="AU22" s="63">
        <v>0.49305555555555558</v>
      </c>
      <c r="AV22" s="58">
        <v>1</v>
      </c>
      <c r="AW22" s="58" t="s">
        <v>66</v>
      </c>
      <c r="AX22" s="52"/>
      <c r="AY22" s="52"/>
      <c r="AZ22" s="52"/>
      <c r="BA22" s="52"/>
    </row>
    <row r="23" spans="1:53" x14ac:dyDescent="0.25">
      <c r="A23" s="73">
        <v>507</v>
      </c>
      <c r="B23" s="72">
        <v>44863.600694444445</v>
      </c>
      <c r="C23" s="67">
        <v>0.60416666666666663</v>
      </c>
      <c r="D23" s="67">
        <v>0.61111111111111105</v>
      </c>
      <c r="E23" s="67">
        <v>0.63194444444444442</v>
      </c>
      <c r="F23" s="68" t="s">
        <v>171</v>
      </c>
      <c r="G23" s="68" t="s">
        <v>562</v>
      </c>
      <c r="H23" s="66" t="s">
        <v>85</v>
      </c>
      <c r="I23" s="66" t="s">
        <v>86</v>
      </c>
      <c r="J23" s="66" t="s">
        <v>37</v>
      </c>
      <c r="K23" s="66" t="s">
        <v>233</v>
      </c>
      <c r="L23" s="70" t="s">
        <v>206</v>
      </c>
      <c r="M23" s="68" t="s">
        <v>563</v>
      </c>
      <c r="N23" s="68" t="s">
        <v>42</v>
      </c>
      <c r="O23" s="68" t="s">
        <v>564</v>
      </c>
      <c r="P23" s="68" t="s">
        <v>565</v>
      </c>
      <c r="Q23" s="303">
        <f t="shared" si="16"/>
        <v>2</v>
      </c>
      <c r="R23" s="303">
        <f t="shared" si="17"/>
        <v>436</v>
      </c>
      <c r="S23" s="68">
        <v>0</v>
      </c>
      <c r="T23" s="68">
        <v>0</v>
      </c>
      <c r="U23" s="68">
        <v>2</v>
      </c>
      <c r="V23" s="68">
        <v>436</v>
      </c>
      <c r="W23" s="68">
        <v>429</v>
      </c>
      <c r="X23" s="68">
        <v>120</v>
      </c>
      <c r="Y23" s="68">
        <v>80</v>
      </c>
      <c r="Z23" s="68">
        <v>88</v>
      </c>
      <c r="AA23" s="68">
        <v>1</v>
      </c>
      <c r="AB23" s="300">
        <f t="shared" si="18"/>
        <v>140.80000000000001</v>
      </c>
      <c r="AC23" s="300">
        <f t="shared" si="19"/>
        <v>0.84819277108433744</v>
      </c>
      <c r="AD23" s="68">
        <v>5456.96</v>
      </c>
      <c r="AE23" s="68" t="s">
        <v>109</v>
      </c>
      <c r="AF23" s="68" t="s">
        <v>317</v>
      </c>
      <c r="AG23" s="68" t="s">
        <v>317</v>
      </c>
      <c r="AH23" s="68" t="s">
        <v>566</v>
      </c>
      <c r="AI23" s="309"/>
      <c r="AJ23" s="309"/>
      <c r="AK23" s="68" t="s">
        <v>37</v>
      </c>
      <c r="AL23" s="68" t="s">
        <v>49</v>
      </c>
      <c r="AM23" s="299">
        <f t="shared" ca="1" si="15"/>
        <v>2.9618055555547471</v>
      </c>
      <c r="AN23" s="51"/>
      <c r="AO23" s="61" t="s">
        <v>87</v>
      </c>
      <c r="AP23" s="62" t="s">
        <v>563</v>
      </c>
      <c r="AQ23" s="61" t="s">
        <v>716</v>
      </c>
      <c r="AR23" s="64">
        <v>44866.5625</v>
      </c>
      <c r="AS23" s="61" t="s">
        <v>136</v>
      </c>
      <c r="AT23" s="61" t="s">
        <v>225</v>
      </c>
      <c r="AU23" s="63">
        <v>0.5625</v>
      </c>
      <c r="AV23" s="61">
        <v>1</v>
      </c>
      <c r="AW23" s="61" t="s">
        <v>66</v>
      </c>
      <c r="AX23" s="52"/>
      <c r="AY23" s="52"/>
      <c r="AZ23" s="52"/>
      <c r="BA23" s="52"/>
    </row>
    <row r="24" spans="1:53" x14ac:dyDescent="0.25">
      <c r="A24" s="73">
        <v>507</v>
      </c>
      <c r="B24" s="72">
        <v>44863.600694444445</v>
      </c>
      <c r="C24" s="67">
        <v>0.60416666666666663</v>
      </c>
      <c r="D24" s="67">
        <v>0.61111111111111105</v>
      </c>
      <c r="E24" s="67">
        <v>0.63194444444444442</v>
      </c>
      <c r="F24" s="68" t="s">
        <v>171</v>
      </c>
      <c r="G24" s="68" t="s">
        <v>562</v>
      </c>
      <c r="H24" s="66" t="s">
        <v>85</v>
      </c>
      <c r="I24" s="66" t="s">
        <v>86</v>
      </c>
      <c r="J24" s="66" t="s">
        <v>37</v>
      </c>
      <c r="K24" s="66" t="s">
        <v>233</v>
      </c>
      <c r="L24" s="70" t="s">
        <v>206</v>
      </c>
      <c r="M24" s="68" t="s">
        <v>563</v>
      </c>
      <c r="N24" s="68" t="s">
        <v>42</v>
      </c>
      <c r="O24" s="68" t="s">
        <v>564</v>
      </c>
      <c r="P24" s="68" t="s">
        <v>565</v>
      </c>
      <c r="Q24" s="303">
        <f t="shared" si="16"/>
        <v>0</v>
      </c>
      <c r="R24" s="303">
        <f t="shared" si="17"/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120</v>
      </c>
      <c r="Y24" s="68">
        <v>80</v>
      </c>
      <c r="Z24" s="68">
        <v>58</v>
      </c>
      <c r="AA24" s="68">
        <v>1</v>
      </c>
      <c r="AB24" s="300">
        <f t="shared" si="18"/>
        <v>92.8</v>
      </c>
      <c r="AC24" s="300">
        <f t="shared" si="19"/>
        <v>0.55903614457831319</v>
      </c>
      <c r="AD24" s="68">
        <v>0</v>
      </c>
      <c r="AE24" s="68">
        <v>0</v>
      </c>
      <c r="AF24" s="68" t="s">
        <v>317</v>
      </c>
      <c r="AG24" s="68" t="s">
        <v>317</v>
      </c>
      <c r="AH24" s="68" t="s">
        <v>566</v>
      </c>
      <c r="AI24" s="309"/>
      <c r="AJ24" s="309"/>
      <c r="AK24" s="68" t="s">
        <v>37</v>
      </c>
      <c r="AL24" s="68" t="s">
        <v>49</v>
      </c>
      <c r="AM24" s="299">
        <f t="shared" ca="1" si="15"/>
        <v>2.9618055555547471</v>
      </c>
      <c r="AN24" s="51"/>
      <c r="AO24" s="61" t="s">
        <v>87</v>
      </c>
      <c r="AP24" s="62" t="s">
        <v>563</v>
      </c>
      <c r="AQ24" s="61" t="s">
        <v>716</v>
      </c>
      <c r="AR24" s="64">
        <v>44866.5625</v>
      </c>
      <c r="AS24" s="61" t="s">
        <v>136</v>
      </c>
      <c r="AT24" s="61" t="s">
        <v>225</v>
      </c>
      <c r="AU24" s="63">
        <v>0.5625</v>
      </c>
      <c r="AV24" s="61">
        <v>1</v>
      </c>
      <c r="AW24" s="61" t="s">
        <v>66</v>
      </c>
      <c r="AX24" s="52"/>
      <c r="AY24" s="52"/>
      <c r="AZ24" s="52"/>
      <c r="BA24" s="52"/>
    </row>
    <row r="25" spans="1:53" x14ac:dyDescent="0.25">
      <c r="A25" s="73">
        <v>508</v>
      </c>
      <c r="B25" s="72">
        <v>44863.631944444445</v>
      </c>
      <c r="C25" s="67">
        <v>0.63541666666666663</v>
      </c>
      <c r="D25" s="67">
        <v>0.63888888888888895</v>
      </c>
      <c r="E25" s="67">
        <v>0.64583333333333337</v>
      </c>
      <c r="F25" s="68" t="s">
        <v>169</v>
      </c>
      <c r="G25" s="68" t="s">
        <v>567</v>
      </c>
      <c r="H25" s="66" t="s">
        <v>250</v>
      </c>
      <c r="I25" s="66" t="s">
        <v>112</v>
      </c>
      <c r="J25" s="66" t="s">
        <v>41</v>
      </c>
      <c r="K25" s="66" t="s">
        <v>82</v>
      </c>
      <c r="L25" s="66">
        <v>0</v>
      </c>
      <c r="M25" s="68" t="s">
        <v>568</v>
      </c>
      <c r="N25" s="68" t="s">
        <v>74</v>
      </c>
      <c r="O25" s="68" t="s">
        <v>569</v>
      </c>
      <c r="P25" s="68" t="s">
        <v>570</v>
      </c>
      <c r="Q25" s="303">
        <f t="shared" si="16"/>
        <v>8</v>
      </c>
      <c r="R25" s="303">
        <f t="shared" si="17"/>
        <v>98</v>
      </c>
      <c r="S25" s="68">
        <v>8</v>
      </c>
      <c r="T25" s="68">
        <v>98</v>
      </c>
      <c r="U25" s="68">
        <v>0</v>
      </c>
      <c r="V25" s="68">
        <v>0</v>
      </c>
      <c r="W25" s="68">
        <v>98</v>
      </c>
      <c r="X25" s="68">
        <v>60</v>
      </c>
      <c r="Y25" s="68">
        <v>41</v>
      </c>
      <c r="Z25" s="68">
        <v>30</v>
      </c>
      <c r="AA25" s="68">
        <v>5</v>
      </c>
      <c r="AB25" s="300">
        <f t="shared" si="18"/>
        <v>61.5</v>
      </c>
      <c r="AC25" s="300">
        <f t="shared" si="19"/>
        <v>0.37048192771084337</v>
      </c>
      <c r="AD25" s="68">
        <v>5267.55</v>
      </c>
      <c r="AE25" s="68" t="s">
        <v>109</v>
      </c>
      <c r="AF25" s="68" t="s">
        <v>317</v>
      </c>
      <c r="AG25" s="68" t="s">
        <v>317</v>
      </c>
      <c r="AH25" s="68" t="s">
        <v>571</v>
      </c>
      <c r="AI25" s="309"/>
      <c r="AJ25" s="309"/>
      <c r="AK25" s="68" t="s">
        <v>48</v>
      </c>
      <c r="AL25" s="68" t="s">
        <v>50</v>
      </c>
      <c r="AM25" s="299">
        <f t="shared" ca="1" si="15"/>
        <v>4.09375</v>
      </c>
      <c r="AN25" s="51"/>
      <c r="AO25" s="61" t="s">
        <v>84</v>
      </c>
      <c r="AP25" s="62" t="s">
        <v>568</v>
      </c>
      <c r="AQ25" s="63" t="s">
        <v>838</v>
      </c>
      <c r="AR25" s="64">
        <v>44867.725694444445</v>
      </c>
      <c r="AS25" s="61" t="s">
        <v>95</v>
      </c>
      <c r="AT25" s="61" t="s">
        <v>225</v>
      </c>
      <c r="AU25" s="59">
        <v>0.72569444444444453</v>
      </c>
      <c r="AV25" s="61">
        <v>2</v>
      </c>
      <c r="AW25" s="58" t="s">
        <v>66</v>
      </c>
      <c r="AX25" s="52"/>
      <c r="AY25" s="52"/>
      <c r="AZ25" s="52"/>
      <c r="BA25" s="52"/>
    </row>
    <row r="26" spans="1:53" x14ac:dyDescent="0.25">
      <c r="A26" s="73">
        <v>508</v>
      </c>
      <c r="B26" s="72">
        <v>44863.631944444445</v>
      </c>
      <c r="C26" s="67">
        <v>0.63541666666666663</v>
      </c>
      <c r="D26" s="67">
        <v>0.63888888888888895</v>
      </c>
      <c r="E26" s="67">
        <v>0.64583333333333337</v>
      </c>
      <c r="F26" s="68" t="s">
        <v>169</v>
      </c>
      <c r="G26" s="68" t="s">
        <v>567</v>
      </c>
      <c r="H26" s="66" t="s">
        <v>250</v>
      </c>
      <c r="I26" s="66" t="s">
        <v>112</v>
      </c>
      <c r="J26" s="66" t="s">
        <v>41</v>
      </c>
      <c r="K26" s="66" t="s">
        <v>82</v>
      </c>
      <c r="L26" s="66">
        <v>0</v>
      </c>
      <c r="M26" s="68" t="s">
        <v>568</v>
      </c>
      <c r="N26" s="68" t="s">
        <v>74</v>
      </c>
      <c r="O26" s="68" t="s">
        <v>569</v>
      </c>
      <c r="P26" s="68" t="s">
        <v>570</v>
      </c>
      <c r="Q26" s="303">
        <f t="shared" si="16"/>
        <v>0</v>
      </c>
      <c r="R26" s="303">
        <f t="shared" si="17"/>
        <v>0</v>
      </c>
      <c r="S26" s="6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68</v>
      </c>
      <c r="Y26" s="68">
        <v>52</v>
      </c>
      <c r="Z26" s="68">
        <v>25</v>
      </c>
      <c r="AA26" s="68">
        <v>2</v>
      </c>
      <c r="AB26" s="300">
        <f t="shared" si="18"/>
        <v>29.466666666666665</v>
      </c>
      <c r="AC26" s="300">
        <f t="shared" si="19"/>
        <v>0.17751004016064256</v>
      </c>
      <c r="AD26" s="68">
        <v>0</v>
      </c>
      <c r="AE26" s="68">
        <v>0</v>
      </c>
      <c r="AF26" s="68" t="s">
        <v>317</v>
      </c>
      <c r="AG26" s="68" t="s">
        <v>317</v>
      </c>
      <c r="AH26" s="68" t="s">
        <v>571</v>
      </c>
      <c r="AI26" s="309"/>
      <c r="AJ26" s="309"/>
      <c r="AK26" s="68" t="s">
        <v>48</v>
      </c>
      <c r="AL26" s="68" t="s">
        <v>50</v>
      </c>
      <c r="AM26" s="299">
        <f t="shared" ca="1" si="15"/>
        <v>4.09375</v>
      </c>
      <c r="AN26" s="51"/>
      <c r="AO26" s="61" t="s">
        <v>84</v>
      </c>
      <c r="AP26" s="62" t="s">
        <v>568</v>
      </c>
      <c r="AQ26" s="63" t="s">
        <v>838</v>
      </c>
      <c r="AR26" s="64">
        <v>44867.725694444445</v>
      </c>
      <c r="AS26" s="61" t="s">
        <v>95</v>
      </c>
      <c r="AT26" s="61" t="s">
        <v>225</v>
      </c>
      <c r="AU26" s="59">
        <v>0.72569444444444453</v>
      </c>
      <c r="AV26" s="61">
        <v>2</v>
      </c>
      <c r="AW26" s="58" t="s">
        <v>66</v>
      </c>
      <c r="AX26" s="52"/>
      <c r="AY26" s="52"/>
      <c r="AZ26" s="52"/>
      <c r="BA26" s="52"/>
    </row>
    <row r="27" spans="1:53" x14ac:dyDescent="0.25">
      <c r="A27" s="73">
        <v>508</v>
      </c>
      <c r="B27" s="72">
        <v>44863.631944444445</v>
      </c>
      <c r="C27" s="67">
        <v>0.63541666666666663</v>
      </c>
      <c r="D27" s="67">
        <v>0.63888888888888895</v>
      </c>
      <c r="E27" s="67">
        <v>0.64583333333333337</v>
      </c>
      <c r="F27" s="68" t="s">
        <v>169</v>
      </c>
      <c r="G27" s="68" t="s">
        <v>567</v>
      </c>
      <c r="H27" s="66" t="s">
        <v>250</v>
      </c>
      <c r="I27" s="66" t="s">
        <v>112</v>
      </c>
      <c r="J27" s="66" t="s">
        <v>41</v>
      </c>
      <c r="K27" s="66" t="s">
        <v>82</v>
      </c>
      <c r="L27" s="66">
        <v>0</v>
      </c>
      <c r="M27" s="68" t="s">
        <v>568</v>
      </c>
      <c r="N27" s="68" t="s">
        <v>74</v>
      </c>
      <c r="O27" s="68" t="s">
        <v>569</v>
      </c>
      <c r="P27" s="68" t="s">
        <v>570</v>
      </c>
      <c r="Q27" s="303">
        <f t="shared" si="16"/>
        <v>0</v>
      </c>
      <c r="R27" s="303">
        <f t="shared" si="17"/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77</v>
      </c>
      <c r="Y27" s="68">
        <v>42</v>
      </c>
      <c r="Z27" s="68">
        <v>25</v>
      </c>
      <c r="AA27" s="68">
        <v>1</v>
      </c>
      <c r="AB27" s="300">
        <f t="shared" si="18"/>
        <v>13.475</v>
      </c>
      <c r="AC27" s="300">
        <f t="shared" si="19"/>
        <v>8.1174698795180716E-2</v>
      </c>
      <c r="AD27" s="68">
        <v>0</v>
      </c>
      <c r="AE27" s="68">
        <v>0</v>
      </c>
      <c r="AF27" s="68" t="s">
        <v>317</v>
      </c>
      <c r="AG27" s="68" t="s">
        <v>317</v>
      </c>
      <c r="AH27" s="68" t="s">
        <v>571</v>
      </c>
      <c r="AI27" s="309"/>
      <c r="AJ27" s="309"/>
      <c r="AK27" s="68" t="s">
        <v>48</v>
      </c>
      <c r="AL27" s="68" t="s">
        <v>50</v>
      </c>
      <c r="AM27" s="299">
        <f t="shared" ca="1" si="15"/>
        <v>4.09375</v>
      </c>
      <c r="AN27" s="51"/>
      <c r="AO27" s="61" t="s">
        <v>84</v>
      </c>
      <c r="AP27" s="62" t="s">
        <v>568</v>
      </c>
      <c r="AQ27" s="63" t="s">
        <v>838</v>
      </c>
      <c r="AR27" s="64">
        <v>44867.725694444445</v>
      </c>
      <c r="AS27" s="61" t="s">
        <v>95</v>
      </c>
      <c r="AT27" s="61" t="s">
        <v>225</v>
      </c>
      <c r="AU27" s="59">
        <v>0.72569444444444453</v>
      </c>
      <c r="AV27" s="61">
        <v>2</v>
      </c>
      <c r="AW27" s="58" t="s">
        <v>66</v>
      </c>
      <c r="AX27" s="52"/>
      <c r="AY27" s="52"/>
      <c r="AZ27" s="52"/>
      <c r="BA27" s="52"/>
    </row>
    <row r="28" spans="1:53" x14ac:dyDescent="0.25">
      <c r="A28" s="73">
        <v>509</v>
      </c>
      <c r="B28" s="72">
        <v>44863.625</v>
      </c>
      <c r="C28" s="67">
        <v>0.63194444444444442</v>
      </c>
      <c r="D28" s="67">
        <v>0.65277777777777779</v>
      </c>
      <c r="E28" s="67">
        <v>0.71180555555555547</v>
      </c>
      <c r="F28" s="68" t="s">
        <v>169</v>
      </c>
      <c r="G28" s="68" t="s">
        <v>413</v>
      </c>
      <c r="H28" s="66" t="s">
        <v>145</v>
      </c>
      <c r="I28" s="66" t="s">
        <v>146</v>
      </c>
      <c r="J28" s="66" t="s">
        <v>41</v>
      </c>
      <c r="K28" s="66" t="s">
        <v>233</v>
      </c>
      <c r="L28" s="66" t="s">
        <v>223</v>
      </c>
      <c r="M28" s="68" t="s">
        <v>572</v>
      </c>
      <c r="N28" s="68" t="s">
        <v>453</v>
      </c>
      <c r="O28" s="68">
        <v>97000517</v>
      </c>
      <c r="P28" s="68">
        <v>45903</v>
      </c>
      <c r="Q28" s="303">
        <f t="shared" si="16"/>
        <v>52</v>
      </c>
      <c r="R28" s="303">
        <f t="shared" si="17"/>
        <v>938</v>
      </c>
      <c r="S28" s="68">
        <v>52</v>
      </c>
      <c r="T28" s="68">
        <v>938</v>
      </c>
      <c r="U28" s="68">
        <v>0</v>
      </c>
      <c r="V28" s="68">
        <v>0</v>
      </c>
      <c r="W28" s="68">
        <v>922</v>
      </c>
      <c r="X28" s="68">
        <v>60</v>
      </c>
      <c r="Y28" s="68">
        <v>29</v>
      </c>
      <c r="Z28" s="68">
        <v>59</v>
      </c>
      <c r="AA28" s="68">
        <v>52</v>
      </c>
      <c r="AB28" s="300">
        <f t="shared" si="18"/>
        <v>889.72</v>
      </c>
      <c r="AC28" s="300">
        <f t="shared" si="19"/>
        <v>5.3597590361445784</v>
      </c>
      <c r="AD28" s="68">
        <v>48833.279999999999</v>
      </c>
      <c r="AE28" s="68" t="s">
        <v>109</v>
      </c>
      <c r="AF28" s="68" t="s">
        <v>573</v>
      </c>
      <c r="AG28" s="68" t="s">
        <v>574</v>
      </c>
      <c r="AH28" s="68">
        <v>0</v>
      </c>
      <c r="AI28" s="309"/>
      <c r="AJ28" s="309"/>
      <c r="AK28" s="68" t="s">
        <v>48</v>
      </c>
      <c r="AL28" s="68" t="s">
        <v>50</v>
      </c>
      <c r="AM28" s="299">
        <f t="shared" ca="1" si="15"/>
        <v>2.9270833333357587</v>
      </c>
      <c r="AN28" s="51"/>
      <c r="AO28" s="61" t="s">
        <v>68</v>
      </c>
      <c r="AP28" s="62" t="s">
        <v>572</v>
      </c>
      <c r="AQ28" s="61" t="s">
        <v>717</v>
      </c>
      <c r="AR28" s="64">
        <v>44866.552083333336</v>
      </c>
      <c r="AS28" s="61" t="s">
        <v>117</v>
      </c>
      <c r="AT28" s="61" t="s">
        <v>225</v>
      </c>
      <c r="AU28" s="59">
        <v>0.55208333333333337</v>
      </c>
      <c r="AV28" s="61">
        <v>1</v>
      </c>
      <c r="AW28" s="61" t="s">
        <v>66</v>
      </c>
      <c r="AX28" s="52"/>
      <c r="AY28" s="52"/>
      <c r="AZ28" s="52"/>
      <c r="BA28" s="52"/>
    </row>
    <row r="29" spans="1:53" x14ac:dyDescent="0.25">
      <c r="A29" s="73">
        <v>510</v>
      </c>
      <c r="B29" s="72">
        <v>44863.625</v>
      </c>
      <c r="C29" s="67">
        <v>0.63194444444444442</v>
      </c>
      <c r="D29" s="67">
        <v>0.65277777777777779</v>
      </c>
      <c r="E29" s="67">
        <v>0.71180555555555547</v>
      </c>
      <c r="F29" s="68" t="s">
        <v>169</v>
      </c>
      <c r="G29" s="68" t="s">
        <v>413</v>
      </c>
      <c r="H29" s="66" t="s">
        <v>145</v>
      </c>
      <c r="I29" s="66" t="s">
        <v>146</v>
      </c>
      <c r="J29" s="66" t="s">
        <v>41</v>
      </c>
      <c r="K29" s="66" t="s">
        <v>233</v>
      </c>
      <c r="L29" s="66" t="s">
        <v>223</v>
      </c>
      <c r="M29" s="68" t="s">
        <v>572</v>
      </c>
      <c r="N29" s="68" t="s">
        <v>453</v>
      </c>
      <c r="O29" s="68">
        <v>97000516</v>
      </c>
      <c r="P29" s="68">
        <v>45905</v>
      </c>
      <c r="Q29" s="303">
        <f t="shared" si="16"/>
        <v>18</v>
      </c>
      <c r="R29" s="303">
        <f t="shared" si="17"/>
        <v>258</v>
      </c>
      <c r="S29" s="68">
        <v>18</v>
      </c>
      <c r="T29" s="68">
        <v>258</v>
      </c>
      <c r="U29" s="68">
        <v>0</v>
      </c>
      <c r="V29" s="68">
        <v>0</v>
      </c>
      <c r="W29" s="68">
        <v>254</v>
      </c>
      <c r="X29" s="68">
        <v>60</v>
      </c>
      <c r="Y29" s="68">
        <v>24</v>
      </c>
      <c r="Z29" s="68">
        <v>49</v>
      </c>
      <c r="AA29" s="68">
        <v>15</v>
      </c>
      <c r="AB29" s="300">
        <f t="shared" si="18"/>
        <v>176.4</v>
      </c>
      <c r="AC29" s="300">
        <f t="shared" si="19"/>
        <v>1.0626506024096385</v>
      </c>
      <c r="AD29" s="68">
        <v>12297.6</v>
      </c>
      <c r="AE29" s="68" t="s">
        <v>109</v>
      </c>
      <c r="AF29" s="68" t="s">
        <v>575</v>
      </c>
      <c r="AG29" s="68" t="s">
        <v>574</v>
      </c>
      <c r="AH29" s="68" t="s">
        <v>576</v>
      </c>
      <c r="AI29" s="309"/>
      <c r="AJ29" s="309"/>
      <c r="AK29" s="68" t="s">
        <v>48</v>
      </c>
      <c r="AL29" s="68" t="s">
        <v>50</v>
      </c>
      <c r="AM29" s="299">
        <f t="shared" ca="1" si="15"/>
        <v>2.9270833333357587</v>
      </c>
      <c r="AN29" s="51"/>
      <c r="AO29" s="61" t="s">
        <v>68</v>
      </c>
      <c r="AP29" s="62" t="s">
        <v>572</v>
      </c>
      <c r="AQ29" s="61" t="s">
        <v>717</v>
      </c>
      <c r="AR29" s="64">
        <v>44866.552083333336</v>
      </c>
      <c r="AS29" s="61" t="s">
        <v>117</v>
      </c>
      <c r="AT29" s="61" t="s">
        <v>225</v>
      </c>
      <c r="AU29" s="59">
        <v>0.55208333333333337</v>
      </c>
      <c r="AV29" s="61">
        <v>1</v>
      </c>
      <c r="AW29" s="61" t="s">
        <v>66</v>
      </c>
      <c r="AX29" s="52"/>
      <c r="AY29" s="52"/>
      <c r="AZ29" s="52"/>
      <c r="BA29" s="52"/>
    </row>
    <row r="30" spans="1:53" x14ac:dyDescent="0.25">
      <c r="A30" s="73">
        <v>510</v>
      </c>
      <c r="B30" s="72">
        <v>44863.625</v>
      </c>
      <c r="C30" s="67">
        <v>0.63194444444444442</v>
      </c>
      <c r="D30" s="67">
        <v>0.65277777777777779</v>
      </c>
      <c r="E30" s="67">
        <v>0.71180555555555547</v>
      </c>
      <c r="F30" s="68" t="s">
        <v>169</v>
      </c>
      <c r="G30" s="68" t="s">
        <v>413</v>
      </c>
      <c r="H30" s="66" t="s">
        <v>145</v>
      </c>
      <c r="I30" s="66" t="s">
        <v>146</v>
      </c>
      <c r="J30" s="66" t="s">
        <v>41</v>
      </c>
      <c r="K30" s="66" t="s">
        <v>233</v>
      </c>
      <c r="L30" s="66" t="s">
        <v>223</v>
      </c>
      <c r="M30" s="68" t="s">
        <v>572</v>
      </c>
      <c r="N30" s="68" t="s">
        <v>453</v>
      </c>
      <c r="O30" s="68">
        <v>97000516</v>
      </c>
      <c r="P30" s="68">
        <v>45905</v>
      </c>
      <c r="Q30" s="303">
        <f t="shared" si="16"/>
        <v>0</v>
      </c>
      <c r="R30" s="303">
        <f t="shared" si="17"/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60</v>
      </c>
      <c r="Y30" s="68">
        <v>24</v>
      </c>
      <c r="Z30" s="68">
        <v>39</v>
      </c>
      <c r="AA30" s="68">
        <v>1</v>
      </c>
      <c r="AB30" s="300">
        <f t="shared" si="18"/>
        <v>9.36</v>
      </c>
      <c r="AC30" s="300">
        <f t="shared" si="19"/>
        <v>5.6385542168674696E-2</v>
      </c>
      <c r="AD30" s="68">
        <v>0</v>
      </c>
      <c r="AE30" s="68">
        <v>0</v>
      </c>
      <c r="AF30" s="68" t="s">
        <v>317</v>
      </c>
      <c r="AG30" s="68" t="s">
        <v>317</v>
      </c>
      <c r="AH30" s="68" t="s">
        <v>576</v>
      </c>
      <c r="AI30" s="309"/>
      <c r="AJ30" s="309"/>
      <c r="AK30" s="68" t="s">
        <v>48</v>
      </c>
      <c r="AL30" s="68" t="s">
        <v>50</v>
      </c>
      <c r="AM30" s="299">
        <f t="shared" ca="1" si="15"/>
        <v>2.9270833333357587</v>
      </c>
      <c r="AN30" s="51"/>
      <c r="AO30" s="61" t="s">
        <v>68</v>
      </c>
      <c r="AP30" s="62" t="s">
        <v>572</v>
      </c>
      <c r="AQ30" s="61" t="s">
        <v>717</v>
      </c>
      <c r="AR30" s="64">
        <v>44866.552083333336</v>
      </c>
      <c r="AS30" s="61" t="s">
        <v>117</v>
      </c>
      <c r="AT30" s="61" t="s">
        <v>225</v>
      </c>
      <c r="AU30" s="59">
        <v>0.55208333333333337</v>
      </c>
      <c r="AV30" s="61">
        <v>1</v>
      </c>
      <c r="AW30" s="61" t="s">
        <v>66</v>
      </c>
      <c r="AX30" s="52"/>
      <c r="AY30" s="52"/>
      <c r="AZ30" s="52"/>
      <c r="BA30" s="52"/>
    </row>
    <row r="31" spans="1:53" ht="15.75" thickBot="1" x14ac:dyDescent="0.3">
      <c r="A31" s="73">
        <v>510</v>
      </c>
      <c r="B31" s="72">
        <v>44863.625</v>
      </c>
      <c r="C31" s="67">
        <v>0.63194444444444442</v>
      </c>
      <c r="D31" s="67">
        <v>0.65277777777777779</v>
      </c>
      <c r="E31" s="67">
        <v>0.71180555555555547</v>
      </c>
      <c r="F31" s="68" t="s">
        <v>169</v>
      </c>
      <c r="G31" s="68" t="s">
        <v>413</v>
      </c>
      <c r="H31" s="66" t="s">
        <v>145</v>
      </c>
      <c r="I31" s="66" t="s">
        <v>146</v>
      </c>
      <c r="J31" s="66" t="s">
        <v>41</v>
      </c>
      <c r="K31" s="66" t="s">
        <v>233</v>
      </c>
      <c r="L31" s="66" t="s">
        <v>223</v>
      </c>
      <c r="M31" s="68" t="s">
        <v>572</v>
      </c>
      <c r="N31" s="68" t="s">
        <v>453</v>
      </c>
      <c r="O31" s="68">
        <v>97000516</v>
      </c>
      <c r="P31" s="68">
        <v>45905</v>
      </c>
      <c r="Q31" s="303">
        <f t="shared" si="16"/>
        <v>0</v>
      </c>
      <c r="R31" s="303">
        <f t="shared" si="17"/>
        <v>0</v>
      </c>
      <c r="S31" s="6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60</v>
      </c>
      <c r="Y31" s="68">
        <v>24</v>
      </c>
      <c r="Z31" s="68">
        <v>29</v>
      </c>
      <c r="AA31" s="68">
        <v>2</v>
      </c>
      <c r="AB31" s="300">
        <f t="shared" si="18"/>
        <v>13.92</v>
      </c>
      <c r="AC31" s="300">
        <f t="shared" si="19"/>
        <v>8.3855421686746992E-2</v>
      </c>
      <c r="AD31" s="68">
        <v>0</v>
      </c>
      <c r="AE31" s="68">
        <v>0</v>
      </c>
      <c r="AF31" s="68" t="s">
        <v>317</v>
      </c>
      <c r="AG31" s="68" t="s">
        <v>317</v>
      </c>
      <c r="AH31" s="68" t="s">
        <v>576</v>
      </c>
      <c r="AI31" s="309"/>
      <c r="AJ31" s="309"/>
      <c r="AK31" s="68" t="s">
        <v>48</v>
      </c>
      <c r="AL31" s="68" t="s">
        <v>50</v>
      </c>
      <c r="AM31" s="299">
        <f t="shared" ca="1" si="15"/>
        <v>2.9270833333357587</v>
      </c>
      <c r="AN31" s="51"/>
      <c r="AO31" s="61" t="s">
        <v>68</v>
      </c>
      <c r="AP31" s="62" t="s">
        <v>572</v>
      </c>
      <c r="AQ31" s="61" t="s">
        <v>717</v>
      </c>
      <c r="AR31" s="64">
        <v>44866.552083333336</v>
      </c>
      <c r="AS31" s="61" t="s">
        <v>117</v>
      </c>
      <c r="AT31" s="61" t="s">
        <v>225</v>
      </c>
      <c r="AU31" s="59">
        <v>0.55208333333333337</v>
      </c>
      <c r="AV31" s="61">
        <v>1</v>
      </c>
      <c r="AW31" s="61" t="s">
        <v>66</v>
      </c>
      <c r="AX31" s="52"/>
      <c r="AY31" s="52"/>
      <c r="AZ31" s="52"/>
      <c r="BA31" s="52"/>
    </row>
    <row r="32" spans="1:53" ht="15.75" thickBot="1" x14ac:dyDescent="0.3">
      <c r="A32" s="73">
        <v>511</v>
      </c>
      <c r="B32" s="72">
        <v>44863.690972222219</v>
      </c>
      <c r="C32" s="67">
        <v>0.69444444444444453</v>
      </c>
      <c r="D32" s="67">
        <v>0.70833333333333337</v>
      </c>
      <c r="E32" s="67">
        <v>0.73263888888888884</v>
      </c>
      <c r="F32" s="68" t="s">
        <v>169</v>
      </c>
      <c r="G32" s="68" t="s">
        <v>577</v>
      </c>
      <c r="H32" s="68" t="s">
        <v>197</v>
      </c>
      <c r="I32" s="68" t="s">
        <v>197</v>
      </c>
      <c r="J32" s="68" t="s">
        <v>37</v>
      </c>
      <c r="K32" s="68" t="s">
        <v>233</v>
      </c>
      <c r="L32" s="68" t="s">
        <v>343</v>
      </c>
      <c r="M32" s="68" t="s">
        <v>578</v>
      </c>
      <c r="N32" s="68" t="s">
        <v>264</v>
      </c>
      <c r="O32" s="68" t="s">
        <v>579</v>
      </c>
      <c r="P32" s="68" t="s">
        <v>580</v>
      </c>
      <c r="Q32" s="303">
        <f t="shared" si="16"/>
        <v>3</v>
      </c>
      <c r="R32" s="303">
        <f t="shared" si="17"/>
        <v>83</v>
      </c>
      <c r="S32" s="68">
        <v>3</v>
      </c>
      <c r="T32" s="68">
        <v>83</v>
      </c>
      <c r="U32" s="68">
        <v>0</v>
      </c>
      <c r="V32" s="68">
        <v>0</v>
      </c>
      <c r="W32" s="68">
        <v>84</v>
      </c>
      <c r="X32" s="68">
        <v>76</v>
      </c>
      <c r="Y32" s="68">
        <v>62</v>
      </c>
      <c r="Z32" s="68">
        <v>60</v>
      </c>
      <c r="AA32" s="68">
        <v>2</v>
      </c>
      <c r="AB32" s="300">
        <f t="shared" si="18"/>
        <v>94.24</v>
      </c>
      <c r="AC32" s="300">
        <f t="shared" si="19"/>
        <v>0.56771084337349398</v>
      </c>
      <c r="AD32" s="68" t="s">
        <v>48</v>
      </c>
      <c r="AE32" s="68" t="s">
        <v>48</v>
      </c>
      <c r="AF32" s="68" t="s">
        <v>317</v>
      </c>
      <c r="AG32" s="68" t="s">
        <v>317</v>
      </c>
      <c r="AH32" s="68" t="s">
        <v>581</v>
      </c>
      <c r="AI32" s="309"/>
      <c r="AJ32" s="309"/>
      <c r="AK32" s="68" t="s">
        <v>48</v>
      </c>
      <c r="AL32" s="68" t="s">
        <v>58</v>
      </c>
      <c r="AM32" s="299">
        <f t="shared" ca="1" si="15"/>
        <v>4.0347222222262644</v>
      </c>
      <c r="AN32" s="41"/>
      <c r="AO32" s="61" t="s">
        <v>347</v>
      </c>
      <c r="AP32" s="62" t="s">
        <v>578</v>
      </c>
      <c r="AQ32" s="61" t="s">
        <v>837</v>
      </c>
      <c r="AR32" s="64">
        <v>44867.725694444445</v>
      </c>
      <c r="AS32" s="61" t="s">
        <v>95</v>
      </c>
      <c r="AT32" s="61" t="s">
        <v>225</v>
      </c>
      <c r="AU32" s="59">
        <v>0.72569444444444453</v>
      </c>
      <c r="AV32" s="61">
        <v>2</v>
      </c>
      <c r="AW32" s="58" t="s">
        <v>66</v>
      </c>
      <c r="AX32" s="52"/>
      <c r="AY32" s="52"/>
      <c r="AZ32" s="52"/>
      <c r="BA32" s="52"/>
    </row>
    <row r="33" spans="1:53" ht="15.75" thickBot="1" x14ac:dyDescent="0.3">
      <c r="A33" s="73">
        <v>511</v>
      </c>
      <c r="B33" s="72">
        <v>44863.690972222219</v>
      </c>
      <c r="C33" s="67">
        <v>0.69444444444444453</v>
      </c>
      <c r="D33" s="67">
        <v>0.70833333333333337</v>
      </c>
      <c r="E33" s="67">
        <v>0.73263888888888884</v>
      </c>
      <c r="F33" s="68" t="s">
        <v>169</v>
      </c>
      <c r="G33" s="68" t="s">
        <v>577</v>
      </c>
      <c r="H33" s="68" t="s">
        <v>197</v>
      </c>
      <c r="I33" s="68" t="s">
        <v>197</v>
      </c>
      <c r="J33" s="68" t="s">
        <v>37</v>
      </c>
      <c r="K33" s="68" t="s">
        <v>233</v>
      </c>
      <c r="L33" s="68" t="s">
        <v>343</v>
      </c>
      <c r="M33" s="68" t="s">
        <v>578</v>
      </c>
      <c r="N33" s="68" t="s">
        <v>264</v>
      </c>
      <c r="O33" s="68" t="s">
        <v>579</v>
      </c>
      <c r="P33" s="68" t="s">
        <v>580</v>
      </c>
      <c r="Q33" s="303">
        <f t="shared" si="16"/>
        <v>0</v>
      </c>
      <c r="R33" s="303">
        <f t="shared" si="17"/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60</v>
      </c>
      <c r="Y33" s="68">
        <v>56</v>
      </c>
      <c r="Z33" s="68">
        <v>26</v>
      </c>
      <c r="AA33" s="68">
        <v>1</v>
      </c>
      <c r="AB33" s="300">
        <f t="shared" si="18"/>
        <v>14.56</v>
      </c>
      <c r="AC33" s="300">
        <f t="shared" si="19"/>
        <v>8.7710843373493982E-2</v>
      </c>
      <c r="AD33" s="68">
        <v>0</v>
      </c>
      <c r="AE33" s="68">
        <v>0</v>
      </c>
      <c r="AF33" s="68" t="s">
        <v>317</v>
      </c>
      <c r="AG33" s="68" t="s">
        <v>317</v>
      </c>
      <c r="AH33" s="68" t="s">
        <v>581</v>
      </c>
      <c r="AI33" s="309"/>
      <c r="AJ33" s="309"/>
      <c r="AK33" s="68" t="s">
        <v>48</v>
      </c>
      <c r="AL33" s="68" t="s">
        <v>58</v>
      </c>
      <c r="AM33" s="299">
        <f t="shared" ca="1" si="15"/>
        <v>4.0347222222262644</v>
      </c>
      <c r="AN33" s="41"/>
      <c r="AO33" s="61" t="s">
        <v>347</v>
      </c>
      <c r="AP33" s="62" t="s">
        <v>578</v>
      </c>
      <c r="AQ33" s="61" t="s">
        <v>837</v>
      </c>
      <c r="AR33" s="64">
        <v>44867.725694444445</v>
      </c>
      <c r="AS33" s="61" t="s">
        <v>95</v>
      </c>
      <c r="AT33" s="61" t="s">
        <v>225</v>
      </c>
      <c r="AU33" s="59">
        <v>0.72569444444444453</v>
      </c>
      <c r="AV33" s="61">
        <v>2</v>
      </c>
      <c r="AW33" s="58" t="s">
        <v>66</v>
      </c>
      <c r="AX33" s="52"/>
      <c r="AY33" s="52"/>
      <c r="AZ33" s="52"/>
      <c r="BA33" s="52"/>
    </row>
    <row r="34" spans="1:53" ht="15.75" thickBot="1" x14ac:dyDescent="0.3">
      <c r="A34" s="48">
        <v>512</v>
      </c>
      <c r="B34" s="72">
        <v>44863.690972222219</v>
      </c>
      <c r="C34" s="67">
        <v>0.69444444444444453</v>
      </c>
      <c r="D34" s="67">
        <v>0.70833333333333337</v>
      </c>
      <c r="E34" s="67">
        <v>0.73263888888888884</v>
      </c>
      <c r="F34" s="68" t="s">
        <v>169</v>
      </c>
      <c r="G34" s="68" t="s">
        <v>577</v>
      </c>
      <c r="H34" s="68" t="s">
        <v>197</v>
      </c>
      <c r="I34" s="68" t="s">
        <v>197</v>
      </c>
      <c r="J34" s="68" t="s">
        <v>37</v>
      </c>
      <c r="K34" s="68" t="s">
        <v>233</v>
      </c>
      <c r="L34" s="68" t="s">
        <v>343</v>
      </c>
      <c r="M34" s="68" t="s">
        <v>578</v>
      </c>
      <c r="N34" s="68" t="s">
        <v>264</v>
      </c>
      <c r="O34" s="68" t="s">
        <v>582</v>
      </c>
      <c r="P34" s="68" t="s">
        <v>583</v>
      </c>
      <c r="Q34" s="303">
        <f t="shared" si="16"/>
        <v>2</v>
      </c>
      <c r="R34" s="303">
        <f t="shared" si="17"/>
        <v>98</v>
      </c>
      <c r="S34" s="68">
        <v>1</v>
      </c>
      <c r="T34" s="68">
        <v>10</v>
      </c>
      <c r="U34" s="68">
        <v>1</v>
      </c>
      <c r="V34" s="68">
        <v>88</v>
      </c>
      <c r="W34" s="68">
        <v>80</v>
      </c>
      <c r="X34" s="68">
        <v>108</v>
      </c>
      <c r="Y34" s="68">
        <v>108</v>
      </c>
      <c r="Z34" s="68">
        <v>137</v>
      </c>
      <c r="AA34" s="68">
        <v>1</v>
      </c>
      <c r="AB34" s="300">
        <f t="shared" si="18"/>
        <v>266.32799999999997</v>
      </c>
      <c r="AC34" s="300">
        <f t="shared" si="19"/>
        <v>1.6043855421686746</v>
      </c>
      <c r="AD34" s="68" t="s">
        <v>48</v>
      </c>
      <c r="AE34" s="68" t="s">
        <v>48</v>
      </c>
      <c r="AF34" s="68" t="s">
        <v>317</v>
      </c>
      <c r="AG34" s="68" t="s">
        <v>317</v>
      </c>
      <c r="AH34" s="68" t="s">
        <v>584</v>
      </c>
      <c r="AI34" s="309"/>
      <c r="AJ34" s="309"/>
      <c r="AK34" s="68" t="s">
        <v>41</v>
      </c>
      <c r="AL34" s="68" t="s">
        <v>58</v>
      </c>
      <c r="AM34" s="299">
        <f t="shared" ca="1" si="15"/>
        <v>4.0347222222262644</v>
      </c>
      <c r="AN34" s="41"/>
      <c r="AO34" s="61" t="s">
        <v>347</v>
      </c>
      <c r="AP34" s="62" t="s">
        <v>578</v>
      </c>
      <c r="AQ34" s="61" t="s">
        <v>837</v>
      </c>
      <c r="AR34" s="64">
        <v>44867.725694444445</v>
      </c>
      <c r="AS34" s="61" t="s">
        <v>95</v>
      </c>
      <c r="AT34" s="61" t="s">
        <v>225</v>
      </c>
      <c r="AU34" s="59">
        <v>0.72569444444444453</v>
      </c>
      <c r="AV34" s="61">
        <v>2</v>
      </c>
      <c r="AW34" s="58" t="s">
        <v>66</v>
      </c>
      <c r="AX34" s="52"/>
      <c r="AY34" s="52"/>
      <c r="AZ34" s="52"/>
      <c r="BA34" s="52"/>
    </row>
    <row r="35" spans="1:53" ht="15.75" thickBot="1" x14ac:dyDescent="0.3">
      <c r="A35" s="73">
        <v>512</v>
      </c>
      <c r="B35" s="72">
        <v>44863.690972222219</v>
      </c>
      <c r="C35" s="67">
        <v>0.69444444444444453</v>
      </c>
      <c r="D35" s="67">
        <v>0.70833333333333337</v>
      </c>
      <c r="E35" s="67">
        <v>0.73263888888888884</v>
      </c>
      <c r="F35" s="68" t="s">
        <v>169</v>
      </c>
      <c r="G35" s="68" t="s">
        <v>577</v>
      </c>
      <c r="H35" s="68" t="s">
        <v>197</v>
      </c>
      <c r="I35" s="68" t="s">
        <v>197</v>
      </c>
      <c r="J35" s="68" t="s">
        <v>37</v>
      </c>
      <c r="K35" s="68" t="s">
        <v>233</v>
      </c>
      <c r="L35" s="68" t="s">
        <v>343</v>
      </c>
      <c r="M35" s="68" t="s">
        <v>578</v>
      </c>
      <c r="N35" s="68" t="s">
        <v>264</v>
      </c>
      <c r="O35" s="68" t="s">
        <v>582</v>
      </c>
      <c r="P35" s="68" t="s">
        <v>583</v>
      </c>
      <c r="Q35" s="303">
        <f t="shared" si="16"/>
        <v>0</v>
      </c>
      <c r="R35" s="303">
        <f t="shared" si="17"/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74</v>
      </c>
      <c r="Y35" s="68">
        <v>62</v>
      </c>
      <c r="Z35" s="68">
        <v>62</v>
      </c>
      <c r="AA35" s="68">
        <v>1</v>
      </c>
      <c r="AB35" s="300">
        <f t="shared" si="18"/>
        <v>47.409333333333336</v>
      </c>
      <c r="AC35" s="300">
        <f t="shared" si="19"/>
        <v>0.28559839357429723</v>
      </c>
      <c r="AD35" s="68">
        <v>0</v>
      </c>
      <c r="AE35" s="68">
        <v>0</v>
      </c>
      <c r="AF35" s="68" t="s">
        <v>317</v>
      </c>
      <c r="AG35" s="68" t="s">
        <v>317</v>
      </c>
      <c r="AH35" s="68" t="s">
        <v>584</v>
      </c>
      <c r="AI35" s="309"/>
      <c r="AJ35" s="309"/>
      <c r="AK35" s="68" t="s">
        <v>48</v>
      </c>
      <c r="AL35" s="68" t="s">
        <v>58</v>
      </c>
      <c r="AM35" s="299">
        <f t="shared" ca="1" si="15"/>
        <v>4.0347222222262644</v>
      </c>
      <c r="AN35" s="41"/>
      <c r="AO35" s="61" t="s">
        <v>347</v>
      </c>
      <c r="AP35" s="62" t="s">
        <v>578</v>
      </c>
      <c r="AQ35" s="61" t="s">
        <v>837</v>
      </c>
      <c r="AR35" s="64">
        <v>44867.725694444445</v>
      </c>
      <c r="AS35" s="61" t="s">
        <v>95</v>
      </c>
      <c r="AT35" s="61" t="s">
        <v>225</v>
      </c>
      <c r="AU35" s="59">
        <v>0.72569444444444453</v>
      </c>
      <c r="AV35" s="61">
        <v>2</v>
      </c>
      <c r="AW35" s="58" t="s">
        <v>66</v>
      </c>
      <c r="AX35" s="52"/>
      <c r="AY35" s="52"/>
      <c r="AZ35" s="52"/>
      <c r="BA35" s="52"/>
    </row>
    <row r="36" spans="1:53" ht="15.75" thickBot="1" x14ac:dyDescent="0.3">
      <c r="A36" s="48">
        <v>513</v>
      </c>
      <c r="B36" s="72">
        <v>44863.690972222219</v>
      </c>
      <c r="C36" s="67">
        <v>0.69444444444444453</v>
      </c>
      <c r="D36" s="67">
        <v>0.70833333333333337</v>
      </c>
      <c r="E36" s="67">
        <v>0.73263888888888884</v>
      </c>
      <c r="F36" s="68" t="s">
        <v>169</v>
      </c>
      <c r="G36" s="68" t="s">
        <v>577</v>
      </c>
      <c r="H36" s="68" t="s">
        <v>197</v>
      </c>
      <c r="I36" s="68" t="s">
        <v>197</v>
      </c>
      <c r="J36" s="68" t="s">
        <v>37</v>
      </c>
      <c r="K36" s="68" t="s">
        <v>233</v>
      </c>
      <c r="L36" s="68" t="s">
        <v>343</v>
      </c>
      <c r="M36" s="68" t="s">
        <v>578</v>
      </c>
      <c r="N36" s="68" t="s">
        <v>264</v>
      </c>
      <c r="O36" s="68" t="s">
        <v>585</v>
      </c>
      <c r="P36" s="68" t="s">
        <v>586</v>
      </c>
      <c r="Q36" s="303">
        <f t="shared" si="16"/>
        <v>6</v>
      </c>
      <c r="R36" s="303">
        <f t="shared" si="17"/>
        <v>344</v>
      </c>
      <c r="S36" s="68">
        <v>3</v>
      </c>
      <c r="T36" s="68">
        <v>66</v>
      </c>
      <c r="U36" s="68">
        <v>3</v>
      </c>
      <c r="V36" s="68">
        <v>278</v>
      </c>
      <c r="W36" s="68">
        <v>346</v>
      </c>
      <c r="X36" s="68">
        <v>72</v>
      </c>
      <c r="Y36" s="68">
        <v>72</v>
      </c>
      <c r="Z36" s="68">
        <v>39</v>
      </c>
      <c r="AA36" s="68">
        <v>2</v>
      </c>
      <c r="AB36" s="300">
        <f t="shared" si="18"/>
        <v>67.391999999999996</v>
      </c>
      <c r="AC36" s="300">
        <f t="shared" si="19"/>
        <v>0.40597590361445779</v>
      </c>
      <c r="AD36" s="68" t="s">
        <v>48</v>
      </c>
      <c r="AE36" s="68" t="s">
        <v>48</v>
      </c>
      <c r="AF36" s="68" t="s">
        <v>317</v>
      </c>
      <c r="AG36" s="68" t="s">
        <v>317</v>
      </c>
      <c r="AH36" s="68" t="s">
        <v>587</v>
      </c>
      <c r="AI36" s="309"/>
      <c r="AJ36" s="309"/>
      <c r="AK36" s="68" t="s">
        <v>48</v>
      </c>
      <c r="AL36" s="68" t="s">
        <v>58</v>
      </c>
      <c r="AM36" s="299">
        <f t="shared" ca="1" si="15"/>
        <v>4.0347222222262644</v>
      </c>
      <c r="AN36" s="41"/>
      <c r="AO36" s="61" t="s">
        <v>347</v>
      </c>
      <c r="AP36" s="62" t="s">
        <v>578</v>
      </c>
      <c r="AQ36" s="61" t="s">
        <v>837</v>
      </c>
      <c r="AR36" s="64">
        <v>44867.725694444445</v>
      </c>
      <c r="AS36" s="61" t="s">
        <v>95</v>
      </c>
      <c r="AT36" s="61" t="s">
        <v>225</v>
      </c>
      <c r="AU36" s="59">
        <v>0.72569444444444453</v>
      </c>
      <c r="AV36" s="61">
        <v>2</v>
      </c>
      <c r="AW36" s="58" t="s">
        <v>66</v>
      </c>
      <c r="AX36" s="52"/>
      <c r="AY36" s="52"/>
      <c r="AZ36" s="52"/>
      <c r="BA36" s="52"/>
    </row>
    <row r="37" spans="1:53" ht="15.75" thickBot="1" x14ac:dyDescent="0.3">
      <c r="A37" s="73">
        <v>513</v>
      </c>
      <c r="B37" s="72">
        <v>44863.690972222219</v>
      </c>
      <c r="C37" s="67">
        <v>0.69444444444444453</v>
      </c>
      <c r="D37" s="67">
        <v>0.70833333333333337</v>
      </c>
      <c r="E37" s="67">
        <v>0.73263888888888884</v>
      </c>
      <c r="F37" s="68" t="s">
        <v>169</v>
      </c>
      <c r="G37" s="68" t="s">
        <v>577</v>
      </c>
      <c r="H37" s="68" t="s">
        <v>197</v>
      </c>
      <c r="I37" s="68" t="s">
        <v>197</v>
      </c>
      <c r="J37" s="68" t="s">
        <v>37</v>
      </c>
      <c r="K37" s="68" t="s">
        <v>233</v>
      </c>
      <c r="L37" s="68" t="s">
        <v>343</v>
      </c>
      <c r="M37" s="68" t="s">
        <v>578</v>
      </c>
      <c r="N37" s="68" t="s">
        <v>264</v>
      </c>
      <c r="O37" s="68" t="s">
        <v>585</v>
      </c>
      <c r="P37" s="68" t="s">
        <v>586</v>
      </c>
      <c r="Q37" s="303">
        <f t="shared" si="16"/>
        <v>0</v>
      </c>
      <c r="R37" s="303">
        <f t="shared" si="17"/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76</v>
      </c>
      <c r="Y37" s="68">
        <v>62</v>
      </c>
      <c r="Z37" s="68">
        <v>62</v>
      </c>
      <c r="AA37" s="68">
        <v>1</v>
      </c>
      <c r="AB37" s="300">
        <f t="shared" si="18"/>
        <v>48.690666666666665</v>
      </c>
      <c r="AC37" s="300">
        <f t="shared" si="19"/>
        <v>0.29331726907630523</v>
      </c>
      <c r="AD37" s="68">
        <v>0</v>
      </c>
      <c r="AE37" s="68">
        <v>0</v>
      </c>
      <c r="AF37" s="68" t="s">
        <v>317</v>
      </c>
      <c r="AG37" s="68" t="s">
        <v>317</v>
      </c>
      <c r="AH37" s="68" t="s">
        <v>587</v>
      </c>
      <c r="AI37" s="309"/>
      <c r="AJ37" s="309"/>
      <c r="AK37" s="68" t="s">
        <v>48</v>
      </c>
      <c r="AL37" s="68" t="s">
        <v>58</v>
      </c>
      <c r="AM37" s="299">
        <f t="shared" ca="1" si="15"/>
        <v>4.0347222222262644</v>
      </c>
      <c r="AN37" s="41"/>
      <c r="AO37" s="61" t="s">
        <v>347</v>
      </c>
      <c r="AP37" s="62" t="s">
        <v>578</v>
      </c>
      <c r="AQ37" s="61" t="s">
        <v>837</v>
      </c>
      <c r="AR37" s="64">
        <v>44867.725694444445</v>
      </c>
      <c r="AS37" s="61" t="s">
        <v>95</v>
      </c>
      <c r="AT37" s="61" t="s">
        <v>225</v>
      </c>
      <c r="AU37" s="59">
        <v>0.72569444444444453</v>
      </c>
      <c r="AV37" s="61">
        <v>2</v>
      </c>
      <c r="AW37" s="58" t="s">
        <v>66</v>
      </c>
      <c r="AX37" s="52"/>
      <c r="AY37" s="52"/>
      <c r="AZ37" s="52"/>
      <c r="BA37" s="52"/>
    </row>
    <row r="38" spans="1:53" ht="15.75" thickBot="1" x14ac:dyDescent="0.3">
      <c r="A38" s="73">
        <v>513</v>
      </c>
      <c r="B38" s="72">
        <v>44863.690972222219</v>
      </c>
      <c r="C38" s="67">
        <v>0.69444444444444453</v>
      </c>
      <c r="D38" s="67">
        <v>0.70833333333333337</v>
      </c>
      <c r="E38" s="67">
        <v>0.73263888888888884</v>
      </c>
      <c r="F38" s="68" t="s">
        <v>169</v>
      </c>
      <c r="G38" s="68" t="s">
        <v>577</v>
      </c>
      <c r="H38" s="68" t="s">
        <v>197</v>
      </c>
      <c r="I38" s="68" t="s">
        <v>197</v>
      </c>
      <c r="J38" s="68" t="s">
        <v>37</v>
      </c>
      <c r="K38" s="68" t="s">
        <v>233</v>
      </c>
      <c r="L38" s="68" t="s">
        <v>343</v>
      </c>
      <c r="M38" s="68" t="s">
        <v>578</v>
      </c>
      <c r="N38" s="68" t="s">
        <v>264</v>
      </c>
      <c r="O38" s="68" t="s">
        <v>585</v>
      </c>
      <c r="P38" s="68" t="s">
        <v>586</v>
      </c>
      <c r="Q38" s="303">
        <f t="shared" si="16"/>
        <v>0</v>
      </c>
      <c r="R38" s="303">
        <f t="shared" si="17"/>
        <v>0</v>
      </c>
      <c r="S38" s="6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80</v>
      </c>
      <c r="Y38" s="68">
        <v>60</v>
      </c>
      <c r="Z38" s="68">
        <v>72</v>
      </c>
      <c r="AA38" s="68">
        <v>1</v>
      </c>
      <c r="AB38" s="300">
        <f t="shared" si="18"/>
        <v>57.6</v>
      </c>
      <c r="AC38" s="300">
        <f t="shared" si="19"/>
        <v>0.34698795180722891</v>
      </c>
      <c r="AD38" s="68">
        <v>0</v>
      </c>
      <c r="AE38" s="68">
        <v>0</v>
      </c>
      <c r="AF38" s="68" t="s">
        <v>317</v>
      </c>
      <c r="AG38" s="68" t="s">
        <v>317</v>
      </c>
      <c r="AH38" s="68" t="s">
        <v>587</v>
      </c>
      <c r="AI38" s="309"/>
      <c r="AJ38" s="309"/>
      <c r="AK38" s="68" t="s">
        <v>37</v>
      </c>
      <c r="AL38" s="68" t="s">
        <v>58</v>
      </c>
      <c r="AM38" s="299">
        <f t="shared" ca="1" si="15"/>
        <v>4.0347222222262644</v>
      </c>
      <c r="AN38" s="41"/>
      <c r="AO38" s="61" t="s">
        <v>347</v>
      </c>
      <c r="AP38" s="62" t="s">
        <v>578</v>
      </c>
      <c r="AQ38" s="61" t="s">
        <v>837</v>
      </c>
      <c r="AR38" s="64">
        <v>44867.725694444445</v>
      </c>
      <c r="AS38" s="61" t="s">
        <v>95</v>
      </c>
      <c r="AT38" s="61" t="s">
        <v>225</v>
      </c>
      <c r="AU38" s="59">
        <v>0.72569444444444453</v>
      </c>
      <c r="AV38" s="61">
        <v>2</v>
      </c>
      <c r="AW38" s="58" t="s">
        <v>66</v>
      </c>
      <c r="AX38" s="52"/>
      <c r="AY38" s="52"/>
      <c r="AZ38" s="52"/>
      <c r="BA38" s="52"/>
    </row>
    <row r="39" spans="1:53" ht="15.75" thickBot="1" x14ac:dyDescent="0.3">
      <c r="A39" s="73">
        <v>513</v>
      </c>
      <c r="B39" s="72">
        <v>44863.690972222219</v>
      </c>
      <c r="C39" s="67">
        <v>0.69444444444444453</v>
      </c>
      <c r="D39" s="67">
        <v>0.70833333333333337</v>
      </c>
      <c r="E39" s="67">
        <v>0.73263888888888884</v>
      </c>
      <c r="F39" s="68" t="s">
        <v>169</v>
      </c>
      <c r="G39" s="68" t="s">
        <v>577</v>
      </c>
      <c r="H39" s="68" t="s">
        <v>197</v>
      </c>
      <c r="I39" s="68" t="s">
        <v>197</v>
      </c>
      <c r="J39" s="68" t="s">
        <v>37</v>
      </c>
      <c r="K39" s="68" t="s">
        <v>233</v>
      </c>
      <c r="L39" s="68" t="s">
        <v>343</v>
      </c>
      <c r="M39" s="68" t="s">
        <v>578</v>
      </c>
      <c r="N39" s="68" t="s">
        <v>264</v>
      </c>
      <c r="O39" s="68" t="s">
        <v>585</v>
      </c>
      <c r="P39" s="68" t="s">
        <v>586</v>
      </c>
      <c r="Q39" s="303">
        <f t="shared" si="16"/>
        <v>0</v>
      </c>
      <c r="R39" s="303">
        <f t="shared" si="17"/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89</v>
      </c>
      <c r="Y39" s="68">
        <v>60</v>
      </c>
      <c r="Z39" s="68">
        <v>93</v>
      </c>
      <c r="AA39" s="68">
        <v>2</v>
      </c>
      <c r="AB39" s="300">
        <f t="shared" si="18"/>
        <v>165.54</v>
      </c>
      <c r="AC39" s="300">
        <f t="shared" si="19"/>
        <v>0.99722891566265059</v>
      </c>
      <c r="AD39" s="68">
        <v>0</v>
      </c>
      <c r="AE39" s="68">
        <v>0</v>
      </c>
      <c r="AF39" s="68" t="s">
        <v>317</v>
      </c>
      <c r="AG39" s="68" t="s">
        <v>317</v>
      </c>
      <c r="AH39" s="68" t="s">
        <v>587</v>
      </c>
      <c r="AI39" s="309"/>
      <c r="AJ39" s="309"/>
      <c r="AK39" s="68" t="s">
        <v>37</v>
      </c>
      <c r="AL39" s="68" t="s">
        <v>58</v>
      </c>
      <c r="AM39" s="299">
        <f t="shared" ca="1" si="15"/>
        <v>4.0347222222262644</v>
      </c>
      <c r="AN39" s="41"/>
      <c r="AO39" s="61" t="s">
        <v>347</v>
      </c>
      <c r="AP39" s="62" t="s">
        <v>578</v>
      </c>
      <c r="AQ39" s="61" t="s">
        <v>837</v>
      </c>
      <c r="AR39" s="64">
        <v>44867.725694444445</v>
      </c>
      <c r="AS39" s="61" t="s">
        <v>95</v>
      </c>
      <c r="AT39" s="61" t="s">
        <v>225</v>
      </c>
      <c r="AU39" s="59">
        <v>0.72569444444444453</v>
      </c>
      <c r="AV39" s="61">
        <v>2</v>
      </c>
      <c r="AW39" s="58" t="s">
        <v>66</v>
      </c>
      <c r="AX39" s="52"/>
      <c r="AY39" s="52"/>
      <c r="AZ39" s="52"/>
      <c r="BA39" s="52"/>
    </row>
    <row r="40" spans="1:53" ht="15.75" thickBot="1" x14ac:dyDescent="0.3">
      <c r="A40" s="48">
        <v>514</v>
      </c>
      <c r="B40" s="72">
        <v>44863.690972222219</v>
      </c>
      <c r="C40" s="67">
        <v>0.69444444444444453</v>
      </c>
      <c r="D40" s="67">
        <v>0.70833333333333337</v>
      </c>
      <c r="E40" s="67">
        <v>0.73263888888888884</v>
      </c>
      <c r="F40" s="68" t="s">
        <v>169</v>
      </c>
      <c r="G40" s="68" t="s">
        <v>577</v>
      </c>
      <c r="H40" s="68" t="s">
        <v>197</v>
      </c>
      <c r="I40" s="68" t="s">
        <v>197</v>
      </c>
      <c r="J40" s="68" t="s">
        <v>37</v>
      </c>
      <c r="K40" s="68" t="s">
        <v>233</v>
      </c>
      <c r="L40" s="68" t="s">
        <v>343</v>
      </c>
      <c r="M40" s="68" t="s">
        <v>578</v>
      </c>
      <c r="N40" s="68" t="s">
        <v>264</v>
      </c>
      <c r="O40" s="68" t="s">
        <v>588</v>
      </c>
      <c r="P40" s="68" t="s">
        <v>589</v>
      </c>
      <c r="Q40" s="303">
        <f t="shared" si="16"/>
        <v>5</v>
      </c>
      <c r="R40" s="303">
        <f t="shared" si="17"/>
        <v>249</v>
      </c>
      <c r="S40" s="68">
        <v>4</v>
      </c>
      <c r="T40" s="68">
        <v>60</v>
      </c>
      <c r="U40" s="68">
        <v>1</v>
      </c>
      <c r="V40" s="68">
        <v>189</v>
      </c>
      <c r="W40" s="68">
        <v>188</v>
      </c>
      <c r="X40" s="68">
        <v>156</v>
      </c>
      <c r="Y40" s="68">
        <v>82</v>
      </c>
      <c r="Z40" s="68">
        <v>106</v>
      </c>
      <c r="AA40" s="68">
        <v>1</v>
      </c>
      <c r="AB40" s="300">
        <f t="shared" si="18"/>
        <v>225.99199999999999</v>
      </c>
      <c r="AC40" s="300">
        <f t="shared" si="19"/>
        <v>1.3613975903614457</v>
      </c>
      <c r="AD40" s="68" t="s">
        <v>48</v>
      </c>
      <c r="AE40" s="68" t="s">
        <v>48</v>
      </c>
      <c r="AF40" s="68" t="s">
        <v>317</v>
      </c>
      <c r="AG40" s="68" t="s">
        <v>317</v>
      </c>
      <c r="AH40" s="68" t="s">
        <v>590</v>
      </c>
      <c r="AI40" s="309"/>
      <c r="AJ40" s="309"/>
      <c r="AK40" s="68" t="s">
        <v>37</v>
      </c>
      <c r="AL40" s="68" t="s">
        <v>58</v>
      </c>
      <c r="AM40" s="299">
        <f t="shared" ca="1" si="15"/>
        <v>4.0347222222262644</v>
      </c>
      <c r="AN40" s="41"/>
      <c r="AO40" s="61" t="s">
        <v>347</v>
      </c>
      <c r="AP40" s="62" t="s">
        <v>578</v>
      </c>
      <c r="AQ40" s="61" t="s">
        <v>837</v>
      </c>
      <c r="AR40" s="64">
        <v>44867.725694444445</v>
      </c>
      <c r="AS40" s="61" t="s">
        <v>95</v>
      </c>
      <c r="AT40" s="61" t="s">
        <v>225</v>
      </c>
      <c r="AU40" s="59">
        <v>0.72569444444444453</v>
      </c>
      <c r="AV40" s="61">
        <v>2</v>
      </c>
      <c r="AW40" s="58" t="s">
        <v>66</v>
      </c>
      <c r="AX40" s="52"/>
      <c r="AY40" s="52"/>
      <c r="AZ40" s="52"/>
      <c r="BA40" s="52"/>
    </row>
    <row r="41" spans="1:53" ht="15.75" thickBot="1" x14ac:dyDescent="0.3">
      <c r="A41" s="73">
        <v>514</v>
      </c>
      <c r="B41" s="72">
        <v>44863.690972222219</v>
      </c>
      <c r="C41" s="67">
        <v>0.69444444444444453</v>
      </c>
      <c r="D41" s="67">
        <v>0.70833333333333337</v>
      </c>
      <c r="E41" s="67">
        <v>0.73263888888888884</v>
      </c>
      <c r="F41" s="68" t="s">
        <v>169</v>
      </c>
      <c r="G41" s="68" t="s">
        <v>577</v>
      </c>
      <c r="H41" s="68" t="s">
        <v>197</v>
      </c>
      <c r="I41" s="68" t="s">
        <v>197</v>
      </c>
      <c r="J41" s="68" t="s">
        <v>37</v>
      </c>
      <c r="K41" s="68" t="s">
        <v>233</v>
      </c>
      <c r="L41" s="68" t="s">
        <v>343</v>
      </c>
      <c r="M41" s="68" t="s">
        <v>578</v>
      </c>
      <c r="N41" s="68" t="s">
        <v>264</v>
      </c>
      <c r="O41" s="68" t="s">
        <v>588</v>
      </c>
      <c r="P41" s="68" t="s">
        <v>589</v>
      </c>
      <c r="Q41" s="303">
        <f t="shared" si="16"/>
        <v>0</v>
      </c>
      <c r="R41" s="303">
        <f t="shared" si="17"/>
        <v>0</v>
      </c>
      <c r="S41" s="6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144</v>
      </c>
      <c r="Y41" s="68">
        <v>64</v>
      </c>
      <c r="Z41" s="68">
        <v>21</v>
      </c>
      <c r="AA41" s="68">
        <v>1</v>
      </c>
      <c r="AB41" s="300">
        <f t="shared" si="18"/>
        <v>32.256</v>
      </c>
      <c r="AC41" s="300">
        <f t="shared" si="19"/>
        <v>0.19431325301204819</v>
      </c>
      <c r="AD41" s="68">
        <v>0</v>
      </c>
      <c r="AE41" s="68">
        <v>0</v>
      </c>
      <c r="AF41" s="68" t="s">
        <v>317</v>
      </c>
      <c r="AG41" s="68" t="s">
        <v>317</v>
      </c>
      <c r="AH41" s="68" t="s">
        <v>590</v>
      </c>
      <c r="AI41" s="309"/>
      <c r="AJ41" s="309"/>
      <c r="AK41" s="68" t="s">
        <v>48</v>
      </c>
      <c r="AL41" s="68" t="s">
        <v>58</v>
      </c>
      <c r="AM41" s="299">
        <f t="shared" ref="AM41:AM103" ca="1" si="20">IF(AP41="",NOW()-B41,AR41-B41)</f>
        <v>4.0347222222262644</v>
      </c>
      <c r="AN41" s="41"/>
      <c r="AO41" s="61" t="s">
        <v>347</v>
      </c>
      <c r="AP41" s="62" t="s">
        <v>578</v>
      </c>
      <c r="AQ41" s="61" t="s">
        <v>837</v>
      </c>
      <c r="AR41" s="64">
        <v>44867.725694444445</v>
      </c>
      <c r="AS41" s="61" t="s">
        <v>95</v>
      </c>
      <c r="AT41" s="61" t="s">
        <v>225</v>
      </c>
      <c r="AU41" s="59">
        <v>0.72569444444444453</v>
      </c>
      <c r="AV41" s="61">
        <v>2</v>
      </c>
      <c r="AW41" s="58" t="s">
        <v>66</v>
      </c>
      <c r="AX41" s="52"/>
      <c r="AY41" s="52"/>
      <c r="AZ41" s="52"/>
      <c r="BA41" s="52"/>
    </row>
    <row r="42" spans="1:53" ht="15.75" thickBot="1" x14ac:dyDescent="0.3">
      <c r="A42" s="73">
        <v>514</v>
      </c>
      <c r="B42" s="72">
        <v>44863.690972222219</v>
      </c>
      <c r="C42" s="67">
        <v>0.69444444444444453</v>
      </c>
      <c r="D42" s="67">
        <v>0.70833333333333337</v>
      </c>
      <c r="E42" s="67">
        <v>0.73263888888888884</v>
      </c>
      <c r="F42" s="68" t="s">
        <v>169</v>
      </c>
      <c r="G42" s="68" t="s">
        <v>577</v>
      </c>
      <c r="H42" s="68" t="s">
        <v>197</v>
      </c>
      <c r="I42" s="68" t="s">
        <v>197</v>
      </c>
      <c r="J42" s="68" t="s">
        <v>37</v>
      </c>
      <c r="K42" s="68" t="s">
        <v>233</v>
      </c>
      <c r="L42" s="68" t="s">
        <v>343</v>
      </c>
      <c r="M42" s="68" t="s">
        <v>578</v>
      </c>
      <c r="N42" s="68" t="s">
        <v>264</v>
      </c>
      <c r="O42" s="68" t="s">
        <v>588</v>
      </c>
      <c r="P42" s="68" t="s">
        <v>589</v>
      </c>
      <c r="Q42" s="303">
        <f t="shared" ref="Q42:Q104" si="21">S42+U42</f>
        <v>0</v>
      </c>
      <c r="R42" s="303">
        <f t="shared" ref="R42:R104" si="22">T42+V42</f>
        <v>0</v>
      </c>
      <c r="S42" s="68">
        <v>0</v>
      </c>
      <c r="T42" s="68">
        <v>0</v>
      </c>
      <c r="U42" s="68">
        <v>0</v>
      </c>
      <c r="V42" s="68">
        <v>0</v>
      </c>
      <c r="W42" s="68">
        <v>0</v>
      </c>
      <c r="X42" s="68">
        <v>60</v>
      </c>
      <c r="Y42" s="68">
        <v>59</v>
      </c>
      <c r="Z42" s="68">
        <v>55</v>
      </c>
      <c r="AA42" s="68">
        <v>1</v>
      </c>
      <c r="AB42" s="300">
        <f t="shared" ref="AB42:AB104" si="23">X42*Y42*Z42*AA42/6000</f>
        <v>32.450000000000003</v>
      </c>
      <c r="AC42" s="300">
        <f t="shared" ref="AC42:AC104" si="24">AB42/166</f>
        <v>0.19548192771084338</v>
      </c>
      <c r="AD42" s="68">
        <v>0</v>
      </c>
      <c r="AE42" s="68">
        <v>0</v>
      </c>
      <c r="AF42" s="68" t="s">
        <v>317</v>
      </c>
      <c r="AG42" s="68" t="s">
        <v>317</v>
      </c>
      <c r="AH42" s="68" t="s">
        <v>590</v>
      </c>
      <c r="AI42" s="309"/>
      <c r="AJ42" s="309"/>
      <c r="AK42" s="68" t="s">
        <v>48</v>
      </c>
      <c r="AL42" s="68" t="s">
        <v>58</v>
      </c>
      <c r="AM42" s="299">
        <f t="shared" ca="1" si="20"/>
        <v>4.0347222222262644</v>
      </c>
      <c r="AN42" s="41"/>
      <c r="AO42" s="61" t="s">
        <v>347</v>
      </c>
      <c r="AP42" s="62" t="s">
        <v>578</v>
      </c>
      <c r="AQ42" s="61" t="s">
        <v>837</v>
      </c>
      <c r="AR42" s="64">
        <v>44867.725694444445</v>
      </c>
      <c r="AS42" s="61" t="s">
        <v>95</v>
      </c>
      <c r="AT42" s="61" t="s">
        <v>225</v>
      </c>
      <c r="AU42" s="59">
        <v>0.72569444444444453</v>
      </c>
      <c r="AV42" s="61">
        <v>2</v>
      </c>
      <c r="AW42" s="58" t="s">
        <v>66</v>
      </c>
      <c r="AX42" s="52"/>
      <c r="AY42" s="52"/>
      <c r="AZ42" s="52"/>
      <c r="BA42" s="52"/>
    </row>
    <row r="43" spans="1:53" ht="15.75" thickBot="1" x14ac:dyDescent="0.3">
      <c r="A43" s="73">
        <v>514</v>
      </c>
      <c r="B43" s="72">
        <v>44863.690972222219</v>
      </c>
      <c r="C43" s="67">
        <v>0.69444444444444453</v>
      </c>
      <c r="D43" s="67">
        <v>0.70833333333333337</v>
      </c>
      <c r="E43" s="67">
        <v>0.73263888888888884</v>
      </c>
      <c r="F43" s="68" t="s">
        <v>169</v>
      </c>
      <c r="G43" s="68" t="s">
        <v>577</v>
      </c>
      <c r="H43" s="68" t="s">
        <v>197</v>
      </c>
      <c r="I43" s="68" t="s">
        <v>197</v>
      </c>
      <c r="J43" s="68" t="s">
        <v>37</v>
      </c>
      <c r="K43" s="68" t="s">
        <v>233</v>
      </c>
      <c r="L43" s="68" t="s">
        <v>343</v>
      </c>
      <c r="M43" s="68" t="s">
        <v>578</v>
      </c>
      <c r="N43" s="68" t="s">
        <v>264</v>
      </c>
      <c r="O43" s="68" t="s">
        <v>588</v>
      </c>
      <c r="P43" s="68" t="s">
        <v>589</v>
      </c>
      <c r="Q43" s="303">
        <f t="shared" si="21"/>
        <v>0</v>
      </c>
      <c r="R43" s="303">
        <f t="shared" si="22"/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95</v>
      </c>
      <c r="Y43" s="68">
        <v>30</v>
      </c>
      <c r="Z43" s="68">
        <v>18</v>
      </c>
      <c r="AA43" s="68">
        <v>1</v>
      </c>
      <c r="AB43" s="300">
        <f t="shared" si="23"/>
        <v>8.5500000000000007</v>
      </c>
      <c r="AC43" s="300">
        <f t="shared" si="24"/>
        <v>5.150602409638555E-2</v>
      </c>
      <c r="AD43" s="68">
        <v>0</v>
      </c>
      <c r="AE43" s="68">
        <v>0</v>
      </c>
      <c r="AF43" s="68" t="s">
        <v>317</v>
      </c>
      <c r="AG43" s="68" t="s">
        <v>317</v>
      </c>
      <c r="AH43" s="68" t="s">
        <v>590</v>
      </c>
      <c r="AI43" s="309"/>
      <c r="AJ43" s="309"/>
      <c r="AK43" s="68" t="s">
        <v>48</v>
      </c>
      <c r="AL43" s="68" t="s">
        <v>58</v>
      </c>
      <c r="AM43" s="299">
        <f t="shared" ca="1" si="20"/>
        <v>4.0347222222262644</v>
      </c>
      <c r="AN43" s="41"/>
      <c r="AO43" s="61" t="s">
        <v>347</v>
      </c>
      <c r="AP43" s="62" t="s">
        <v>578</v>
      </c>
      <c r="AQ43" s="61" t="s">
        <v>837</v>
      </c>
      <c r="AR43" s="64">
        <v>44867.725694444445</v>
      </c>
      <c r="AS43" s="61" t="s">
        <v>95</v>
      </c>
      <c r="AT43" s="61" t="s">
        <v>225</v>
      </c>
      <c r="AU43" s="59">
        <v>0.72569444444444453</v>
      </c>
      <c r="AV43" s="61">
        <v>2</v>
      </c>
      <c r="AW43" s="58" t="s">
        <v>66</v>
      </c>
      <c r="AX43" s="52"/>
      <c r="AY43" s="52"/>
      <c r="AZ43" s="52"/>
      <c r="BA43" s="52"/>
    </row>
    <row r="44" spans="1:53" ht="15.75" thickBot="1" x14ac:dyDescent="0.3">
      <c r="A44" s="73">
        <v>514</v>
      </c>
      <c r="B44" s="72">
        <v>44863.690972222219</v>
      </c>
      <c r="C44" s="67">
        <v>0.69444444444444453</v>
      </c>
      <c r="D44" s="67">
        <v>0.70833333333333337</v>
      </c>
      <c r="E44" s="67">
        <v>0.73263888888888884</v>
      </c>
      <c r="F44" s="68" t="s">
        <v>169</v>
      </c>
      <c r="G44" s="68" t="s">
        <v>577</v>
      </c>
      <c r="H44" s="68" t="s">
        <v>197</v>
      </c>
      <c r="I44" s="68" t="s">
        <v>197</v>
      </c>
      <c r="J44" s="68" t="s">
        <v>37</v>
      </c>
      <c r="K44" s="68" t="s">
        <v>233</v>
      </c>
      <c r="L44" s="68" t="s">
        <v>343</v>
      </c>
      <c r="M44" s="68" t="s">
        <v>578</v>
      </c>
      <c r="N44" s="68" t="s">
        <v>264</v>
      </c>
      <c r="O44" s="68" t="s">
        <v>588</v>
      </c>
      <c r="P44" s="68" t="s">
        <v>589</v>
      </c>
      <c r="Q44" s="303">
        <f t="shared" si="21"/>
        <v>0</v>
      </c>
      <c r="R44" s="303">
        <f t="shared" si="22"/>
        <v>0</v>
      </c>
      <c r="S44" s="68">
        <v>0</v>
      </c>
      <c r="T44" s="68">
        <v>0</v>
      </c>
      <c r="U44" s="68">
        <v>0</v>
      </c>
      <c r="V44" s="68">
        <v>0</v>
      </c>
      <c r="W44" s="68">
        <v>0</v>
      </c>
      <c r="X44" s="68">
        <v>83</v>
      </c>
      <c r="Y44" s="68">
        <v>64</v>
      </c>
      <c r="Z44" s="68">
        <v>33</v>
      </c>
      <c r="AA44" s="68">
        <v>1</v>
      </c>
      <c r="AB44" s="300">
        <f t="shared" si="23"/>
        <v>29.216000000000001</v>
      </c>
      <c r="AC44" s="300">
        <f t="shared" si="24"/>
        <v>0.17600000000000002</v>
      </c>
      <c r="AD44" s="68">
        <v>0</v>
      </c>
      <c r="AE44" s="68">
        <v>0</v>
      </c>
      <c r="AF44" s="68" t="s">
        <v>317</v>
      </c>
      <c r="AG44" s="68" t="s">
        <v>317</v>
      </c>
      <c r="AH44" s="68" t="s">
        <v>590</v>
      </c>
      <c r="AI44" s="309"/>
      <c r="AJ44" s="309"/>
      <c r="AK44" s="68" t="s">
        <v>48</v>
      </c>
      <c r="AL44" s="68" t="s">
        <v>58</v>
      </c>
      <c r="AM44" s="299">
        <f t="shared" ca="1" si="20"/>
        <v>4.0347222222262644</v>
      </c>
      <c r="AN44" s="41"/>
      <c r="AO44" s="61" t="s">
        <v>347</v>
      </c>
      <c r="AP44" s="62" t="s">
        <v>578</v>
      </c>
      <c r="AQ44" s="61" t="s">
        <v>837</v>
      </c>
      <c r="AR44" s="64">
        <v>44867.725694444445</v>
      </c>
      <c r="AS44" s="61" t="s">
        <v>95</v>
      </c>
      <c r="AT44" s="61" t="s">
        <v>225</v>
      </c>
      <c r="AU44" s="59">
        <v>0.72569444444444453</v>
      </c>
      <c r="AV44" s="61">
        <v>2</v>
      </c>
      <c r="AW44" s="58" t="s">
        <v>66</v>
      </c>
      <c r="AX44" s="52"/>
      <c r="AY44" s="52"/>
      <c r="AZ44" s="52"/>
      <c r="BA44" s="52"/>
    </row>
    <row r="45" spans="1:53" ht="15.75" thickBot="1" x14ac:dyDescent="0.3">
      <c r="A45" s="48">
        <v>515</v>
      </c>
      <c r="B45" s="72">
        <v>44863.690972222219</v>
      </c>
      <c r="C45" s="67">
        <v>0.69444444444444453</v>
      </c>
      <c r="D45" s="67">
        <v>0.70833333333333337</v>
      </c>
      <c r="E45" s="67">
        <v>0.73263888888888884</v>
      </c>
      <c r="F45" s="68" t="s">
        <v>169</v>
      </c>
      <c r="G45" s="68" t="s">
        <v>577</v>
      </c>
      <c r="H45" s="68" t="s">
        <v>197</v>
      </c>
      <c r="I45" s="68" t="s">
        <v>197</v>
      </c>
      <c r="J45" s="68" t="s">
        <v>37</v>
      </c>
      <c r="K45" s="68" t="s">
        <v>233</v>
      </c>
      <c r="L45" s="68" t="s">
        <v>343</v>
      </c>
      <c r="M45" s="68" t="s">
        <v>578</v>
      </c>
      <c r="N45" s="68" t="s">
        <v>264</v>
      </c>
      <c r="O45" s="68" t="s">
        <v>591</v>
      </c>
      <c r="P45" s="68" t="s">
        <v>592</v>
      </c>
      <c r="Q45" s="303">
        <f t="shared" si="21"/>
        <v>4</v>
      </c>
      <c r="R45" s="303">
        <f t="shared" si="22"/>
        <v>54</v>
      </c>
      <c r="S45" s="68">
        <v>4</v>
      </c>
      <c r="T45" s="68">
        <v>54</v>
      </c>
      <c r="U45" s="68">
        <v>0</v>
      </c>
      <c r="V45" s="68">
        <v>0</v>
      </c>
      <c r="W45" s="68">
        <v>55</v>
      </c>
      <c r="X45" s="68">
        <v>92</v>
      </c>
      <c r="Y45" s="68">
        <v>28</v>
      </c>
      <c r="Z45" s="68">
        <v>21</v>
      </c>
      <c r="AA45" s="68">
        <v>1</v>
      </c>
      <c r="AB45" s="300">
        <f t="shared" si="23"/>
        <v>9.016</v>
      </c>
      <c r="AC45" s="300">
        <f t="shared" si="24"/>
        <v>5.4313253012048195E-2</v>
      </c>
      <c r="AD45" s="68" t="s">
        <v>48</v>
      </c>
      <c r="AE45" s="68" t="s">
        <v>48</v>
      </c>
      <c r="AF45" s="68" t="s">
        <v>317</v>
      </c>
      <c r="AG45" s="68" t="s">
        <v>317</v>
      </c>
      <c r="AH45" s="68" t="s">
        <v>593</v>
      </c>
      <c r="AI45" s="309"/>
      <c r="AJ45" s="309"/>
      <c r="AK45" s="68" t="s">
        <v>48</v>
      </c>
      <c r="AL45" s="68" t="s">
        <v>58</v>
      </c>
      <c r="AM45" s="299">
        <f t="shared" ca="1" si="20"/>
        <v>4.0347222222262644</v>
      </c>
      <c r="AN45" s="41"/>
      <c r="AO45" s="61" t="s">
        <v>347</v>
      </c>
      <c r="AP45" s="62" t="s">
        <v>578</v>
      </c>
      <c r="AQ45" s="61" t="s">
        <v>837</v>
      </c>
      <c r="AR45" s="64">
        <v>44867.725694444445</v>
      </c>
      <c r="AS45" s="61" t="s">
        <v>95</v>
      </c>
      <c r="AT45" s="61" t="s">
        <v>225</v>
      </c>
      <c r="AU45" s="59">
        <v>0.72569444444444453</v>
      </c>
      <c r="AV45" s="61">
        <v>2</v>
      </c>
      <c r="AW45" s="58" t="s">
        <v>66</v>
      </c>
      <c r="AX45" s="52"/>
      <c r="AY45" s="52"/>
      <c r="AZ45" s="52"/>
      <c r="BA45" s="52"/>
    </row>
    <row r="46" spans="1:53" ht="15.75" thickBot="1" x14ac:dyDescent="0.3">
      <c r="A46" s="73">
        <v>515</v>
      </c>
      <c r="B46" s="72">
        <v>44863.690972222219</v>
      </c>
      <c r="C46" s="67">
        <v>0.69444444444444453</v>
      </c>
      <c r="D46" s="67">
        <v>0.70833333333333337</v>
      </c>
      <c r="E46" s="67">
        <v>0.73263888888888884</v>
      </c>
      <c r="F46" s="68" t="s">
        <v>169</v>
      </c>
      <c r="G46" s="68" t="s">
        <v>577</v>
      </c>
      <c r="H46" s="68" t="s">
        <v>197</v>
      </c>
      <c r="I46" s="68" t="s">
        <v>197</v>
      </c>
      <c r="J46" s="68" t="s">
        <v>37</v>
      </c>
      <c r="K46" s="68" t="s">
        <v>233</v>
      </c>
      <c r="L46" s="68" t="s">
        <v>343</v>
      </c>
      <c r="M46" s="68" t="s">
        <v>578</v>
      </c>
      <c r="N46" s="68" t="s">
        <v>264</v>
      </c>
      <c r="O46" s="68" t="s">
        <v>591</v>
      </c>
      <c r="P46" s="68" t="s">
        <v>592</v>
      </c>
      <c r="Q46" s="303">
        <f t="shared" si="21"/>
        <v>0</v>
      </c>
      <c r="R46" s="303">
        <f t="shared" si="22"/>
        <v>0</v>
      </c>
      <c r="S46" s="68">
        <v>0</v>
      </c>
      <c r="T46" s="68">
        <v>0</v>
      </c>
      <c r="U46" s="68">
        <v>0</v>
      </c>
      <c r="V46" s="68">
        <v>0</v>
      </c>
      <c r="W46" s="68">
        <v>0</v>
      </c>
      <c r="X46" s="68">
        <v>76</v>
      </c>
      <c r="Y46" s="68">
        <v>68</v>
      </c>
      <c r="Z46" s="68">
        <v>30</v>
      </c>
      <c r="AA46" s="68">
        <v>1</v>
      </c>
      <c r="AB46" s="300">
        <f t="shared" si="23"/>
        <v>25.84</v>
      </c>
      <c r="AC46" s="300">
        <f t="shared" si="24"/>
        <v>0.15566265060240964</v>
      </c>
      <c r="AD46" s="68">
        <v>0</v>
      </c>
      <c r="AE46" s="68">
        <v>0</v>
      </c>
      <c r="AF46" s="68" t="s">
        <v>317</v>
      </c>
      <c r="AG46" s="68" t="s">
        <v>317</v>
      </c>
      <c r="AH46" s="68" t="s">
        <v>593</v>
      </c>
      <c r="AI46" s="309"/>
      <c r="AJ46" s="309"/>
      <c r="AK46" s="68" t="s">
        <v>48</v>
      </c>
      <c r="AL46" s="68" t="s">
        <v>58</v>
      </c>
      <c r="AM46" s="299">
        <f t="shared" ca="1" si="20"/>
        <v>4.0347222222262644</v>
      </c>
      <c r="AN46" s="41"/>
      <c r="AO46" s="61" t="s">
        <v>347</v>
      </c>
      <c r="AP46" s="62" t="s">
        <v>578</v>
      </c>
      <c r="AQ46" s="61" t="s">
        <v>837</v>
      </c>
      <c r="AR46" s="64">
        <v>44867.725694444445</v>
      </c>
      <c r="AS46" s="61" t="s">
        <v>95</v>
      </c>
      <c r="AT46" s="61" t="s">
        <v>225</v>
      </c>
      <c r="AU46" s="59">
        <v>0.72569444444444453</v>
      </c>
      <c r="AV46" s="61">
        <v>2</v>
      </c>
      <c r="AW46" s="58" t="s">
        <v>66</v>
      </c>
      <c r="AX46" s="52"/>
      <c r="AY46" s="52"/>
      <c r="AZ46" s="52"/>
      <c r="BA46" s="52"/>
    </row>
    <row r="47" spans="1:53" ht="15.75" thickBot="1" x14ac:dyDescent="0.3">
      <c r="A47" s="73">
        <v>515</v>
      </c>
      <c r="B47" s="72">
        <v>44863.690972222219</v>
      </c>
      <c r="C47" s="67">
        <v>0.69444444444444453</v>
      </c>
      <c r="D47" s="67">
        <v>0.70833333333333337</v>
      </c>
      <c r="E47" s="67">
        <v>0.73263888888888884</v>
      </c>
      <c r="F47" s="68" t="s">
        <v>169</v>
      </c>
      <c r="G47" s="68" t="s">
        <v>577</v>
      </c>
      <c r="H47" s="68" t="s">
        <v>197</v>
      </c>
      <c r="I47" s="68" t="s">
        <v>197</v>
      </c>
      <c r="J47" s="68" t="s">
        <v>37</v>
      </c>
      <c r="K47" s="68" t="s">
        <v>233</v>
      </c>
      <c r="L47" s="68" t="s">
        <v>343</v>
      </c>
      <c r="M47" s="68" t="s">
        <v>578</v>
      </c>
      <c r="N47" s="68" t="s">
        <v>264</v>
      </c>
      <c r="O47" s="68" t="s">
        <v>591</v>
      </c>
      <c r="P47" s="68" t="s">
        <v>592</v>
      </c>
      <c r="Q47" s="303">
        <f t="shared" si="21"/>
        <v>0</v>
      </c>
      <c r="R47" s="303">
        <f t="shared" si="22"/>
        <v>0</v>
      </c>
      <c r="S47" s="68">
        <v>0</v>
      </c>
      <c r="T47" s="68">
        <v>0</v>
      </c>
      <c r="U47" s="68">
        <v>0</v>
      </c>
      <c r="V47" s="68">
        <v>0</v>
      </c>
      <c r="W47" s="68">
        <v>0</v>
      </c>
      <c r="X47" s="68">
        <v>49</v>
      </c>
      <c r="Y47" s="68">
        <v>37</v>
      </c>
      <c r="Z47" s="68">
        <v>37</v>
      </c>
      <c r="AA47" s="68">
        <v>1</v>
      </c>
      <c r="AB47" s="300">
        <f t="shared" si="23"/>
        <v>11.180166666666667</v>
      </c>
      <c r="AC47" s="300">
        <f t="shared" si="24"/>
        <v>6.7350401606425706E-2</v>
      </c>
      <c r="AD47" s="68">
        <v>0</v>
      </c>
      <c r="AE47" s="68">
        <v>0</v>
      </c>
      <c r="AF47" s="68" t="s">
        <v>317</v>
      </c>
      <c r="AG47" s="68" t="s">
        <v>317</v>
      </c>
      <c r="AH47" s="68" t="s">
        <v>593</v>
      </c>
      <c r="AI47" s="309"/>
      <c r="AJ47" s="309"/>
      <c r="AK47" s="68" t="s">
        <v>48</v>
      </c>
      <c r="AL47" s="68" t="s">
        <v>58</v>
      </c>
      <c r="AM47" s="299">
        <f t="shared" ca="1" si="20"/>
        <v>4.0347222222262644</v>
      </c>
      <c r="AN47" s="41"/>
      <c r="AO47" s="61" t="s">
        <v>347</v>
      </c>
      <c r="AP47" s="62" t="s">
        <v>578</v>
      </c>
      <c r="AQ47" s="61" t="s">
        <v>837</v>
      </c>
      <c r="AR47" s="64">
        <v>44867.725694444445</v>
      </c>
      <c r="AS47" s="61" t="s">
        <v>95</v>
      </c>
      <c r="AT47" s="61" t="s">
        <v>225</v>
      </c>
      <c r="AU47" s="59">
        <v>0.72569444444444453</v>
      </c>
      <c r="AV47" s="61">
        <v>2</v>
      </c>
      <c r="AW47" s="58" t="s">
        <v>66</v>
      </c>
      <c r="AX47" s="52"/>
      <c r="AY47" s="52"/>
      <c r="AZ47" s="52"/>
      <c r="BA47" s="52"/>
    </row>
    <row r="48" spans="1:53" ht="15.75" thickBot="1" x14ac:dyDescent="0.3">
      <c r="A48" s="73">
        <v>515</v>
      </c>
      <c r="B48" s="72">
        <v>44863.690972222219</v>
      </c>
      <c r="C48" s="67">
        <v>0.69444444444444453</v>
      </c>
      <c r="D48" s="67">
        <v>0.70833333333333337</v>
      </c>
      <c r="E48" s="67">
        <v>0.73263888888888884</v>
      </c>
      <c r="F48" s="68" t="s">
        <v>169</v>
      </c>
      <c r="G48" s="68" t="s">
        <v>577</v>
      </c>
      <c r="H48" s="68" t="s">
        <v>197</v>
      </c>
      <c r="I48" s="68" t="s">
        <v>197</v>
      </c>
      <c r="J48" s="68" t="s">
        <v>37</v>
      </c>
      <c r="K48" s="68" t="s">
        <v>233</v>
      </c>
      <c r="L48" s="68" t="s">
        <v>343</v>
      </c>
      <c r="M48" s="68" t="s">
        <v>578</v>
      </c>
      <c r="N48" s="68" t="s">
        <v>264</v>
      </c>
      <c r="O48" s="68" t="s">
        <v>591</v>
      </c>
      <c r="P48" s="68" t="s">
        <v>592</v>
      </c>
      <c r="Q48" s="303">
        <f t="shared" si="21"/>
        <v>0</v>
      </c>
      <c r="R48" s="303">
        <f t="shared" si="22"/>
        <v>0</v>
      </c>
      <c r="S48" s="68">
        <v>0</v>
      </c>
      <c r="T48" s="68">
        <v>0</v>
      </c>
      <c r="U48" s="68">
        <v>0</v>
      </c>
      <c r="V48" s="68">
        <v>0</v>
      </c>
      <c r="W48" s="68">
        <v>0</v>
      </c>
      <c r="X48" s="68">
        <v>62</v>
      </c>
      <c r="Y48" s="68">
        <v>42</v>
      </c>
      <c r="Z48" s="68">
        <v>42</v>
      </c>
      <c r="AA48" s="68">
        <v>1</v>
      </c>
      <c r="AB48" s="300">
        <f t="shared" si="23"/>
        <v>18.228000000000002</v>
      </c>
      <c r="AC48" s="300">
        <f t="shared" si="24"/>
        <v>0.10980722891566266</v>
      </c>
      <c r="AD48" s="68">
        <v>0</v>
      </c>
      <c r="AE48" s="68">
        <v>0</v>
      </c>
      <c r="AF48" s="68" t="s">
        <v>317</v>
      </c>
      <c r="AG48" s="68" t="s">
        <v>317</v>
      </c>
      <c r="AH48" s="68" t="s">
        <v>593</v>
      </c>
      <c r="AI48" s="309"/>
      <c r="AJ48" s="309"/>
      <c r="AK48" s="68" t="s">
        <v>48</v>
      </c>
      <c r="AL48" s="68" t="s">
        <v>58</v>
      </c>
      <c r="AM48" s="299">
        <f t="shared" ca="1" si="20"/>
        <v>4.0347222222262644</v>
      </c>
      <c r="AN48" s="41"/>
      <c r="AO48" s="61" t="s">
        <v>347</v>
      </c>
      <c r="AP48" s="62" t="s">
        <v>578</v>
      </c>
      <c r="AQ48" s="61" t="s">
        <v>837</v>
      </c>
      <c r="AR48" s="64">
        <v>44867.725694444445</v>
      </c>
      <c r="AS48" s="61" t="s">
        <v>95</v>
      </c>
      <c r="AT48" s="61" t="s">
        <v>225</v>
      </c>
      <c r="AU48" s="59">
        <v>0.72569444444444453</v>
      </c>
      <c r="AV48" s="61">
        <v>2</v>
      </c>
      <c r="AW48" s="58" t="s">
        <v>66</v>
      </c>
      <c r="AX48" s="52"/>
      <c r="AY48" s="52"/>
      <c r="AZ48" s="52"/>
      <c r="BA48" s="52"/>
    </row>
    <row r="49" spans="1:53" ht="15.75" thickBot="1" x14ac:dyDescent="0.3">
      <c r="A49" s="48">
        <v>516</v>
      </c>
      <c r="B49" s="72">
        <v>44863.690972222219</v>
      </c>
      <c r="C49" s="67">
        <v>0.69444444444444453</v>
      </c>
      <c r="D49" s="67">
        <v>0.70833333333333337</v>
      </c>
      <c r="E49" s="67">
        <v>0.73263888888888884</v>
      </c>
      <c r="F49" s="68" t="s">
        <v>169</v>
      </c>
      <c r="G49" s="68" t="s">
        <v>577</v>
      </c>
      <c r="H49" s="68" t="s">
        <v>197</v>
      </c>
      <c r="I49" s="68" t="s">
        <v>197</v>
      </c>
      <c r="J49" s="68" t="s">
        <v>37</v>
      </c>
      <c r="K49" s="68" t="s">
        <v>233</v>
      </c>
      <c r="L49" s="68" t="s">
        <v>343</v>
      </c>
      <c r="M49" s="68" t="s">
        <v>578</v>
      </c>
      <c r="N49" s="68" t="s">
        <v>264</v>
      </c>
      <c r="O49" s="68" t="s">
        <v>594</v>
      </c>
      <c r="P49" s="68" t="s">
        <v>595</v>
      </c>
      <c r="Q49" s="303">
        <f t="shared" si="21"/>
        <v>3</v>
      </c>
      <c r="R49" s="303">
        <f t="shared" si="22"/>
        <v>92</v>
      </c>
      <c r="S49" s="68">
        <v>2</v>
      </c>
      <c r="T49" s="68">
        <v>58</v>
      </c>
      <c r="U49" s="68">
        <v>1</v>
      </c>
      <c r="V49" s="68">
        <v>34</v>
      </c>
      <c r="W49" s="68">
        <v>92</v>
      </c>
      <c r="X49" s="68">
        <v>76</v>
      </c>
      <c r="Y49" s="68">
        <v>62</v>
      </c>
      <c r="Z49" s="68">
        <v>71</v>
      </c>
      <c r="AA49" s="68">
        <v>2</v>
      </c>
      <c r="AB49" s="300">
        <f t="shared" si="23"/>
        <v>111.51733333333334</v>
      </c>
      <c r="AC49" s="300">
        <f t="shared" si="24"/>
        <v>0.67179116465863453</v>
      </c>
      <c r="AD49" s="68" t="s">
        <v>48</v>
      </c>
      <c r="AE49" s="68" t="s">
        <v>48</v>
      </c>
      <c r="AF49" s="68" t="s">
        <v>317</v>
      </c>
      <c r="AG49" s="68" t="s">
        <v>317</v>
      </c>
      <c r="AH49" s="68" t="s">
        <v>596</v>
      </c>
      <c r="AI49" s="309"/>
      <c r="AJ49" s="309"/>
      <c r="AK49" s="68" t="s">
        <v>48</v>
      </c>
      <c r="AL49" s="68" t="s">
        <v>58</v>
      </c>
      <c r="AM49" s="299">
        <f t="shared" ca="1" si="20"/>
        <v>4.0347222222262644</v>
      </c>
      <c r="AN49" s="41"/>
      <c r="AO49" s="61" t="s">
        <v>347</v>
      </c>
      <c r="AP49" s="62" t="s">
        <v>578</v>
      </c>
      <c r="AQ49" s="61" t="s">
        <v>837</v>
      </c>
      <c r="AR49" s="64">
        <v>44867.725694444445</v>
      </c>
      <c r="AS49" s="61" t="s">
        <v>95</v>
      </c>
      <c r="AT49" s="61" t="s">
        <v>225</v>
      </c>
      <c r="AU49" s="59">
        <v>0.72569444444444453</v>
      </c>
      <c r="AV49" s="61">
        <v>2</v>
      </c>
      <c r="AW49" s="58" t="s">
        <v>66</v>
      </c>
      <c r="AX49" s="52"/>
      <c r="AY49" s="52"/>
      <c r="AZ49" s="52"/>
      <c r="BA49" s="52"/>
    </row>
    <row r="50" spans="1:53" ht="15.75" thickBot="1" x14ac:dyDescent="0.3">
      <c r="A50" s="73">
        <v>516</v>
      </c>
      <c r="B50" s="72">
        <v>44863.690972222219</v>
      </c>
      <c r="C50" s="67">
        <v>0.69444444444444453</v>
      </c>
      <c r="D50" s="67">
        <v>0.70833333333333337</v>
      </c>
      <c r="E50" s="67">
        <v>0.73263888888888884</v>
      </c>
      <c r="F50" s="68" t="s">
        <v>169</v>
      </c>
      <c r="G50" s="68" t="s">
        <v>577</v>
      </c>
      <c r="H50" s="68" t="s">
        <v>197</v>
      </c>
      <c r="I50" s="68" t="s">
        <v>197</v>
      </c>
      <c r="J50" s="68" t="s">
        <v>37</v>
      </c>
      <c r="K50" s="68" t="s">
        <v>233</v>
      </c>
      <c r="L50" s="68" t="s">
        <v>343</v>
      </c>
      <c r="M50" s="68" t="s">
        <v>578</v>
      </c>
      <c r="N50" s="68" t="s">
        <v>264</v>
      </c>
      <c r="O50" s="68" t="s">
        <v>594</v>
      </c>
      <c r="P50" s="68" t="s">
        <v>595</v>
      </c>
      <c r="Q50" s="303">
        <f t="shared" si="21"/>
        <v>0</v>
      </c>
      <c r="R50" s="303">
        <f t="shared" si="22"/>
        <v>0</v>
      </c>
      <c r="S50" s="68">
        <v>0</v>
      </c>
      <c r="T50" s="68">
        <v>0</v>
      </c>
      <c r="U50" s="68">
        <v>0</v>
      </c>
      <c r="V50" s="68">
        <v>0</v>
      </c>
      <c r="W50" s="68">
        <v>0</v>
      </c>
      <c r="X50" s="68">
        <v>80</v>
      </c>
      <c r="Y50" s="68">
        <v>60</v>
      </c>
      <c r="Z50" s="68">
        <v>71</v>
      </c>
      <c r="AA50" s="68">
        <v>1</v>
      </c>
      <c r="AB50" s="300">
        <f t="shared" si="23"/>
        <v>56.8</v>
      </c>
      <c r="AC50" s="300">
        <f t="shared" si="24"/>
        <v>0.34216867469879514</v>
      </c>
      <c r="AD50" s="68">
        <v>0</v>
      </c>
      <c r="AE50" s="68">
        <v>0</v>
      </c>
      <c r="AF50" s="68" t="s">
        <v>317</v>
      </c>
      <c r="AG50" s="68" t="s">
        <v>317</v>
      </c>
      <c r="AH50" s="68" t="s">
        <v>596</v>
      </c>
      <c r="AI50" s="309"/>
      <c r="AJ50" s="309"/>
      <c r="AK50" s="68" t="s">
        <v>37</v>
      </c>
      <c r="AL50" s="68" t="s">
        <v>58</v>
      </c>
      <c r="AM50" s="299">
        <f t="shared" ca="1" si="20"/>
        <v>4.0347222222262644</v>
      </c>
      <c r="AN50" s="41"/>
      <c r="AO50" s="61" t="s">
        <v>347</v>
      </c>
      <c r="AP50" s="62" t="s">
        <v>578</v>
      </c>
      <c r="AQ50" s="61" t="s">
        <v>837</v>
      </c>
      <c r="AR50" s="64">
        <v>44867.725694444445</v>
      </c>
      <c r="AS50" s="61" t="s">
        <v>95</v>
      </c>
      <c r="AT50" s="61" t="s">
        <v>225</v>
      </c>
      <c r="AU50" s="59">
        <v>0.72569444444444453</v>
      </c>
      <c r="AV50" s="61">
        <v>2</v>
      </c>
      <c r="AW50" s="58" t="s">
        <v>66</v>
      </c>
      <c r="AX50" s="52"/>
      <c r="AY50" s="52"/>
      <c r="AZ50" s="52"/>
      <c r="BA50" s="52"/>
    </row>
    <row r="51" spans="1:53" ht="15.75" thickBot="1" x14ac:dyDescent="0.3">
      <c r="A51" s="48">
        <v>517</v>
      </c>
      <c r="B51" s="72">
        <v>44863.690972222219</v>
      </c>
      <c r="C51" s="67">
        <v>0.69444444444444453</v>
      </c>
      <c r="D51" s="67">
        <v>0.70833333333333337</v>
      </c>
      <c r="E51" s="67">
        <v>0.73263888888888884</v>
      </c>
      <c r="F51" s="68" t="s">
        <v>169</v>
      </c>
      <c r="G51" s="68" t="s">
        <v>577</v>
      </c>
      <c r="H51" s="68" t="s">
        <v>197</v>
      </c>
      <c r="I51" s="68" t="s">
        <v>197</v>
      </c>
      <c r="J51" s="68" t="s">
        <v>37</v>
      </c>
      <c r="K51" s="68" t="s">
        <v>233</v>
      </c>
      <c r="L51" s="68" t="s">
        <v>343</v>
      </c>
      <c r="M51" s="68" t="s">
        <v>578</v>
      </c>
      <c r="N51" s="68" t="s">
        <v>264</v>
      </c>
      <c r="O51" s="68" t="s">
        <v>597</v>
      </c>
      <c r="P51" s="68" t="s">
        <v>598</v>
      </c>
      <c r="Q51" s="303">
        <f t="shared" si="21"/>
        <v>2</v>
      </c>
      <c r="R51" s="303">
        <f t="shared" si="22"/>
        <v>191</v>
      </c>
      <c r="S51" s="68">
        <v>1</v>
      </c>
      <c r="T51" s="68">
        <v>19</v>
      </c>
      <c r="U51" s="68">
        <v>1</v>
      </c>
      <c r="V51" s="68">
        <v>172</v>
      </c>
      <c r="W51" s="68">
        <v>163</v>
      </c>
      <c r="X51" s="68">
        <v>76</v>
      </c>
      <c r="Y51" s="68">
        <v>62</v>
      </c>
      <c r="Z51" s="68">
        <v>62</v>
      </c>
      <c r="AA51" s="68">
        <v>1</v>
      </c>
      <c r="AB51" s="300">
        <f t="shared" si="23"/>
        <v>48.690666666666665</v>
      </c>
      <c r="AC51" s="300">
        <f t="shared" si="24"/>
        <v>0.29331726907630523</v>
      </c>
      <c r="AD51" s="68" t="s">
        <v>48</v>
      </c>
      <c r="AE51" s="68" t="s">
        <v>48</v>
      </c>
      <c r="AF51" s="68" t="s">
        <v>317</v>
      </c>
      <c r="AG51" s="68" t="s">
        <v>317</v>
      </c>
      <c r="AH51" s="68" t="s">
        <v>599</v>
      </c>
      <c r="AI51" s="309"/>
      <c r="AJ51" s="309"/>
      <c r="AK51" s="68" t="s">
        <v>48</v>
      </c>
      <c r="AL51" s="68" t="s">
        <v>58</v>
      </c>
      <c r="AM51" s="299">
        <f t="shared" ca="1" si="20"/>
        <v>4.0347222222262644</v>
      </c>
      <c r="AN51" s="41"/>
      <c r="AO51" s="61" t="s">
        <v>347</v>
      </c>
      <c r="AP51" s="62" t="s">
        <v>578</v>
      </c>
      <c r="AQ51" s="61" t="s">
        <v>837</v>
      </c>
      <c r="AR51" s="64">
        <v>44867.725694444445</v>
      </c>
      <c r="AS51" s="61" t="s">
        <v>95</v>
      </c>
      <c r="AT51" s="61" t="s">
        <v>225</v>
      </c>
      <c r="AU51" s="59">
        <v>0.72569444444444453</v>
      </c>
      <c r="AV51" s="61">
        <v>2</v>
      </c>
      <c r="AW51" s="58" t="s">
        <v>66</v>
      </c>
      <c r="AX51" s="52"/>
      <c r="AY51" s="52"/>
      <c r="AZ51" s="52"/>
      <c r="BA51" s="52"/>
    </row>
    <row r="52" spans="1:53" ht="15.75" thickBot="1" x14ac:dyDescent="0.3">
      <c r="A52" s="73">
        <v>517</v>
      </c>
      <c r="B52" s="72">
        <v>44863.690972222219</v>
      </c>
      <c r="C52" s="67">
        <v>0.69444444444444453</v>
      </c>
      <c r="D52" s="67">
        <v>0.70833333333333337</v>
      </c>
      <c r="E52" s="67">
        <v>0.73263888888888884</v>
      </c>
      <c r="F52" s="68" t="s">
        <v>169</v>
      </c>
      <c r="G52" s="68" t="s">
        <v>577</v>
      </c>
      <c r="H52" s="68" t="s">
        <v>197</v>
      </c>
      <c r="I52" s="68" t="s">
        <v>197</v>
      </c>
      <c r="J52" s="68" t="s">
        <v>37</v>
      </c>
      <c r="K52" s="68" t="s">
        <v>233</v>
      </c>
      <c r="L52" s="68" t="s">
        <v>343</v>
      </c>
      <c r="M52" s="68" t="s">
        <v>578</v>
      </c>
      <c r="N52" s="68" t="s">
        <v>264</v>
      </c>
      <c r="O52" s="68" t="s">
        <v>597</v>
      </c>
      <c r="P52" s="68" t="s">
        <v>598</v>
      </c>
      <c r="Q52" s="303">
        <f t="shared" si="21"/>
        <v>0</v>
      </c>
      <c r="R52" s="303">
        <f t="shared" si="22"/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104</v>
      </c>
      <c r="Y52" s="68">
        <v>54</v>
      </c>
      <c r="Z52" s="68">
        <v>78</v>
      </c>
      <c r="AA52" s="68">
        <v>1</v>
      </c>
      <c r="AB52" s="300">
        <f t="shared" si="23"/>
        <v>73.007999999999996</v>
      </c>
      <c r="AC52" s="300">
        <f t="shared" si="24"/>
        <v>0.43980722891566265</v>
      </c>
      <c r="AD52" s="68">
        <v>0</v>
      </c>
      <c r="AE52" s="68">
        <v>0</v>
      </c>
      <c r="AF52" s="68" t="s">
        <v>317</v>
      </c>
      <c r="AG52" s="68" t="s">
        <v>317</v>
      </c>
      <c r="AH52" s="68" t="s">
        <v>599</v>
      </c>
      <c r="AI52" s="309"/>
      <c r="AJ52" s="309"/>
      <c r="AK52" s="68" t="s">
        <v>41</v>
      </c>
      <c r="AL52" s="68" t="s">
        <v>58</v>
      </c>
      <c r="AM52" s="299">
        <f t="shared" ca="1" si="20"/>
        <v>4.0347222222262644</v>
      </c>
      <c r="AN52" s="41"/>
      <c r="AO52" s="61" t="s">
        <v>347</v>
      </c>
      <c r="AP52" s="62" t="s">
        <v>578</v>
      </c>
      <c r="AQ52" s="61" t="s">
        <v>837</v>
      </c>
      <c r="AR52" s="64">
        <v>44867.725694444445</v>
      </c>
      <c r="AS52" s="61" t="s">
        <v>95</v>
      </c>
      <c r="AT52" s="61" t="s">
        <v>225</v>
      </c>
      <c r="AU52" s="59">
        <v>0.72569444444444453</v>
      </c>
      <c r="AV52" s="61">
        <v>2</v>
      </c>
      <c r="AW52" s="58" t="s">
        <v>66</v>
      </c>
      <c r="AX52" s="52"/>
      <c r="AY52" s="52"/>
      <c r="AZ52" s="52"/>
      <c r="BA52" s="52"/>
    </row>
    <row r="53" spans="1:53" ht="15.75" thickBot="1" x14ac:dyDescent="0.3">
      <c r="A53" s="48">
        <v>518</v>
      </c>
      <c r="B53" s="72">
        <v>44863.722222222219</v>
      </c>
      <c r="C53" s="67">
        <v>0.72569444444444453</v>
      </c>
      <c r="D53" s="67">
        <v>0.72916666666666663</v>
      </c>
      <c r="E53" s="67">
        <v>0.73611111111111116</v>
      </c>
      <c r="F53" s="68" t="s">
        <v>171</v>
      </c>
      <c r="G53" s="68" t="s">
        <v>200</v>
      </c>
      <c r="H53" s="68" t="s">
        <v>383</v>
      </c>
      <c r="I53" s="68" t="s">
        <v>384</v>
      </c>
      <c r="J53" s="68" t="s">
        <v>37</v>
      </c>
      <c r="K53" s="68" t="s">
        <v>233</v>
      </c>
      <c r="L53" s="69" t="s">
        <v>206</v>
      </c>
      <c r="M53" s="68" t="s">
        <v>600</v>
      </c>
      <c r="N53" s="68" t="s">
        <v>44</v>
      </c>
      <c r="O53" s="68" t="s">
        <v>601</v>
      </c>
      <c r="P53" s="68">
        <v>550032054</v>
      </c>
      <c r="Q53" s="303">
        <f t="shared" si="21"/>
        <v>15</v>
      </c>
      <c r="R53" s="303">
        <f t="shared" si="22"/>
        <v>119</v>
      </c>
      <c r="S53" s="68">
        <v>15</v>
      </c>
      <c r="T53" s="68">
        <v>119</v>
      </c>
      <c r="U53" s="68">
        <v>0</v>
      </c>
      <c r="V53" s="68">
        <v>0</v>
      </c>
      <c r="W53" s="68">
        <v>106.74</v>
      </c>
      <c r="X53" s="68">
        <v>33</v>
      </c>
      <c r="Y53" s="68">
        <v>33</v>
      </c>
      <c r="Z53" s="68">
        <v>27</v>
      </c>
      <c r="AA53" s="68">
        <v>15</v>
      </c>
      <c r="AB53" s="300">
        <f t="shared" si="23"/>
        <v>73.507499999999993</v>
      </c>
      <c r="AC53" s="300">
        <f t="shared" si="24"/>
        <v>0.44281626506024091</v>
      </c>
      <c r="AD53" s="68">
        <v>1728</v>
      </c>
      <c r="AE53" s="68" t="s">
        <v>109</v>
      </c>
      <c r="AF53" s="68" t="s">
        <v>317</v>
      </c>
      <c r="AG53" s="68" t="s">
        <v>317</v>
      </c>
      <c r="AH53" s="68" t="s">
        <v>602</v>
      </c>
      <c r="AI53" s="309"/>
      <c r="AJ53" s="309"/>
      <c r="AK53" s="68" t="s">
        <v>48</v>
      </c>
      <c r="AL53" s="68" t="s">
        <v>47</v>
      </c>
      <c r="AM53" s="299">
        <f t="shared" ca="1" si="20"/>
        <v>2.9895833333357587</v>
      </c>
      <c r="AN53" s="41"/>
      <c r="AO53" s="61" t="s">
        <v>272</v>
      </c>
      <c r="AP53" s="62" t="s">
        <v>600</v>
      </c>
      <c r="AQ53" s="78" t="s">
        <v>723</v>
      </c>
      <c r="AR53" s="64">
        <v>44866.711805555555</v>
      </c>
      <c r="AS53" s="61" t="s">
        <v>117</v>
      </c>
      <c r="AT53" s="61" t="s">
        <v>225</v>
      </c>
      <c r="AU53" s="59">
        <v>0.71180555555555547</v>
      </c>
      <c r="AV53" s="61">
        <v>2</v>
      </c>
      <c r="AW53" s="61" t="s">
        <v>66</v>
      </c>
      <c r="AX53" s="52"/>
      <c r="AY53" s="52"/>
      <c r="AZ53" s="52"/>
      <c r="BA53" s="52"/>
    </row>
    <row r="54" spans="1:53" x14ac:dyDescent="0.25">
      <c r="A54" s="48">
        <v>519</v>
      </c>
      <c r="B54" s="72">
        <v>44865.416666666664</v>
      </c>
      <c r="C54" s="36">
        <v>0.41666666666666669</v>
      </c>
      <c r="D54" s="36">
        <v>0.42708333333333331</v>
      </c>
      <c r="E54" s="36">
        <v>0.46527777777777773</v>
      </c>
      <c r="F54" s="37" t="s">
        <v>171</v>
      </c>
      <c r="G54" s="37" t="s">
        <v>274</v>
      </c>
      <c r="H54" s="26" t="s">
        <v>339</v>
      </c>
      <c r="I54" s="26" t="s">
        <v>198</v>
      </c>
      <c r="J54" s="66" t="s">
        <v>37</v>
      </c>
      <c r="K54" s="71" t="s">
        <v>180</v>
      </c>
      <c r="L54" s="47" t="s">
        <v>206</v>
      </c>
      <c r="M54" s="37" t="s">
        <v>605</v>
      </c>
      <c r="N54" s="68" t="s">
        <v>44</v>
      </c>
      <c r="O54" s="37" t="s">
        <v>606</v>
      </c>
      <c r="P54" s="37" t="s">
        <v>497</v>
      </c>
      <c r="Q54" s="303">
        <f t="shared" si="21"/>
        <v>16</v>
      </c>
      <c r="R54" s="303">
        <f t="shared" si="22"/>
        <v>987</v>
      </c>
      <c r="S54" s="37">
        <v>0</v>
      </c>
      <c r="T54" s="37">
        <v>0</v>
      </c>
      <c r="U54" s="68">
        <v>16</v>
      </c>
      <c r="V54" s="37">
        <f>124+125+183+185+187+183</f>
        <v>987</v>
      </c>
      <c r="W54" s="37">
        <v>960</v>
      </c>
      <c r="X54" s="37">
        <v>84</v>
      </c>
      <c r="Y54" s="37">
        <v>84</v>
      </c>
      <c r="Z54" s="37">
        <v>40</v>
      </c>
      <c r="AA54" s="37">
        <v>16</v>
      </c>
      <c r="AB54" s="300">
        <f t="shared" si="23"/>
        <v>752.64</v>
      </c>
      <c r="AC54" s="300">
        <f t="shared" si="24"/>
        <v>4.5339759036144578</v>
      </c>
      <c r="AD54" s="37">
        <v>12334.72</v>
      </c>
      <c r="AE54" s="37" t="s">
        <v>109</v>
      </c>
      <c r="AF54" s="68" t="s">
        <v>317</v>
      </c>
      <c r="AG54" s="68" t="s">
        <v>317</v>
      </c>
      <c r="AH54" s="37" t="s">
        <v>607</v>
      </c>
      <c r="AI54" s="309"/>
      <c r="AJ54" s="309"/>
      <c r="AK54" s="37" t="s">
        <v>37</v>
      </c>
      <c r="AL54" s="37" t="s">
        <v>39</v>
      </c>
      <c r="AM54" s="299">
        <f t="shared" ca="1" si="20"/>
        <v>1.28125</v>
      </c>
      <c r="AN54" s="51"/>
      <c r="AO54" s="61" t="s">
        <v>53</v>
      </c>
      <c r="AP54" s="62" t="s">
        <v>605</v>
      </c>
      <c r="AQ54" s="78" t="s">
        <v>723</v>
      </c>
      <c r="AR54" s="64">
        <v>44866.697916666664</v>
      </c>
      <c r="AS54" s="61" t="s">
        <v>724</v>
      </c>
      <c r="AT54" s="61" t="s">
        <v>225</v>
      </c>
      <c r="AU54" s="63">
        <v>0.69791666666666663</v>
      </c>
      <c r="AV54" s="61">
        <v>2</v>
      </c>
      <c r="AW54" s="61" t="s">
        <v>66</v>
      </c>
      <c r="AX54" s="52"/>
      <c r="AY54" s="52"/>
      <c r="AZ54" s="52"/>
      <c r="BA54" s="52"/>
    </row>
    <row r="55" spans="1:53" x14ac:dyDescent="0.25">
      <c r="A55" s="48">
        <v>520</v>
      </c>
      <c r="B55" s="72">
        <v>44865.416666666664</v>
      </c>
      <c r="C55" s="67">
        <v>0.41666666666666669</v>
      </c>
      <c r="D55" s="67">
        <v>0.42708333333333331</v>
      </c>
      <c r="E55" s="67">
        <v>0.46527777777777773</v>
      </c>
      <c r="F55" s="68" t="s">
        <v>171</v>
      </c>
      <c r="G55" s="68" t="s">
        <v>274</v>
      </c>
      <c r="H55" s="60" t="s">
        <v>339</v>
      </c>
      <c r="I55" s="60" t="s">
        <v>198</v>
      </c>
      <c r="J55" s="66" t="s">
        <v>37</v>
      </c>
      <c r="K55" s="71" t="s">
        <v>180</v>
      </c>
      <c r="L55" s="47" t="s">
        <v>206</v>
      </c>
      <c r="M55" s="68" t="s">
        <v>605</v>
      </c>
      <c r="N55" s="68" t="s">
        <v>44</v>
      </c>
      <c r="O55" s="37" t="s">
        <v>608</v>
      </c>
      <c r="P55" s="37" t="s">
        <v>497</v>
      </c>
      <c r="Q55" s="303">
        <f t="shared" si="21"/>
        <v>16</v>
      </c>
      <c r="R55" s="303">
        <f t="shared" si="22"/>
        <v>975</v>
      </c>
      <c r="S55" s="37">
        <v>0</v>
      </c>
      <c r="T55" s="37">
        <v>0</v>
      </c>
      <c r="U55" s="37">
        <v>16</v>
      </c>
      <c r="V55" s="37">
        <f>122+120+182+182+184+185</f>
        <v>975</v>
      </c>
      <c r="W55" s="37">
        <v>960</v>
      </c>
      <c r="X55" s="37">
        <v>84</v>
      </c>
      <c r="Y55" s="37">
        <v>84</v>
      </c>
      <c r="Z55" s="37">
        <v>40</v>
      </c>
      <c r="AA55" s="37">
        <v>16</v>
      </c>
      <c r="AB55" s="300">
        <f t="shared" si="23"/>
        <v>752.64</v>
      </c>
      <c r="AC55" s="300">
        <f t="shared" si="24"/>
        <v>4.5339759036144578</v>
      </c>
      <c r="AD55" s="37">
        <v>12334.72</v>
      </c>
      <c r="AE55" s="68" t="s">
        <v>109</v>
      </c>
      <c r="AF55" s="68" t="s">
        <v>317</v>
      </c>
      <c r="AG55" s="68" t="s">
        <v>317</v>
      </c>
      <c r="AH55" s="37" t="s">
        <v>609</v>
      </c>
      <c r="AI55" s="309"/>
      <c r="AJ55" s="309"/>
      <c r="AK55" s="68" t="s">
        <v>37</v>
      </c>
      <c r="AL55" s="68" t="s">
        <v>39</v>
      </c>
      <c r="AM55" s="299">
        <f t="shared" ca="1" si="20"/>
        <v>1.28125</v>
      </c>
      <c r="AN55" s="51"/>
      <c r="AO55" s="61" t="s">
        <v>53</v>
      </c>
      <c r="AP55" s="62" t="s">
        <v>605</v>
      </c>
      <c r="AQ55" s="78" t="s">
        <v>723</v>
      </c>
      <c r="AR55" s="64">
        <v>44866.697916666664</v>
      </c>
      <c r="AS55" s="61" t="s">
        <v>724</v>
      </c>
      <c r="AT55" s="61" t="s">
        <v>225</v>
      </c>
      <c r="AU55" s="63">
        <v>0.69791666666666663</v>
      </c>
      <c r="AV55" s="61">
        <v>2</v>
      </c>
      <c r="AW55" s="61" t="s">
        <v>66</v>
      </c>
      <c r="AX55" s="52"/>
      <c r="AY55" s="52"/>
      <c r="AZ55" s="52"/>
      <c r="BA55" s="52"/>
    </row>
    <row r="56" spans="1:53" x14ac:dyDescent="0.25">
      <c r="A56" s="48">
        <v>521</v>
      </c>
      <c r="B56" s="72">
        <v>44865.416666666664</v>
      </c>
      <c r="C56" s="36">
        <v>0.42708333333333331</v>
      </c>
      <c r="D56" s="36">
        <v>0.4375</v>
      </c>
      <c r="E56" s="67">
        <v>0.46527777777777773</v>
      </c>
      <c r="F56" s="68" t="s">
        <v>171</v>
      </c>
      <c r="G56" s="37" t="s">
        <v>297</v>
      </c>
      <c r="H56" s="60" t="s">
        <v>339</v>
      </c>
      <c r="I56" s="60" t="s">
        <v>198</v>
      </c>
      <c r="J56" s="66" t="s">
        <v>37</v>
      </c>
      <c r="K56" s="71" t="s">
        <v>180</v>
      </c>
      <c r="L56" s="47" t="s">
        <v>206</v>
      </c>
      <c r="M56" s="68" t="s">
        <v>605</v>
      </c>
      <c r="N56" s="68" t="s">
        <v>44</v>
      </c>
      <c r="O56" s="37" t="s">
        <v>610</v>
      </c>
      <c r="P56" s="68" t="s">
        <v>497</v>
      </c>
      <c r="Q56" s="303">
        <f t="shared" si="21"/>
        <v>10</v>
      </c>
      <c r="R56" s="303">
        <f t="shared" si="22"/>
        <v>595</v>
      </c>
      <c r="S56" s="37">
        <v>0</v>
      </c>
      <c r="T56" s="37">
        <v>0</v>
      </c>
      <c r="U56" s="37">
        <v>10</v>
      </c>
      <c r="V56" s="37">
        <f>118+125+118+117+117</f>
        <v>595</v>
      </c>
      <c r="W56" s="37">
        <v>600</v>
      </c>
      <c r="X56" s="37">
        <v>84</v>
      </c>
      <c r="Y56" s="37">
        <v>84</v>
      </c>
      <c r="Z56" s="37">
        <v>40</v>
      </c>
      <c r="AA56" s="37">
        <v>10</v>
      </c>
      <c r="AB56" s="300">
        <f t="shared" si="23"/>
        <v>470.4</v>
      </c>
      <c r="AC56" s="300">
        <f t="shared" si="24"/>
        <v>2.8337349397590361</v>
      </c>
      <c r="AD56" s="37">
        <v>7709.2</v>
      </c>
      <c r="AE56" s="68" t="s">
        <v>109</v>
      </c>
      <c r="AF56" s="68" t="s">
        <v>317</v>
      </c>
      <c r="AG56" s="68" t="s">
        <v>317</v>
      </c>
      <c r="AH56" s="37" t="s">
        <v>611</v>
      </c>
      <c r="AI56" s="309"/>
      <c r="AJ56" s="309"/>
      <c r="AK56" s="68" t="s">
        <v>37</v>
      </c>
      <c r="AL56" s="68" t="s">
        <v>39</v>
      </c>
      <c r="AM56" s="299">
        <f t="shared" ca="1" si="20"/>
        <v>1.28125</v>
      </c>
      <c r="AN56" s="51"/>
      <c r="AO56" s="61" t="s">
        <v>53</v>
      </c>
      <c r="AP56" s="62" t="s">
        <v>605</v>
      </c>
      <c r="AQ56" s="78" t="s">
        <v>723</v>
      </c>
      <c r="AR56" s="64">
        <v>44866.697916666664</v>
      </c>
      <c r="AS56" s="61" t="s">
        <v>724</v>
      </c>
      <c r="AT56" s="61" t="s">
        <v>225</v>
      </c>
      <c r="AU56" s="63">
        <v>0.69791666666666663</v>
      </c>
      <c r="AV56" s="61">
        <v>2</v>
      </c>
      <c r="AW56" s="61" t="s">
        <v>66</v>
      </c>
      <c r="AX56" s="52"/>
      <c r="AY56" s="52"/>
      <c r="AZ56" s="52"/>
      <c r="BA56" s="52"/>
    </row>
    <row r="57" spans="1:53" x14ac:dyDescent="0.25">
      <c r="A57" s="48">
        <v>522</v>
      </c>
      <c r="B57" s="72">
        <v>44865.416666666664</v>
      </c>
      <c r="C57" s="67">
        <v>0.42708333333333331</v>
      </c>
      <c r="D57" s="67">
        <v>0.4375</v>
      </c>
      <c r="E57" s="67">
        <v>0.46527777777777773</v>
      </c>
      <c r="F57" s="68" t="s">
        <v>171</v>
      </c>
      <c r="G57" s="68" t="s">
        <v>297</v>
      </c>
      <c r="H57" s="60" t="s">
        <v>339</v>
      </c>
      <c r="I57" s="60" t="s">
        <v>198</v>
      </c>
      <c r="J57" s="66" t="s">
        <v>37</v>
      </c>
      <c r="K57" s="71" t="s">
        <v>180</v>
      </c>
      <c r="L57" s="47" t="s">
        <v>206</v>
      </c>
      <c r="M57" s="68" t="s">
        <v>605</v>
      </c>
      <c r="N57" s="68" t="s">
        <v>44</v>
      </c>
      <c r="O57" s="37" t="s">
        <v>612</v>
      </c>
      <c r="P57" s="68" t="s">
        <v>497</v>
      </c>
      <c r="Q57" s="303">
        <f t="shared" si="21"/>
        <v>8</v>
      </c>
      <c r="R57" s="303">
        <f t="shared" si="22"/>
        <v>487</v>
      </c>
      <c r="S57" s="37">
        <v>0</v>
      </c>
      <c r="T57" s="37">
        <v>0</v>
      </c>
      <c r="U57" s="37">
        <v>8</v>
      </c>
      <c r="V57" s="37">
        <f>118+124+121+124</f>
        <v>487</v>
      </c>
      <c r="W57" s="37">
        <v>480</v>
      </c>
      <c r="X57" s="37">
        <v>84</v>
      </c>
      <c r="Y57" s="37">
        <v>84</v>
      </c>
      <c r="Z57" s="37">
        <v>40</v>
      </c>
      <c r="AA57" s="37">
        <v>8</v>
      </c>
      <c r="AB57" s="300">
        <f t="shared" si="23"/>
        <v>376.32</v>
      </c>
      <c r="AC57" s="300">
        <f t="shared" si="24"/>
        <v>2.2669879518072289</v>
      </c>
      <c r="AD57" s="37">
        <v>6167.36</v>
      </c>
      <c r="AE57" s="68" t="s">
        <v>109</v>
      </c>
      <c r="AF57" s="68" t="s">
        <v>317</v>
      </c>
      <c r="AG57" s="68" t="s">
        <v>317</v>
      </c>
      <c r="AH57" s="37" t="s">
        <v>613</v>
      </c>
      <c r="AI57" s="309"/>
      <c r="AJ57" s="309"/>
      <c r="AK57" s="68" t="s">
        <v>37</v>
      </c>
      <c r="AL57" s="68" t="s">
        <v>39</v>
      </c>
      <c r="AM57" s="299">
        <f t="shared" ca="1" si="20"/>
        <v>1.28125</v>
      </c>
      <c r="AN57" s="51"/>
      <c r="AO57" s="61" t="s">
        <v>53</v>
      </c>
      <c r="AP57" s="62" t="s">
        <v>605</v>
      </c>
      <c r="AQ57" s="78" t="s">
        <v>723</v>
      </c>
      <c r="AR57" s="64">
        <v>44866.697916666664</v>
      </c>
      <c r="AS57" s="61" t="s">
        <v>724</v>
      </c>
      <c r="AT57" s="61" t="s">
        <v>225</v>
      </c>
      <c r="AU57" s="63">
        <v>0.69791666666666663</v>
      </c>
      <c r="AV57" s="61">
        <v>2</v>
      </c>
      <c r="AW57" s="61" t="s">
        <v>66</v>
      </c>
      <c r="AX57" s="52"/>
      <c r="AY57" s="52"/>
      <c r="AZ57" s="52"/>
      <c r="BA57" s="52"/>
    </row>
    <row r="58" spans="1:53" x14ac:dyDescent="0.25">
      <c r="A58" s="48">
        <v>523</v>
      </c>
      <c r="B58" s="72">
        <v>44865.416666666664</v>
      </c>
      <c r="C58" s="36">
        <v>0.4375</v>
      </c>
      <c r="D58" s="36">
        <v>0.44791666666666669</v>
      </c>
      <c r="E58" s="36">
        <v>0.46875</v>
      </c>
      <c r="F58" s="37" t="s">
        <v>171</v>
      </c>
      <c r="G58" s="37" t="s">
        <v>88</v>
      </c>
      <c r="H58" s="60" t="s">
        <v>339</v>
      </c>
      <c r="I58" s="26" t="s">
        <v>91</v>
      </c>
      <c r="J58" s="66" t="s">
        <v>37</v>
      </c>
      <c r="K58" s="71" t="s">
        <v>180</v>
      </c>
      <c r="L58" s="47" t="s">
        <v>206</v>
      </c>
      <c r="M58" s="37" t="s">
        <v>603</v>
      </c>
      <c r="N58" s="68" t="s">
        <v>44</v>
      </c>
      <c r="O58" s="37" t="s">
        <v>614</v>
      </c>
      <c r="P58" s="37" t="s">
        <v>615</v>
      </c>
      <c r="Q58" s="303">
        <f t="shared" si="21"/>
        <v>1</v>
      </c>
      <c r="R58" s="303">
        <f t="shared" si="22"/>
        <v>72</v>
      </c>
      <c r="S58" s="37">
        <v>0</v>
      </c>
      <c r="T58" s="37">
        <v>0</v>
      </c>
      <c r="U58" s="37">
        <v>1</v>
      </c>
      <c r="V58" s="37">
        <v>72</v>
      </c>
      <c r="W58" s="37">
        <v>73</v>
      </c>
      <c r="X58" s="37">
        <v>120</v>
      </c>
      <c r="Y58" s="37">
        <v>80</v>
      </c>
      <c r="Z58" s="37">
        <v>82</v>
      </c>
      <c r="AA58" s="37">
        <v>1</v>
      </c>
      <c r="AB58" s="300">
        <f t="shared" si="23"/>
        <v>131.19999999999999</v>
      </c>
      <c r="AC58" s="300">
        <f t="shared" si="24"/>
        <v>0.7903614457831325</v>
      </c>
      <c r="AD58" s="37">
        <v>93861</v>
      </c>
      <c r="AE58" s="68" t="s">
        <v>109</v>
      </c>
      <c r="AF58" s="68" t="s">
        <v>317</v>
      </c>
      <c r="AG58" s="68" t="s">
        <v>317</v>
      </c>
      <c r="AH58" s="37" t="s">
        <v>616</v>
      </c>
      <c r="AI58" s="309"/>
      <c r="AJ58" s="309"/>
      <c r="AK58" s="68" t="s">
        <v>37</v>
      </c>
      <c r="AL58" s="68" t="s">
        <v>39</v>
      </c>
      <c r="AM58" s="299">
        <f t="shared" ca="1" si="20"/>
        <v>1.2951388888905058</v>
      </c>
      <c r="AN58" s="51"/>
      <c r="AO58" s="61" t="s">
        <v>323</v>
      </c>
      <c r="AP58" s="62" t="s">
        <v>603</v>
      </c>
      <c r="AQ58" s="78" t="s">
        <v>723</v>
      </c>
      <c r="AR58" s="64">
        <v>44866.711805555555</v>
      </c>
      <c r="AS58" s="61" t="s">
        <v>117</v>
      </c>
      <c r="AT58" s="61" t="s">
        <v>225</v>
      </c>
      <c r="AU58" s="59">
        <v>0.71180555555555547</v>
      </c>
      <c r="AV58" s="61">
        <v>2</v>
      </c>
      <c r="AW58" s="61" t="s">
        <v>66</v>
      </c>
      <c r="AX58" s="52"/>
      <c r="AY58" s="52"/>
      <c r="AZ58" s="52"/>
      <c r="BA58" s="52"/>
    </row>
    <row r="59" spans="1:53" x14ac:dyDescent="0.25">
      <c r="A59" s="48">
        <v>524</v>
      </c>
      <c r="B59" s="72">
        <v>44865.416666666664</v>
      </c>
      <c r="C59" s="67">
        <v>0.4375</v>
      </c>
      <c r="D59" s="67">
        <v>0.44791666666666669</v>
      </c>
      <c r="E59" s="67">
        <v>0.46875</v>
      </c>
      <c r="F59" s="68" t="s">
        <v>171</v>
      </c>
      <c r="G59" s="68" t="s">
        <v>88</v>
      </c>
      <c r="H59" s="60" t="s">
        <v>339</v>
      </c>
      <c r="I59" s="60" t="s">
        <v>91</v>
      </c>
      <c r="J59" s="66" t="s">
        <v>37</v>
      </c>
      <c r="K59" s="71" t="s">
        <v>180</v>
      </c>
      <c r="L59" s="47" t="s">
        <v>206</v>
      </c>
      <c r="M59" s="37" t="s">
        <v>604</v>
      </c>
      <c r="N59" s="68" t="s">
        <v>44</v>
      </c>
      <c r="O59" s="37" t="s">
        <v>617</v>
      </c>
      <c r="P59" s="37" t="s">
        <v>618</v>
      </c>
      <c r="Q59" s="303">
        <f t="shared" si="21"/>
        <v>1</v>
      </c>
      <c r="R59" s="303">
        <f t="shared" si="22"/>
        <v>80</v>
      </c>
      <c r="S59" s="37">
        <v>0</v>
      </c>
      <c r="T59" s="37">
        <v>0</v>
      </c>
      <c r="U59" s="37">
        <v>1</v>
      </c>
      <c r="V59" s="37">
        <v>80</v>
      </c>
      <c r="W59" s="37">
        <v>76</v>
      </c>
      <c r="X59" s="37">
        <v>120</v>
      </c>
      <c r="Y59" s="37">
        <v>80</v>
      </c>
      <c r="Z59" s="37">
        <v>82</v>
      </c>
      <c r="AA59" s="37">
        <v>1</v>
      </c>
      <c r="AB59" s="300">
        <f t="shared" si="23"/>
        <v>131.19999999999999</v>
      </c>
      <c r="AC59" s="300">
        <f t="shared" si="24"/>
        <v>0.7903614457831325</v>
      </c>
      <c r="AD59" s="37">
        <v>888038.8</v>
      </c>
      <c r="AE59" s="68" t="s">
        <v>109</v>
      </c>
      <c r="AF59" s="68" t="s">
        <v>317</v>
      </c>
      <c r="AG59" s="68" t="s">
        <v>317</v>
      </c>
      <c r="AH59" s="37" t="s">
        <v>619</v>
      </c>
      <c r="AI59" s="309"/>
      <c r="AJ59" s="309"/>
      <c r="AK59" s="68" t="s">
        <v>37</v>
      </c>
      <c r="AL59" s="68" t="s">
        <v>39</v>
      </c>
      <c r="AM59" s="299">
        <f t="shared" ca="1" si="20"/>
        <v>1.2951388888905058</v>
      </c>
      <c r="AN59" s="51"/>
      <c r="AO59" s="61" t="s">
        <v>323</v>
      </c>
      <c r="AP59" s="62" t="s">
        <v>604</v>
      </c>
      <c r="AQ59" s="78" t="s">
        <v>723</v>
      </c>
      <c r="AR59" s="64">
        <v>44866.711805555555</v>
      </c>
      <c r="AS59" s="61" t="s">
        <v>117</v>
      </c>
      <c r="AT59" s="61" t="s">
        <v>225</v>
      </c>
      <c r="AU59" s="59">
        <v>0.71180555555555547</v>
      </c>
      <c r="AV59" s="61">
        <v>2</v>
      </c>
      <c r="AW59" s="61" t="s">
        <v>66</v>
      </c>
      <c r="AX59" s="52"/>
      <c r="AY59" s="52"/>
      <c r="AZ59" s="52"/>
      <c r="BA59" s="52"/>
    </row>
    <row r="60" spans="1:53" x14ac:dyDescent="0.25">
      <c r="A60" s="48">
        <v>525</v>
      </c>
      <c r="B60" s="72">
        <v>44865.416666666664</v>
      </c>
      <c r="C60" s="36">
        <v>0.4513888888888889</v>
      </c>
      <c r="D60" s="36">
        <v>0.46875</v>
      </c>
      <c r="E60" s="36">
        <v>0.4861111111111111</v>
      </c>
      <c r="F60" s="37" t="s">
        <v>171</v>
      </c>
      <c r="G60" s="37" t="s">
        <v>136</v>
      </c>
      <c r="H60" s="60" t="s">
        <v>350</v>
      </c>
      <c r="I60" s="60" t="s">
        <v>350</v>
      </c>
      <c r="J60" s="60" t="s">
        <v>41</v>
      </c>
      <c r="K60" s="60" t="s">
        <v>63</v>
      </c>
      <c r="L60" s="60" t="s">
        <v>209</v>
      </c>
      <c r="M60" s="37" t="s">
        <v>622</v>
      </c>
      <c r="N60" s="37" t="s">
        <v>42</v>
      </c>
      <c r="O60" s="37" t="s">
        <v>620</v>
      </c>
      <c r="P60" s="37">
        <v>49478905</v>
      </c>
      <c r="Q60" s="303">
        <f t="shared" si="21"/>
        <v>1</v>
      </c>
      <c r="R60" s="303">
        <f t="shared" si="22"/>
        <v>8</v>
      </c>
      <c r="S60" s="37">
        <v>1</v>
      </c>
      <c r="T60" s="37">
        <v>8</v>
      </c>
      <c r="U60" s="37">
        <v>0</v>
      </c>
      <c r="V60" s="37">
        <v>0</v>
      </c>
      <c r="W60" s="37">
        <v>8.86</v>
      </c>
      <c r="X60" s="37">
        <v>34</v>
      </c>
      <c r="Y60" s="37">
        <v>26</v>
      </c>
      <c r="Z60" s="37">
        <v>24</v>
      </c>
      <c r="AA60" s="37">
        <v>1</v>
      </c>
      <c r="AB60" s="300">
        <f t="shared" si="23"/>
        <v>3.536</v>
      </c>
      <c r="AC60" s="300">
        <f t="shared" si="24"/>
        <v>2.1301204819277109E-2</v>
      </c>
      <c r="AD60" s="37">
        <v>510</v>
      </c>
      <c r="AE60" s="68" t="s">
        <v>109</v>
      </c>
      <c r="AF60" s="68" t="s">
        <v>317</v>
      </c>
      <c r="AG60" s="68" t="s">
        <v>317</v>
      </c>
      <c r="AH60" s="37" t="s">
        <v>621</v>
      </c>
      <c r="AI60" s="309"/>
      <c r="AJ60" s="309"/>
      <c r="AK60" s="37" t="s">
        <v>48</v>
      </c>
      <c r="AL60" s="37" t="s">
        <v>47</v>
      </c>
      <c r="AM60" s="299">
        <f t="shared" ca="1" si="20"/>
        <v>3.2291666666715173</v>
      </c>
      <c r="AN60" s="51"/>
      <c r="AO60" s="61" t="s">
        <v>213</v>
      </c>
      <c r="AP60" s="62" t="s">
        <v>622</v>
      </c>
      <c r="AQ60" s="61" t="s">
        <v>906</v>
      </c>
      <c r="AR60" s="64">
        <v>44868.645833333336</v>
      </c>
      <c r="AS60" s="61" t="s">
        <v>95</v>
      </c>
      <c r="AT60" s="61" t="s">
        <v>225</v>
      </c>
      <c r="AU60" s="59">
        <v>0.65972222222222221</v>
      </c>
      <c r="AV60" s="61">
        <v>1</v>
      </c>
      <c r="AW60" s="61" t="s">
        <v>66</v>
      </c>
      <c r="AX60" s="52"/>
      <c r="AY60" s="52"/>
      <c r="AZ60" s="52"/>
      <c r="BA60" s="52"/>
    </row>
    <row r="61" spans="1:53" x14ac:dyDescent="0.25">
      <c r="A61" s="48">
        <v>526</v>
      </c>
      <c r="B61" s="72">
        <v>44865.416666666664</v>
      </c>
      <c r="C61" s="67">
        <v>0.4513888888888889</v>
      </c>
      <c r="D61" s="67">
        <v>0.46875</v>
      </c>
      <c r="E61" s="67">
        <v>0.4861111111111111</v>
      </c>
      <c r="F61" s="68" t="s">
        <v>171</v>
      </c>
      <c r="G61" s="68" t="s">
        <v>136</v>
      </c>
      <c r="H61" s="60" t="s">
        <v>350</v>
      </c>
      <c r="I61" s="60" t="s">
        <v>350</v>
      </c>
      <c r="J61" s="60" t="s">
        <v>41</v>
      </c>
      <c r="K61" s="60" t="s">
        <v>63</v>
      </c>
      <c r="L61" s="60" t="s">
        <v>209</v>
      </c>
      <c r="M61" s="68" t="s">
        <v>622</v>
      </c>
      <c r="N61" s="68" t="s">
        <v>42</v>
      </c>
      <c r="O61" s="37" t="s">
        <v>623</v>
      </c>
      <c r="P61" s="37">
        <v>4503720249</v>
      </c>
      <c r="Q61" s="303">
        <f t="shared" si="21"/>
        <v>1</v>
      </c>
      <c r="R61" s="303">
        <f t="shared" si="22"/>
        <v>274</v>
      </c>
      <c r="S61" s="37">
        <v>0</v>
      </c>
      <c r="T61" s="37">
        <v>0</v>
      </c>
      <c r="U61" s="37">
        <v>1</v>
      </c>
      <c r="V61" s="37">
        <v>274</v>
      </c>
      <c r="W61" s="37">
        <v>286.89999999999998</v>
      </c>
      <c r="X61" s="37">
        <v>128</v>
      </c>
      <c r="Y61" s="37">
        <v>82</v>
      </c>
      <c r="Z61" s="37">
        <v>102</v>
      </c>
      <c r="AA61" s="37">
        <v>1</v>
      </c>
      <c r="AB61" s="300">
        <f t="shared" si="23"/>
        <v>178.43199999999999</v>
      </c>
      <c r="AC61" s="300">
        <f t="shared" si="24"/>
        <v>1.0748915662650602</v>
      </c>
      <c r="AD61" s="37">
        <v>14490</v>
      </c>
      <c r="AE61" s="37" t="s">
        <v>109</v>
      </c>
      <c r="AF61" s="68" t="s">
        <v>317</v>
      </c>
      <c r="AG61" s="68" t="s">
        <v>317</v>
      </c>
      <c r="AH61" s="37" t="s">
        <v>624</v>
      </c>
      <c r="AI61" s="309"/>
      <c r="AJ61" s="309"/>
      <c r="AK61" s="37" t="s">
        <v>37</v>
      </c>
      <c r="AL61" s="68" t="s">
        <v>47</v>
      </c>
      <c r="AM61" s="299">
        <f t="shared" ca="1" si="20"/>
        <v>3.2291666666715173</v>
      </c>
      <c r="AN61" s="51"/>
      <c r="AO61" s="61" t="s">
        <v>213</v>
      </c>
      <c r="AP61" s="62" t="s">
        <v>622</v>
      </c>
      <c r="AQ61" s="61" t="s">
        <v>906</v>
      </c>
      <c r="AR61" s="64">
        <v>44868.645833333336</v>
      </c>
      <c r="AS61" s="61" t="s">
        <v>95</v>
      </c>
      <c r="AT61" s="61" t="s">
        <v>225</v>
      </c>
      <c r="AU61" s="59">
        <v>0.65972222222222221</v>
      </c>
      <c r="AV61" s="61">
        <v>1</v>
      </c>
      <c r="AW61" s="61" t="s">
        <v>66</v>
      </c>
      <c r="AX61" s="52"/>
      <c r="AY61" s="52"/>
      <c r="AZ61" s="52"/>
      <c r="BA61" s="52"/>
    </row>
    <row r="62" spans="1:53" x14ac:dyDescent="0.25">
      <c r="A62" s="48">
        <v>527</v>
      </c>
      <c r="B62" s="72">
        <v>44865.416666666664</v>
      </c>
      <c r="C62" s="67">
        <v>0.4513888888888889</v>
      </c>
      <c r="D62" s="67">
        <v>0.46875</v>
      </c>
      <c r="E62" s="67">
        <v>0.4861111111111111</v>
      </c>
      <c r="F62" s="68" t="s">
        <v>171</v>
      </c>
      <c r="G62" s="68" t="s">
        <v>136</v>
      </c>
      <c r="H62" s="60" t="s">
        <v>350</v>
      </c>
      <c r="I62" s="60" t="s">
        <v>350</v>
      </c>
      <c r="J62" s="60" t="s">
        <v>41</v>
      </c>
      <c r="K62" s="60" t="s">
        <v>63</v>
      </c>
      <c r="L62" s="60" t="s">
        <v>209</v>
      </c>
      <c r="M62" s="68" t="s">
        <v>622</v>
      </c>
      <c r="N62" s="68" t="s">
        <v>42</v>
      </c>
      <c r="O62" s="68" t="s">
        <v>625</v>
      </c>
      <c r="P62" s="37">
        <v>49478905</v>
      </c>
      <c r="Q62" s="303">
        <f t="shared" si="21"/>
        <v>5</v>
      </c>
      <c r="R62" s="303">
        <f t="shared" si="22"/>
        <v>39</v>
      </c>
      <c r="S62" s="37">
        <v>5</v>
      </c>
      <c r="T62" s="37">
        <v>39</v>
      </c>
      <c r="U62" s="37">
        <v>0</v>
      </c>
      <c r="V62" s="37">
        <v>0</v>
      </c>
      <c r="W62" s="37">
        <v>44.3</v>
      </c>
      <c r="X62" s="37">
        <v>34</v>
      </c>
      <c r="Y62" s="37">
        <v>26</v>
      </c>
      <c r="Z62" s="37">
        <v>24</v>
      </c>
      <c r="AA62" s="37">
        <v>5</v>
      </c>
      <c r="AB62" s="300">
        <f t="shared" si="23"/>
        <v>17.68</v>
      </c>
      <c r="AC62" s="300">
        <f t="shared" si="24"/>
        <v>0.10650602409638554</v>
      </c>
      <c r="AD62" s="37">
        <v>2550</v>
      </c>
      <c r="AE62" s="68" t="s">
        <v>109</v>
      </c>
      <c r="AF62" s="68" t="s">
        <v>317</v>
      </c>
      <c r="AG62" s="68" t="s">
        <v>317</v>
      </c>
      <c r="AH62" s="37" t="s">
        <v>626</v>
      </c>
      <c r="AI62" s="309"/>
      <c r="AJ62" s="309"/>
      <c r="AK62" s="37" t="s">
        <v>48</v>
      </c>
      <c r="AL62" s="68" t="s">
        <v>47</v>
      </c>
      <c r="AM62" s="299">
        <f t="shared" ca="1" si="20"/>
        <v>3.2291666666715173</v>
      </c>
      <c r="AN62" s="51"/>
      <c r="AO62" s="61" t="s">
        <v>213</v>
      </c>
      <c r="AP62" s="62" t="s">
        <v>622</v>
      </c>
      <c r="AQ62" s="61" t="s">
        <v>906</v>
      </c>
      <c r="AR62" s="64">
        <v>44868.645833333336</v>
      </c>
      <c r="AS62" s="61" t="s">
        <v>95</v>
      </c>
      <c r="AT62" s="61" t="s">
        <v>225</v>
      </c>
      <c r="AU62" s="59">
        <v>0.65972222222222221</v>
      </c>
      <c r="AV62" s="61">
        <v>1</v>
      </c>
      <c r="AW62" s="61" t="s">
        <v>66</v>
      </c>
      <c r="AX62" s="52"/>
      <c r="AY62" s="52"/>
      <c r="AZ62" s="52"/>
      <c r="BA62" s="52"/>
    </row>
    <row r="63" spans="1:53" x14ac:dyDescent="0.25">
      <c r="A63" s="73">
        <v>529</v>
      </c>
      <c r="B63" s="72">
        <v>44865.520833333336</v>
      </c>
      <c r="C63" s="67">
        <v>0.52430555555555558</v>
      </c>
      <c r="D63" s="67">
        <v>0.53472222222222221</v>
      </c>
      <c r="E63" s="67">
        <v>0.55555555555555558</v>
      </c>
      <c r="F63" s="68" t="s">
        <v>170</v>
      </c>
      <c r="G63" s="68" t="s">
        <v>235</v>
      </c>
      <c r="H63" s="66" t="s">
        <v>156</v>
      </c>
      <c r="I63" s="66" t="s">
        <v>162</v>
      </c>
      <c r="J63" s="71" t="s">
        <v>37</v>
      </c>
      <c r="K63" s="71" t="s">
        <v>63</v>
      </c>
      <c r="L63" s="71" t="s">
        <v>212</v>
      </c>
      <c r="M63" s="68" t="s">
        <v>628</v>
      </c>
      <c r="N63" s="68" t="s">
        <v>158</v>
      </c>
      <c r="O63" s="68" t="s">
        <v>629</v>
      </c>
      <c r="P63" s="68" t="s">
        <v>363</v>
      </c>
      <c r="Q63" s="303">
        <f t="shared" si="21"/>
        <v>1</v>
      </c>
      <c r="R63" s="303">
        <f t="shared" si="22"/>
        <v>92</v>
      </c>
      <c r="S63" s="68">
        <v>0</v>
      </c>
      <c r="T63" s="68">
        <v>0</v>
      </c>
      <c r="U63" s="68">
        <v>1</v>
      </c>
      <c r="V63" s="68">
        <v>92</v>
      </c>
      <c r="W63" s="68">
        <v>87.4</v>
      </c>
      <c r="X63" s="68">
        <v>51</v>
      </c>
      <c r="Y63" s="68">
        <v>50</v>
      </c>
      <c r="Z63" s="68">
        <v>55</v>
      </c>
      <c r="AA63" s="68">
        <v>1</v>
      </c>
      <c r="AB63" s="300">
        <f t="shared" si="23"/>
        <v>23.375</v>
      </c>
      <c r="AC63" s="300">
        <f t="shared" si="24"/>
        <v>0.1408132530120482</v>
      </c>
      <c r="AD63" s="68">
        <v>3406.77</v>
      </c>
      <c r="AE63" s="68" t="s">
        <v>109</v>
      </c>
      <c r="AF63" s="68" t="s">
        <v>317</v>
      </c>
      <c r="AG63" s="68" t="s">
        <v>317</v>
      </c>
      <c r="AH63" s="68" t="s">
        <v>630</v>
      </c>
      <c r="AI63" s="309"/>
      <c r="AJ63" s="309"/>
      <c r="AK63" s="68" t="s">
        <v>37</v>
      </c>
      <c r="AL63" s="68" t="s">
        <v>49</v>
      </c>
      <c r="AM63" s="299">
        <f t="shared" ca="1" si="20"/>
        <v>2.0416666666642413</v>
      </c>
      <c r="AN63" s="51"/>
      <c r="AO63" s="61" t="s">
        <v>159</v>
      </c>
      <c r="AP63" s="62" t="s">
        <v>628</v>
      </c>
      <c r="AQ63" s="61" t="s">
        <v>823</v>
      </c>
      <c r="AR63" s="64">
        <v>44867.5625</v>
      </c>
      <c r="AS63" s="61" t="s">
        <v>136</v>
      </c>
      <c r="AT63" s="61" t="s">
        <v>225</v>
      </c>
      <c r="AU63" s="63">
        <v>0.5625</v>
      </c>
      <c r="AV63" s="61">
        <v>1</v>
      </c>
      <c r="AW63" s="58" t="s">
        <v>66</v>
      </c>
      <c r="AX63" s="52"/>
      <c r="AY63" s="52"/>
      <c r="AZ63" s="52"/>
      <c r="BA63" s="52"/>
    </row>
    <row r="64" spans="1:53" x14ac:dyDescent="0.25">
      <c r="A64" s="73">
        <v>530</v>
      </c>
      <c r="B64" s="72">
        <v>44865.520833333336</v>
      </c>
      <c r="C64" s="67">
        <v>0.52430555555555558</v>
      </c>
      <c r="D64" s="67">
        <v>0.53472222222222221</v>
      </c>
      <c r="E64" s="67">
        <v>0.55555555555555558</v>
      </c>
      <c r="F64" s="68" t="s">
        <v>170</v>
      </c>
      <c r="G64" s="68" t="s">
        <v>235</v>
      </c>
      <c r="H64" s="66" t="s">
        <v>156</v>
      </c>
      <c r="I64" s="66" t="s">
        <v>162</v>
      </c>
      <c r="J64" s="66" t="s">
        <v>37</v>
      </c>
      <c r="K64" s="66" t="s">
        <v>63</v>
      </c>
      <c r="L64" s="66" t="s">
        <v>212</v>
      </c>
      <c r="M64" s="68" t="s">
        <v>628</v>
      </c>
      <c r="N64" s="68" t="s">
        <v>158</v>
      </c>
      <c r="O64" s="68" t="s">
        <v>631</v>
      </c>
      <c r="P64" s="68" t="s">
        <v>363</v>
      </c>
      <c r="Q64" s="303">
        <f t="shared" si="21"/>
        <v>1</v>
      </c>
      <c r="R64" s="303">
        <f t="shared" si="22"/>
        <v>101</v>
      </c>
      <c r="S64" s="68">
        <v>0</v>
      </c>
      <c r="T64" s="68">
        <v>0</v>
      </c>
      <c r="U64" s="68">
        <v>1</v>
      </c>
      <c r="V64" s="68">
        <v>101</v>
      </c>
      <c r="W64" s="68">
        <v>96.9</v>
      </c>
      <c r="X64" s="68">
        <v>51</v>
      </c>
      <c r="Y64" s="68">
        <v>50</v>
      </c>
      <c r="Z64" s="68">
        <v>55</v>
      </c>
      <c r="AA64" s="68">
        <v>1</v>
      </c>
      <c r="AB64" s="300">
        <f t="shared" si="23"/>
        <v>23.375</v>
      </c>
      <c r="AC64" s="300">
        <f t="shared" si="24"/>
        <v>0.1408132530120482</v>
      </c>
      <c r="AD64" s="68">
        <v>1927.13</v>
      </c>
      <c r="AE64" s="68" t="s">
        <v>109</v>
      </c>
      <c r="AF64" s="68" t="s">
        <v>317</v>
      </c>
      <c r="AG64" s="68" t="s">
        <v>317</v>
      </c>
      <c r="AH64" s="68" t="s">
        <v>632</v>
      </c>
      <c r="AI64" s="309"/>
      <c r="AJ64" s="309"/>
      <c r="AK64" s="68" t="s">
        <v>37</v>
      </c>
      <c r="AL64" s="68" t="s">
        <v>49</v>
      </c>
      <c r="AM64" s="299">
        <f t="shared" ca="1" si="20"/>
        <v>2.0416666666642413</v>
      </c>
      <c r="AN64" s="51"/>
      <c r="AO64" s="61" t="s">
        <v>159</v>
      </c>
      <c r="AP64" s="62" t="s">
        <v>628</v>
      </c>
      <c r="AQ64" s="61" t="s">
        <v>823</v>
      </c>
      <c r="AR64" s="64">
        <v>44867.5625</v>
      </c>
      <c r="AS64" s="61" t="s">
        <v>136</v>
      </c>
      <c r="AT64" s="61" t="s">
        <v>225</v>
      </c>
      <c r="AU64" s="63">
        <v>0.5625</v>
      </c>
      <c r="AV64" s="61">
        <v>1</v>
      </c>
      <c r="AW64" s="58" t="s">
        <v>66</v>
      </c>
      <c r="AX64" s="52"/>
      <c r="AY64" s="52"/>
      <c r="AZ64" s="52"/>
      <c r="BA64" s="52"/>
    </row>
    <row r="65" spans="1:53" x14ac:dyDescent="0.25">
      <c r="A65" s="73">
        <v>531</v>
      </c>
      <c r="B65" s="72">
        <v>44865.520833333336</v>
      </c>
      <c r="C65" s="67">
        <v>0.52430555555555558</v>
      </c>
      <c r="D65" s="67">
        <v>0.53472222222222221</v>
      </c>
      <c r="E65" s="67">
        <v>0.55555555555555558</v>
      </c>
      <c r="F65" s="68" t="s">
        <v>170</v>
      </c>
      <c r="G65" s="68" t="s">
        <v>235</v>
      </c>
      <c r="H65" s="66" t="s">
        <v>156</v>
      </c>
      <c r="I65" s="66" t="s">
        <v>162</v>
      </c>
      <c r="J65" s="66" t="s">
        <v>37</v>
      </c>
      <c r="K65" s="66" t="s">
        <v>63</v>
      </c>
      <c r="L65" s="66" t="s">
        <v>212</v>
      </c>
      <c r="M65" s="68" t="s">
        <v>628</v>
      </c>
      <c r="N65" s="68" t="s">
        <v>158</v>
      </c>
      <c r="O65" s="68" t="s">
        <v>633</v>
      </c>
      <c r="P65" s="68" t="s">
        <v>363</v>
      </c>
      <c r="Q65" s="303">
        <f t="shared" si="21"/>
        <v>1</v>
      </c>
      <c r="R65" s="303">
        <f t="shared" si="22"/>
        <v>105</v>
      </c>
      <c r="S65" s="68">
        <v>0</v>
      </c>
      <c r="T65" s="68">
        <v>0</v>
      </c>
      <c r="U65" s="68">
        <v>1</v>
      </c>
      <c r="V65" s="68">
        <v>105</v>
      </c>
      <c r="W65" s="68">
        <v>96.9</v>
      </c>
      <c r="X65" s="68">
        <v>51</v>
      </c>
      <c r="Y65" s="68">
        <v>50</v>
      </c>
      <c r="Z65" s="68">
        <v>55</v>
      </c>
      <c r="AA65" s="68">
        <v>1</v>
      </c>
      <c r="AB65" s="300">
        <f t="shared" si="23"/>
        <v>23.375</v>
      </c>
      <c r="AC65" s="300">
        <f t="shared" si="24"/>
        <v>0.1408132530120482</v>
      </c>
      <c r="AD65" s="68">
        <v>1927.13</v>
      </c>
      <c r="AE65" s="68" t="s">
        <v>109</v>
      </c>
      <c r="AF65" s="68" t="s">
        <v>317</v>
      </c>
      <c r="AG65" s="68" t="s">
        <v>317</v>
      </c>
      <c r="AH65" s="68" t="s">
        <v>634</v>
      </c>
      <c r="AI65" s="309"/>
      <c r="AJ65" s="309"/>
      <c r="AK65" s="68" t="s">
        <v>37</v>
      </c>
      <c r="AL65" s="68" t="s">
        <v>49</v>
      </c>
      <c r="AM65" s="299">
        <f t="shared" ca="1" si="20"/>
        <v>2.0416666666642413</v>
      </c>
      <c r="AN65" s="51"/>
      <c r="AO65" s="61" t="s">
        <v>159</v>
      </c>
      <c r="AP65" s="62" t="s">
        <v>628</v>
      </c>
      <c r="AQ65" s="61" t="s">
        <v>823</v>
      </c>
      <c r="AR65" s="64">
        <v>44867.5625</v>
      </c>
      <c r="AS65" s="61" t="s">
        <v>136</v>
      </c>
      <c r="AT65" s="61" t="s">
        <v>225</v>
      </c>
      <c r="AU65" s="63">
        <v>0.5625</v>
      </c>
      <c r="AV65" s="61">
        <v>1</v>
      </c>
      <c r="AW65" s="58" t="s">
        <v>66</v>
      </c>
      <c r="AX65" s="52"/>
      <c r="AY65" s="52"/>
      <c r="AZ65" s="52"/>
      <c r="BA65" s="52"/>
    </row>
    <row r="66" spans="1:53" x14ac:dyDescent="0.25">
      <c r="A66" s="73">
        <v>532</v>
      </c>
      <c r="B66" s="72">
        <v>44865.520833333336</v>
      </c>
      <c r="C66" s="67">
        <v>0.52430555555555558</v>
      </c>
      <c r="D66" s="67">
        <v>0.53472222222222221</v>
      </c>
      <c r="E66" s="67">
        <v>0.55555555555555558</v>
      </c>
      <c r="F66" s="68" t="s">
        <v>170</v>
      </c>
      <c r="G66" s="68" t="s">
        <v>235</v>
      </c>
      <c r="H66" s="66" t="s">
        <v>227</v>
      </c>
      <c r="I66" s="66" t="s">
        <v>189</v>
      </c>
      <c r="J66" s="66" t="s">
        <v>37</v>
      </c>
      <c r="K66" s="66" t="s">
        <v>63</v>
      </c>
      <c r="L66" s="70" t="s">
        <v>206</v>
      </c>
      <c r="M66" s="68" t="s">
        <v>654</v>
      </c>
      <c r="N66" s="68" t="s">
        <v>43</v>
      </c>
      <c r="O66" s="68" t="s">
        <v>635</v>
      </c>
      <c r="P66" s="68">
        <v>29699</v>
      </c>
      <c r="Q66" s="303">
        <f t="shared" si="21"/>
        <v>1</v>
      </c>
      <c r="R66" s="303">
        <f t="shared" si="22"/>
        <v>633</v>
      </c>
      <c r="S66" s="68">
        <v>0</v>
      </c>
      <c r="T66" s="68">
        <v>0</v>
      </c>
      <c r="U66" s="68">
        <v>1</v>
      </c>
      <c r="V66" s="68">
        <v>633</v>
      </c>
      <c r="W66" s="68">
        <v>590</v>
      </c>
      <c r="X66" s="68">
        <v>160</v>
      </c>
      <c r="Y66" s="68">
        <v>139</v>
      </c>
      <c r="Z66" s="68">
        <v>79</v>
      </c>
      <c r="AA66" s="68">
        <v>1</v>
      </c>
      <c r="AB66" s="300">
        <f t="shared" si="23"/>
        <v>292.82666666666665</v>
      </c>
      <c r="AC66" s="300">
        <f t="shared" si="24"/>
        <v>1.7640160642570279</v>
      </c>
      <c r="AD66" s="68" t="s">
        <v>48</v>
      </c>
      <c r="AE66" s="68" t="s">
        <v>48</v>
      </c>
      <c r="AF66" s="68" t="s">
        <v>317</v>
      </c>
      <c r="AG66" s="68" t="s">
        <v>317</v>
      </c>
      <c r="AH66" s="68" t="s">
        <v>636</v>
      </c>
      <c r="AI66" s="309"/>
      <c r="AJ66" s="309"/>
      <c r="AK66" s="68" t="s">
        <v>37</v>
      </c>
      <c r="AL66" s="68" t="s">
        <v>94</v>
      </c>
      <c r="AM66" s="299">
        <f t="shared" ca="1" si="20"/>
        <v>1.1388888888832298</v>
      </c>
      <c r="AN66" s="51"/>
      <c r="AO66" s="61" t="s">
        <v>179</v>
      </c>
      <c r="AP66" s="62" t="s">
        <v>654</v>
      </c>
      <c r="AQ66" s="78" t="s">
        <v>722</v>
      </c>
      <c r="AR66" s="64">
        <v>44866.659722222219</v>
      </c>
      <c r="AS66" s="57" t="s">
        <v>173</v>
      </c>
      <c r="AT66" s="61" t="s">
        <v>225</v>
      </c>
      <c r="AU66" s="63">
        <v>0.65972222222222221</v>
      </c>
      <c r="AV66" s="61">
        <v>2</v>
      </c>
      <c r="AW66" s="61" t="s">
        <v>66</v>
      </c>
      <c r="AX66" s="52"/>
      <c r="AY66" s="52"/>
      <c r="AZ66" s="52"/>
      <c r="BA66" s="52"/>
    </row>
    <row r="67" spans="1:53" x14ac:dyDescent="0.25">
      <c r="A67" s="73">
        <v>533</v>
      </c>
      <c r="B67" s="72">
        <v>44865.520833333336</v>
      </c>
      <c r="C67" s="67">
        <v>0.52430555555555558</v>
      </c>
      <c r="D67" s="67">
        <v>0.53472222222222221</v>
      </c>
      <c r="E67" s="67">
        <v>0.55555555555555558</v>
      </c>
      <c r="F67" s="68" t="s">
        <v>170</v>
      </c>
      <c r="G67" s="68" t="s">
        <v>235</v>
      </c>
      <c r="H67" s="66" t="s">
        <v>187</v>
      </c>
      <c r="I67" s="66" t="s">
        <v>110</v>
      </c>
      <c r="J67" s="66" t="s">
        <v>37</v>
      </c>
      <c r="K67" s="66" t="s">
        <v>63</v>
      </c>
      <c r="L67" s="66" t="s">
        <v>212</v>
      </c>
      <c r="M67" s="68" t="s">
        <v>637</v>
      </c>
      <c r="N67" s="68" t="s">
        <v>186</v>
      </c>
      <c r="O67" s="68">
        <v>21222231490</v>
      </c>
      <c r="P67" s="68">
        <v>5051995175</v>
      </c>
      <c r="Q67" s="303">
        <f t="shared" si="21"/>
        <v>1</v>
      </c>
      <c r="R67" s="303">
        <f t="shared" si="22"/>
        <v>43</v>
      </c>
      <c r="S67" s="68">
        <v>0</v>
      </c>
      <c r="T67" s="68">
        <v>0</v>
      </c>
      <c r="U67" s="68">
        <v>1</v>
      </c>
      <c r="V67" s="68">
        <v>43</v>
      </c>
      <c r="W67" s="68">
        <v>42.75</v>
      </c>
      <c r="X67" s="68">
        <v>80</v>
      </c>
      <c r="Y67" s="68">
        <v>60</v>
      </c>
      <c r="Z67" s="68">
        <v>74</v>
      </c>
      <c r="AA67" s="68">
        <v>1</v>
      </c>
      <c r="AB67" s="300">
        <f t="shared" si="23"/>
        <v>59.2</v>
      </c>
      <c r="AC67" s="300">
        <f t="shared" si="24"/>
        <v>0.3566265060240964</v>
      </c>
      <c r="AD67" s="68">
        <v>633.64</v>
      </c>
      <c r="AE67" s="68" t="s">
        <v>109</v>
      </c>
      <c r="AF67" s="68" t="s">
        <v>317</v>
      </c>
      <c r="AG67" s="68" t="s">
        <v>317</v>
      </c>
      <c r="AH67" s="68" t="s">
        <v>638</v>
      </c>
      <c r="AI67" s="309"/>
      <c r="AJ67" s="309"/>
      <c r="AK67" s="68" t="s">
        <v>41</v>
      </c>
      <c r="AL67" s="68" t="s">
        <v>49</v>
      </c>
      <c r="AM67" s="299">
        <f t="shared" ca="1" si="20"/>
        <v>2.1458333333284827</v>
      </c>
      <c r="AN67" s="51"/>
      <c r="AO67" s="61" t="s">
        <v>131</v>
      </c>
      <c r="AP67" s="62" t="s">
        <v>830</v>
      </c>
      <c r="AQ67" s="61" t="s">
        <v>829</v>
      </c>
      <c r="AR67" s="64">
        <v>44867.666666666664</v>
      </c>
      <c r="AS67" s="61" t="s">
        <v>117</v>
      </c>
      <c r="AT67" s="61" t="s">
        <v>225</v>
      </c>
      <c r="AU67" s="59">
        <v>0.66666666666666663</v>
      </c>
      <c r="AV67" s="61">
        <v>2</v>
      </c>
      <c r="AW67" s="58" t="s">
        <v>66</v>
      </c>
      <c r="AX67" s="52"/>
      <c r="AY67" s="52"/>
      <c r="AZ67" s="52"/>
      <c r="BA67" s="52"/>
    </row>
    <row r="68" spans="1:53" x14ac:dyDescent="0.25">
      <c r="A68" s="73">
        <v>534</v>
      </c>
      <c r="B68" s="72">
        <v>44865.520833333336</v>
      </c>
      <c r="C68" s="67">
        <v>0.52430555555555558</v>
      </c>
      <c r="D68" s="67">
        <v>0.53472222222222221</v>
      </c>
      <c r="E68" s="67">
        <v>0.55555555555555558</v>
      </c>
      <c r="F68" s="68" t="s">
        <v>170</v>
      </c>
      <c r="G68" s="68" t="s">
        <v>235</v>
      </c>
      <c r="H68" s="66" t="s">
        <v>187</v>
      </c>
      <c r="I68" s="66" t="s">
        <v>110</v>
      </c>
      <c r="J68" s="66" t="s">
        <v>37</v>
      </c>
      <c r="K68" s="66" t="s">
        <v>63</v>
      </c>
      <c r="L68" s="66" t="s">
        <v>212</v>
      </c>
      <c r="M68" s="68" t="s">
        <v>637</v>
      </c>
      <c r="N68" s="68" t="s">
        <v>186</v>
      </c>
      <c r="O68" s="68">
        <v>21222231444</v>
      </c>
      <c r="P68" s="68">
        <v>5051976276</v>
      </c>
      <c r="Q68" s="303">
        <f t="shared" si="21"/>
        <v>1</v>
      </c>
      <c r="R68" s="303">
        <f t="shared" si="22"/>
        <v>2</v>
      </c>
      <c r="S68" s="68">
        <v>1</v>
      </c>
      <c r="T68" s="68">
        <v>2</v>
      </c>
      <c r="U68" s="68">
        <v>0</v>
      </c>
      <c r="V68" s="68">
        <v>0</v>
      </c>
      <c r="W68" s="68">
        <v>2.4</v>
      </c>
      <c r="X68" s="68">
        <v>27</v>
      </c>
      <c r="Y68" s="68">
        <v>21</v>
      </c>
      <c r="Z68" s="68">
        <v>17</v>
      </c>
      <c r="AA68" s="68">
        <v>1</v>
      </c>
      <c r="AB68" s="300">
        <f t="shared" si="23"/>
        <v>1.6065</v>
      </c>
      <c r="AC68" s="300">
        <f t="shared" si="24"/>
        <v>9.6777108433734934E-3</v>
      </c>
      <c r="AD68" s="68">
        <v>103.02</v>
      </c>
      <c r="AE68" s="68" t="s">
        <v>109</v>
      </c>
      <c r="AF68" s="68" t="s">
        <v>317</v>
      </c>
      <c r="AG68" s="68" t="s">
        <v>317</v>
      </c>
      <c r="AH68" s="68" t="s">
        <v>639</v>
      </c>
      <c r="AI68" s="309"/>
      <c r="AJ68" s="309"/>
      <c r="AK68" s="68" t="s">
        <v>48</v>
      </c>
      <c r="AL68" s="68" t="s">
        <v>49</v>
      </c>
      <c r="AM68" s="299">
        <f t="shared" ca="1" si="20"/>
        <v>2.1458333333284827</v>
      </c>
      <c r="AN68" s="51"/>
      <c r="AO68" s="61" t="s">
        <v>131</v>
      </c>
      <c r="AP68" s="62" t="s">
        <v>830</v>
      </c>
      <c r="AQ68" s="61" t="s">
        <v>829</v>
      </c>
      <c r="AR68" s="64">
        <v>44867.666666666664</v>
      </c>
      <c r="AS68" s="61" t="s">
        <v>117</v>
      </c>
      <c r="AT68" s="61" t="s">
        <v>225</v>
      </c>
      <c r="AU68" s="59">
        <v>0.66666666666666663</v>
      </c>
      <c r="AV68" s="61">
        <v>2</v>
      </c>
      <c r="AW68" s="58" t="s">
        <v>66</v>
      </c>
      <c r="AX68" s="52"/>
      <c r="AY68" s="52"/>
      <c r="AZ68" s="52"/>
      <c r="BA68" s="52"/>
    </row>
    <row r="69" spans="1:53" x14ac:dyDescent="0.25">
      <c r="A69" s="73">
        <v>535</v>
      </c>
      <c r="B69" s="72">
        <v>44865.520833333336</v>
      </c>
      <c r="C69" s="67">
        <v>0.52430555555555558</v>
      </c>
      <c r="D69" s="67">
        <v>0.53472222222222221</v>
      </c>
      <c r="E69" s="67">
        <v>0.55555555555555558</v>
      </c>
      <c r="F69" s="68" t="s">
        <v>170</v>
      </c>
      <c r="G69" s="68" t="s">
        <v>235</v>
      </c>
      <c r="H69" s="66" t="s">
        <v>187</v>
      </c>
      <c r="I69" s="66" t="s">
        <v>110</v>
      </c>
      <c r="J69" s="66" t="s">
        <v>37</v>
      </c>
      <c r="K69" s="66" t="s">
        <v>63</v>
      </c>
      <c r="L69" s="66" t="s">
        <v>212</v>
      </c>
      <c r="M69" s="68" t="s">
        <v>637</v>
      </c>
      <c r="N69" s="68" t="s">
        <v>186</v>
      </c>
      <c r="O69" s="68">
        <v>21222231480</v>
      </c>
      <c r="P69" s="68">
        <v>5051973288</v>
      </c>
      <c r="Q69" s="303">
        <f t="shared" si="21"/>
        <v>1</v>
      </c>
      <c r="R69" s="303">
        <f t="shared" si="22"/>
        <v>5</v>
      </c>
      <c r="S69" s="68">
        <v>1</v>
      </c>
      <c r="T69" s="68">
        <v>5</v>
      </c>
      <c r="U69" s="68">
        <v>0</v>
      </c>
      <c r="V69" s="68">
        <v>0</v>
      </c>
      <c r="W69" s="68">
        <v>5.5949999999999998</v>
      </c>
      <c r="X69" s="68">
        <v>30</v>
      </c>
      <c r="Y69" s="68">
        <v>20</v>
      </c>
      <c r="Z69" s="68">
        <v>32</v>
      </c>
      <c r="AA69" s="68">
        <v>1</v>
      </c>
      <c r="AB69" s="300">
        <f t="shared" si="23"/>
        <v>3.2</v>
      </c>
      <c r="AC69" s="300">
        <f t="shared" si="24"/>
        <v>1.9277108433734941E-2</v>
      </c>
      <c r="AD69" s="68">
        <v>403.9</v>
      </c>
      <c r="AE69" s="68" t="s">
        <v>109</v>
      </c>
      <c r="AF69" s="68" t="s">
        <v>317</v>
      </c>
      <c r="AG69" s="68" t="s">
        <v>317</v>
      </c>
      <c r="AH69" s="68" t="s">
        <v>640</v>
      </c>
      <c r="AI69" s="309"/>
      <c r="AJ69" s="309"/>
      <c r="AK69" s="68" t="s">
        <v>48</v>
      </c>
      <c r="AL69" s="68" t="s">
        <v>49</v>
      </c>
      <c r="AM69" s="299">
        <f t="shared" ca="1" si="20"/>
        <v>2.1458333333284827</v>
      </c>
      <c r="AN69" s="51"/>
      <c r="AO69" s="61" t="s">
        <v>131</v>
      </c>
      <c r="AP69" s="62" t="s">
        <v>830</v>
      </c>
      <c r="AQ69" s="61" t="s">
        <v>829</v>
      </c>
      <c r="AR69" s="64">
        <v>44867.666666666664</v>
      </c>
      <c r="AS69" s="61" t="s">
        <v>117</v>
      </c>
      <c r="AT69" s="61" t="s">
        <v>225</v>
      </c>
      <c r="AU69" s="59">
        <v>0.66666666666666663</v>
      </c>
      <c r="AV69" s="61">
        <v>2</v>
      </c>
      <c r="AW69" s="58" t="s">
        <v>66</v>
      </c>
      <c r="AX69" s="52"/>
      <c r="AY69" s="52"/>
      <c r="AZ69" s="52"/>
      <c r="BA69" s="52"/>
    </row>
    <row r="70" spans="1:53" x14ac:dyDescent="0.25">
      <c r="A70" s="73">
        <v>536</v>
      </c>
      <c r="B70" s="72">
        <v>44865.520833333336</v>
      </c>
      <c r="C70" s="67">
        <v>0.52430555555555558</v>
      </c>
      <c r="D70" s="67">
        <v>0.53472222222222221</v>
      </c>
      <c r="E70" s="67">
        <v>0.55555555555555558</v>
      </c>
      <c r="F70" s="68" t="s">
        <v>170</v>
      </c>
      <c r="G70" s="68" t="s">
        <v>235</v>
      </c>
      <c r="H70" s="66" t="s">
        <v>187</v>
      </c>
      <c r="I70" s="66" t="s">
        <v>110</v>
      </c>
      <c r="J70" s="66" t="s">
        <v>37</v>
      </c>
      <c r="K70" s="66" t="s">
        <v>63</v>
      </c>
      <c r="L70" s="66" t="s">
        <v>212</v>
      </c>
      <c r="M70" s="68" t="s">
        <v>637</v>
      </c>
      <c r="N70" s="68" t="s">
        <v>186</v>
      </c>
      <c r="O70" s="68">
        <v>21222231482</v>
      </c>
      <c r="P70" s="68">
        <v>5051981641</v>
      </c>
      <c r="Q70" s="303">
        <f t="shared" si="21"/>
        <v>1</v>
      </c>
      <c r="R70" s="303">
        <f t="shared" si="22"/>
        <v>1</v>
      </c>
      <c r="S70" s="68">
        <v>1</v>
      </c>
      <c r="T70" s="68">
        <v>1</v>
      </c>
      <c r="U70" s="68">
        <v>0</v>
      </c>
      <c r="V70" s="68">
        <v>0</v>
      </c>
      <c r="W70" s="68">
        <v>1.1499999999999999</v>
      </c>
      <c r="X70" s="68">
        <v>27</v>
      </c>
      <c r="Y70" s="68">
        <v>21</v>
      </c>
      <c r="Z70" s="68">
        <v>18</v>
      </c>
      <c r="AA70" s="68">
        <v>1</v>
      </c>
      <c r="AB70" s="300">
        <f t="shared" si="23"/>
        <v>1.7010000000000001</v>
      </c>
      <c r="AC70" s="300">
        <f t="shared" si="24"/>
        <v>1.0246987951807229E-2</v>
      </c>
      <c r="AD70" s="68">
        <v>76.06</v>
      </c>
      <c r="AE70" s="68" t="s">
        <v>109</v>
      </c>
      <c r="AF70" s="68" t="s">
        <v>317</v>
      </c>
      <c r="AG70" s="68" t="s">
        <v>317</v>
      </c>
      <c r="AH70" s="68" t="s">
        <v>641</v>
      </c>
      <c r="AI70" s="309"/>
      <c r="AJ70" s="309"/>
      <c r="AK70" s="68" t="s">
        <v>48</v>
      </c>
      <c r="AL70" s="68" t="s">
        <v>49</v>
      </c>
      <c r="AM70" s="299">
        <f t="shared" ca="1" si="20"/>
        <v>2.1458333333284827</v>
      </c>
      <c r="AN70" s="51"/>
      <c r="AO70" s="61" t="s">
        <v>131</v>
      </c>
      <c r="AP70" s="62" t="s">
        <v>830</v>
      </c>
      <c r="AQ70" s="61" t="s">
        <v>829</v>
      </c>
      <c r="AR70" s="64">
        <v>44867.666666666664</v>
      </c>
      <c r="AS70" s="61" t="s">
        <v>117</v>
      </c>
      <c r="AT70" s="61" t="s">
        <v>225</v>
      </c>
      <c r="AU70" s="59">
        <v>0.66666666666666663</v>
      </c>
      <c r="AV70" s="61">
        <v>2</v>
      </c>
      <c r="AW70" s="58" t="s">
        <v>66</v>
      </c>
      <c r="AX70" s="52"/>
      <c r="AY70" s="52"/>
      <c r="AZ70" s="52"/>
      <c r="BA70" s="52"/>
    </row>
    <row r="71" spans="1:53" x14ac:dyDescent="0.25">
      <c r="A71" s="73">
        <v>537</v>
      </c>
      <c r="B71" s="72">
        <v>44865.520833333336</v>
      </c>
      <c r="C71" s="67">
        <v>0.52430555555555558</v>
      </c>
      <c r="D71" s="67">
        <v>0.53472222222222221</v>
      </c>
      <c r="E71" s="67">
        <v>0.55555555555555558</v>
      </c>
      <c r="F71" s="68" t="s">
        <v>170</v>
      </c>
      <c r="G71" s="68" t="s">
        <v>235</v>
      </c>
      <c r="H71" s="66" t="s">
        <v>187</v>
      </c>
      <c r="I71" s="66" t="s">
        <v>110</v>
      </c>
      <c r="J71" s="66" t="s">
        <v>37</v>
      </c>
      <c r="K71" s="66" t="s">
        <v>63</v>
      </c>
      <c r="L71" s="66" t="s">
        <v>212</v>
      </c>
      <c r="M71" s="68" t="s">
        <v>637</v>
      </c>
      <c r="N71" s="68" t="s">
        <v>186</v>
      </c>
      <c r="O71" s="68">
        <v>21222231481</v>
      </c>
      <c r="P71" s="68">
        <v>5051977139</v>
      </c>
      <c r="Q71" s="303">
        <f t="shared" si="21"/>
        <v>1</v>
      </c>
      <c r="R71" s="303">
        <f t="shared" si="22"/>
        <v>17</v>
      </c>
      <c r="S71" s="68">
        <v>1</v>
      </c>
      <c r="T71" s="68">
        <v>17</v>
      </c>
      <c r="U71" s="68">
        <v>0</v>
      </c>
      <c r="V71" s="68">
        <v>0</v>
      </c>
      <c r="W71" s="68">
        <v>17</v>
      </c>
      <c r="X71" s="68">
        <v>40</v>
      </c>
      <c r="Y71" s="68">
        <v>30</v>
      </c>
      <c r="Z71" s="68">
        <v>30</v>
      </c>
      <c r="AA71" s="68">
        <v>1</v>
      </c>
      <c r="AB71" s="300">
        <f t="shared" si="23"/>
        <v>6</v>
      </c>
      <c r="AC71" s="300">
        <f t="shared" si="24"/>
        <v>3.614457831325301E-2</v>
      </c>
      <c r="AD71" s="68">
        <v>702.98</v>
      </c>
      <c r="AE71" s="68" t="s">
        <v>109</v>
      </c>
      <c r="AF71" s="68" t="s">
        <v>317</v>
      </c>
      <c r="AG71" s="68" t="s">
        <v>317</v>
      </c>
      <c r="AH71" s="68" t="s">
        <v>642</v>
      </c>
      <c r="AI71" s="309"/>
      <c r="AJ71" s="309"/>
      <c r="AK71" s="68" t="s">
        <v>48</v>
      </c>
      <c r="AL71" s="68" t="s">
        <v>49</v>
      </c>
      <c r="AM71" s="299">
        <f t="shared" ca="1" si="20"/>
        <v>2.1458333333284827</v>
      </c>
      <c r="AN71" s="51"/>
      <c r="AO71" s="61" t="s">
        <v>131</v>
      </c>
      <c r="AP71" s="62" t="s">
        <v>830</v>
      </c>
      <c r="AQ71" s="61" t="s">
        <v>829</v>
      </c>
      <c r="AR71" s="64">
        <v>44867.666666666664</v>
      </c>
      <c r="AS71" s="61" t="s">
        <v>117</v>
      </c>
      <c r="AT71" s="61" t="s">
        <v>225</v>
      </c>
      <c r="AU71" s="59">
        <v>0.66666666666666663</v>
      </c>
      <c r="AV71" s="61">
        <v>2</v>
      </c>
      <c r="AW71" s="58" t="s">
        <v>66</v>
      </c>
      <c r="AX71" s="52"/>
      <c r="AY71" s="52"/>
      <c r="AZ71" s="52"/>
      <c r="BA71" s="52"/>
    </row>
    <row r="72" spans="1:53" x14ac:dyDescent="0.25">
      <c r="A72" s="73">
        <v>538</v>
      </c>
      <c r="B72" s="72">
        <v>44865.520833333336</v>
      </c>
      <c r="C72" s="67">
        <v>0.52430555555555558</v>
      </c>
      <c r="D72" s="67">
        <v>0.53472222222222221</v>
      </c>
      <c r="E72" s="67">
        <v>0.55555555555555558</v>
      </c>
      <c r="F72" s="68" t="s">
        <v>170</v>
      </c>
      <c r="G72" s="68" t="s">
        <v>235</v>
      </c>
      <c r="H72" s="66" t="s">
        <v>187</v>
      </c>
      <c r="I72" s="66" t="s">
        <v>110</v>
      </c>
      <c r="J72" s="66" t="s">
        <v>37</v>
      </c>
      <c r="K72" s="66" t="s">
        <v>63</v>
      </c>
      <c r="L72" s="66" t="s">
        <v>212</v>
      </c>
      <c r="M72" s="68" t="s">
        <v>637</v>
      </c>
      <c r="N72" s="68" t="s">
        <v>186</v>
      </c>
      <c r="O72" s="68">
        <v>21222231446</v>
      </c>
      <c r="P72" s="68">
        <v>5051982638</v>
      </c>
      <c r="Q72" s="303">
        <f t="shared" si="21"/>
        <v>1</v>
      </c>
      <c r="R72" s="303">
        <f t="shared" si="22"/>
        <v>32</v>
      </c>
      <c r="S72" s="68">
        <v>0</v>
      </c>
      <c r="T72" s="68">
        <v>0</v>
      </c>
      <c r="U72" s="68">
        <v>1</v>
      </c>
      <c r="V72" s="68">
        <v>32</v>
      </c>
      <c r="W72" s="68">
        <v>31.6</v>
      </c>
      <c r="X72" s="68">
        <v>80</v>
      </c>
      <c r="Y72" s="68">
        <v>60</v>
      </c>
      <c r="Z72" s="68">
        <v>46</v>
      </c>
      <c r="AA72" s="68">
        <v>1</v>
      </c>
      <c r="AB72" s="300">
        <f t="shared" si="23"/>
        <v>36.799999999999997</v>
      </c>
      <c r="AC72" s="300">
        <f t="shared" si="24"/>
        <v>0.22168674698795179</v>
      </c>
      <c r="AD72" s="68">
        <v>1675.92</v>
      </c>
      <c r="AE72" s="68" t="s">
        <v>109</v>
      </c>
      <c r="AF72" s="68" t="s">
        <v>317</v>
      </c>
      <c r="AG72" s="68" t="s">
        <v>317</v>
      </c>
      <c r="AH72" s="68" t="s">
        <v>643</v>
      </c>
      <c r="AI72" s="309"/>
      <c r="AJ72" s="309"/>
      <c r="AK72" s="68" t="s">
        <v>41</v>
      </c>
      <c r="AL72" s="68" t="s">
        <v>49</v>
      </c>
      <c r="AM72" s="299">
        <f t="shared" ca="1" si="20"/>
        <v>2.1458333333284827</v>
      </c>
      <c r="AN72" s="51"/>
      <c r="AO72" s="61" t="s">
        <v>131</v>
      </c>
      <c r="AP72" s="62" t="s">
        <v>830</v>
      </c>
      <c r="AQ72" s="61" t="s">
        <v>829</v>
      </c>
      <c r="AR72" s="64">
        <v>44867.666666666664</v>
      </c>
      <c r="AS72" s="61" t="s">
        <v>117</v>
      </c>
      <c r="AT72" s="61" t="s">
        <v>225</v>
      </c>
      <c r="AU72" s="59">
        <v>0.66666666666666663</v>
      </c>
      <c r="AV72" s="61">
        <v>2</v>
      </c>
      <c r="AW72" s="58" t="s">
        <v>66</v>
      </c>
      <c r="AX72" s="52"/>
      <c r="AY72" s="52"/>
      <c r="AZ72" s="52"/>
      <c r="BA72" s="52"/>
    </row>
    <row r="73" spans="1:53" x14ac:dyDescent="0.25">
      <c r="A73" s="73">
        <v>539</v>
      </c>
      <c r="B73" s="72">
        <v>44865.520833333336</v>
      </c>
      <c r="C73" s="67">
        <v>0.52430555555555558</v>
      </c>
      <c r="D73" s="67">
        <v>0.53472222222222221</v>
      </c>
      <c r="E73" s="67">
        <v>0.55555555555555558</v>
      </c>
      <c r="F73" s="68" t="s">
        <v>170</v>
      </c>
      <c r="G73" s="68" t="s">
        <v>235</v>
      </c>
      <c r="H73" s="66" t="s">
        <v>187</v>
      </c>
      <c r="I73" s="66" t="s">
        <v>110</v>
      </c>
      <c r="J73" s="66" t="s">
        <v>37</v>
      </c>
      <c r="K73" s="66" t="s">
        <v>63</v>
      </c>
      <c r="L73" s="66" t="s">
        <v>212</v>
      </c>
      <c r="M73" s="68" t="s">
        <v>637</v>
      </c>
      <c r="N73" s="68" t="s">
        <v>186</v>
      </c>
      <c r="O73" s="68">
        <v>21222231445</v>
      </c>
      <c r="P73" s="68">
        <v>5051977912</v>
      </c>
      <c r="Q73" s="303">
        <f t="shared" si="21"/>
        <v>1</v>
      </c>
      <c r="R73" s="303">
        <f t="shared" si="22"/>
        <v>13</v>
      </c>
      <c r="S73" s="68">
        <v>1</v>
      </c>
      <c r="T73" s="68">
        <v>13</v>
      </c>
      <c r="U73" s="68">
        <v>0</v>
      </c>
      <c r="V73" s="68">
        <v>0</v>
      </c>
      <c r="W73" s="68">
        <v>13.25</v>
      </c>
      <c r="X73" s="68">
        <v>40</v>
      </c>
      <c r="Y73" s="68">
        <v>30</v>
      </c>
      <c r="Z73" s="68">
        <v>30</v>
      </c>
      <c r="AA73" s="68">
        <v>1</v>
      </c>
      <c r="AB73" s="300">
        <f t="shared" si="23"/>
        <v>6</v>
      </c>
      <c r="AC73" s="300">
        <f t="shared" si="24"/>
        <v>3.614457831325301E-2</v>
      </c>
      <c r="AD73" s="68">
        <v>576.77</v>
      </c>
      <c r="AE73" s="68" t="s">
        <v>109</v>
      </c>
      <c r="AF73" s="68" t="s">
        <v>317</v>
      </c>
      <c r="AG73" s="68" t="s">
        <v>317</v>
      </c>
      <c r="AH73" s="68" t="s">
        <v>644</v>
      </c>
      <c r="AI73" s="309"/>
      <c r="AJ73" s="309"/>
      <c r="AK73" s="68" t="s">
        <v>48</v>
      </c>
      <c r="AL73" s="68" t="s">
        <v>49</v>
      </c>
      <c r="AM73" s="299">
        <f t="shared" ca="1" si="20"/>
        <v>2.1458333333284827</v>
      </c>
      <c r="AN73" s="51"/>
      <c r="AO73" s="61" t="s">
        <v>131</v>
      </c>
      <c r="AP73" s="62" t="s">
        <v>830</v>
      </c>
      <c r="AQ73" s="61" t="s">
        <v>829</v>
      </c>
      <c r="AR73" s="64">
        <v>44867.666666666664</v>
      </c>
      <c r="AS73" s="61" t="s">
        <v>117</v>
      </c>
      <c r="AT73" s="61" t="s">
        <v>225</v>
      </c>
      <c r="AU73" s="59">
        <v>0.66666666666666663</v>
      </c>
      <c r="AV73" s="61">
        <v>2</v>
      </c>
      <c r="AW73" s="58" t="s">
        <v>66</v>
      </c>
      <c r="AX73" s="52"/>
      <c r="AY73" s="52"/>
      <c r="AZ73" s="52"/>
      <c r="BA73" s="52"/>
    </row>
    <row r="74" spans="1:53" x14ac:dyDescent="0.25">
      <c r="A74" s="73">
        <v>540</v>
      </c>
      <c r="B74" s="72">
        <v>44865.645833333336</v>
      </c>
      <c r="C74" s="67">
        <v>0.64930555555555558</v>
      </c>
      <c r="D74" s="67">
        <v>0.65972222222222221</v>
      </c>
      <c r="E74" s="67">
        <v>0.67361111111111116</v>
      </c>
      <c r="F74" s="68" t="s">
        <v>169</v>
      </c>
      <c r="G74" s="68" t="s">
        <v>267</v>
      </c>
      <c r="H74" s="71" t="s">
        <v>145</v>
      </c>
      <c r="I74" s="71" t="s">
        <v>146</v>
      </c>
      <c r="J74" s="71" t="s">
        <v>41</v>
      </c>
      <c r="K74" s="71" t="s">
        <v>233</v>
      </c>
      <c r="L74" s="71" t="s">
        <v>223</v>
      </c>
      <c r="M74" s="68" t="s">
        <v>645</v>
      </c>
      <c r="N74" s="68" t="s">
        <v>38</v>
      </c>
      <c r="O74" s="68">
        <v>97000518</v>
      </c>
      <c r="P74" s="68">
        <v>17368</v>
      </c>
      <c r="Q74" s="303">
        <f t="shared" si="21"/>
        <v>44</v>
      </c>
      <c r="R74" s="303">
        <f t="shared" si="22"/>
        <v>690</v>
      </c>
      <c r="S74" s="68">
        <v>44</v>
      </c>
      <c r="T74" s="68">
        <v>690</v>
      </c>
      <c r="U74" s="68">
        <v>0</v>
      </c>
      <c r="V74" s="68">
        <v>0</v>
      </c>
      <c r="W74" s="68">
        <v>676</v>
      </c>
      <c r="X74" s="68">
        <v>60</v>
      </c>
      <c r="Y74" s="68">
        <v>29</v>
      </c>
      <c r="Z74" s="68">
        <v>50</v>
      </c>
      <c r="AA74" s="68">
        <v>34</v>
      </c>
      <c r="AB74" s="300">
        <f t="shared" si="23"/>
        <v>493</v>
      </c>
      <c r="AC74" s="300">
        <f t="shared" si="24"/>
        <v>2.9698795180722892</v>
      </c>
      <c r="AD74" s="68">
        <v>36169.199999999997</v>
      </c>
      <c r="AE74" s="68" t="s">
        <v>109</v>
      </c>
      <c r="AF74" s="68" t="s">
        <v>317</v>
      </c>
      <c r="AG74" s="68" t="s">
        <v>317</v>
      </c>
      <c r="AH74" s="68" t="s">
        <v>646</v>
      </c>
      <c r="AI74" s="309"/>
      <c r="AJ74" s="309"/>
      <c r="AK74" s="68" t="s">
        <v>48</v>
      </c>
      <c r="AL74" s="68" t="s">
        <v>56</v>
      </c>
      <c r="AM74" s="299">
        <f t="shared" ca="1" si="20"/>
        <v>1.0138888888832298</v>
      </c>
      <c r="AN74" s="51"/>
      <c r="AO74" s="78" t="s">
        <v>147</v>
      </c>
      <c r="AP74" s="62" t="s">
        <v>645</v>
      </c>
      <c r="AQ74" s="61" t="s">
        <v>720</v>
      </c>
      <c r="AR74" s="64">
        <v>44866.659722222219</v>
      </c>
      <c r="AS74" s="57" t="s">
        <v>173</v>
      </c>
      <c r="AT74" s="61" t="s">
        <v>225</v>
      </c>
      <c r="AU74" s="63">
        <v>0.65972222222222221</v>
      </c>
      <c r="AV74" s="61">
        <v>2</v>
      </c>
      <c r="AW74" s="61" t="s">
        <v>66</v>
      </c>
      <c r="AX74" s="52"/>
      <c r="AY74" s="52"/>
      <c r="AZ74" s="52"/>
      <c r="BA74" s="52"/>
    </row>
    <row r="75" spans="1:53" x14ac:dyDescent="0.25">
      <c r="A75" s="73">
        <v>540</v>
      </c>
      <c r="B75" s="72">
        <v>44865.645833333336</v>
      </c>
      <c r="C75" s="67">
        <v>0.64930555555555558</v>
      </c>
      <c r="D75" s="67">
        <v>0.65972222222222221</v>
      </c>
      <c r="E75" s="67">
        <v>0.67361111111111116</v>
      </c>
      <c r="F75" s="68" t="s">
        <v>169</v>
      </c>
      <c r="G75" s="68" t="s">
        <v>267</v>
      </c>
      <c r="H75" s="66" t="s">
        <v>145</v>
      </c>
      <c r="I75" s="66" t="s">
        <v>146</v>
      </c>
      <c r="J75" s="66" t="s">
        <v>41</v>
      </c>
      <c r="K75" s="66" t="s">
        <v>233</v>
      </c>
      <c r="L75" s="66" t="s">
        <v>223</v>
      </c>
      <c r="M75" s="68" t="s">
        <v>645</v>
      </c>
      <c r="N75" s="68" t="s">
        <v>38</v>
      </c>
      <c r="O75" s="68">
        <v>97000518</v>
      </c>
      <c r="P75" s="68">
        <v>17368</v>
      </c>
      <c r="Q75" s="303">
        <f t="shared" si="21"/>
        <v>0</v>
      </c>
      <c r="R75" s="303">
        <f t="shared" si="22"/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8">
        <v>60</v>
      </c>
      <c r="Y75" s="68">
        <v>29</v>
      </c>
      <c r="Z75" s="68">
        <v>47</v>
      </c>
      <c r="AA75" s="68">
        <v>7</v>
      </c>
      <c r="AB75" s="300">
        <f t="shared" si="23"/>
        <v>95.41</v>
      </c>
      <c r="AC75" s="300">
        <f t="shared" si="24"/>
        <v>0.57475903614457824</v>
      </c>
      <c r="AD75" s="68">
        <v>0</v>
      </c>
      <c r="AE75" s="68">
        <v>0</v>
      </c>
      <c r="AF75" s="68" t="s">
        <v>317</v>
      </c>
      <c r="AG75" s="68" t="s">
        <v>317</v>
      </c>
      <c r="AH75" s="68" t="s">
        <v>646</v>
      </c>
      <c r="AI75" s="309"/>
      <c r="AJ75" s="309"/>
      <c r="AK75" s="68" t="s">
        <v>48</v>
      </c>
      <c r="AL75" s="68" t="s">
        <v>56</v>
      </c>
      <c r="AM75" s="299">
        <f t="shared" ca="1" si="20"/>
        <v>1.0138888888832298</v>
      </c>
      <c r="AN75" s="51"/>
      <c r="AO75" s="78" t="s">
        <v>147</v>
      </c>
      <c r="AP75" s="62" t="s">
        <v>645</v>
      </c>
      <c r="AQ75" s="61" t="s">
        <v>720</v>
      </c>
      <c r="AR75" s="64">
        <v>44866.659722222219</v>
      </c>
      <c r="AS75" s="57" t="s">
        <v>173</v>
      </c>
      <c r="AT75" s="61" t="s">
        <v>225</v>
      </c>
      <c r="AU75" s="63">
        <v>0.65972222222222221</v>
      </c>
      <c r="AV75" s="61">
        <v>2</v>
      </c>
      <c r="AW75" s="61" t="s">
        <v>66</v>
      </c>
      <c r="AX75" s="52"/>
      <c r="AY75" s="52"/>
      <c r="AZ75" s="52"/>
      <c r="BA75" s="52"/>
    </row>
    <row r="76" spans="1:53" x14ac:dyDescent="0.25">
      <c r="A76" s="73">
        <v>540</v>
      </c>
      <c r="B76" s="72">
        <v>44865.645833333336</v>
      </c>
      <c r="C76" s="67">
        <v>0.64930555555555558</v>
      </c>
      <c r="D76" s="67">
        <v>0.65972222222222221</v>
      </c>
      <c r="E76" s="67">
        <v>0.67361111111111116</v>
      </c>
      <c r="F76" s="68" t="s">
        <v>169</v>
      </c>
      <c r="G76" s="68" t="s">
        <v>267</v>
      </c>
      <c r="H76" s="66" t="s">
        <v>145</v>
      </c>
      <c r="I76" s="66" t="s">
        <v>146</v>
      </c>
      <c r="J76" s="66" t="s">
        <v>41</v>
      </c>
      <c r="K76" s="66" t="s">
        <v>233</v>
      </c>
      <c r="L76" s="66" t="s">
        <v>223</v>
      </c>
      <c r="M76" s="68" t="s">
        <v>645</v>
      </c>
      <c r="N76" s="68" t="s">
        <v>38</v>
      </c>
      <c r="O76" s="68">
        <v>97000518</v>
      </c>
      <c r="P76" s="68">
        <v>17368</v>
      </c>
      <c r="Q76" s="303">
        <f t="shared" si="21"/>
        <v>0</v>
      </c>
      <c r="R76" s="303">
        <f t="shared" si="22"/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8">
        <v>60</v>
      </c>
      <c r="Y76" s="68">
        <v>29</v>
      </c>
      <c r="Z76" s="68">
        <v>53</v>
      </c>
      <c r="AA76" s="68">
        <v>1</v>
      </c>
      <c r="AB76" s="300">
        <f t="shared" si="23"/>
        <v>15.37</v>
      </c>
      <c r="AC76" s="300">
        <f t="shared" si="24"/>
        <v>9.2590361445783129E-2</v>
      </c>
      <c r="AD76" s="68">
        <v>0</v>
      </c>
      <c r="AE76" s="68">
        <v>0</v>
      </c>
      <c r="AF76" s="68" t="s">
        <v>317</v>
      </c>
      <c r="AG76" s="68" t="s">
        <v>317</v>
      </c>
      <c r="AH76" s="68" t="s">
        <v>646</v>
      </c>
      <c r="AI76" s="309"/>
      <c r="AJ76" s="309"/>
      <c r="AK76" s="68" t="s">
        <v>48</v>
      </c>
      <c r="AL76" s="68" t="s">
        <v>56</v>
      </c>
      <c r="AM76" s="299">
        <f t="shared" ca="1" si="20"/>
        <v>1.0138888888832298</v>
      </c>
      <c r="AN76" s="51"/>
      <c r="AO76" s="78" t="s">
        <v>147</v>
      </c>
      <c r="AP76" s="62" t="s">
        <v>645</v>
      </c>
      <c r="AQ76" s="61" t="s">
        <v>720</v>
      </c>
      <c r="AR76" s="64">
        <v>44866.659722222219</v>
      </c>
      <c r="AS76" s="57" t="s">
        <v>173</v>
      </c>
      <c r="AT76" s="61" t="s">
        <v>225</v>
      </c>
      <c r="AU76" s="63">
        <v>0.65972222222222221</v>
      </c>
      <c r="AV76" s="61">
        <v>2</v>
      </c>
      <c r="AW76" s="61" t="s">
        <v>66</v>
      </c>
      <c r="AX76" s="52"/>
      <c r="AY76" s="52"/>
      <c r="AZ76" s="52"/>
      <c r="BA76" s="52"/>
    </row>
    <row r="77" spans="1:53" x14ac:dyDescent="0.25">
      <c r="A77" s="73">
        <v>540</v>
      </c>
      <c r="B77" s="72">
        <v>44865.645833333336</v>
      </c>
      <c r="C77" s="67">
        <v>0.64930555555555558</v>
      </c>
      <c r="D77" s="67">
        <v>0.65972222222222221</v>
      </c>
      <c r="E77" s="67">
        <v>0.67361111111111116</v>
      </c>
      <c r="F77" s="68" t="s">
        <v>169</v>
      </c>
      <c r="G77" s="68" t="s">
        <v>267</v>
      </c>
      <c r="H77" s="66" t="s">
        <v>145</v>
      </c>
      <c r="I77" s="66" t="s">
        <v>146</v>
      </c>
      <c r="J77" s="66" t="s">
        <v>41</v>
      </c>
      <c r="K77" s="66" t="s">
        <v>233</v>
      </c>
      <c r="L77" s="66" t="s">
        <v>223</v>
      </c>
      <c r="M77" s="68" t="s">
        <v>645</v>
      </c>
      <c r="N77" s="68" t="s">
        <v>38</v>
      </c>
      <c r="O77" s="68">
        <v>97000518</v>
      </c>
      <c r="P77" s="68">
        <v>17368</v>
      </c>
      <c r="Q77" s="303">
        <f t="shared" si="21"/>
        <v>0</v>
      </c>
      <c r="R77" s="303">
        <f t="shared" si="22"/>
        <v>0</v>
      </c>
      <c r="S77" s="68">
        <v>0</v>
      </c>
      <c r="T77" s="68">
        <v>0</v>
      </c>
      <c r="U77" s="68">
        <v>0</v>
      </c>
      <c r="V77" s="68">
        <v>0</v>
      </c>
      <c r="W77" s="68">
        <v>0</v>
      </c>
      <c r="X77" s="68">
        <v>60</v>
      </c>
      <c r="Y77" s="68">
        <v>29</v>
      </c>
      <c r="Z77" s="68">
        <v>38</v>
      </c>
      <c r="AA77" s="68">
        <v>1</v>
      </c>
      <c r="AB77" s="300">
        <f t="shared" si="23"/>
        <v>11.02</v>
      </c>
      <c r="AC77" s="300">
        <f t="shared" si="24"/>
        <v>6.6385542168674691E-2</v>
      </c>
      <c r="AD77" s="68">
        <v>0</v>
      </c>
      <c r="AE77" s="68">
        <v>0</v>
      </c>
      <c r="AF77" s="68" t="s">
        <v>317</v>
      </c>
      <c r="AG77" s="68" t="s">
        <v>317</v>
      </c>
      <c r="AH77" s="68" t="s">
        <v>646</v>
      </c>
      <c r="AI77" s="309"/>
      <c r="AJ77" s="309"/>
      <c r="AK77" s="68" t="s">
        <v>48</v>
      </c>
      <c r="AL77" s="68" t="s">
        <v>56</v>
      </c>
      <c r="AM77" s="299">
        <f t="shared" ca="1" si="20"/>
        <v>1.0138888888832298</v>
      </c>
      <c r="AN77" s="51"/>
      <c r="AO77" s="78" t="s">
        <v>147</v>
      </c>
      <c r="AP77" s="62" t="s">
        <v>645</v>
      </c>
      <c r="AQ77" s="61" t="s">
        <v>720</v>
      </c>
      <c r="AR77" s="64">
        <v>44866.659722222219</v>
      </c>
      <c r="AS77" s="57" t="s">
        <v>173</v>
      </c>
      <c r="AT77" s="61" t="s">
        <v>225</v>
      </c>
      <c r="AU77" s="63">
        <v>0.65972222222222221</v>
      </c>
      <c r="AV77" s="61">
        <v>2</v>
      </c>
      <c r="AW77" s="61" t="s">
        <v>66</v>
      </c>
      <c r="AX77" s="52"/>
      <c r="AY77" s="52"/>
      <c r="AZ77" s="52"/>
      <c r="BA77" s="52"/>
    </row>
    <row r="78" spans="1:53" x14ac:dyDescent="0.25">
      <c r="A78" s="73">
        <v>540</v>
      </c>
      <c r="B78" s="72">
        <v>44865.645833333336</v>
      </c>
      <c r="C78" s="67">
        <v>0.64930555555555558</v>
      </c>
      <c r="D78" s="67">
        <v>0.65972222222222221</v>
      </c>
      <c r="E78" s="67">
        <v>0.67361111111111116</v>
      </c>
      <c r="F78" s="68" t="s">
        <v>169</v>
      </c>
      <c r="G78" s="68" t="s">
        <v>267</v>
      </c>
      <c r="H78" s="66" t="s">
        <v>145</v>
      </c>
      <c r="I78" s="66" t="s">
        <v>146</v>
      </c>
      <c r="J78" s="66" t="s">
        <v>41</v>
      </c>
      <c r="K78" s="66" t="s">
        <v>233</v>
      </c>
      <c r="L78" s="66" t="s">
        <v>223</v>
      </c>
      <c r="M78" s="68" t="s">
        <v>645</v>
      </c>
      <c r="N78" s="68" t="s">
        <v>38</v>
      </c>
      <c r="O78" s="68">
        <v>97000518</v>
      </c>
      <c r="P78" s="68">
        <v>17368</v>
      </c>
      <c r="Q78" s="303">
        <f t="shared" si="21"/>
        <v>0</v>
      </c>
      <c r="R78" s="303">
        <f t="shared" si="22"/>
        <v>0</v>
      </c>
      <c r="S78" s="68">
        <v>0</v>
      </c>
      <c r="T78" s="68">
        <v>0</v>
      </c>
      <c r="U78" s="68">
        <v>0</v>
      </c>
      <c r="V78" s="68">
        <v>0</v>
      </c>
      <c r="W78" s="68">
        <v>0</v>
      </c>
      <c r="X78" s="68">
        <v>37</v>
      </c>
      <c r="Y78" s="68">
        <v>37</v>
      </c>
      <c r="Z78" s="68">
        <v>25</v>
      </c>
      <c r="AA78" s="68">
        <v>1</v>
      </c>
      <c r="AB78" s="300">
        <f t="shared" si="23"/>
        <v>5.7041666666666666</v>
      </c>
      <c r="AC78" s="300">
        <f t="shared" si="24"/>
        <v>3.4362449799196788E-2</v>
      </c>
      <c r="AD78" s="68">
        <v>0</v>
      </c>
      <c r="AE78" s="68">
        <v>0</v>
      </c>
      <c r="AF78" s="68" t="s">
        <v>317</v>
      </c>
      <c r="AG78" s="68" t="s">
        <v>317</v>
      </c>
      <c r="AH78" s="68" t="s">
        <v>646</v>
      </c>
      <c r="AI78" s="309"/>
      <c r="AJ78" s="309"/>
      <c r="AK78" s="68" t="s">
        <v>48</v>
      </c>
      <c r="AL78" s="68" t="s">
        <v>56</v>
      </c>
      <c r="AM78" s="299">
        <f t="shared" ca="1" si="20"/>
        <v>1.0138888888832298</v>
      </c>
      <c r="AN78" s="51"/>
      <c r="AO78" s="78" t="s">
        <v>147</v>
      </c>
      <c r="AP78" s="62" t="s">
        <v>645</v>
      </c>
      <c r="AQ78" s="61" t="s">
        <v>720</v>
      </c>
      <c r="AR78" s="64">
        <v>44866.659722222219</v>
      </c>
      <c r="AS78" s="57" t="s">
        <v>173</v>
      </c>
      <c r="AT78" s="61" t="s">
        <v>225</v>
      </c>
      <c r="AU78" s="63">
        <v>0.65972222222222221</v>
      </c>
      <c r="AV78" s="61">
        <v>2</v>
      </c>
      <c r="AW78" s="61" t="s">
        <v>66</v>
      </c>
      <c r="AX78" s="52"/>
      <c r="AY78" s="52"/>
      <c r="AZ78" s="52"/>
      <c r="BA78" s="52"/>
    </row>
    <row r="79" spans="1:53" x14ac:dyDescent="0.25">
      <c r="A79" s="73">
        <v>541</v>
      </c>
      <c r="B79" s="72">
        <v>44865.625</v>
      </c>
      <c r="C79" s="67">
        <v>0.63194444444444442</v>
      </c>
      <c r="D79" s="67">
        <v>0.66666666666666663</v>
      </c>
      <c r="E79" s="67">
        <v>0.67708333333333337</v>
      </c>
      <c r="F79" s="68" t="s">
        <v>169</v>
      </c>
      <c r="G79" s="68" t="s">
        <v>647</v>
      </c>
      <c r="H79" s="66" t="s">
        <v>282</v>
      </c>
      <c r="I79" s="66" t="s">
        <v>281</v>
      </c>
      <c r="J79" s="66" t="s">
        <v>37</v>
      </c>
      <c r="K79" s="66" t="s">
        <v>233</v>
      </c>
      <c r="L79" s="66" t="s">
        <v>285</v>
      </c>
      <c r="M79" s="68" t="s">
        <v>648</v>
      </c>
      <c r="N79" s="68" t="s">
        <v>38</v>
      </c>
      <c r="O79" s="68" t="s">
        <v>649</v>
      </c>
      <c r="P79" s="68">
        <v>2000056063</v>
      </c>
      <c r="Q79" s="303">
        <f t="shared" si="21"/>
        <v>100</v>
      </c>
      <c r="R79" s="303">
        <f t="shared" si="22"/>
        <v>1115</v>
      </c>
      <c r="S79" s="68">
        <v>100</v>
      </c>
      <c r="T79" s="68">
        <v>1115</v>
      </c>
      <c r="U79" s="68">
        <v>0</v>
      </c>
      <c r="V79" s="68">
        <v>0</v>
      </c>
      <c r="W79" s="68">
        <v>1050</v>
      </c>
      <c r="X79" s="68">
        <v>53</v>
      </c>
      <c r="Y79" s="68">
        <v>42</v>
      </c>
      <c r="Z79" s="68">
        <v>37</v>
      </c>
      <c r="AA79" s="68">
        <v>64</v>
      </c>
      <c r="AB79" s="300">
        <f t="shared" si="23"/>
        <v>878.52800000000002</v>
      </c>
      <c r="AC79" s="300">
        <f t="shared" si="24"/>
        <v>5.2923373493975907</v>
      </c>
      <c r="AD79" s="68">
        <v>11454</v>
      </c>
      <c r="AE79" s="68" t="s">
        <v>109</v>
      </c>
      <c r="AF79" s="68" t="s">
        <v>317</v>
      </c>
      <c r="AG79" s="68" t="s">
        <v>317</v>
      </c>
      <c r="AH79" s="68" t="s">
        <v>650</v>
      </c>
      <c r="AI79" s="309"/>
      <c r="AJ79" s="309"/>
      <c r="AK79" s="68" t="s">
        <v>48</v>
      </c>
      <c r="AL79" s="68" t="s">
        <v>47</v>
      </c>
      <c r="AM79" s="299">
        <f t="shared" ca="1" si="20"/>
        <v>7.8993055555547471</v>
      </c>
      <c r="AN79" s="51"/>
      <c r="AO79" s="61" t="s">
        <v>67</v>
      </c>
      <c r="AP79" s="62" t="s">
        <v>1239</v>
      </c>
      <c r="AQ79" s="61" t="s">
        <v>1238</v>
      </c>
      <c r="AR79" s="64">
        <v>44873.524305555555</v>
      </c>
      <c r="AS79" s="61" t="s">
        <v>117</v>
      </c>
      <c r="AT79" s="61" t="s">
        <v>225</v>
      </c>
      <c r="AU79" s="59">
        <v>0.52430555555555558</v>
      </c>
      <c r="AV79" s="61">
        <v>1</v>
      </c>
      <c r="AW79" s="61" t="s">
        <v>66</v>
      </c>
      <c r="AX79" s="52"/>
      <c r="AY79" s="52"/>
      <c r="AZ79" s="52"/>
      <c r="BA79" s="52"/>
    </row>
    <row r="80" spans="1:53" x14ac:dyDescent="0.25">
      <c r="A80" s="73">
        <v>541</v>
      </c>
      <c r="B80" s="72">
        <v>44865.625</v>
      </c>
      <c r="C80" s="67">
        <v>0.63194444444444442</v>
      </c>
      <c r="D80" s="67">
        <v>0.66666666666666663</v>
      </c>
      <c r="E80" s="67">
        <v>0.67708333333333337</v>
      </c>
      <c r="F80" s="68" t="s">
        <v>169</v>
      </c>
      <c r="G80" s="68" t="s">
        <v>647</v>
      </c>
      <c r="H80" s="66" t="s">
        <v>282</v>
      </c>
      <c r="I80" s="66" t="s">
        <v>281</v>
      </c>
      <c r="J80" s="66" t="s">
        <v>37</v>
      </c>
      <c r="K80" s="66" t="s">
        <v>233</v>
      </c>
      <c r="L80" s="66" t="s">
        <v>285</v>
      </c>
      <c r="M80" s="68" t="s">
        <v>648</v>
      </c>
      <c r="N80" s="68" t="s">
        <v>38</v>
      </c>
      <c r="O80" s="68" t="s">
        <v>649</v>
      </c>
      <c r="P80" s="68">
        <v>2000056063</v>
      </c>
      <c r="Q80" s="303">
        <f t="shared" si="21"/>
        <v>0</v>
      </c>
      <c r="R80" s="303">
        <f t="shared" si="22"/>
        <v>0</v>
      </c>
      <c r="S80" s="68">
        <v>0</v>
      </c>
      <c r="T80" s="68">
        <v>0</v>
      </c>
      <c r="U80" s="68">
        <v>0</v>
      </c>
      <c r="V80" s="68">
        <v>0</v>
      </c>
      <c r="W80" s="68">
        <v>0</v>
      </c>
      <c r="X80" s="68">
        <v>57</v>
      </c>
      <c r="Y80" s="68">
        <v>42</v>
      </c>
      <c r="Z80" s="68">
        <v>38</v>
      </c>
      <c r="AA80" s="68">
        <v>36</v>
      </c>
      <c r="AB80" s="300">
        <f t="shared" si="23"/>
        <v>545.83199999999999</v>
      </c>
      <c r="AC80" s="300">
        <f t="shared" si="24"/>
        <v>3.2881445783132528</v>
      </c>
      <c r="AD80" s="68">
        <v>0</v>
      </c>
      <c r="AE80" s="68">
        <v>0</v>
      </c>
      <c r="AF80" s="68" t="s">
        <v>317</v>
      </c>
      <c r="AG80" s="68" t="s">
        <v>317</v>
      </c>
      <c r="AH80" s="68" t="s">
        <v>650</v>
      </c>
      <c r="AI80" s="309"/>
      <c r="AJ80" s="309"/>
      <c r="AK80" s="68" t="s">
        <v>48</v>
      </c>
      <c r="AL80" s="68" t="s">
        <v>47</v>
      </c>
      <c r="AM80" s="299">
        <f t="shared" ca="1" si="20"/>
        <v>7.8993055555547471</v>
      </c>
      <c r="AN80" s="51"/>
      <c r="AO80" s="61" t="s">
        <v>67</v>
      </c>
      <c r="AP80" s="62" t="s">
        <v>1239</v>
      </c>
      <c r="AQ80" s="61" t="s">
        <v>1238</v>
      </c>
      <c r="AR80" s="64">
        <v>44873.524305555555</v>
      </c>
      <c r="AS80" s="61" t="s">
        <v>117</v>
      </c>
      <c r="AT80" s="61" t="s">
        <v>225</v>
      </c>
      <c r="AU80" s="59">
        <v>0.52430555555555558</v>
      </c>
      <c r="AV80" s="61">
        <v>1</v>
      </c>
      <c r="AW80" s="61" t="s">
        <v>66</v>
      </c>
      <c r="AX80" s="52"/>
      <c r="AY80" s="52"/>
      <c r="AZ80" s="52"/>
      <c r="BA80" s="52"/>
    </row>
    <row r="81" spans="1:54" x14ac:dyDescent="0.25">
      <c r="A81" s="73">
        <v>542</v>
      </c>
      <c r="B81" s="72">
        <v>44865.625</v>
      </c>
      <c r="C81" s="67">
        <v>0.63194444444444442</v>
      </c>
      <c r="D81" s="67">
        <v>0.66666666666666663</v>
      </c>
      <c r="E81" s="67">
        <v>0.67708333333333337</v>
      </c>
      <c r="F81" s="68" t="s">
        <v>169</v>
      </c>
      <c r="G81" s="68" t="s">
        <v>647</v>
      </c>
      <c r="H81" s="66" t="s">
        <v>282</v>
      </c>
      <c r="I81" s="66" t="s">
        <v>281</v>
      </c>
      <c r="J81" s="66" t="s">
        <v>37</v>
      </c>
      <c r="K81" s="66" t="s">
        <v>233</v>
      </c>
      <c r="L81" s="66" t="s">
        <v>285</v>
      </c>
      <c r="M81" s="68" t="s">
        <v>651</v>
      </c>
      <c r="N81" s="68" t="s">
        <v>38</v>
      </c>
      <c r="O81" s="68" t="s">
        <v>652</v>
      </c>
      <c r="P81" s="68">
        <v>2000056063</v>
      </c>
      <c r="Q81" s="303">
        <f t="shared" si="21"/>
        <v>104</v>
      </c>
      <c r="R81" s="303">
        <f t="shared" si="22"/>
        <v>1122</v>
      </c>
      <c r="S81" s="68">
        <v>104</v>
      </c>
      <c r="T81" s="68">
        <v>1122</v>
      </c>
      <c r="U81" s="68">
        <v>0</v>
      </c>
      <c r="V81" s="68">
        <v>0</v>
      </c>
      <c r="W81" s="68">
        <v>1098</v>
      </c>
      <c r="X81" s="68">
        <v>58</v>
      </c>
      <c r="Y81" s="68">
        <v>42</v>
      </c>
      <c r="Z81" s="68">
        <v>32</v>
      </c>
      <c r="AA81" s="68">
        <v>22</v>
      </c>
      <c r="AB81" s="300">
        <f t="shared" si="23"/>
        <v>285.82400000000001</v>
      </c>
      <c r="AC81" s="300">
        <f t="shared" si="24"/>
        <v>1.721831325301205</v>
      </c>
      <c r="AD81" s="68">
        <v>14134.31</v>
      </c>
      <c r="AE81" s="68" t="s">
        <v>109</v>
      </c>
      <c r="AF81" s="68" t="s">
        <v>317</v>
      </c>
      <c r="AG81" s="68" t="s">
        <v>317</v>
      </c>
      <c r="AH81" s="68" t="s">
        <v>653</v>
      </c>
      <c r="AI81" s="309"/>
      <c r="AJ81" s="309"/>
      <c r="AK81" s="68" t="s">
        <v>48</v>
      </c>
      <c r="AL81" s="68" t="s">
        <v>47</v>
      </c>
      <c r="AM81" s="299">
        <f t="shared" ca="1" si="20"/>
        <v>7.8993055555547471</v>
      </c>
      <c r="AN81" s="51"/>
      <c r="AO81" s="61" t="s">
        <v>67</v>
      </c>
      <c r="AP81" s="62" t="s">
        <v>1237</v>
      </c>
      <c r="AQ81" s="61" t="s">
        <v>1238</v>
      </c>
      <c r="AR81" s="64">
        <v>44873.524305555555</v>
      </c>
      <c r="AS81" s="61" t="s">
        <v>117</v>
      </c>
      <c r="AT81" s="61" t="s">
        <v>225</v>
      </c>
      <c r="AU81" s="59">
        <v>0.52430555555555558</v>
      </c>
      <c r="AV81" s="61">
        <v>1</v>
      </c>
      <c r="AW81" s="61" t="s">
        <v>66</v>
      </c>
      <c r="AX81" s="52"/>
      <c r="AY81" s="52"/>
      <c r="AZ81" s="52"/>
      <c r="BA81" s="52"/>
    </row>
    <row r="82" spans="1:54" x14ac:dyDescent="0.25">
      <c r="A82" s="73">
        <v>542</v>
      </c>
      <c r="B82" s="72">
        <v>44865.625</v>
      </c>
      <c r="C82" s="67">
        <v>0.63194444444444442</v>
      </c>
      <c r="D82" s="67">
        <v>0.66666666666666663</v>
      </c>
      <c r="E82" s="67">
        <v>0.67708333333333337</v>
      </c>
      <c r="F82" s="68" t="s">
        <v>169</v>
      </c>
      <c r="G82" s="68" t="s">
        <v>647</v>
      </c>
      <c r="H82" s="66" t="s">
        <v>282</v>
      </c>
      <c r="I82" s="66" t="s">
        <v>281</v>
      </c>
      <c r="J82" s="66" t="s">
        <v>37</v>
      </c>
      <c r="K82" s="66" t="s">
        <v>233</v>
      </c>
      <c r="L82" s="66" t="s">
        <v>285</v>
      </c>
      <c r="M82" s="68" t="s">
        <v>651</v>
      </c>
      <c r="N82" s="68" t="s">
        <v>38</v>
      </c>
      <c r="O82" s="68" t="s">
        <v>652</v>
      </c>
      <c r="P82" s="68">
        <v>2000056063</v>
      </c>
      <c r="Q82" s="303">
        <f t="shared" si="21"/>
        <v>0</v>
      </c>
      <c r="R82" s="303">
        <f t="shared" si="22"/>
        <v>0</v>
      </c>
      <c r="S82" s="68">
        <v>0</v>
      </c>
      <c r="T82" s="68">
        <v>0</v>
      </c>
      <c r="U82" s="68">
        <v>0</v>
      </c>
      <c r="V82" s="68">
        <v>0</v>
      </c>
      <c r="W82" s="68">
        <v>0</v>
      </c>
      <c r="X82" s="68">
        <v>59</v>
      </c>
      <c r="Y82" s="68">
        <v>47</v>
      </c>
      <c r="Z82" s="68">
        <v>33</v>
      </c>
      <c r="AA82" s="68">
        <v>81</v>
      </c>
      <c r="AB82" s="300">
        <f t="shared" si="23"/>
        <v>1235.3715</v>
      </c>
      <c r="AC82" s="300">
        <f t="shared" si="24"/>
        <v>7.4419969879518071</v>
      </c>
      <c r="AD82" s="68">
        <v>0</v>
      </c>
      <c r="AE82" s="68">
        <v>0</v>
      </c>
      <c r="AF82" s="68" t="s">
        <v>317</v>
      </c>
      <c r="AG82" s="68" t="s">
        <v>317</v>
      </c>
      <c r="AH82" s="68" t="s">
        <v>653</v>
      </c>
      <c r="AI82" s="309"/>
      <c r="AJ82" s="309"/>
      <c r="AK82" s="68" t="s">
        <v>48</v>
      </c>
      <c r="AL82" s="68" t="s">
        <v>47</v>
      </c>
      <c r="AM82" s="299">
        <f t="shared" ca="1" si="20"/>
        <v>7.8993055555547471</v>
      </c>
      <c r="AN82" s="51"/>
      <c r="AO82" s="61" t="s">
        <v>67</v>
      </c>
      <c r="AP82" s="62" t="s">
        <v>1237</v>
      </c>
      <c r="AQ82" s="61" t="s">
        <v>1238</v>
      </c>
      <c r="AR82" s="64">
        <v>44873.524305555555</v>
      </c>
      <c r="AS82" s="61" t="s">
        <v>117</v>
      </c>
      <c r="AT82" s="61" t="s">
        <v>225</v>
      </c>
      <c r="AU82" s="59">
        <v>0.52430555555555558</v>
      </c>
      <c r="AV82" s="61">
        <v>1</v>
      </c>
      <c r="AW82" s="61" t="s">
        <v>66</v>
      </c>
      <c r="AX82" s="52"/>
      <c r="AY82" s="52"/>
      <c r="AZ82" s="52"/>
      <c r="BA82" s="52"/>
    </row>
    <row r="83" spans="1:54" ht="15.75" thickBot="1" x14ac:dyDescent="0.3">
      <c r="A83" s="73">
        <v>542</v>
      </c>
      <c r="B83" s="72">
        <v>44865.625</v>
      </c>
      <c r="C83" s="67">
        <v>0.63194444444444442</v>
      </c>
      <c r="D83" s="67">
        <v>0.66666666666666663</v>
      </c>
      <c r="E83" s="67">
        <v>0.67708333333333337</v>
      </c>
      <c r="F83" s="68" t="s">
        <v>169</v>
      </c>
      <c r="G83" s="68" t="s">
        <v>647</v>
      </c>
      <c r="H83" s="66" t="s">
        <v>282</v>
      </c>
      <c r="I83" s="66" t="s">
        <v>281</v>
      </c>
      <c r="J83" s="66" t="s">
        <v>37</v>
      </c>
      <c r="K83" s="66" t="s">
        <v>233</v>
      </c>
      <c r="L83" s="66" t="s">
        <v>285</v>
      </c>
      <c r="M83" s="68" t="s">
        <v>651</v>
      </c>
      <c r="N83" s="68" t="s">
        <v>38</v>
      </c>
      <c r="O83" s="68" t="s">
        <v>652</v>
      </c>
      <c r="P83" s="68">
        <v>2000056063</v>
      </c>
      <c r="Q83" s="303">
        <f t="shared" si="21"/>
        <v>0</v>
      </c>
      <c r="R83" s="303">
        <f t="shared" si="22"/>
        <v>0</v>
      </c>
      <c r="S83" s="68">
        <v>0</v>
      </c>
      <c r="T83" s="68">
        <v>0</v>
      </c>
      <c r="U83" s="68">
        <v>0</v>
      </c>
      <c r="V83" s="68">
        <v>0</v>
      </c>
      <c r="W83" s="68">
        <v>0</v>
      </c>
      <c r="X83" s="68">
        <v>46</v>
      </c>
      <c r="Y83" s="68">
        <v>45</v>
      </c>
      <c r="Z83" s="68">
        <v>32</v>
      </c>
      <c r="AA83" s="68">
        <v>1</v>
      </c>
      <c r="AB83" s="300">
        <f t="shared" si="23"/>
        <v>11.04</v>
      </c>
      <c r="AC83" s="300">
        <f t="shared" si="24"/>
        <v>6.6506024096385535E-2</v>
      </c>
      <c r="AD83" s="68">
        <v>0</v>
      </c>
      <c r="AE83" s="68">
        <v>0</v>
      </c>
      <c r="AF83" s="68" t="s">
        <v>317</v>
      </c>
      <c r="AG83" s="68" t="s">
        <v>317</v>
      </c>
      <c r="AH83" s="68" t="s">
        <v>653</v>
      </c>
      <c r="AI83" s="309"/>
      <c r="AJ83" s="309"/>
      <c r="AK83" s="68" t="s">
        <v>48</v>
      </c>
      <c r="AL83" s="68" t="s">
        <v>47</v>
      </c>
      <c r="AM83" s="299">
        <f t="shared" ca="1" si="20"/>
        <v>7.8993055555547471</v>
      </c>
      <c r="AN83" s="51"/>
      <c r="AO83" s="61" t="s">
        <v>67</v>
      </c>
      <c r="AP83" s="62" t="s">
        <v>1237</v>
      </c>
      <c r="AQ83" s="61" t="s">
        <v>1238</v>
      </c>
      <c r="AR83" s="64">
        <v>44873.524305555555</v>
      </c>
      <c r="AS83" s="61" t="s">
        <v>117</v>
      </c>
      <c r="AT83" s="61" t="s">
        <v>225</v>
      </c>
      <c r="AU83" s="59">
        <v>0.52430555555555558</v>
      </c>
      <c r="AV83" s="61">
        <v>1</v>
      </c>
      <c r="AW83" s="61" t="s">
        <v>66</v>
      </c>
      <c r="AX83" s="52"/>
      <c r="AY83" s="52"/>
      <c r="AZ83" s="52"/>
      <c r="BA83" s="52"/>
    </row>
    <row r="84" spans="1:54" ht="15.75" thickBot="1" x14ac:dyDescent="0.3">
      <c r="A84" s="79">
        <v>1</v>
      </c>
      <c r="B84" s="80">
        <v>44866.416666666664</v>
      </c>
      <c r="C84" s="81">
        <v>0.4201388888888889</v>
      </c>
      <c r="D84" s="81">
        <v>0.43055555555555558</v>
      </c>
      <c r="E84" s="81">
        <v>0.44791666666666669</v>
      </c>
      <c r="F84" s="82" t="s">
        <v>171</v>
      </c>
      <c r="G84" s="82" t="s">
        <v>95</v>
      </c>
      <c r="H84" s="83" t="s">
        <v>195</v>
      </c>
      <c r="I84" s="83" t="s">
        <v>195</v>
      </c>
      <c r="J84" s="83" t="s">
        <v>37</v>
      </c>
      <c r="K84" s="84" t="s">
        <v>180</v>
      </c>
      <c r="L84" s="84" t="s">
        <v>209</v>
      </c>
      <c r="M84" s="82" t="s">
        <v>655</v>
      </c>
      <c r="N84" s="82" t="s">
        <v>42</v>
      </c>
      <c r="O84" s="82" t="s">
        <v>656</v>
      </c>
      <c r="P84" s="82">
        <v>2101064950</v>
      </c>
      <c r="Q84" s="303">
        <f t="shared" si="21"/>
        <v>10</v>
      </c>
      <c r="R84" s="303">
        <f t="shared" si="22"/>
        <v>2588</v>
      </c>
      <c r="S84" s="82">
        <v>0</v>
      </c>
      <c r="T84" s="82">
        <v>0</v>
      </c>
      <c r="U84" s="82">
        <v>10</v>
      </c>
      <c r="V84" s="82">
        <v>2588</v>
      </c>
      <c r="W84" s="82">
        <v>2623.998</v>
      </c>
      <c r="X84" s="82">
        <v>114</v>
      </c>
      <c r="Y84" s="82">
        <v>80</v>
      </c>
      <c r="Z84" s="82">
        <v>126</v>
      </c>
      <c r="AA84" s="82">
        <v>2</v>
      </c>
      <c r="AB84" s="300">
        <f t="shared" si="23"/>
        <v>383.04</v>
      </c>
      <c r="AC84" s="300">
        <f t="shared" si="24"/>
        <v>2.3074698795180724</v>
      </c>
      <c r="AD84" s="82">
        <v>105568.25</v>
      </c>
      <c r="AE84" s="82" t="s">
        <v>109</v>
      </c>
      <c r="AF84" s="82" t="s">
        <v>317</v>
      </c>
      <c r="AG84" s="82" t="s">
        <v>317</v>
      </c>
      <c r="AH84" s="82" t="s">
        <v>657</v>
      </c>
      <c r="AI84" s="246"/>
      <c r="AJ84" s="246"/>
      <c r="AK84" s="82" t="s">
        <v>41</v>
      </c>
      <c r="AL84" s="82" t="s">
        <v>54</v>
      </c>
      <c r="AM84" s="299">
        <f t="shared" ca="1" si="20"/>
        <v>0.13541666667151731</v>
      </c>
      <c r="AN84" s="85"/>
      <c r="AO84" s="61" t="s">
        <v>128</v>
      </c>
      <c r="AP84" s="62" t="s">
        <v>655</v>
      </c>
      <c r="AQ84" s="61" t="s">
        <v>716</v>
      </c>
      <c r="AR84" s="64">
        <v>44866.552083333336</v>
      </c>
      <c r="AS84" s="61" t="s">
        <v>117</v>
      </c>
      <c r="AT84" s="61" t="s">
        <v>225</v>
      </c>
      <c r="AU84" s="59">
        <v>0.55208333333333337</v>
      </c>
      <c r="AV84" s="61">
        <v>1</v>
      </c>
      <c r="AW84" s="61" t="s">
        <v>66</v>
      </c>
      <c r="AX84" s="86"/>
      <c r="AY84" s="86"/>
      <c r="AZ84" s="86"/>
      <c r="BA84" s="86"/>
      <c r="BB84" s="87"/>
    </row>
    <row r="85" spans="1:54" ht="15.75" thickBot="1" x14ac:dyDescent="0.3">
      <c r="A85" s="79">
        <v>1</v>
      </c>
      <c r="B85" s="80">
        <v>44866.416666666664</v>
      </c>
      <c r="C85" s="81">
        <v>0.4201388888888889</v>
      </c>
      <c r="D85" s="81">
        <v>0.43055555555555558</v>
      </c>
      <c r="E85" s="81">
        <v>0.44791666666666669</v>
      </c>
      <c r="F85" s="82" t="s">
        <v>171</v>
      </c>
      <c r="G85" s="82" t="s">
        <v>95</v>
      </c>
      <c r="H85" s="83" t="s">
        <v>195</v>
      </c>
      <c r="I85" s="83" t="s">
        <v>195</v>
      </c>
      <c r="J85" s="83" t="s">
        <v>37</v>
      </c>
      <c r="K85" s="83" t="s">
        <v>180</v>
      </c>
      <c r="L85" s="83" t="s">
        <v>209</v>
      </c>
      <c r="M85" s="82" t="s">
        <v>655</v>
      </c>
      <c r="N85" s="82" t="s">
        <v>42</v>
      </c>
      <c r="O85" s="82" t="s">
        <v>656</v>
      </c>
      <c r="P85" s="82">
        <v>2101064950</v>
      </c>
      <c r="Q85" s="303">
        <f t="shared" si="21"/>
        <v>0</v>
      </c>
      <c r="R85" s="303">
        <f t="shared" si="22"/>
        <v>0</v>
      </c>
      <c r="S85" s="82">
        <v>0</v>
      </c>
      <c r="T85" s="82">
        <v>0</v>
      </c>
      <c r="U85" s="82">
        <v>0</v>
      </c>
      <c r="V85" s="82">
        <v>0</v>
      </c>
      <c r="W85" s="82">
        <v>0</v>
      </c>
      <c r="X85" s="82">
        <v>114</v>
      </c>
      <c r="Y85" s="82">
        <v>80</v>
      </c>
      <c r="Z85" s="82">
        <v>121</v>
      </c>
      <c r="AA85" s="82">
        <v>1</v>
      </c>
      <c r="AB85" s="300">
        <f t="shared" si="23"/>
        <v>183.92</v>
      </c>
      <c r="AC85" s="300">
        <f t="shared" si="24"/>
        <v>1.1079518072289156</v>
      </c>
      <c r="AD85" s="82">
        <v>0</v>
      </c>
      <c r="AE85" s="82">
        <v>0</v>
      </c>
      <c r="AF85" s="82" t="s">
        <v>317</v>
      </c>
      <c r="AG85" s="82" t="s">
        <v>317</v>
      </c>
      <c r="AH85" s="82" t="s">
        <v>657</v>
      </c>
      <c r="AI85" s="246"/>
      <c r="AJ85" s="246"/>
      <c r="AK85" s="82" t="s">
        <v>41</v>
      </c>
      <c r="AL85" s="82" t="s">
        <v>54</v>
      </c>
      <c r="AM85" s="299">
        <f t="shared" ca="1" si="20"/>
        <v>0.13541666667151731</v>
      </c>
      <c r="AN85" s="85"/>
      <c r="AO85" s="61" t="s">
        <v>128</v>
      </c>
      <c r="AP85" s="62" t="s">
        <v>655</v>
      </c>
      <c r="AQ85" s="61" t="s">
        <v>716</v>
      </c>
      <c r="AR85" s="64">
        <v>44866.552083333336</v>
      </c>
      <c r="AS85" s="61" t="s">
        <v>117</v>
      </c>
      <c r="AT85" s="61" t="s">
        <v>225</v>
      </c>
      <c r="AU85" s="59">
        <v>0.55208333333333337</v>
      </c>
      <c r="AV85" s="61">
        <v>1</v>
      </c>
      <c r="AW85" s="61" t="s">
        <v>66</v>
      </c>
      <c r="AX85" s="86"/>
      <c r="AY85" s="86"/>
      <c r="AZ85" s="86"/>
      <c r="BA85" s="86"/>
      <c r="BB85" s="87"/>
    </row>
    <row r="86" spans="1:54" ht="15.75" thickBot="1" x14ac:dyDescent="0.3">
      <c r="A86" s="79">
        <v>1</v>
      </c>
      <c r="B86" s="80">
        <v>44866.416666666664</v>
      </c>
      <c r="C86" s="81">
        <v>0.4201388888888889</v>
      </c>
      <c r="D86" s="81">
        <v>0.43055555555555558</v>
      </c>
      <c r="E86" s="81">
        <v>0.44791666666666669</v>
      </c>
      <c r="F86" s="82" t="s">
        <v>171</v>
      </c>
      <c r="G86" s="82" t="s">
        <v>95</v>
      </c>
      <c r="H86" s="83" t="s">
        <v>195</v>
      </c>
      <c r="I86" s="83" t="s">
        <v>195</v>
      </c>
      <c r="J86" s="83" t="s">
        <v>37</v>
      </c>
      <c r="K86" s="83" t="s">
        <v>180</v>
      </c>
      <c r="L86" s="83" t="s">
        <v>209</v>
      </c>
      <c r="M86" s="82" t="s">
        <v>655</v>
      </c>
      <c r="N86" s="82" t="s">
        <v>42</v>
      </c>
      <c r="O86" s="82" t="s">
        <v>656</v>
      </c>
      <c r="P86" s="82">
        <v>2101064950</v>
      </c>
      <c r="Q86" s="303">
        <f t="shared" si="21"/>
        <v>0</v>
      </c>
      <c r="R86" s="303">
        <f t="shared" si="22"/>
        <v>0</v>
      </c>
      <c r="S86" s="82">
        <v>0</v>
      </c>
      <c r="T86" s="82">
        <v>0</v>
      </c>
      <c r="U86" s="82">
        <v>0</v>
      </c>
      <c r="V86" s="82">
        <v>0</v>
      </c>
      <c r="W86" s="82">
        <v>0</v>
      </c>
      <c r="X86" s="82">
        <v>114</v>
      </c>
      <c r="Y86" s="82">
        <v>80</v>
      </c>
      <c r="Z86" s="82">
        <v>131</v>
      </c>
      <c r="AA86" s="82">
        <v>2</v>
      </c>
      <c r="AB86" s="300">
        <f t="shared" si="23"/>
        <v>398.24</v>
      </c>
      <c r="AC86" s="300">
        <f t="shared" si="24"/>
        <v>2.3990361445783135</v>
      </c>
      <c r="AD86" s="82">
        <v>0</v>
      </c>
      <c r="AE86" s="82">
        <v>0</v>
      </c>
      <c r="AF86" s="82" t="s">
        <v>317</v>
      </c>
      <c r="AG86" s="82" t="s">
        <v>317</v>
      </c>
      <c r="AH86" s="82" t="s">
        <v>657</v>
      </c>
      <c r="AI86" s="246"/>
      <c r="AJ86" s="246"/>
      <c r="AK86" s="82" t="s">
        <v>41</v>
      </c>
      <c r="AL86" s="82" t="s">
        <v>54</v>
      </c>
      <c r="AM86" s="299">
        <f t="shared" ca="1" si="20"/>
        <v>0.13541666667151731</v>
      </c>
      <c r="AN86" s="85"/>
      <c r="AO86" s="61" t="s">
        <v>128</v>
      </c>
      <c r="AP86" s="62" t="s">
        <v>655</v>
      </c>
      <c r="AQ86" s="61" t="s">
        <v>716</v>
      </c>
      <c r="AR86" s="64">
        <v>44866.552083333336</v>
      </c>
      <c r="AS86" s="61" t="s">
        <v>117</v>
      </c>
      <c r="AT86" s="61" t="s">
        <v>225</v>
      </c>
      <c r="AU86" s="59">
        <v>0.55208333333333337</v>
      </c>
      <c r="AV86" s="61">
        <v>1</v>
      </c>
      <c r="AW86" s="61" t="s">
        <v>66</v>
      </c>
      <c r="AX86" s="86"/>
      <c r="AY86" s="86"/>
      <c r="AZ86" s="86"/>
      <c r="BA86" s="86"/>
      <c r="BB86" s="87"/>
    </row>
    <row r="87" spans="1:54" ht="15.75" thickBot="1" x14ac:dyDescent="0.3">
      <c r="A87" s="79">
        <v>1</v>
      </c>
      <c r="B87" s="80">
        <v>44866.416666666664</v>
      </c>
      <c r="C87" s="81">
        <v>0.4201388888888889</v>
      </c>
      <c r="D87" s="81">
        <v>0.43055555555555558</v>
      </c>
      <c r="E87" s="81">
        <v>0.44791666666666669</v>
      </c>
      <c r="F87" s="82" t="s">
        <v>171</v>
      </c>
      <c r="G87" s="82" t="s">
        <v>95</v>
      </c>
      <c r="H87" s="83" t="s">
        <v>195</v>
      </c>
      <c r="I87" s="83" t="s">
        <v>195</v>
      </c>
      <c r="J87" s="83" t="s">
        <v>37</v>
      </c>
      <c r="K87" s="83" t="s">
        <v>180</v>
      </c>
      <c r="L87" s="83" t="s">
        <v>209</v>
      </c>
      <c r="M87" s="82" t="s">
        <v>655</v>
      </c>
      <c r="N87" s="82" t="s">
        <v>42</v>
      </c>
      <c r="O87" s="82" t="s">
        <v>656</v>
      </c>
      <c r="P87" s="82">
        <v>2101064950</v>
      </c>
      <c r="Q87" s="303">
        <f t="shared" si="21"/>
        <v>0</v>
      </c>
      <c r="R87" s="303">
        <f t="shared" si="22"/>
        <v>0</v>
      </c>
      <c r="S87" s="82">
        <v>0</v>
      </c>
      <c r="T87" s="82">
        <v>0</v>
      </c>
      <c r="U87" s="82">
        <v>0</v>
      </c>
      <c r="V87" s="82">
        <v>0</v>
      </c>
      <c r="W87" s="82">
        <v>0</v>
      </c>
      <c r="X87" s="82">
        <v>114</v>
      </c>
      <c r="Y87" s="82">
        <v>80</v>
      </c>
      <c r="Z87" s="82">
        <v>116</v>
      </c>
      <c r="AA87" s="82">
        <v>2</v>
      </c>
      <c r="AB87" s="300">
        <f t="shared" si="23"/>
        <v>352.64</v>
      </c>
      <c r="AC87" s="300">
        <f t="shared" si="24"/>
        <v>2.1243373493975901</v>
      </c>
      <c r="AD87" s="82">
        <v>0</v>
      </c>
      <c r="AE87" s="82">
        <v>0</v>
      </c>
      <c r="AF87" s="82" t="s">
        <v>317</v>
      </c>
      <c r="AG87" s="82" t="s">
        <v>317</v>
      </c>
      <c r="AH87" s="82" t="s">
        <v>657</v>
      </c>
      <c r="AI87" s="246"/>
      <c r="AJ87" s="246"/>
      <c r="AK87" s="82" t="s">
        <v>41</v>
      </c>
      <c r="AL87" s="82" t="s">
        <v>54</v>
      </c>
      <c r="AM87" s="299">
        <f t="shared" ca="1" si="20"/>
        <v>0.13541666667151731</v>
      </c>
      <c r="AN87" s="85"/>
      <c r="AO87" s="61" t="s">
        <v>128</v>
      </c>
      <c r="AP87" s="62" t="s">
        <v>655</v>
      </c>
      <c r="AQ87" s="61" t="s">
        <v>716</v>
      </c>
      <c r="AR87" s="64">
        <v>44866.552083333336</v>
      </c>
      <c r="AS87" s="61" t="s">
        <v>117</v>
      </c>
      <c r="AT87" s="61" t="s">
        <v>225</v>
      </c>
      <c r="AU87" s="59">
        <v>0.55208333333333337</v>
      </c>
      <c r="AV87" s="61">
        <v>1</v>
      </c>
      <c r="AW87" s="61" t="s">
        <v>66</v>
      </c>
      <c r="AX87" s="86"/>
      <c r="AY87" s="86"/>
      <c r="AZ87" s="86"/>
      <c r="BA87" s="86"/>
      <c r="BB87" s="87"/>
    </row>
    <row r="88" spans="1:54" ht="15.75" thickBot="1" x14ac:dyDescent="0.3">
      <c r="A88" s="79">
        <v>1</v>
      </c>
      <c r="B88" s="80">
        <v>44866.416666666664</v>
      </c>
      <c r="C88" s="81">
        <v>0.4201388888888889</v>
      </c>
      <c r="D88" s="81">
        <v>0.43055555555555558</v>
      </c>
      <c r="E88" s="81">
        <v>0.44791666666666669</v>
      </c>
      <c r="F88" s="82" t="s">
        <v>171</v>
      </c>
      <c r="G88" s="82" t="s">
        <v>95</v>
      </c>
      <c r="H88" s="83" t="s">
        <v>195</v>
      </c>
      <c r="I88" s="83" t="s">
        <v>195</v>
      </c>
      <c r="J88" s="83" t="s">
        <v>37</v>
      </c>
      <c r="K88" s="83" t="s">
        <v>180</v>
      </c>
      <c r="L88" s="83" t="s">
        <v>209</v>
      </c>
      <c r="M88" s="82" t="s">
        <v>655</v>
      </c>
      <c r="N88" s="82" t="s">
        <v>42</v>
      </c>
      <c r="O88" s="82" t="s">
        <v>656</v>
      </c>
      <c r="P88" s="82">
        <v>2101064950</v>
      </c>
      <c r="Q88" s="303">
        <f t="shared" si="21"/>
        <v>0</v>
      </c>
      <c r="R88" s="303">
        <f t="shared" si="22"/>
        <v>0</v>
      </c>
      <c r="S88" s="82">
        <v>0</v>
      </c>
      <c r="T88" s="82">
        <v>0</v>
      </c>
      <c r="U88" s="82">
        <v>0</v>
      </c>
      <c r="V88" s="82">
        <v>0</v>
      </c>
      <c r="W88" s="82">
        <v>0</v>
      </c>
      <c r="X88" s="82">
        <v>114</v>
      </c>
      <c r="Y88" s="82">
        <v>80</v>
      </c>
      <c r="Z88" s="82">
        <v>117</v>
      </c>
      <c r="AA88" s="82">
        <v>1</v>
      </c>
      <c r="AB88" s="300">
        <f t="shared" si="23"/>
        <v>177.84</v>
      </c>
      <c r="AC88" s="300">
        <f t="shared" si="24"/>
        <v>1.0713253012048194</v>
      </c>
      <c r="AD88" s="82">
        <v>0</v>
      </c>
      <c r="AE88" s="82">
        <v>0</v>
      </c>
      <c r="AF88" s="82" t="s">
        <v>317</v>
      </c>
      <c r="AG88" s="82" t="s">
        <v>317</v>
      </c>
      <c r="AH88" s="82" t="s">
        <v>657</v>
      </c>
      <c r="AI88" s="246"/>
      <c r="AJ88" s="246"/>
      <c r="AK88" s="82" t="s">
        <v>41</v>
      </c>
      <c r="AL88" s="82" t="s">
        <v>54</v>
      </c>
      <c r="AM88" s="299">
        <f t="shared" ca="1" si="20"/>
        <v>0.13541666667151731</v>
      </c>
      <c r="AN88" s="85"/>
      <c r="AO88" s="61" t="s">
        <v>128</v>
      </c>
      <c r="AP88" s="62" t="s">
        <v>655</v>
      </c>
      <c r="AQ88" s="61" t="s">
        <v>716</v>
      </c>
      <c r="AR88" s="64">
        <v>44866.552083333336</v>
      </c>
      <c r="AS88" s="61" t="s">
        <v>117</v>
      </c>
      <c r="AT88" s="61" t="s">
        <v>225</v>
      </c>
      <c r="AU88" s="59">
        <v>0.55208333333333337</v>
      </c>
      <c r="AV88" s="61">
        <v>1</v>
      </c>
      <c r="AW88" s="61" t="s">
        <v>66</v>
      </c>
      <c r="AX88" s="86"/>
      <c r="AY88" s="86"/>
      <c r="AZ88" s="86"/>
      <c r="BA88" s="86"/>
      <c r="BB88" s="87"/>
    </row>
    <row r="89" spans="1:54" ht="15.75" thickBot="1" x14ac:dyDescent="0.3">
      <c r="A89" s="79">
        <v>1</v>
      </c>
      <c r="B89" s="80">
        <v>44866.416666666664</v>
      </c>
      <c r="C89" s="81">
        <v>0.4201388888888889</v>
      </c>
      <c r="D89" s="81">
        <v>0.43055555555555558</v>
      </c>
      <c r="E89" s="81">
        <v>0.44791666666666669</v>
      </c>
      <c r="F89" s="82" t="s">
        <v>171</v>
      </c>
      <c r="G89" s="82" t="s">
        <v>95</v>
      </c>
      <c r="H89" s="83" t="s">
        <v>195</v>
      </c>
      <c r="I89" s="83" t="s">
        <v>195</v>
      </c>
      <c r="J89" s="83" t="s">
        <v>37</v>
      </c>
      <c r="K89" s="83" t="s">
        <v>180</v>
      </c>
      <c r="L89" s="83" t="s">
        <v>209</v>
      </c>
      <c r="M89" s="82" t="s">
        <v>655</v>
      </c>
      <c r="N89" s="82" t="s">
        <v>42</v>
      </c>
      <c r="O89" s="82" t="s">
        <v>656</v>
      </c>
      <c r="P89" s="82">
        <v>2101064950</v>
      </c>
      <c r="Q89" s="303">
        <f t="shared" si="21"/>
        <v>0</v>
      </c>
      <c r="R89" s="303">
        <f t="shared" si="22"/>
        <v>0</v>
      </c>
      <c r="S89" s="82">
        <v>0</v>
      </c>
      <c r="T89" s="82">
        <v>0</v>
      </c>
      <c r="U89" s="82">
        <v>0</v>
      </c>
      <c r="V89" s="82">
        <v>0</v>
      </c>
      <c r="W89" s="82">
        <v>0</v>
      </c>
      <c r="X89" s="82">
        <v>114</v>
      </c>
      <c r="Y89" s="82">
        <v>80</v>
      </c>
      <c r="Z89" s="82">
        <v>112</v>
      </c>
      <c r="AA89" s="82">
        <v>1</v>
      </c>
      <c r="AB89" s="300">
        <f t="shared" si="23"/>
        <v>170.24</v>
      </c>
      <c r="AC89" s="300">
        <f t="shared" si="24"/>
        <v>1.0255421686746988</v>
      </c>
      <c r="AD89" s="82">
        <v>0</v>
      </c>
      <c r="AE89" s="82">
        <v>0</v>
      </c>
      <c r="AF89" s="82" t="s">
        <v>317</v>
      </c>
      <c r="AG89" s="82" t="s">
        <v>317</v>
      </c>
      <c r="AH89" s="82" t="s">
        <v>657</v>
      </c>
      <c r="AI89" s="246"/>
      <c r="AJ89" s="246"/>
      <c r="AK89" s="82" t="s">
        <v>41</v>
      </c>
      <c r="AL89" s="82" t="s">
        <v>54</v>
      </c>
      <c r="AM89" s="299">
        <f t="shared" ca="1" si="20"/>
        <v>0.13541666667151731</v>
      </c>
      <c r="AN89" s="85"/>
      <c r="AO89" s="61" t="s">
        <v>128</v>
      </c>
      <c r="AP89" s="62" t="s">
        <v>655</v>
      </c>
      <c r="AQ89" s="61" t="s">
        <v>716</v>
      </c>
      <c r="AR89" s="64">
        <v>44866.552083333336</v>
      </c>
      <c r="AS89" s="61" t="s">
        <v>117</v>
      </c>
      <c r="AT89" s="61" t="s">
        <v>225</v>
      </c>
      <c r="AU89" s="59">
        <v>0.55208333333333337</v>
      </c>
      <c r="AV89" s="61">
        <v>1</v>
      </c>
      <c r="AW89" s="61" t="s">
        <v>66</v>
      </c>
      <c r="AX89" s="86"/>
      <c r="AY89" s="86"/>
      <c r="AZ89" s="86"/>
      <c r="BA89" s="86"/>
      <c r="BB89" s="87"/>
    </row>
    <row r="90" spans="1:54" ht="15.75" thickBot="1" x14ac:dyDescent="0.3">
      <c r="A90" s="79">
        <v>1</v>
      </c>
      <c r="B90" s="80">
        <v>44866.416666666664</v>
      </c>
      <c r="C90" s="81">
        <v>0.4201388888888889</v>
      </c>
      <c r="D90" s="81">
        <v>0.43055555555555558</v>
      </c>
      <c r="E90" s="81">
        <v>0.44791666666666669</v>
      </c>
      <c r="F90" s="82" t="s">
        <v>171</v>
      </c>
      <c r="G90" s="82" t="s">
        <v>95</v>
      </c>
      <c r="H90" s="83" t="s">
        <v>195</v>
      </c>
      <c r="I90" s="83" t="s">
        <v>195</v>
      </c>
      <c r="J90" s="83" t="s">
        <v>37</v>
      </c>
      <c r="K90" s="83" t="s">
        <v>180</v>
      </c>
      <c r="L90" s="83" t="s">
        <v>209</v>
      </c>
      <c r="M90" s="82" t="s">
        <v>655</v>
      </c>
      <c r="N90" s="82" t="s">
        <v>42</v>
      </c>
      <c r="O90" s="82" t="s">
        <v>656</v>
      </c>
      <c r="P90" s="82">
        <v>2101064950</v>
      </c>
      <c r="Q90" s="303">
        <f t="shared" si="21"/>
        <v>0</v>
      </c>
      <c r="R90" s="303">
        <f t="shared" si="22"/>
        <v>0</v>
      </c>
      <c r="S90" s="82">
        <v>0</v>
      </c>
      <c r="T90" s="82">
        <v>0</v>
      </c>
      <c r="U90" s="82">
        <v>0</v>
      </c>
      <c r="V90" s="82">
        <v>0</v>
      </c>
      <c r="W90" s="82">
        <v>0</v>
      </c>
      <c r="X90" s="82">
        <v>114</v>
      </c>
      <c r="Y90" s="82">
        <v>80</v>
      </c>
      <c r="Z90" s="82">
        <v>49</v>
      </c>
      <c r="AA90" s="82">
        <v>1</v>
      </c>
      <c r="AB90" s="300">
        <f t="shared" si="23"/>
        <v>74.48</v>
      </c>
      <c r="AC90" s="300">
        <f t="shared" si="24"/>
        <v>0.44867469879518074</v>
      </c>
      <c r="AD90" s="82">
        <v>0</v>
      </c>
      <c r="AE90" s="82">
        <v>0</v>
      </c>
      <c r="AF90" s="82" t="s">
        <v>317</v>
      </c>
      <c r="AG90" s="82" t="s">
        <v>317</v>
      </c>
      <c r="AH90" s="82" t="s">
        <v>657</v>
      </c>
      <c r="AI90" s="246"/>
      <c r="AJ90" s="246"/>
      <c r="AK90" s="82" t="s">
        <v>41</v>
      </c>
      <c r="AL90" s="82" t="s">
        <v>54</v>
      </c>
      <c r="AM90" s="299">
        <f t="shared" ca="1" si="20"/>
        <v>0.13541666667151731</v>
      </c>
      <c r="AN90" s="85"/>
      <c r="AO90" s="61" t="s">
        <v>128</v>
      </c>
      <c r="AP90" s="62" t="s">
        <v>655</v>
      </c>
      <c r="AQ90" s="61" t="s">
        <v>716</v>
      </c>
      <c r="AR90" s="64">
        <v>44866.552083333336</v>
      </c>
      <c r="AS90" s="61" t="s">
        <v>117</v>
      </c>
      <c r="AT90" s="61" t="s">
        <v>225</v>
      </c>
      <c r="AU90" s="59">
        <v>0.55208333333333337</v>
      </c>
      <c r="AV90" s="61">
        <v>1</v>
      </c>
      <c r="AW90" s="61" t="s">
        <v>66</v>
      </c>
      <c r="AX90" s="86"/>
      <c r="AY90" s="86"/>
      <c r="AZ90" s="86"/>
      <c r="BA90" s="86"/>
      <c r="BB90" s="87"/>
    </row>
    <row r="91" spans="1:54" ht="15.75" thickBot="1" x14ac:dyDescent="0.3">
      <c r="A91" s="79">
        <v>2</v>
      </c>
      <c r="B91" s="80">
        <v>44866.416666666664</v>
      </c>
      <c r="C91" s="81">
        <v>0.4201388888888889</v>
      </c>
      <c r="D91" s="81">
        <v>0.43055555555555558</v>
      </c>
      <c r="E91" s="81">
        <v>0.44791666666666669</v>
      </c>
      <c r="F91" s="82" t="s">
        <v>171</v>
      </c>
      <c r="G91" s="82" t="s">
        <v>95</v>
      </c>
      <c r="H91" s="83" t="s">
        <v>195</v>
      </c>
      <c r="I91" s="83" t="s">
        <v>195</v>
      </c>
      <c r="J91" s="83" t="s">
        <v>37</v>
      </c>
      <c r="K91" s="83" t="s">
        <v>180</v>
      </c>
      <c r="L91" s="83" t="s">
        <v>209</v>
      </c>
      <c r="M91" s="82" t="s">
        <v>655</v>
      </c>
      <c r="N91" s="82" t="s">
        <v>42</v>
      </c>
      <c r="O91" s="82" t="s">
        <v>658</v>
      </c>
      <c r="P91" s="82">
        <v>2101064949</v>
      </c>
      <c r="Q91" s="303">
        <f t="shared" si="21"/>
        <v>4</v>
      </c>
      <c r="R91" s="303">
        <f t="shared" si="22"/>
        <v>898</v>
      </c>
      <c r="S91" s="82">
        <v>0</v>
      </c>
      <c r="T91" s="82">
        <v>0</v>
      </c>
      <c r="U91" s="82">
        <v>4</v>
      </c>
      <c r="V91" s="82">
        <v>898</v>
      </c>
      <c r="W91" s="82">
        <v>941</v>
      </c>
      <c r="X91" s="82">
        <v>114</v>
      </c>
      <c r="Y91" s="82">
        <v>80</v>
      </c>
      <c r="Z91" s="82">
        <v>112</v>
      </c>
      <c r="AA91" s="82">
        <v>3</v>
      </c>
      <c r="AB91" s="300">
        <f t="shared" si="23"/>
        <v>510.72</v>
      </c>
      <c r="AC91" s="300">
        <f t="shared" si="24"/>
        <v>3.0766265060240965</v>
      </c>
      <c r="AD91" s="82">
        <v>36898.71</v>
      </c>
      <c r="AE91" s="82" t="s">
        <v>109</v>
      </c>
      <c r="AF91" s="82" t="s">
        <v>317</v>
      </c>
      <c r="AG91" s="82" t="s">
        <v>317</v>
      </c>
      <c r="AH91" s="82" t="s">
        <v>659</v>
      </c>
      <c r="AI91" s="246"/>
      <c r="AJ91" s="246"/>
      <c r="AK91" s="82" t="s">
        <v>41</v>
      </c>
      <c r="AL91" s="82" t="s">
        <v>54</v>
      </c>
      <c r="AM91" s="299">
        <f t="shared" ca="1" si="20"/>
        <v>0.13541666667151731</v>
      </c>
      <c r="AN91" s="85"/>
      <c r="AO91" s="61" t="s">
        <v>128</v>
      </c>
      <c r="AP91" s="62" t="s">
        <v>655</v>
      </c>
      <c r="AQ91" s="61" t="s">
        <v>716</v>
      </c>
      <c r="AR91" s="64">
        <v>44866.552083333336</v>
      </c>
      <c r="AS91" s="61" t="s">
        <v>117</v>
      </c>
      <c r="AT91" s="61" t="s">
        <v>225</v>
      </c>
      <c r="AU91" s="59">
        <v>0.55208333333333337</v>
      </c>
      <c r="AV91" s="61">
        <v>1</v>
      </c>
      <c r="AW91" s="61" t="s">
        <v>66</v>
      </c>
      <c r="AX91" s="86"/>
      <c r="AY91" s="86"/>
      <c r="AZ91" s="86"/>
      <c r="BA91" s="86"/>
      <c r="BB91" s="87"/>
    </row>
    <row r="92" spans="1:54" ht="15.75" thickBot="1" x14ac:dyDescent="0.3">
      <c r="A92" s="79">
        <v>2</v>
      </c>
      <c r="B92" s="80">
        <v>44866.416666666664</v>
      </c>
      <c r="C92" s="81">
        <v>0.4201388888888889</v>
      </c>
      <c r="D92" s="81">
        <v>0.43055555555555558</v>
      </c>
      <c r="E92" s="81">
        <v>0.44791666666666669</v>
      </c>
      <c r="F92" s="82" t="s">
        <v>171</v>
      </c>
      <c r="G92" s="82" t="s">
        <v>95</v>
      </c>
      <c r="H92" s="83" t="s">
        <v>195</v>
      </c>
      <c r="I92" s="83" t="s">
        <v>195</v>
      </c>
      <c r="J92" s="83" t="s">
        <v>37</v>
      </c>
      <c r="K92" s="83" t="s">
        <v>180</v>
      </c>
      <c r="L92" s="83" t="s">
        <v>209</v>
      </c>
      <c r="M92" s="82" t="s">
        <v>655</v>
      </c>
      <c r="N92" s="82" t="s">
        <v>42</v>
      </c>
      <c r="O92" s="82" t="s">
        <v>658</v>
      </c>
      <c r="P92" s="82">
        <v>2101064949</v>
      </c>
      <c r="Q92" s="303">
        <f t="shared" si="21"/>
        <v>0</v>
      </c>
      <c r="R92" s="303">
        <f t="shared" si="22"/>
        <v>0</v>
      </c>
      <c r="S92" s="82">
        <v>0</v>
      </c>
      <c r="T92" s="82">
        <v>0</v>
      </c>
      <c r="U92" s="82">
        <v>0</v>
      </c>
      <c r="V92" s="82">
        <v>0</v>
      </c>
      <c r="W92" s="82">
        <v>0</v>
      </c>
      <c r="X92" s="82">
        <v>114</v>
      </c>
      <c r="Y92" s="82">
        <v>80</v>
      </c>
      <c r="Z92" s="82">
        <v>98</v>
      </c>
      <c r="AA92" s="82">
        <v>1</v>
      </c>
      <c r="AB92" s="300">
        <f t="shared" si="23"/>
        <v>148.96</v>
      </c>
      <c r="AC92" s="300">
        <f t="shared" si="24"/>
        <v>0.89734939759036147</v>
      </c>
      <c r="AD92" s="82">
        <v>0</v>
      </c>
      <c r="AE92" s="82">
        <v>0</v>
      </c>
      <c r="AF92" s="82" t="s">
        <v>317</v>
      </c>
      <c r="AG92" s="82" t="s">
        <v>317</v>
      </c>
      <c r="AH92" s="82" t="s">
        <v>659</v>
      </c>
      <c r="AI92" s="246"/>
      <c r="AJ92" s="246"/>
      <c r="AK92" s="82" t="s">
        <v>41</v>
      </c>
      <c r="AL92" s="82" t="s">
        <v>54</v>
      </c>
      <c r="AM92" s="299">
        <f t="shared" ca="1" si="20"/>
        <v>0.13541666667151731</v>
      </c>
      <c r="AN92" s="85"/>
      <c r="AO92" s="61" t="s">
        <v>128</v>
      </c>
      <c r="AP92" s="62" t="s">
        <v>655</v>
      </c>
      <c r="AQ92" s="61" t="s">
        <v>716</v>
      </c>
      <c r="AR92" s="64">
        <v>44866.552083333336</v>
      </c>
      <c r="AS92" s="61" t="s">
        <v>117</v>
      </c>
      <c r="AT92" s="61" t="s">
        <v>225</v>
      </c>
      <c r="AU92" s="59">
        <v>0.55208333333333337</v>
      </c>
      <c r="AV92" s="61">
        <v>1</v>
      </c>
      <c r="AW92" s="61" t="s">
        <v>66</v>
      </c>
      <c r="AX92" s="86"/>
      <c r="AY92" s="86"/>
      <c r="AZ92" s="86"/>
      <c r="BA92" s="86"/>
      <c r="BB92" s="87"/>
    </row>
    <row r="93" spans="1:54" ht="15.75" thickBot="1" x14ac:dyDescent="0.3">
      <c r="A93" s="79">
        <v>3</v>
      </c>
      <c r="B93" s="80">
        <v>44866.430555555555</v>
      </c>
      <c r="C93" s="81">
        <v>0.43402777777777773</v>
      </c>
      <c r="D93" s="81">
        <v>0.4375</v>
      </c>
      <c r="E93" s="81">
        <v>0.44791666666666669</v>
      </c>
      <c r="F93" s="82" t="s">
        <v>171</v>
      </c>
      <c r="G93" s="82" t="s">
        <v>136</v>
      </c>
      <c r="H93" s="83" t="s">
        <v>195</v>
      </c>
      <c r="I93" s="83" t="s">
        <v>195</v>
      </c>
      <c r="J93" s="83" t="s">
        <v>37</v>
      </c>
      <c r="K93" s="83" t="s">
        <v>180</v>
      </c>
      <c r="L93" s="83" t="s">
        <v>209</v>
      </c>
      <c r="M93" s="82" t="s">
        <v>660</v>
      </c>
      <c r="N93" s="82" t="s">
        <v>42</v>
      </c>
      <c r="O93" s="82" t="s">
        <v>661</v>
      </c>
      <c r="P93" s="82">
        <v>2101064953</v>
      </c>
      <c r="Q93" s="303">
        <f t="shared" si="21"/>
        <v>2</v>
      </c>
      <c r="R93" s="303">
        <f t="shared" si="22"/>
        <v>408</v>
      </c>
      <c r="S93" s="82">
        <v>0</v>
      </c>
      <c r="T93" s="82">
        <v>0</v>
      </c>
      <c r="U93" s="82">
        <v>2</v>
      </c>
      <c r="V93" s="82">
        <v>408</v>
      </c>
      <c r="W93" s="82">
        <v>432</v>
      </c>
      <c r="X93" s="82">
        <v>114</v>
      </c>
      <c r="Y93" s="82">
        <v>80</v>
      </c>
      <c r="Z93" s="82">
        <v>112</v>
      </c>
      <c r="AA93" s="82">
        <v>1</v>
      </c>
      <c r="AB93" s="300">
        <f t="shared" si="23"/>
        <v>170.24</v>
      </c>
      <c r="AC93" s="300">
        <f t="shared" si="24"/>
        <v>1.0255421686746988</v>
      </c>
      <c r="AD93" s="82">
        <v>19244.88</v>
      </c>
      <c r="AE93" s="82" t="s">
        <v>109</v>
      </c>
      <c r="AF93" s="82" t="s">
        <v>317</v>
      </c>
      <c r="AG93" s="82" t="s">
        <v>317</v>
      </c>
      <c r="AH93" s="82" t="s">
        <v>662</v>
      </c>
      <c r="AI93" s="246"/>
      <c r="AJ93" s="246"/>
      <c r="AK93" s="82" t="s">
        <v>41</v>
      </c>
      <c r="AL93" s="82" t="s">
        <v>54</v>
      </c>
      <c r="AM93" s="299">
        <f t="shared" ca="1" si="20"/>
        <v>0.12152777778101154</v>
      </c>
      <c r="AN93" s="85"/>
      <c r="AO93" s="61" t="s">
        <v>132</v>
      </c>
      <c r="AP93" s="62" t="s">
        <v>660</v>
      </c>
      <c r="AQ93" s="61" t="s">
        <v>716</v>
      </c>
      <c r="AR93" s="64">
        <v>44866.552083333336</v>
      </c>
      <c r="AS93" s="61" t="s">
        <v>487</v>
      </c>
      <c r="AT93" s="61" t="s">
        <v>225</v>
      </c>
      <c r="AU93" s="59">
        <v>0.55208333333333337</v>
      </c>
      <c r="AV93" s="61">
        <v>1</v>
      </c>
      <c r="AW93" s="61" t="s">
        <v>66</v>
      </c>
      <c r="AX93" s="86"/>
      <c r="AY93" s="86"/>
      <c r="AZ93" s="86"/>
      <c r="BA93" s="86"/>
      <c r="BB93" s="87"/>
    </row>
    <row r="94" spans="1:54" ht="15.75" thickBot="1" x14ac:dyDescent="0.3">
      <c r="A94" s="79">
        <v>3</v>
      </c>
      <c r="B94" s="80">
        <v>44866.430555555555</v>
      </c>
      <c r="C94" s="81">
        <v>0.43402777777777773</v>
      </c>
      <c r="D94" s="81">
        <v>0.4375</v>
      </c>
      <c r="E94" s="81">
        <v>0.44791666666666669</v>
      </c>
      <c r="F94" s="82" t="s">
        <v>171</v>
      </c>
      <c r="G94" s="82" t="s">
        <v>136</v>
      </c>
      <c r="H94" s="83" t="s">
        <v>195</v>
      </c>
      <c r="I94" s="83" t="s">
        <v>195</v>
      </c>
      <c r="J94" s="83" t="s">
        <v>37</v>
      </c>
      <c r="K94" s="83" t="s">
        <v>180</v>
      </c>
      <c r="L94" s="83" t="s">
        <v>209</v>
      </c>
      <c r="M94" s="82" t="s">
        <v>660</v>
      </c>
      <c r="N94" s="82" t="s">
        <v>42</v>
      </c>
      <c r="O94" s="82" t="s">
        <v>661</v>
      </c>
      <c r="P94" s="82">
        <v>2101064953</v>
      </c>
      <c r="Q94" s="303">
        <f t="shared" si="21"/>
        <v>0</v>
      </c>
      <c r="R94" s="303">
        <f t="shared" si="22"/>
        <v>0</v>
      </c>
      <c r="S94" s="82">
        <v>0</v>
      </c>
      <c r="T94" s="82">
        <v>0</v>
      </c>
      <c r="U94" s="82">
        <v>0</v>
      </c>
      <c r="V94" s="82">
        <v>0</v>
      </c>
      <c r="W94" s="82">
        <v>0</v>
      </c>
      <c r="X94" s="82">
        <v>114</v>
      </c>
      <c r="Y94" s="82">
        <v>80</v>
      </c>
      <c r="Z94" s="82">
        <v>115</v>
      </c>
      <c r="AA94" s="82">
        <v>1</v>
      </c>
      <c r="AB94" s="300">
        <f t="shared" si="23"/>
        <v>174.8</v>
      </c>
      <c r="AC94" s="300">
        <f t="shared" si="24"/>
        <v>1.0530120481927712</v>
      </c>
      <c r="AD94" s="82">
        <v>0</v>
      </c>
      <c r="AE94" s="82">
        <v>0</v>
      </c>
      <c r="AF94" s="82" t="s">
        <v>317</v>
      </c>
      <c r="AG94" s="82" t="s">
        <v>317</v>
      </c>
      <c r="AH94" s="82" t="s">
        <v>662</v>
      </c>
      <c r="AI94" s="246"/>
      <c r="AJ94" s="246"/>
      <c r="AK94" s="82" t="s">
        <v>41</v>
      </c>
      <c r="AL94" s="82" t="s">
        <v>54</v>
      </c>
      <c r="AM94" s="299">
        <f t="shared" ca="1" si="20"/>
        <v>0.12152777778101154</v>
      </c>
      <c r="AN94" s="85"/>
      <c r="AO94" s="61" t="s">
        <v>132</v>
      </c>
      <c r="AP94" s="62" t="s">
        <v>660</v>
      </c>
      <c r="AQ94" s="61" t="s">
        <v>716</v>
      </c>
      <c r="AR94" s="64">
        <v>44866.552083333336</v>
      </c>
      <c r="AS94" s="61" t="s">
        <v>487</v>
      </c>
      <c r="AT94" s="61" t="s">
        <v>225</v>
      </c>
      <c r="AU94" s="59">
        <v>0.55208333333333337</v>
      </c>
      <c r="AV94" s="61">
        <v>1</v>
      </c>
      <c r="AW94" s="61" t="s">
        <v>66</v>
      </c>
      <c r="AX94" s="86"/>
      <c r="AY94" s="86"/>
      <c r="AZ94" s="86"/>
      <c r="BA94" s="86"/>
      <c r="BB94" s="87"/>
    </row>
    <row r="95" spans="1:54" ht="15.75" thickBot="1" x14ac:dyDescent="0.3">
      <c r="A95" s="79">
        <v>4</v>
      </c>
      <c r="B95" s="80">
        <v>44866.430555555555</v>
      </c>
      <c r="C95" s="81">
        <v>0.43402777777777773</v>
      </c>
      <c r="D95" s="81">
        <v>0.4375</v>
      </c>
      <c r="E95" s="81">
        <v>0.44791666666666669</v>
      </c>
      <c r="F95" s="82" t="s">
        <v>171</v>
      </c>
      <c r="G95" s="82" t="s">
        <v>136</v>
      </c>
      <c r="H95" s="83" t="s">
        <v>195</v>
      </c>
      <c r="I95" s="83" t="s">
        <v>195</v>
      </c>
      <c r="J95" s="83" t="s">
        <v>37</v>
      </c>
      <c r="K95" s="83" t="s">
        <v>180</v>
      </c>
      <c r="L95" s="83" t="s">
        <v>209</v>
      </c>
      <c r="M95" s="82" t="s">
        <v>663</v>
      </c>
      <c r="N95" s="82" t="s">
        <v>44</v>
      </c>
      <c r="O95" s="82" t="s">
        <v>664</v>
      </c>
      <c r="P95" s="82">
        <v>2101064480</v>
      </c>
      <c r="Q95" s="303">
        <f t="shared" si="21"/>
        <v>1</v>
      </c>
      <c r="R95" s="303">
        <f t="shared" si="22"/>
        <v>51</v>
      </c>
      <c r="S95" s="82">
        <v>0</v>
      </c>
      <c r="T95" s="82">
        <v>0</v>
      </c>
      <c r="U95" s="82">
        <v>1</v>
      </c>
      <c r="V95" s="82">
        <v>51</v>
      </c>
      <c r="W95" s="82">
        <v>51</v>
      </c>
      <c r="X95" s="82">
        <v>80</v>
      </c>
      <c r="Y95" s="82">
        <v>58</v>
      </c>
      <c r="Z95" s="82">
        <v>35</v>
      </c>
      <c r="AA95" s="82">
        <v>1</v>
      </c>
      <c r="AB95" s="300">
        <f t="shared" si="23"/>
        <v>27.066666666666666</v>
      </c>
      <c r="AC95" s="300">
        <f t="shared" si="24"/>
        <v>0.16305220883534136</v>
      </c>
      <c r="AD95" s="82">
        <v>697.2</v>
      </c>
      <c r="AE95" s="82" t="s">
        <v>109</v>
      </c>
      <c r="AF95" s="82" t="s">
        <v>317</v>
      </c>
      <c r="AG95" s="82" t="s">
        <v>317</v>
      </c>
      <c r="AH95" s="82" t="s">
        <v>665</v>
      </c>
      <c r="AI95" s="246"/>
      <c r="AJ95" s="246"/>
      <c r="AK95" s="82" t="s">
        <v>37</v>
      </c>
      <c r="AL95" s="82" t="s">
        <v>54</v>
      </c>
      <c r="AM95" s="299">
        <f t="shared" ca="1" si="20"/>
        <v>0.28125</v>
      </c>
      <c r="AN95" s="85"/>
      <c r="AO95" s="61" t="s">
        <v>53</v>
      </c>
      <c r="AP95" s="62" t="s">
        <v>663</v>
      </c>
      <c r="AQ95" s="78" t="s">
        <v>723</v>
      </c>
      <c r="AR95" s="64">
        <v>44866.711805555555</v>
      </c>
      <c r="AS95" s="61" t="s">
        <v>117</v>
      </c>
      <c r="AT95" s="61" t="s">
        <v>225</v>
      </c>
      <c r="AU95" s="59">
        <v>0.71180555555555547</v>
      </c>
      <c r="AV95" s="61">
        <v>2</v>
      </c>
      <c r="AW95" s="61" t="s">
        <v>66</v>
      </c>
      <c r="AX95" s="86"/>
      <c r="AY95" s="86"/>
      <c r="AZ95" s="86"/>
      <c r="BA95" s="86"/>
      <c r="BB95" s="87"/>
    </row>
    <row r="96" spans="1:54" ht="15.75" thickBot="1" x14ac:dyDescent="0.3">
      <c r="A96" s="79">
        <v>5</v>
      </c>
      <c r="B96" s="80">
        <v>44866.447916666664</v>
      </c>
      <c r="C96" s="81">
        <v>0.4513888888888889</v>
      </c>
      <c r="D96" s="81">
        <v>0.4548611111111111</v>
      </c>
      <c r="E96" s="81">
        <v>0.47222222222222227</v>
      </c>
      <c r="F96" s="82" t="s">
        <v>171</v>
      </c>
      <c r="G96" s="82" t="s">
        <v>289</v>
      </c>
      <c r="H96" s="83" t="s">
        <v>315</v>
      </c>
      <c r="I96" s="83" t="s">
        <v>172</v>
      </c>
      <c r="J96" s="83" t="s">
        <v>37</v>
      </c>
      <c r="K96" s="83" t="s">
        <v>180</v>
      </c>
      <c r="L96" s="34" t="s">
        <v>206</v>
      </c>
      <c r="M96" s="82" t="s">
        <v>666</v>
      </c>
      <c r="N96" s="82" t="s">
        <v>59</v>
      </c>
      <c r="O96" s="82" t="s">
        <v>667</v>
      </c>
      <c r="P96" s="82">
        <v>759814</v>
      </c>
      <c r="Q96" s="303">
        <f t="shared" si="21"/>
        <v>1</v>
      </c>
      <c r="R96" s="303">
        <f t="shared" si="22"/>
        <v>25</v>
      </c>
      <c r="S96" s="82">
        <v>1</v>
      </c>
      <c r="T96" s="82">
        <v>25</v>
      </c>
      <c r="U96" s="82">
        <v>0</v>
      </c>
      <c r="V96" s="82">
        <v>0</v>
      </c>
      <c r="W96" s="82">
        <v>23.5</v>
      </c>
      <c r="X96" s="82">
        <v>50</v>
      </c>
      <c r="Y96" s="82">
        <v>31</v>
      </c>
      <c r="Z96" s="82">
        <v>30</v>
      </c>
      <c r="AA96" s="82">
        <v>1</v>
      </c>
      <c r="AB96" s="300">
        <f t="shared" si="23"/>
        <v>7.75</v>
      </c>
      <c r="AC96" s="300">
        <f t="shared" si="24"/>
        <v>4.6686746987951805E-2</v>
      </c>
      <c r="AD96" s="82">
        <v>784</v>
      </c>
      <c r="AE96" s="82" t="s">
        <v>109</v>
      </c>
      <c r="AF96" s="82" t="s">
        <v>317</v>
      </c>
      <c r="AG96" s="82" t="s">
        <v>317</v>
      </c>
      <c r="AH96" s="82" t="s">
        <v>668</v>
      </c>
      <c r="AI96" s="246"/>
      <c r="AJ96" s="246"/>
      <c r="AK96" s="82" t="s">
        <v>48</v>
      </c>
      <c r="AL96" s="82" t="s">
        <v>49</v>
      </c>
      <c r="AM96" s="299">
        <f t="shared" ca="1" si="20"/>
        <v>3.1701388888905058</v>
      </c>
      <c r="AN96" s="85"/>
      <c r="AO96" s="61" t="s">
        <v>70</v>
      </c>
      <c r="AP96" s="62" t="s">
        <v>666</v>
      </c>
      <c r="AQ96" s="61" t="s">
        <v>921</v>
      </c>
      <c r="AR96" s="64">
        <v>44869.618055555555</v>
      </c>
      <c r="AS96" s="61" t="s">
        <v>117</v>
      </c>
      <c r="AT96" s="61" t="s">
        <v>225</v>
      </c>
      <c r="AU96" s="59">
        <v>0.61805555555555558</v>
      </c>
      <c r="AV96" s="61">
        <v>2</v>
      </c>
      <c r="AW96" s="61" t="s">
        <v>66</v>
      </c>
      <c r="AX96" s="86"/>
      <c r="AY96" s="86"/>
      <c r="AZ96" s="86"/>
      <c r="BA96" s="86"/>
      <c r="BB96" s="87"/>
    </row>
    <row r="97" spans="1:54" ht="15.75" thickBot="1" x14ac:dyDescent="0.3">
      <c r="A97" s="79">
        <v>6</v>
      </c>
      <c r="B97" s="80">
        <v>44866.447916666664</v>
      </c>
      <c r="C97" s="81">
        <v>0.4513888888888889</v>
      </c>
      <c r="D97" s="81">
        <v>0.4548611111111111</v>
      </c>
      <c r="E97" s="81">
        <v>0.47222222222222227</v>
      </c>
      <c r="F97" s="82" t="s">
        <v>171</v>
      </c>
      <c r="G97" s="82" t="s">
        <v>289</v>
      </c>
      <c r="H97" s="83" t="s">
        <v>315</v>
      </c>
      <c r="I97" s="83" t="s">
        <v>172</v>
      </c>
      <c r="J97" s="83" t="s">
        <v>37</v>
      </c>
      <c r="K97" s="83" t="s">
        <v>180</v>
      </c>
      <c r="L97" s="34" t="s">
        <v>206</v>
      </c>
      <c r="M97" s="82" t="s">
        <v>666</v>
      </c>
      <c r="N97" s="82" t="s">
        <v>59</v>
      </c>
      <c r="O97" s="82" t="s">
        <v>669</v>
      </c>
      <c r="P97" s="82">
        <v>795692</v>
      </c>
      <c r="Q97" s="303">
        <f t="shared" si="21"/>
        <v>1</v>
      </c>
      <c r="R97" s="303">
        <f t="shared" si="22"/>
        <v>35</v>
      </c>
      <c r="S97" s="82">
        <v>1</v>
      </c>
      <c r="T97" s="82">
        <v>35</v>
      </c>
      <c r="U97" s="82">
        <v>0</v>
      </c>
      <c r="V97" s="82">
        <v>0</v>
      </c>
      <c r="W97" s="82">
        <v>23.5</v>
      </c>
      <c r="X97" s="82">
        <v>52</v>
      </c>
      <c r="Y97" s="82">
        <v>30</v>
      </c>
      <c r="Z97" s="82">
        <v>32</v>
      </c>
      <c r="AA97" s="82">
        <v>1</v>
      </c>
      <c r="AB97" s="300">
        <f t="shared" si="23"/>
        <v>8.32</v>
      </c>
      <c r="AC97" s="300">
        <f t="shared" si="24"/>
        <v>5.0120481927710847E-2</v>
      </c>
      <c r="AD97" s="82">
        <v>784</v>
      </c>
      <c r="AE97" s="82" t="s">
        <v>109</v>
      </c>
      <c r="AF97" s="82" t="s">
        <v>317</v>
      </c>
      <c r="AG97" s="82" t="s">
        <v>317</v>
      </c>
      <c r="AH97" s="82" t="s">
        <v>670</v>
      </c>
      <c r="AI97" s="246"/>
      <c r="AJ97" s="246"/>
      <c r="AK97" s="82" t="s">
        <v>48</v>
      </c>
      <c r="AL97" s="82" t="s">
        <v>49</v>
      </c>
      <c r="AM97" s="299">
        <f t="shared" ca="1" si="20"/>
        <v>3.1701388888905058</v>
      </c>
      <c r="AN97" s="85"/>
      <c r="AO97" s="61" t="s">
        <v>70</v>
      </c>
      <c r="AP97" s="62" t="s">
        <v>666</v>
      </c>
      <c r="AQ97" s="61" t="s">
        <v>921</v>
      </c>
      <c r="AR97" s="64">
        <v>44869.618055555555</v>
      </c>
      <c r="AS97" s="61" t="s">
        <v>117</v>
      </c>
      <c r="AT97" s="61" t="s">
        <v>225</v>
      </c>
      <c r="AU97" s="59">
        <v>0.61805555555555558</v>
      </c>
      <c r="AV97" s="61">
        <v>2</v>
      </c>
      <c r="AW97" s="61" t="s">
        <v>66</v>
      </c>
      <c r="AX97" s="86"/>
      <c r="AY97" s="86"/>
      <c r="AZ97" s="86"/>
      <c r="BA97" s="86"/>
      <c r="BB97" s="87"/>
    </row>
    <row r="98" spans="1:54" ht="15.75" thickBot="1" x14ac:dyDescent="0.3">
      <c r="A98" s="79">
        <v>7</v>
      </c>
      <c r="B98" s="80">
        <v>44866.447916666664</v>
      </c>
      <c r="C98" s="81">
        <v>0.4513888888888889</v>
      </c>
      <c r="D98" s="81">
        <v>0.4548611111111111</v>
      </c>
      <c r="E98" s="81">
        <v>0.47222222222222227</v>
      </c>
      <c r="F98" s="82" t="s">
        <v>171</v>
      </c>
      <c r="G98" s="82" t="s">
        <v>289</v>
      </c>
      <c r="H98" s="83" t="s">
        <v>315</v>
      </c>
      <c r="I98" s="83" t="s">
        <v>172</v>
      </c>
      <c r="J98" s="83" t="s">
        <v>37</v>
      </c>
      <c r="K98" s="83" t="s">
        <v>180</v>
      </c>
      <c r="L98" s="34" t="s">
        <v>206</v>
      </c>
      <c r="M98" s="82" t="s">
        <v>666</v>
      </c>
      <c r="N98" s="82" t="s">
        <v>59</v>
      </c>
      <c r="O98" s="82" t="s">
        <v>671</v>
      </c>
      <c r="P98" s="82">
        <v>802903</v>
      </c>
      <c r="Q98" s="303">
        <f t="shared" si="21"/>
        <v>1</v>
      </c>
      <c r="R98" s="303">
        <f t="shared" si="22"/>
        <v>126</v>
      </c>
      <c r="S98" s="82">
        <v>0</v>
      </c>
      <c r="T98" s="82">
        <v>0</v>
      </c>
      <c r="U98" s="82">
        <v>1</v>
      </c>
      <c r="V98" s="82">
        <v>126</v>
      </c>
      <c r="W98" s="82">
        <v>112.5</v>
      </c>
      <c r="X98" s="82">
        <v>133</v>
      </c>
      <c r="Y98" s="82">
        <v>62</v>
      </c>
      <c r="Z98" s="82">
        <v>106</v>
      </c>
      <c r="AA98" s="82">
        <v>1</v>
      </c>
      <c r="AB98" s="300">
        <f t="shared" si="23"/>
        <v>145.67933333333335</v>
      </c>
      <c r="AC98" s="300">
        <f t="shared" si="24"/>
        <v>0.87758634538152613</v>
      </c>
      <c r="AD98" s="82">
        <v>868.5</v>
      </c>
      <c r="AE98" s="82" t="s">
        <v>109</v>
      </c>
      <c r="AF98" s="82" t="s">
        <v>317</v>
      </c>
      <c r="AG98" s="82" t="s">
        <v>317</v>
      </c>
      <c r="AH98" s="82" t="s">
        <v>672</v>
      </c>
      <c r="AI98" s="246"/>
      <c r="AJ98" s="246"/>
      <c r="AK98" s="82" t="s">
        <v>37</v>
      </c>
      <c r="AL98" s="82" t="s">
        <v>49</v>
      </c>
      <c r="AM98" s="299">
        <f t="shared" ca="1" si="20"/>
        <v>3.1701388888905058</v>
      </c>
      <c r="AN98" s="85"/>
      <c r="AO98" s="61" t="s">
        <v>70</v>
      </c>
      <c r="AP98" s="62" t="s">
        <v>666</v>
      </c>
      <c r="AQ98" s="61" t="s">
        <v>921</v>
      </c>
      <c r="AR98" s="64">
        <v>44869.618055555555</v>
      </c>
      <c r="AS98" s="61" t="s">
        <v>117</v>
      </c>
      <c r="AT98" s="61" t="s">
        <v>225</v>
      </c>
      <c r="AU98" s="59">
        <v>0.61805555555555558</v>
      </c>
      <c r="AV98" s="61">
        <v>2</v>
      </c>
      <c r="AW98" s="61" t="s">
        <v>66</v>
      </c>
      <c r="AX98" s="86"/>
      <c r="AY98" s="86"/>
      <c r="AZ98" s="86"/>
      <c r="BA98" s="86"/>
      <c r="BB98" s="87"/>
    </row>
    <row r="99" spans="1:54" ht="15.75" thickBot="1" x14ac:dyDescent="0.3">
      <c r="A99" s="79">
        <v>8</v>
      </c>
      <c r="B99" s="80">
        <v>44866.447916666664</v>
      </c>
      <c r="C99" s="81">
        <v>0.4513888888888889</v>
      </c>
      <c r="D99" s="81">
        <v>0.4548611111111111</v>
      </c>
      <c r="E99" s="81">
        <v>0.47222222222222227</v>
      </c>
      <c r="F99" s="82" t="s">
        <v>171</v>
      </c>
      <c r="G99" s="82" t="s">
        <v>289</v>
      </c>
      <c r="H99" s="83" t="s">
        <v>315</v>
      </c>
      <c r="I99" s="83" t="s">
        <v>172</v>
      </c>
      <c r="J99" s="83" t="s">
        <v>37</v>
      </c>
      <c r="K99" s="83" t="s">
        <v>180</v>
      </c>
      <c r="L99" s="34" t="s">
        <v>206</v>
      </c>
      <c r="M99" s="82" t="s">
        <v>666</v>
      </c>
      <c r="N99" s="82" t="s">
        <v>59</v>
      </c>
      <c r="O99" s="82" t="s">
        <v>673</v>
      </c>
      <c r="P99" s="82">
        <v>800044</v>
      </c>
      <c r="Q99" s="303">
        <f t="shared" si="21"/>
        <v>1</v>
      </c>
      <c r="R99" s="303">
        <f t="shared" si="22"/>
        <v>100</v>
      </c>
      <c r="S99" s="82">
        <v>0</v>
      </c>
      <c r="T99" s="82">
        <v>0</v>
      </c>
      <c r="U99" s="82">
        <v>1</v>
      </c>
      <c r="V99" s="82">
        <v>100</v>
      </c>
      <c r="W99" s="82">
        <v>87.5</v>
      </c>
      <c r="X99" s="82">
        <v>94</v>
      </c>
      <c r="Y99" s="82">
        <v>64</v>
      </c>
      <c r="Z99" s="82">
        <v>97</v>
      </c>
      <c r="AA99" s="82">
        <v>1</v>
      </c>
      <c r="AB99" s="300">
        <f t="shared" si="23"/>
        <v>97.25866666666667</v>
      </c>
      <c r="AC99" s="300">
        <f t="shared" si="24"/>
        <v>0.58589558232931727</v>
      </c>
      <c r="AD99" s="82">
        <v>1165</v>
      </c>
      <c r="AE99" s="82" t="s">
        <v>109</v>
      </c>
      <c r="AF99" s="82" t="s">
        <v>317</v>
      </c>
      <c r="AG99" s="82" t="s">
        <v>317</v>
      </c>
      <c r="AH99" s="82" t="s">
        <v>674</v>
      </c>
      <c r="AI99" s="246"/>
      <c r="AJ99" s="246"/>
      <c r="AK99" s="82" t="s">
        <v>37</v>
      </c>
      <c r="AL99" s="82" t="s">
        <v>49</v>
      </c>
      <c r="AM99" s="299">
        <f t="shared" ca="1" si="20"/>
        <v>3.1701388888905058</v>
      </c>
      <c r="AN99" s="85"/>
      <c r="AO99" s="61" t="s">
        <v>70</v>
      </c>
      <c r="AP99" s="62" t="s">
        <v>666</v>
      </c>
      <c r="AQ99" s="61" t="s">
        <v>921</v>
      </c>
      <c r="AR99" s="64">
        <v>44869.618055555555</v>
      </c>
      <c r="AS99" s="61" t="s">
        <v>117</v>
      </c>
      <c r="AT99" s="61" t="s">
        <v>225</v>
      </c>
      <c r="AU99" s="59">
        <v>0.61805555555555558</v>
      </c>
      <c r="AV99" s="61">
        <v>2</v>
      </c>
      <c r="AW99" s="61" t="s">
        <v>66</v>
      </c>
      <c r="AX99" s="86"/>
      <c r="AY99" s="86"/>
      <c r="AZ99" s="86"/>
      <c r="BA99" s="86"/>
      <c r="BB99" s="87"/>
    </row>
    <row r="100" spans="1:54" ht="15.75" thickBot="1" x14ac:dyDescent="0.3">
      <c r="A100" s="79">
        <v>9</v>
      </c>
      <c r="B100" s="80">
        <v>44866.447916666664</v>
      </c>
      <c r="C100" s="81">
        <v>0.4513888888888889</v>
      </c>
      <c r="D100" s="81">
        <v>0.4548611111111111</v>
      </c>
      <c r="E100" s="81">
        <v>0.47222222222222227</v>
      </c>
      <c r="F100" s="82" t="s">
        <v>171</v>
      </c>
      <c r="G100" s="82" t="s">
        <v>289</v>
      </c>
      <c r="H100" s="83" t="s">
        <v>315</v>
      </c>
      <c r="I100" s="83" t="s">
        <v>172</v>
      </c>
      <c r="J100" s="83" t="s">
        <v>37</v>
      </c>
      <c r="K100" s="83" t="s">
        <v>180</v>
      </c>
      <c r="L100" s="34" t="s">
        <v>206</v>
      </c>
      <c r="M100" s="82" t="s">
        <v>666</v>
      </c>
      <c r="N100" s="82" t="s">
        <v>59</v>
      </c>
      <c r="O100" s="82" t="s">
        <v>675</v>
      </c>
      <c r="P100" s="82">
        <v>804927</v>
      </c>
      <c r="Q100" s="303">
        <f t="shared" si="21"/>
        <v>1</v>
      </c>
      <c r="R100" s="303">
        <f t="shared" si="22"/>
        <v>31</v>
      </c>
      <c r="S100" s="82">
        <v>1</v>
      </c>
      <c r="T100" s="82">
        <v>31</v>
      </c>
      <c r="U100" s="82">
        <v>0</v>
      </c>
      <c r="V100" s="82">
        <v>0</v>
      </c>
      <c r="W100" s="82">
        <v>30.5</v>
      </c>
      <c r="X100" s="82">
        <v>59</v>
      </c>
      <c r="Y100" s="82">
        <v>47</v>
      </c>
      <c r="Z100" s="82">
        <v>33</v>
      </c>
      <c r="AA100" s="82">
        <v>1</v>
      </c>
      <c r="AB100" s="300">
        <f t="shared" si="23"/>
        <v>15.2515</v>
      </c>
      <c r="AC100" s="300">
        <f t="shared" si="24"/>
        <v>9.1876506024096388E-2</v>
      </c>
      <c r="AD100" s="82">
        <v>659.5</v>
      </c>
      <c r="AE100" s="82" t="s">
        <v>109</v>
      </c>
      <c r="AF100" s="82" t="s">
        <v>317</v>
      </c>
      <c r="AG100" s="82" t="s">
        <v>317</v>
      </c>
      <c r="AH100" s="82" t="s">
        <v>676</v>
      </c>
      <c r="AI100" s="246"/>
      <c r="AJ100" s="246"/>
      <c r="AK100" s="82" t="s">
        <v>48</v>
      </c>
      <c r="AL100" s="82" t="s">
        <v>49</v>
      </c>
      <c r="AM100" s="299">
        <f t="shared" ca="1" si="20"/>
        <v>3.1701388888905058</v>
      </c>
      <c r="AN100" s="85"/>
      <c r="AO100" s="61" t="s">
        <v>70</v>
      </c>
      <c r="AP100" s="62" t="s">
        <v>666</v>
      </c>
      <c r="AQ100" s="61" t="s">
        <v>921</v>
      </c>
      <c r="AR100" s="64">
        <v>44869.618055555555</v>
      </c>
      <c r="AS100" s="61" t="s">
        <v>117</v>
      </c>
      <c r="AT100" s="61" t="s">
        <v>225</v>
      </c>
      <c r="AU100" s="59">
        <v>0.61805555555555558</v>
      </c>
      <c r="AV100" s="61">
        <v>2</v>
      </c>
      <c r="AW100" s="61" t="s">
        <v>66</v>
      </c>
      <c r="AX100" s="86"/>
      <c r="AY100" s="86"/>
      <c r="AZ100" s="86"/>
      <c r="BA100" s="86"/>
      <c r="BB100" s="87"/>
    </row>
    <row r="101" spans="1:54" ht="15.75" thickBot="1" x14ac:dyDescent="0.3">
      <c r="A101" s="79">
        <v>10</v>
      </c>
      <c r="B101" s="80">
        <v>44866.552083333336</v>
      </c>
      <c r="C101" s="81">
        <v>0.55555555555555558</v>
      </c>
      <c r="D101" s="81">
        <v>0.56597222222222221</v>
      </c>
      <c r="E101" s="81">
        <v>0.64583333333333337</v>
      </c>
      <c r="F101" s="82" t="s">
        <v>170</v>
      </c>
      <c r="G101" s="82" t="s">
        <v>435</v>
      </c>
      <c r="H101" s="83" t="s">
        <v>356</v>
      </c>
      <c r="I101" s="83" t="s">
        <v>40</v>
      </c>
      <c r="J101" s="83" t="s">
        <v>41</v>
      </c>
      <c r="K101" s="83" t="s">
        <v>63</v>
      </c>
      <c r="L101" s="34" t="s">
        <v>206</v>
      </c>
      <c r="M101" s="82" t="s">
        <v>677</v>
      </c>
      <c r="N101" s="82" t="s">
        <v>42</v>
      </c>
      <c r="O101" s="82">
        <v>8275002203</v>
      </c>
      <c r="P101" s="82">
        <v>4400013326</v>
      </c>
      <c r="Q101" s="303">
        <f t="shared" si="21"/>
        <v>1</v>
      </c>
      <c r="R101" s="303">
        <f t="shared" si="22"/>
        <v>118</v>
      </c>
      <c r="S101" s="82">
        <v>0</v>
      </c>
      <c r="T101" s="82">
        <v>0</v>
      </c>
      <c r="U101" s="82">
        <v>1</v>
      </c>
      <c r="V101" s="82">
        <v>118</v>
      </c>
      <c r="W101" s="82">
        <v>119</v>
      </c>
      <c r="X101" s="82">
        <v>75</v>
      </c>
      <c r="Y101" s="82">
        <v>54</v>
      </c>
      <c r="Z101" s="82">
        <v>59</v>
      </c>
      <c r="AA101" s="82">
        <v>1</v>
      </c>
      <c r="AB101" s="300">
        <f t="shared" si="23"/>
        <v>39.825000000000003</v>
      </c>
      <c r="AC101" s="300">
        <f t="shared" si="24"/>
        <v>0.23990963855421688</v>
      </c>
      <c r="AD101" s="82">
        <v>1481.5</v>
      </c>
      <c r="AE101" s="82" t="s">
        <v>109</v>
      </c>
      <c r="AF101" s="82" t="s">
        <v>317</v>
      </c>
      <c r="AG101" s="82" t="s">
        <v>317</v>
      </c>
      <c r="AH101" s="82" t="s">
        <v>678</v>
      </c>
      <c r="AI101" s="246"/>
      <c r="AJ101" s="246"/>
      <c r="AK101" s="82" t="s">
        <v>37</v>
      </c>
      <c r="AL101" s="82" t="s">
        <v>54</v>
      </c>
      <c r="AM101" s="299">
        <f t="shared" ca="1" si="20"/>
        <v>3.0659722222189885</v>
      </c>
      <c r="AN101" s="85"/>
      <c r="AO101" s="61" t="s">
        <v>120</v>
      </c>
      <c r="AP101" s="62" t="s">
        <v>677</v>
      </c>
      <c r="AQ101" s="61" t="s">
        <v>920</v>
      </c>
      <c r="AR101" s="64">
        <v>44869.618055555555</v>
      </c>
      <c r="AS101" s="61" t="s">
        <v>117</v>
      </c>
      <c r="AT101" s="61" t="s">
        <v>225</v>
      </c>
      <c r="AU101" s="59">
        <v>0.61805555555555558</v>
      </c>
      <c r="AV101" s="61">
        <v>2</v>
      </c>
      <c r="AW101" s="61" t="s">
        <v>66</v>
      </c>
      <c r="AX101" s="86"/>
      <c r="AY101" s="86"/>
      <c r="AZ101" s="86"/>
      <c r="BA101" s="86"/>
      <c r="BB101" s="87"/>
    </row>
    <row r="102" spans="1:54" ht="15.75" thickBot="1" x14ac:dyDescent="0.3">
      <c r="A102" s="79">
        <v>11</v>
      </c>
      <c r="B102" s="80">
        <v>44866.552083333336</v>
      </c>
      <c r="C102" s="81">
        <v>0.55555555555555558</v>
      </c>
      <c r="D102" s="81">
        <v>0.56597222222222221</v>
      </c>
      <c r="E102" s="81">
        <v>0.64583333333333337</v>
      </c>
      <c r="F102" s="82" t="s">
        <v>170</v>
      </c>
      <c r="G102" s="82" t="s">
        <v>435</v>
      </c>
      <c r="H102" s="83" t="s">
        <v>129</v>
      </c>
      <c r="I102" s="83" t="s">
        <v>92</v>
      </c>
      <c r="J102" s="83" t="s">
        <v>37</v>
      </c>
      <c r="K102" s="83" t="s">
        <v>63</v>
      </c>
      <c r="L102" s="83" t="s">
        <v>221</v>
      </c>
      <c r="M102" s="82" t="s">
        <v>679</v>
      </c>
      <c r="N102" s="82" t="s">
        <v>42</v>
      </c>
      <c r="O102" s="82" t="s">
        <v>680</v>
      </c>
      <c r="P102" s="82">
        <v>5051961863</v>
      </c>
      <c r="Q102" s="303">
        <f t="shared" si="21"/>
        <v>1</v>
      </c>
      <c r="R102" s="303">
        <f t="shared" si="22"/>
        <v>279</v>
      </c>
      <c r="S102" s="82">
        <v>0</v>
      </c>
      <c r="T102" s="82">
        <v>0</v>
      </c>
      <c r="U102" s="82">
        <v>1</v>
      </c>
      <c r="V102" s="82">
        <v>279</v>
      </c>
      <c r="W102" s="82">
        <v>278</v>
      </c>
      <c r="X102" s="82">
        <v>91</v>
      </c>
      <c r="Y102" s="82">
        <v>92</v>
      </c>
      <c r="Z102" s="82">
        <v>56</v>
      </c>
      <c r="AA102" s="82">
        <v>1</v>
      </c>
      <c r="AB102" s="300">
        <f t="shared" si="23"/>
        <v>78.138666666666666</v>
      </c>
      <c r="AC102" s="300">
        <f t="shared" si="24"/>
        <v>0.47071485943775099</v>
      </c>
      <c r="AD102" s="82">
        <v>5196.22</v>
      </c>
      <c r="AE102" s="82" t="s">
        <v>109</v>
      </c>
      <c r="AF102" s="82" t="s">
        <v>317</v>
      </c>
      <c r="AG102" s="82" t="s">
        <v>317</v>
      </c>
      <c r="AH102" s="82" t="s">
        <v>681</v>
      </c>
      <c r="AI102" s="246"/>
      <c r="AJ102" s="246"/>
      <c r="AK102" s="82" t="s">
        <v>37</v>
      </c>
      <c r="AL102" s="82" t="s">
        <v>54</v>
      </c>
      <c r="AM102" s="299">
        <f t="shared" ca="1" si="20"/>
        <v>2.8923611111094942</v>
      </c>
      <c r="AN102" s="85"/>
      <c r="AO102" s="61" t="s">
        <v>83</v>
      </c>
      <c r="AP102" s="62" t="s">
        <v>911</v>
      </c>
      <c r="AQ102" s="61" t="s">
        <v>912</v>
      </c>
      <c r="AR102" s="64">
        <v>44869.444444444445</v>
      </c>
      <c r="AS102" s="57" t="s">
        <v>173</v>
      </c>
      <c r="AT102" s="61" t="s">
        <v>225</v>
      </c>
      <c r="AU102" s="63">
        <v>0.44444444444444442</v>
      </c>
      <c r="AV102" s="61">
        <v>1</v>
      </c>
      <c r="AW102" s="61" t="s">
        <v>66</v>
      </c>
      <c r="AX102" s="86"/>
      <c r="AY102" s="86"/>
      <c r="AZ102" s="86"/>
      <c r="BA102" s="86"/>
      <c r="BB102" s="87"/>
    </row>
    <row r="103" spans="1:54" ht="15.75" thickBot="1" x14ac:dyDescent="0.3">
      <c r="A103" s="79">
        <v>12</v>
      </c>
      <c r="B103" s="80">
        <v>44866.552083333336</v>
      </c>
      <c r="C103" s="81">
        <v>0.55555555555555558</v>
      </c>
      <c r="D103" s="81">
        <v>0.56597222222222221</v>
      </c>
      <c r="E103" s="81">
        <v>0.64583333333333337</v>
      </c>
      <c r="F103" s="82" t="s">
        <v>170</v>
      </c>
      <c r="G103" s="82" t="s">
        <v>435</v>
      </c>
      <c r="H103" s="83" t="s">
        <v>55</v>
      </c>
      <c r="I103" s="83" t="s">
        <v>110</v>
      </c>
      <c r="J103" s="83" t="s">
        <v>37</v>
      </c>
      <c r="K103" s="83" t="s">
        <v>63</v>
      </c>
      <c r="L103" s="83" t="s">
        <v>216</v>
      </c>
      <c r="M103" s="82" t="s">
        <v>682</v>
      </c>
      <c r="N103" s="82" t="s">
        <v>186</v>
      </c>
      <c r="O103" s="82">
        <v>92200717</v>
      </c>
      <c r="P103" s="82" t="s">
        <v>683</v>
      </c>
      <c r="Q103" s="303">
        <f t="shared" si="21"/>
        <v>1</v>
      </c>
      <c r="R103" s="303">
        <f t="shared" si="22"/>
        <v>170</v>
      </c>
      <c r="S103" s="82">
        <v>0</v>
      </c>
      <c r="T103" s="82">
        <v>0</v>
      </c>
      <c r="U103" s="82">
        <v>1</v>
      </c>
      <c r="V103" s="82">
        <v>170</v>
      </c>
      <c r="W103" s="82">
        <v>163.5</v>
      </c>
      <c r="X103" s="82">
        <v>66</v>
      </c>
      <c r="Y103" s="82">
        <v>60</v>
      </c>
      <c r="Z103" s="82">
        <v>47</v>
      </c>
      <c r="AA103" s="82">
        <v>1</v>
      </c>
      <c r="AB103" s="300">
        <f t="shared" si="23"/>
        <v>31.02</v>
      </c>
      <c r="AC103" s="300">
        <f t="shared" si="24"/>
        <v>0.18686746987951808</v>
      </c>
      <c r="AD103" s="82">
        <v>2088.17</v>
      </c>
      <c r="AE103" s="82" t="s">
        <v>109</v>
      </c>
      <c r="AF103" s="82" t="s">
        <v>317</v>
      </c>
      <c r="AG103" s="82" t="s">
        <v>317</v>
      </c>
      <c r="AH103" s="82" t="s">
        <v>684</v>
      </c>
      <c r="AI103" s="246"/>
      <c r="AJ103" s="246"/>
      <c r="AK103" s="82" t="s">
        <v>37</v>
      </c>
      <c r="AL103" s="82" t="s">
        <v>54</v>
      </c>
      <c r="AM103" s="299">
        <f t="shared" ca="1" si="20"/>
        <v>1.1145833333284827</v>
      </c>
      <c r="AN103" s="85"/>
      <c r="AO103" s="61" t="s">
        <v>131</v>
      </c>
      <c r="AP103" s="62" t="s">
        <v>682</v>
      </c>
      <c r="AQ103" s="61" t="s">
        <v>829</v>
      </c>
      <c r="AR103" s="64">
        <v>44867.666666666664</v>
      </c>
      <c r="AS103" s="61" t="s">
        <v>117</v>
      </c>
      <c r="AT103" s="61" t="s">
        <v>225</v>
      </c>
      <c r="AU103" s="59">
        <v>0.66666666666666663</v>
      </c>
      <c r="AV103" s="61">
        <v>2</v>
      </c>
      <c r="AW103" s="58" t="s">
        <v>66</v>
      </c>
      <c r="AX103" s="86"/>
      <c r="AY103" s="86"/>
      <c r="AZ103" s="86"/>
      <c r="BA103" s="86"/>
      <c r="BB103" s="87"/>
    </row>
    <row r="104" spans="1:54" ht="15.75" thickBot="1" x14ac:dyDescent="0.3">
      <c r="A104" s="79">
        <v>13</v>
      </c>
      <c r="B104" s="80">
        <v>44866.552083333336</v>
      </c>
      <c r="C104" s="81">
        <v>0.55555555555555558</v>
      </c>
      <c r="D104" s="81">
        <v>0.56597222222222221</v>
      </c>
      <c r="E104" s="81">
        <v>0.64583333333333337</v>
      </c>
      <c r="F104" s="82" t="s">
        <v>170</v>
      </c>
      <c r="G104" s="82" t="s">
        <v>435</v>
      </c>
      <c r="H104" s="83" t="s">
        <v>45</v>
      </c>
      <c r="I104" s="83" t="s">
        <v>110</v>
      </c>
      <c r="J104" s="83" t="s">
        <v>37</v>
      </c>
      <c r="K104" s="83" t="s">
        <v>63</v>
      </c>
      <c r="L104" s="83" t="s">
        <v>215</v>
      </c>
      <c r="M104" s="82" t="s">
        <v>685</v>
      </c>
      <c r="N104" s="82" t="s">
        <v>186</v>
      </c>
      <c r="O104" s="82">
        <v>3500675</v>
      </c>
      <c r="P104" s="82">
        <v>5051952858</v>
      </c>
      <c r="Q104" s="303">
        <f t="shared" si="21"/>
        <v>1</v>
      </c>
      <c r="R104" s="303">
        <f t="shared" si="22"/>
        <v>120</v>
      </c>
      <c r="S104" s="82">
        <v>0</v>
      </c>
      <c r="T104" s="82">
        <v>0</v>
      </c>
      <c r="U104" s="82">
        <v>1</v>
      </c>
      <c r="V104" s="82">
        <v>120</v>
      </c>
      <c r="W104" s="82">
        <v>121.1</v>
      </c>
      <c r="X104" s="82">
        <v>86</v>
      </c>
      <c r="Y104" s="82">
        <v>41</v>
      </c>
      <c r="Z104" s="82">
        <v>49</v>
      </c>
      <c r="AA104" s="82">
        <v>1</v>
      </c>
      <c r="AB104" s="300">
        <f t="shared" si="23"/>
        <v>28.795666666666666</v>
      </c>
      <c r="AC104" s="300">
        <f t="shared" si="24"/>
        <v>0.17346787148594378</v>
      </c>
      <c r="AD104" s="82">
        <v>19446.900000000001</v>
      </c>
      <c r="AE104" s="82" t="s">
        <v>109</v>
      </c>
      <c r="AF104" s="82" t="s">
        <v>317</v>
      </c>
      <c r="AG104" s="82" t="s">
        <v>317</v>
      </c>
      <c r="AH104" s="82" t="s">
        <v>686</v>
      </c>
      <c r="AI104" s="246"/>
      <c r="AJ104" s="246"/>
      <c r="AK104" s="82" t="s">
        <v>37</v>
      </c>
      <c r="AL104" s="82" t="s">
        <v>54</v>
      </c>
      <c r="AM104" s="299">
        <f t="shared" ref="AM104:AM167" ca="1" si="25">IF(AP104="",NOW()-B104,AR104-B104)</f>
        <v>1.1145833333284827</v>
      </c>
      <c r="AN104" s="85"/>
      <c r="AO104" s="61" t="s">
        <v>131</v>
      </c>
      <c r="AP104" s="62" t="s">
        <v>832</v>
      </c>
      <c r="AQ104" s="61" t="s">
        <v>829</v>
      </c>
      <c r="AR104" s="64">
        <v>44867.666666666664</v>
      </c>
      <c r="AS104" s="61" t="s">
        <v>117</v>
      </c>
      <c r="AT104" s="61" t="s">
        <v>225</v>
      </c>
      <c r="AU104" s="59">
        <v>0.66666666666666663</v>
      </c>
      <c r="AV104" s="61">
        <v>2</v>
      </c>
      <c r="AW104" s="58" t="s">
        <v>66</v>
      </c>
      <c r="AX104" s="86"/>
      <c r="AY104" s="86"/>
      <c r="AZ104" s="86"/>
      <c r="BA104" s="86"/>
      <c r="BB104" s="87"/>
    </row>
    <row r="105" spans="1:54" ht="15.75" thickBot="1" x14ac:dyDescent="0.3">
      <c r="A105" s="79">
        <v>14</v>
      </c>
      <c r="B105" s="80">
        <v>44866.552083333336</v>
      </c>
      <c r="C105" s="81">
        <v>0.55555555555555558</v>
      </c>
      <c r="D105" s="81">
        <v>0.56597222222222221</v>
      </c>
      <c r="E105" s="81">
        <v>0.64583333333333337</v>
      </c>
      <c r="F105" s="82" t="s">
        <v>170</v>
      </c>
      <c r="G105" s="82" t="s">
        <v>435</v>
      </c>
      <c r="H105" s="83" t="s">
        <v>687</v>
      </c>
      <c r="I105" s="83" t="s">
        <v>197</v>
      </c>
      <c r="J105" s="83" t="s">
        <v>37</v>
      </c>
      <c r="K105" s="83" t="s">
        <v>63</v>
      </c>
      <c r="L105" s="83">
        <v>0</v>
      </c>
      <c r="M105" s="82" t="s">
        <v>688</v>
      </c>
      <c r="N105" s="82" t="s">
        <v>689</v>
      </c>
      <c r="O105" s="82">
        <v>1422200826</v>
      </c>
      <c r="P105" s="82">
        <v>4501133844</v>
      </c>
      <c r="Q105" s="303">
        <f t="shared" ref="Q105:Q168" si="26">S105+U105</f>
        <v>1</v>
      </c>
      <c r="R105" s="303">
        <f t="shared" ref="R105:R168" si="27">T105+V105</f>
        <v>8</v>
      </c>
      <c r="S105" s="82">
        <v>1</v>
      </c>
      <c r="T105" s="82">
        <v>8</v>
      </c>
      <c r="U105" s="82">
        <v>0</v>
      </c>
      <c r="V105" s="82">
        <v>0</v>
      </c>
      <c r="W105" s="82">
        <v>7.3</v>
      </c>
      <c r="X105" s="82">
        <v>57</v>
      </c>
      <c r="Y105" s="82">
        <v>53</v>
      </c>
      <c r="Z105" s="82">
        <v>21</v>
      </c>
      <c r="AA105" s="82">
        <v>1</v>
      </c>
      <c r="AB105" s="300">
        <f t="shared" ref="AB105:AB168" si="28">X105*Y105*Z105*AA105/6000</f>
        <v>10.573499999999999</v>
      </c>
      <c r="AC105" s="300">
        <f t="shared" ref="AC105:AC168" si="29">AB105/166</f>
        <v>6.3695783132530118E-2</v>
      </c>
      <c r="AD105" s="82" t="s">
        <v>48</v>
      </c>
      <c r="AE105" s="82" t="s">
        <v>48</v>
      </c>
      <c r="AF105" s="82" t="s">
        <v>317</v>
      </c>
      <c r="AG105" s="82" t="s">
        <v>317</v>
      </c>
      <c r="AH105" s="82" t="s">
        <v>690</v>
      </c>
      <c r="AI105" s="246"/>
      <c r="AJ105" s="246"/>
      <c r="AK105" s="82" t="s">
        <v>48</v>
      </c>
      <c r="AL105" s="82" t="s">
        <v>54</v>
      </c>
      <c r="AM105" s="299">
        <f t="shared" ca="1" si="25"/>
        <v>3.0659722222189885</v>
      </c>
      <c r="AN105" s="85"/>
      <c r="AO105" s="61" t="s">
        <v>922</v>
      </c>
      <c r="AP105" s="62" t="s">
        <v>688</v>
      </c>
      <c r="AQ105" s="61" t="s">
        <v>923</v>
      </c>
      <c r="AR105" s="64">
        <v>44869.618055555555</v>
      </c>
      <c r="AS105" s="61" t="s">
        <v>117</v>
      </c>
      <c r="AT105" s="61" t="s">
        <v>225</v>
      </c>
      <c r="AU105" s="59">
        <v>0.61805555555555558</v>
      </c>
      <c r="AV105" s="61">
        <v>2</v>
      </c>
      <c r="AW105" s="61" t="s">
        <v>66</v>
      </c>
      <c r="AX105" s="86"/>
      <c r="AY105" s="86"/>
      <c r="AZ105" s="86"/>
      <c r="BA105" s="86"/>
      <c r="BB105" s="87"/>
    </row>
    <row r="106" spans="1:54" ht="15.75" thickBot="1" x14ac:dyDescent="0.3">
      <c r="A106" s="79">
        <v>15</v>
      </c>
      <c r="B106" s="80">
        <v>44866.552083333336</v>
      </c>
      <c r="C106" s="81">
        <v>0.55555555555555558</v>
      </c>
      <c r="D106" s="81">
        <v>0.56597222222222221</v>
      </c>
      <c r="E106" s="81">
        <v>0.64583333333333337</v>
      </c>
      <c r="F106" s="82" t="s">
        <v>170</v>
      </c>
      <c r="G106" s="82" t="s">
        <v>435</v>
      </c>
      <c r="H106" s="83" t="s">
        <v>296</v>
      </c>
      <c r="I106" s="83" t="s">
        <v>338</v>
      </c>
      <c r="J106" s="83" t="s">
        <v>37</v>
      </c>
      <c r="K106" s="83" t="s">
        <v>63</v>
      </c>
      <c r="L106" s="34" t="s">
        <v>206</v>
      </c>
      <c r="M106" s="82" t="s">
        <v>691</v>
      </c>
      <c r="N106" s="82" t="s">
        <v>340</v>
      </c>
      <c r="O106" s="82">
        <v>2223000165</v>
      </c>
      <c r="P106" s="82">
        <v>4509624079</v>
      </c>
      <c r="Q106" s="303">
        <f t="shared" si="26"/>
        <v>1</v>
      </c>
      <c r="R106" s="303">
        <f t="shared" si="27"/>
        <v>233</v>
      </c>
      <c r="S106" s="82">
        <v>0</v>
      </c>
      <c r="T106" s="82">
        <v>0</v>
      </c>
      <c r="U106" s="82">
        <v>1</v>
      </c>
      <c r="V106" s="82">
        <v>233</v>
      </c>
      <c r="W106" s="82">
        <v>248</v>
      </c>
      <c r="X106" s="82">
        <v>120</v>
      </c>
      <c r="Y106" s="82">
        <v>81</v>
      </c>
      <c r="Z106" s="82">
        <v>93</v>
      </c>
      <c r="AA106" s="82">
        <v>1</v>
      </c>
      <c r="AB106" s="300">
        <f t="shared" si="28"/>
        <v>150.66</v>
      </c>
      <c r="AC106" s="300">
        <f t="shared" si="29"/>
        <v>0.90759036144578309</v>
      </c>
      <c r="AD106" s="82">
        <v>8417.5499999999993</v>
      </c>
      <c r="AE106" s="82" t="s">
        <v>109</v>
      </c>
      <c r="AF106" s="82" t="s">
        <v>317</v>
      </c>
      <c r="AG106" s="82" t="s">
        <v>317</v>
      </c>
      <c r="AH106" s="82" t="s">
        <v>692</v>
      </c>
      <c r="AI106" s="246"/>
      <c r="AJ106" s="246"/>
      <c r="AK106" s="82" t="s">
        <v>37</v>
      </c>
      <c r="AL106" s="82" t="s">
        <v>54</v>
      </c>
      <c r="AM106" s="299">
        <f t="shared" ca="1" si="25"/>
        <v>1.0104166666642413</v>
      </c>
      <c r="AN106" s="85"/>
      <c r="AO106" s="61" t="s">
        <v>466</v>
      </c>
      <c r="AP106" s="61" t="s">
        <v>691</v>
      </c>
      <c r="AQ106" s="61" t="s">
        <v>825</v>
      </c>
      <c r="AR106" s="64">
        <v>44867.5625</v>
      </c>
      <c r="AS106" s="61" t="s">
        <v>136</v>
      </c>
      <c r="AT106" s="61" t="s">
        <v>225</v>
      </c>
      <c r="AU106" s="63">
        <v>0.5625</v>
      </c>
      <c r="AV106" s="61">
        <v>1</v>
      </c>
      <c r="AW106" s="58" t="s">
        <v>66</v>
      </c>
      <c r="AX106" s="86"/>
      <c r="AY106" s="86"/>
      <c r="AZ106" s="86"/>
      <c r="BA106" s="86"/>
      <c r="BB106" s="87"/>
    </row>
    <row r="107" spans="1:54" ht="15.75" thickBot="1" x14ac:dyDescent="0.3">
      <c r="A107" s="79">
        <v>16</v>
      </c>
      <c r="B107" s="80">
        <v>44866.552083333336</v>
      </c>
      <c r="C107" s="81">
        <v>0.55555555555555558</v>
      </c>
      <c r="D107" s="81">
        <v>0.56597222222222221</v>
      </c>
      <c r="E107" s="81">
        <v>0.64583333333333337</v>
      </c>
      <c r="F107" s="82" t="s">
        <v>170</v>
      </c>
      <c r="G107" s="82" t="s">
        <v>435</v>
      </c>
      <c r="H107" s="83" t="s">
        <v>187</v>
      </c>
      <c r="I107" s="83" t="s">
        <v>162</v>
      </c>
      <c r="J107" s="83" t="s">
        <v>37</v>
      </c>
      <c r="K107" s="83" t="s">
        <v>63</v>
      </c>
      <c r="L107" s="83" t="s">
        <v>212</v>
      </c>
      <c r="M107" s="82" t="s">
        <v>693</v>
      </c>
      <c r="N107" s="82" t="s">
        <v>158</v>
      </c>
      <c r="O107" s="82">
        <v>21222231432</v>
      </c>
      <c r="P107" s="82">
        <v>5051991049</v>
      </c>
      <c r="Q107" s="303">
        <f t="shared" si="26"/>
        <v>1</v>
      </c>
      <c r="R107" s="303">
        <f t="shared" si="27"/>
        <v>167</v>
      </c>
      <c r="S107" s="82">
        <v>0</v>
      </c>
      <c r="T107" s="82">
        <v>0</v>
      </c>
      <c r="U107" s="82">
        <v>1</v>
      </c>
      <c r="V107" s="88">
        <v>167</v>
      </c>
      <c r="W107" s="88">
        <v>195</v>
      </c>
      <c r="X107" s="82">
        <v>108</v>
      </c>
      <c r="Y107" s="82">
        <v>92</v>
      </c>
      <c r="Z107" s="82">
        <v>54</v>
      </c>
      <c r="AA107" s="82">
        <v>1</v>
      </c>
      <c r="AB107" s="300">
        <f t="shared" si="28"/>
        <v>89.424000000000007</v>
      </c>
      <c r="AC107" s="300">
        <f t="shared" si="29"/>
        <v>0.53869879518072294</v>
      </c>
      <c r="AD107" s="82">
        <v>803.01</v>
      </c>
      <c r="AE107" s="82" t="s">
        <v>109</v>
      </c>
      <c r="AF107" s="82" t="s">
        <v>317</v>
      </c>
      <c r="AG107" s="82" t="s">
        <v>317</v>
      </c>
      <c r="AH107" s="82" t="s">
        <v>694</v>
      </c>
      <c r="AI107" s="246"/>
      <c r="AJ107" s="246"/>
      <c r="AK107" s="82" t="s">
        <v>41</v>
      </c>
      <c r="AL107" s="82" t="s">
        <v>54</v>
      </c>
      <c r="AM107" s="299">
        <f t="shared" ca="1" si="25"/>
        <v>1.0104166666642413</v>
      </c>
      <c r="AN107" s="85"/>
      <c r="AO107" s="61" t="s">
        <v>159</v>
      </c>
      <c r="AP107" s="62" t="s">
        <v>693</v>
      </c>
      <c r="AQ107" s="61" t="s">
        <v>823</v>
      </c>
      <c r="AR107" s="64">
        <v>44867.5625</v>
      </c>
      <c r="AS107" s="61" t="s">
        <v>136</v>
      </c>
      <c r="AT107" s="61" t="s">
        <v>225</v>
      </c>
      <c r="AU107" s="63">
        <v>0.5625</v>
      </c>
      <c r="AV107" s="61">
        <v>1</v>
      </c>
      <c r="AW107" s="58" t="s">
        <v>66</v>
      </c>
      <c r="AX107" s="86"/>
      <c r="AY107" s="86"/>
      <c r="AZ107" s="86"/>
      <c r="BA107" s="86"/>
      <c r="BB107" s="87"/>
    </row>
    <row r="108" spans="1:54" ht="15.75" thickBot="1" x14ac:dyDescent="0.3">
      <c r="A108" s="79">
        <v>17</v>
      </c>
      <c r="B108" s="80">
        <v>44866.552083333336</v>
      </c>
      <c r="C108" s="81">
        <v>0.55555555555555558</v>
      </c>
      <c r="D108" s="81">
        <v>0.56597222222222221</v>
      </c>
      <c r="E108" s="81">
        <v>0.64583333333333337</v>
      </c>
      <c r="F108" s="82" t="s">
        <v>170</v>
      </c>
      <c r="G108" s="82" t="s">
        <v>435</v>
      </c>
      <c r="H108" s="83" t="s">
        <v>187</v>
      </c>
      <c r="I108" s="83" t="s">
        <v>162</v>
      </c>
      <c r="J108" s="83" t="s">
        <v>37</v>
      </c>
      <c r="K108" s="83" t="s">
        <v>63</v>
      </c>
      <c r="L108" s="83" t="s">
        <v>212</v>
      </c>
      <c r="M108" s="82" t="s">
        <v>695</v>
      </c>
      <c r="N108" s="82" t="s">
        <v>158</v>
      </c>
      <c r="O108" s="82">
        <v>21222231456</v>
      </c>
      <c r="P108" s="82">
        <v>5051996083</v>
      </c>
      <c r="Q108" s="303">
        <f t="shared" si="26"/>
        <v>2</v>
      </c>
      <c r="R108" s="303">
        <f t="shared" si="27"/>
        <v>347</v>
      </c>
      <c r="S108" s="82">
        <v>0</v>
      </c>
      <c r="T108" s="82">
        <v>0</v>
      </c>
      <c r="U108" s="82">
        <v>2</v>
      </c>
      <c r="V108" s="82">
        <v>347</v>
      </c>
      <c r="W108" s="82">
        <v>369</v>
      </c>
      <c r="X108" s="82">
        <v>92</v>
      </c>
      <c r="Y108" s="82">
        <v>56</v>
      </c>
      <c r="Z108" s="82">
        <v>64</v>
      </c>
      <c r="AA108" s="82">
        <v>1</v>
      </c>
      <c r="AB108" s="300">
        <f t="shared" si="28"/>
        <v>54.954666666666668</v>
      </c>
      <c r="AC108" s="300">
        <f t="shared" si="29"/>
        <v>0.33105220883534137</v>
      </c>
      <c r="AD108" s="82">
        <v>1539.39</v>
      </c>
      <c r="AE108" s="82" t="s">
        <v>109</v>
      </c>
      <c r="AF108" s="82" t="s">
        <v>317</v>
      </c>
      <c r="AG108" s="82" t="s">
        <v>317</v>
      </c>
      <c r="AH108" s="82" t="s">
        <v>696</v>
      </c>
      <c r="AI108" s="246"/>
      <c r="AJ108" s="246"/>
      <c r="AK108" s="82" t="s">
        <v>41</v>
      </c>
      <c r="AL108" s="82" t="s">
        <v>54</v>
      </c>
      <c r="AM108" s="299">
        <f t="shared" ca="1" si="25"/>
        <v>1.0104166666642413</v>
      </c>
      <c r="AN108" s="85"/>
      <c r="AO108" s="61" t="s">
        <v>159</v>
      </c>
      <c r="AP108" s="62" t="s">
        <v>695</v>
      </c>
      <c r="AQ108" s="61" t="s">
        <v>823</v>
      </c>
      <c r="AR108" s="64">
        <v>44867.5625</v>
      </c>
      <c r="AS108" s="61" t="s">
        <v>136</v>
      </c>
      <c r="AT108" s="61" t="s">
        <v>225</v>
      </c>
      <c r="AU108" s="63">
        <v>0.5625</v>
      </c>
      <c r="AV108" s="61">
        <v>1</v>
      </c>
      <c r="AW108" s="58" t="s">
        <v>66</v>
      </c>
      <c r="AX108" s="86"/>
      <c r="AY108" s="86"/>
      <c r="AZ108" s="86"/>
      <c r="BA108" s="86"/>
      <c r="BB108" s="87"/>
    </row>
    <row r="109" spans="1:54" ht="15.75" thickBot="1" x14ac:dyDescent="0.3">
      <c r="A109" s="79">
        <v>17</v>
      </c>
      <c r="B109" s="80">
        <v>44866.552083333336</v>
      </c>
      <c r="C109" s="81">
        <v>0.55555555555555558</v>
      </c>
      <c r="D109" s="81">
        <v>0.56597222222222221</v>
      </c>
      <c r="E109" s="81">
        <v>0.64583333333333337</v>
      </c>
      <c r="F109" s="82" t="s">
        <v>170</v>
      </c>
      <c r="G109" s="82" t="s">
        <v>435</v>
      </c>
      <c r="H109" s="83" t="s">
        <v>187</v>
      </c>
      <c r="I109" s="83" t="s">
        <v>162</v>
      </c>
      <c r="J109" s="83" t="s">
        <v>37</v>
      </c>
      <c r="K109" s="83" t="s">
        <v>63</v>
      </c>
      <c r="L109" s="83" t="s">
        <v>212</v>
      </c>
      <c r="M109" s="82" t="s">
        <v>695</v>
      </c>
      <c r="N109" s="82" t="s">
        <v>158</v>
      </c>
      <c r="O109" s="82">
        <v>21222231456</v>
      </c>
      <c r="P109" s="82">
        <v>5051996083</v>
      </c>
      <c r="Q109" s="303">
        <f t="shared" si="26"/>
        <v>0</v>
      </c>
      <c r="R109" s="303">
        <f t="shared" si="27"/>
        <v>0</v>
      </c>
      <c r="S109" s="82">
        <v>0</v>
      </c>
      <c r="T109" s="82">
        <v>0</v>
      </c>
      <c r="U109" s="82">
        <v>0</v>
      </c>
      <c r="V109" s="82">
        <v>0</v>
      </c>
      <c r="W109" s="82">
        <v>0</v>
      </c>
      <c r="X109" s="82">
        <v>92</v>
      </c>
      <c r="Y109" s="82">
        <v>92</v>
      </c>
      <c r="Z109" s="82">
        <v>64</v>
      </c>
      <c r="AA109" s="82">
        <v>1</v>
      </c>
      <c r="AB109" s="300">
        <f t="shared" si="28"/>
        <v>90.282666666666671</v>
      </c>
      <c r="AC109" s="300">
        <f t="shared" si="29"/>
        <v>0.5438714859437751</v>
      </c>
      <c r="AD109" s="82">
        <v>0</v>
      </c>
      <c r="AE109" s="82">
        <v>0</v>
      </c>
      <c r="AF109" s="82" t="s">
        <v>317</v>
      </c>
      <c r="AG109" s="82" t="s">
        <v>317</v>
      </c>
      <c r="AH109" s="82" t="s">
        <v>696</v>
      </c>
      <c r="AI109" s="246"/>
      <c r="AJ109" s="246"/>
      <c r="AK109" s="82" t="s">
        <v>41</v>
      </c>
      <c r="AL109" s="82" t="s">
        <v>54</v>
      </c>
      <c r="AM109" s="299">
        <f t="shared" ca="1" si="25"/>
        <v>1.0104166666642413</v>
      </c>
      <c r="AN109" s="85"/>
      <c r="AO109" s="61" t="s">
        <v>159</v>
      </c>
      <c r="AP109" s="62" t="s">
        <v>695</v>
      </c>
      <c r="AQ109" s="61" t="s">
        <v>823</v>
      </c>
      <c r="AR109" s="64">
        <v>44867.5625</v>
      </c>
      <c r="AS109" s="61" t="s">
        <v>136</v>
      </c>
      <c r="AT109" s="61" t="s">
        <v>225</v>
      </c>
      <c r="AU109" s="63">
        <v>0.5625</v>
      </c>
      <c r="AV109" s="61">
        <v>1</v>
      </c>
      <c r="AW109" s="58" t="s">
        <v>66</v>
      </c>
      <c r="AX109" s="86"/>
      <c r="AY109" s="86"/>
      <c r="AZ109" s="86"/>
      <c r="BA109" s="86"/>
      <c r="BB109" s="87"/>
    </row>
    <row r="110" spans="1:54" ht="15.75" thickBot="1" x14ac:dyDescent="0.3">
      <c r="A110" s="79">
        <v>18</v>
      </c>
      <c r="B110" s="80">
        <v>44866.614583333336</v>
      </c>
      <c r="C110" s="81">
        <v>0.61805555555555558</v>
      </c>
      <c r="D110" s="81">
        <v>0.62152777777777779</v>
      </c>
      <c r="E110" s="81">
        <v>0.64930555555555558</v>
      </c>
      <c r="F110" s="82" t="s">
        <v>170</v>
      </c>
      <c r="G110" s="82" t="s">
        <v>697</v>
      </c>
      <c r="H110" s="83" t="s">
        <v>302</v>
      </c>
      <c r="I110" s="83" t="s">
        <v>698</v>
      </c>
      <c r="J110" s="83" t="s">
        <v>37</v>
      </c>
      <c r="K110" s="83" t="s">
        <v>63</v>
      </c>
      <c r="L110" s="83">
        <v>0</v>
      </c>
      <c r="M110" s="82" t="s">
        <v>699</v>
      </c>
      <c r="N110" s="82" t="s">
        <v>44</v>
      </c>
      <c r="O110" s="82" t="s">
        <v>700</v>
      </c>
      <c r="P110" s="82">
        <v>22015</v>
      </c>
      <c r="Q110" s="303">
        <f t="shared" si="26"/>
        <v>9</v>
      </c>
      <c r="R110" s="303">
        <f t="shared" si="27"/>
        <v>147</v>
      </c>
      <c r="S110" s="82">
        <v>9</v>
      </c>
      <c r="T110" s="82">
        <v>147</v>
      </c>
      <c r="U110" s="82">
        <v>0</v>
      </c>
      <c r="V110" s="82">
        <v>0</v>
      </c>
      <c r="W110" s="82">
        <v>146.69999999999999</v>
      </c>
      <c r="X110" s="82">
        <v>40</v>
      </c>
      <c r="Y110" s="82">
        <v>31</v>
      </c>
      <c r="Z110" s="82">
        <v>24</v>
      </c>
      <c r="AA110" s="82">
        <v>9</v>
      </c>
      <c r="AB110" s="300">
        <f t="shared" si="28"/>
        <v>44.64</v>
      </c>
      <c r="AC110" s="300">
        <f t="shared" si="29"/>
        <v>0.26891566265060241</v>
      </c>
      <c r="AD110" s="82">
        <v>3830.4</v>
      </c>
      <c r="AE110" s="82" t="s">
        <v>111</v>
      </c>
      <c r="AF110" s="82" t="s">
        <v>317</v>
      </c>
      <c r="AG110" s="82" t="s">
        <v>317</v>
      </c>
      <c r="AH110" s="82" t="s">
        <v>701</v>
      </c>
      <c r="AI110" s="246"/>
      <c r="AJ110" s="246"/>
      <c r="AK110" s="82" t="s">
        <v>48</v>
      </c>
      <c r="AL110" s="82" t="s">
        <v>39</v>
      </c>
      <c r="AM110" s="299">
        <f t="shared" ca="1" si="25"/>
        <v>1.1284722222189885</v>
      </c>
      <c r="AN110" s="85"/>
      <c r="AO110" s="63" t="s">
        <v>323</v>
      </c>
      <c r="AP110" s="62" t="s">
        <v>839</v>
      </c>
      <c r="AQ110" s="61" t="s">
        <v>840</v>
      </c>
      <c r="AR110" s="64">
        <v>44867.743055555555</v>
      </c>
      <c r="AS110" s="61" t="s">
        <v>136</v>
      </c>
      <c r="AT110" s="61" t="s">
        <v>225</v>
      </c>
      <c r="AU110" s="63">
        <v>0.74305555555555547</v>
      </c>
      <c r="AV110" s="61">
        <v>2</v>
      </c>
      <c r="AW110" s="58" t="s">
        <v>66</v>
      </c>
      <c r="AX110" s="86"/>
      <c r="AY110" s="86"/>
      <c r="AZ110" s="86"/>
      <c r="BA110" s="86"/>
      <c r="BB110" s="87"/>
    </row>
    <row r="111" spans="1:54" ht="15.75" thickBot="1" x14ac:dyDescent="0.3">
      <c r="A111" s="79">
        <v>19</v>
      </c>
      <c r="B111" s="80">
        <v>44866.638888888891</v>
      </c>
      <c r="C111" s="81">
        <v>0.64236111111111105</v>
      </c>
      <c r="D111" s="81">
        <v>0.64930555555555558</v>
      </c>
      <c r="E111" s="81">
        <v>0.66666666666666663</v>
      </c>
      <c r="F111" s="82" t="s">
        <v>170</v>
      </c>
      <c r="G111" s="82" t="s">
        <v>183</v>
      </c>
      <c r="H111" s="83" t="s">
        <v>57</v>
      </c>
      <c r="I111" s="83" t="s">
        <v>162</v>
      </c>
      <c r="J111" s="83" t="s">
        <v>37</v>
      </c>
      <c r="K111" s="83" t="s">
        <v>63</v>
      </c>
      <c r="L111" s="83" t="s">
        <v>209</v>
      </c>
      <c r="M111" s="82" t="s">
        <v>702</v>
      </c>
      <c r="N111" s="82" t="s">
        <v>158</v>
      </c>
      <c r="O111" s="82" t="s">
        <v>703</v>
      </c>
      <c r="P111" s="82">
        <v>81946050</v>
      </c>
      <c r="Q111" s="303">
        <f t="shared" si="26"/>
        <v>1</v>
      </c>
      <c r="R111" s="303">
        <f t="shared" si="27"/>
        <v>169</v>
      </c>
      <c r="S111" s="82">
        <v>0</v>
      </c>
      <c r="T111" s="82">
        <v>0</v>
      </c>
      <c r="U111" s="82">
        <v>1</v>
      </c>
      <c r="V111" s="82">
        <v>169</v>
      </c>
      <c r="W111" s="82">
        <v>167</v>
      </c>
      <c r="X111" s="82">
        <v>109</v>
      </c>
      <c r="Y111" s="82">
        <v>58</v>
      </c>
      <c r="Z111" s="82">
        <v>66</v>
      </c>
      <c r="AA111" s="82">
        <v>1</v>
      </c>
      <c r="AB111" s="300">
        <f t="shared" si="28"/>
        <v>69.542000000000002</v>
      </c>
      <c r="AC111" s="300">
        <f t="shared" si="29"/>
        <v>0.41892771084337349</v>
      </c>
      <c r="AD111" s="82">
        <v>1014.41</v>
      </c>
      <c r="AE111" s="82" t="s">
        <v>109</v>
      </c>
      <c r="AF111" s="82" t="s">
        <v>317</v>
      </c>
      <c r="AG111" s="82" t="s">
        <v>317</v>
      </c>
      <c r="AH111" s="82" t="s">
        <v>704</v>
      </c>
      <c r="AI111" s="246"/>
      <c r="AJ111" s="246"/>
      <c r="AK111" s="82" t="s">
        <v>37</v>
      </c>
      <c r="AL111" s="82" t="s">
        <v>47</v>
      </c>
      <c r="AM111" s="299">
        <f t="shared" ca="1" si="25"/>
        <v>0.92361111110949423</v>
      </c>
      <c r="AN111" s="85"/>
      <c r="AO111" s="61" t="s">
        <v>159</v>
      </c>
      <c r="AP111" s="62" t="s">
        <v>824</v>
      </c>
      <c r="AQ111" s="61" t="s">
        <v>823</v>
      </c>
      <c r="AR111" s="64">
        <v>44867.5625</v>
      </c>
      <c r="AS111" s="61" t="s">
        <v>136</v>
      </c>
      <c r="AT111" s="61" t="s">
        <v>225</v>
      </c>
      <c r="AU111" s="63">
        <v>0.5625</v>
      </c>
      <c r="AV111" s="61">
        <v>1</v>
      </c>
      <c r="AW111" s="58" t="s">
        <v>66</v>
      </c>
      <c r="AX111" s="86"/>
      <c r="AY111" s="86"/>
      <c r="AZ111" s="86"/>
      <c r="BA111" s="86"/>
      <c r="BB111" s="87"/>
    </row>
    <row r="112" spans="1:54" ht="15.75" thickBot="1" x14ac:dyDescent="0.3">
      <c r="A112" s="79">
        <v>20</v>
      </c>
      <c r="B112" s="80">
        <v>44866.638888888891</v>
      </c>
      <c r="C112" s="81">
        <v>0.64236111111111105</v>
      </c>
      <c r="D112" s="81">
        <v>0.64930555555555558</v>
      </c>
      <c r="E112" s="81">
        <v>0.66666666666666663</v>
      </c>
      <c r="F112" s="82" t="s">
        <v>170</v>
      </c>
      <c r="G112" s="82" t="s">
        <v>183</v>
      </c>
      <c r="H112" s="83" t="s">
        <v>57</v>
      </c>
      <c r="I112" s="83" t="s">
        <v>162</v>
      </c>
      <c r="J112" s="83" t="s">
        <v>37</v>
      </c>
      <c r="K112" s="83" t="s">
        <v>63</v>
      </c>
      <c r="L112" s="83" t="s">
        <v>209</v>
      </c>
      <c r="M112" s="82" t="s">
        <v>705</v>
      </c>
      <c r="N112" s="82" t="s">
        <v>158</v>
      </c>
      <c r="O112" s="82" t="s">
        <v>706</v>
      </c>
      <c r="P112" s="82">
        <v>81946052</v>
      </c>
      <c r="Q112" s="303">
        <f t="shared" si="26"/>
        <v>1</v>
      </c>
      <c r="R112" s="303">
        <f t="shared" si="27"/>
        <v>569</v>
      </c>
      <c r="S112" s="82">
        <v>0</v>
      </c>
      <c r="T112" s="82">
        <v>0</v>
      </c>
      <c r="U112" s="82">
        <v>1</v>
      </c>
      <c r="V112" s="82">
        <v>569</v>
      </c>
      <c r="W112" s="82">
        <v>563</v>
      </c>
      <c r="X112" s="82">
        <v>184</v>
      </c>
      <c r="Y112" s="82">
        <v>84</v>
      </c>
      <c r="Z112" s="82">
        <v>92</v>
      </c>
      <c r="AA112" s="82">
        <v>1</v>
      </c>
      <c r="AB112" s="300">
        <f t="shared" si="28"/>
        <v>236.99199999999999</v>
      </c>
      <c r="AC112" s="300">
        <f t="shared" si="29"/>
        <v>1.4276626506024095</v>
      </c>
      <c r="AD112" s="82">
        <v>3207.47</v>
      </c>
      <c r="AE112" s="82" t="s">
        <v>109</v>
      </c>
      <c r="AF112" s="82" t="s">
        <v>317</v>
      </c>
      <c r="AG112" s="82" t="s">
        <v>317</v>
      </c>
      <c r="AH112" s="82" t="s">
        <v>707</v>
      </c>
      <c r="AI112" s="246"/>
      <c r="AJ112" s="246"/>
      <c r="AK112" s="82" t="s">
        <v>37</v>
      </c>
      <c r="AL112" s="82" t="s">
        <v>47</v>
      </c>
      <c r="AM112" s="299">
        <f t="shared" ca="1" si="25"/>
        <v>0.92361111110949423</v>
      </c>
      <c r="AN112" s="85"/>
      <c r="AO112" s="61" t="s">
        <v>159</v>
      </c>
      <c r="AP112" s="62" t="s">
        <v>705</v>
      </c>
      <c r="AQ112" s="61" t="s">
        <v>823</v>
      </c>
      <c r="AR112" s="64">
        <v>44867.5625</v>
      </c>
      <c r="AS112" s="61" t="s">
        <v>136</v>
      </c>
      <c r="AT112" s="61" t="s">
        <v>225</v>
      </c>
      <c r="AU112" s="63">
        <v>0.5625</v>
      </c>
      <c r="AV112" s="61">
        <v>1</v>
      </c>
      <c r="AW112" s="58" t="s">
        <v>66</v>
      </c>
      <c r="AX112" s="86"/>
      <c r="AY112" s="86"/>
      <c r="AZ112" s="86"/>
      <c r="BA112" s="86"/>
      <c r="BB112" s="87"/>
    </row>
    <row r="113" spans="1:54" ht="15.75" thickBot="1" x14ac:dyDescent="0.3">
      <c r="A113" s="79">
        <v>21</v>
      </c>
      <c r="B113" s="80">
        <v>44866.638888888891</v>
      </c>
      <c r="C113" s="81">
        <v>0.64236111111111105</v>
      </c>
      <c r="D113" s="81">
        <v>0.64930555555555558</v>
      </c>
      <c r="E113" s="81">
        <v>0.66666666666666663</v>
      </c>
      <c r="F113" s="82" t="s">
        <v>170</v>
      </c>
      <c r="G113" s="82" t="s">
        <v>183</v>
      </c>
      <c r="H113" s="83" t="s">
        <v>57</v>
      </c>
      <c r="I113" s="83" t="s">
        <v>162</v>
      </c>
      <c r="J113" s="83" t="s">
        <v>37</v>
      </c>
      <c r="K113" s="83" t="s">
        <v>63</v>
      </c>
      <c r="L113" s="83" t="s">
        <v>209</v>
      </c>
      <c r="M113" s="82" t="s">
        <v>705</v>
      </c>
      <c r="N113" s="82" t="s">
        <v>158</v>
      </c>
      <c r="O113" s="82" t="s">
        <v>708</v>
      </c>
      <c r="P113" s="82">
        <v>81946915</v>
      </c>
      <c r="Q113" s="303">
        <f t="shared" si="26"/>
        <v>1</v>
      </c>
      <c r="R113" s="303">
        <f t="shared" si="27"/>
        <v>354</v>
      </c>
      <c r="S113" s="82">
        <v>0</v>
      </c>
      <c r="T113" s="82">
        <v>0</v>
      </c>
      <c r="U113" s="82">
        <v>1</v>
      </c>
      <c r="V113" s="82">
        <v>354</v>
      </c>
      <c r="W113" s="82">
        <v>351</v>
      </c>
      <c r="X113" s="82">
        <v>109</v>
      </c>
      <c r="Y113" s="82">
        <v>83</v>
      </c>
      <c r="Z113" s="82">
        <v>75</v>
      </c>
      <c r="AA113" s="82">
        <v>1</v>
      </c>
      <c r="AB113" s="300">
        <f t="shared" si="28"/>
        <v>113.08750000000001</v>
      </c>
      <c r="AC113" s="300">
        <f t="shared" si="29"/>
        <v>0.68125000000000002</v>
      </c>
      <c r="AD113" s="82">
        <v>3725.96</v>
      </c>
      <c r="AE113" s="82" t="s">
        <v>109</v>
      </c>
      <c r="AF113" s="82" t="s">
        <v>317</v>
      </c>
      <c r="AG113" s="82" t="s">
        <v>317</v>
      </c>
      <c r="AH113" s="82" t="s">
        <v>709</v>
      </c>
      <c r="AI113" s="246"/>
      <c r="AJ113" s="246"/>
      <c r="AK113" s="82" t="s">
        <v>37</v>
      </c>
      <c r="AL113" s="82" t="s">
        <v>47</v>
      </c>
      <c r="AM113" s="299">
        <f t="shared" ca="1" si="25"/>
        <v>0.92361111110949423</v>
      </c>
      <c r="AN113" s="85"/>
      <c r="AO113" s="61" t="s">
        <v>159</v>
      </c>
      <c r="AP113" s="62" t="s">
        <v>705</v>
      </c>
      <c r="AQ113" s="61" t="s">
        <v>823</v>
      </c>
      <c r="AR113" s="64">
        <v>44867.5625</v>
      </c>
      <c r="AS113" s="61" t="s">
        <v>136</v>
      </c>
      <c r="AT113" s="61" t="s">
        <v>225</v>
      </c>
      <c r="AU113" s="63">
        <v>0.5625</v>
      </c>
      <c r="AV113" s="61">
        <v>1</v>
      </c>
      <c r="AW113" s="58" t="s">
        <v>66</v>
      </c>
      <c r="AX113" s="86"/>
      <c r="AY113" s="86"/>
      <c r="AZ113" s="86"/>
      <c r="BA113" s="86"/>
      <c r="BB113" s="87"/>
    </row>
    <row r="114" spans="1:54" ht="15.75" thickBot="1" x14ac:dyDescent="0.3">
      <c r="A114" s="79">
        <v>22</v>
      </c>
      <c r="B114" s="80">
        <v>44866.638888888891</v>
      </c>
      <c r="C114" s="81">
        <v>0.64236111111111105</v>
      </c>
      <c r="D114" s="81">
        <v>0.64930555555555558</v>
      </c>
      <c r="E114" s="81">
        <v>0.66666666666666663</v>
      </c>
      <c r="F114" s="82" t="s">
        <v>170</v>
      </c>
      <c r="G114" s="82" t="s">
        <v>183</v>
      </c>
      <c r="H114" s="83" t="s">
        <v>57</v>
      </c>
      <c r="I114" s="83" t="s">
        <v>162</v>
      </c>
      <c r="J114" s="83" t="s">
        <v>37</v>
      </c>
      <c r="K114" s="83" t="s">
        <v>63</v>
      </c>
      <c r="L114" s="83" t="s">
        <v>209</v>
      </c>
      <c r="M114" s="82" t="s">
        <v>705</v>
      </c>
      <c r="N114" s="82" t="s">
        <v>158</v>
      </c>
      <c r="O114" s="82" t="s">
        <v>710</v>
      </c>
      <c r="P114" s="82">
        <v>81946914</v>
      </c>
      <c r="Q114" s="303">
        <f t="shared" si="26"/>
        <v>1</v>
      </c>
      <c r="R114" s="303">
        <f t="shared" si="27"/>
        <v>586</v>
      </c>
      <c r="S114" s="82">
        <v>0</v>
      </c>
      <c r="T114" s="82">
        <v>0</v>
      </c>
      <c r="U114" s="82">
        <v>1</v>
      </c>
      <c r="V114" s="82">
        <v>586</v>
      </c>
      <c r="W114" s="82">
        <v>579</v>
      </c>
      <c r="X114" s="82">
        <v>184</v>
      </c>
      <c r="Y114" s="82">
        <v>84</v>
      </c>
      <c r="Z114" s="82">
        <v>92</v>
      </c>
      <c r="AA114" s="82">
        <v>1</v>
      </c>
      <c r="AB114" s="300">
        <f t="shared" si="28"/>
        <v>236.99199999999999</v>
      </c>
      <c r="AC114" s="300">
        <f t="shared" si="29"/>
        <v>1.4276626506024095</v>
      </c>
      <c r="AD114" s="82">
        <v>3375.25</v>
      </c>
      <c r="AE114" s="82" t="s">
        <v>109</v>
      </c>
      <c r="AF114" s="82" t="s">
        <v>317</v>
      </c>
      <c r="AG114" s="82" t="s">
        <v>317</v>
      </c>
      <c r="AH114" s="82" t="s">
        <v>711</v>
      </c>
      <c r="AI114" s="246"/>
      <c r="AJ114" s="246"/>
      <c r="AK114" s="82" t="s">
        <v>37</v>
      </c>
      <c r="AL114" s="82" t="s">
        <v>47</v>
      </c>
      <c r="AM114" s="299">
        <f t="shared" ca="1" si="25"/>
        <v>0.92361111110949423</v>
      </c>
      <c r="AN114" s="85"/>
      <c r="AO114" s="61" t="s">
        <v>159</v>
      </c>
      <c r="AP114" s="62" t="s">
        <v>705</v>
      </c>
      <c r="AQ114" s="61" t="s">
        <v>823</v>
      </c>
      <c r="AR114" s="64">
        <v>44867.5625</v>
      </c>
      <c r="AS114" s="61" t="s">
        <v>136</v>
      </c>
      <c r="AT114" s="61" t="s">
        <v>225</v>
      </c>
      <c r="AU114" s="63">
        <v>0.5625</v>
      </c>
      <c r="AV114" s="61">
        <v>1</v>
      </c>
      <c r="AW114" s="58" t="s">
        <v>66</v>
      </c>
      <c r="AX114" s="86"/>
      <c r="AY114" s="86"/>
      <c r="AZ114" s="86"/>
      <c r="BA114" s="86"/>
      <c r="BB114" s="87"/>
    </row>
    <row r="115" spans="1:54" ht="15.75" thickBot="1" x14ac:dyDescent="0.3">
      <c r="A115" s="79">
        <v>23</v>
      </c>
      <c r="B115" s="80">
        <v>44866.638888888891</v>
      </c>
      <c r="C115" s="81">
        <v>0.64236111111111105</v>
      </c>
      <c r="D115" s="81">
        <v>0.64930555555555558</v>
      </c>
      <c r="E115" s="81">
        <v>0.66666666666666663</v>
      </c>
      <c r="F115" s="82" t="s">
        <v>170</v>
      </c>
      <c r="G115" s="82" t="s">
        <v>183</v>
      </c>
      <c r="H115" s="83" t="s">
        <v>57</v>
      </c>
      <c r="I115" s="83" t="s">
        <v>162</v>
      </c>
      <c r="J115" s="83" t="s">
        <v>37</v>
      </c>
      <c r="K115" s="83" t="s">
        <v>63</v>
      </c>
      <c r="L115" s="83" t="s">
        <v>209</v>
      </c>
      <c r="M115" s="82" t="s">
        <v>712</v>
      </c>
      <c r="N115" s="82" t="s">
        <v>158</v>
      </c>
      <c r="O115" s="82" t="s">
        <v>713</v>
      </c>
      <c r="P115" s="82">
        <v>81947062</v>
      </c>
      <c r="Q115" s="303">
        <f t="shared" si="26"/>
        <v>1</v>
      </c>
      <c r="R115" s="303">
        <f t="shared" si="27"/>
        <v>155</v>
      </c>
      <c r="S115" s="82">
        <v>0</v>
      </c>
      <c r="T115" s="82">
        <v>0</v>
      </c>
      <c r="U115" s="82">
        <v>1</v>
      </c>
      <c r="V115" s="82">
        <v>155</v>
      </c>
      <c r="W115" s="82">
        <v>153</v>
      </c>
      <c r="X115" s="82">
        <v>109</v>
      </c>
      <c r="Y115" s="82">
        <v>83</v>
      </c>
      <c r="Z115" s="82">
        <v>75</v>
      </c>
      <c r="AA115" s="82">
        <v>1</v>
      </c>
      <c r="AB115" s="300">
        <f t="shared" si="28"/>
        <v>113.08750000000001</v>
      </c>
      <c r="AC115" s="300">
        <f t="shared" si="29"/>
        <v>0.68125000000000002</v>
      </c>
      <c r="AD115" s="82">
        <v>1397.24</v>
      </c>
      <c r="AE115" s="82" t="s">
        <v>109</v>
      </c>
      <c r="AF115" s="82" t="s">
        <v>317</v>
      </c>
      <c r="AG115" s="82" t="s">
        <v>317</v>
      </c>
      <c r="AH115" s="82" t="s">
        <v>714</v>
      </c>
      <c r="AI115" s="246"/>
      <c r="AJ115" s="246"/>
      <c r="AK115" s="82" t="s">
        <v>37</v>
      </c>
      <c r="AL115" s="82" t="s">
        <v>47</v>
      </c>
      <c r="AM115" s="299">
        <f t="shared" ca="1" si="25"/>
        <v>0.92361111110949423</v>
      </c>
      <c r="AN115" s="85"/>
      <c r="AO115" s="61" t="s">
        <v>159</v>
      </c>
      <c r="AP115" s="62" t="s">
        <v>712</v>
      </c>
      <c r="AQ115" s="61" t="s">
        <v>823</v>
      </c>
      <c r="AR115" s="64">
        <v>44867.5625</v>
      </c>
      <c r="AS115" s="61" t="s">
        <v>136</v>
      </c>
      <c r="AT115" s="61" t="s">
        <v>225</v>
      </c>
      <c r="AU115" s="63">
        <v>0.5625</v>
      </c>
      <c r="AV115" s="61">
        <v>1</v>
      </c>
      <c r="AW115" s="58" t="s">
        <v>66</v>
      </c>
      <c r="AX115" s="86"/>
      <c r="AY115" s="86"/>
      <c r="AZ115" s="86"/>
      <c r="BA115" s="86"/>
      <c r="BB115" s="87"/>
    </row>
    <row r="116" spans="1:54" ht="15.75" thickBot="1" x14ac:dyDescent="0.3">
      <c r="A116" s="73">
        <v>24</v>
      </c>
      <c r="B116" s="72">
        <v>44866.722222222219</v>
      </c>
      <c r="C116" s="67">
        <v>0.72222222222222221</v>
      </c>
      <c r="D116" s="67">
        <v>0.74305555555555547</v>
      </c>
      <c r="E116" s="67">
        <v>0.87152777777777779</v>
      </c>
      <c r="F116" s="68" t="s">
        <v>170</v>
      </c>
      <c r="G116" s="68" t="s">
        <v>725</v>
      </c>
      <c r="H116" s="71" t="s">
        <v>227</v>
      </c>
      <c r="I116" s="71" t="s">
        <v>189</v>
      </c>
      <c r="J116" s="71" t="s">
        <v>37</v>
      </c>
      <c r="K116" s="71" t="s">
        <v>63</v>
      </c>
      <c r="L116" s="71" t="s">
        <v>209</v>
      </c>
      <c r="M116" s="68" t="s">
        <v>726</v>
      </c>
      <c r="N116" s="68" t="s">
        <v>42</v>
      </c>
      <c r="O116" s="77">
        <v>808809811832833</v>
      </c>
      <c r="P116" s="68" t="s">
        <v>727</v>
      </c>
      <c r="Q116" s="303">
        <f t="shared" si="26"/>
        <v>13</v>
      </c>
      <c r="R116" s="303">
        <f t="shared" si="27"/>
        <v>2056</v>
      </c>
      <c r="S116" s="68">
        <v>7</v>
      </c>
      <c r="T116" s="68">
        <v>86</v>
      </c>
      <c r="U116" s="68">
        <v>6</v>
      </c>
      <c r="V116" s="68">
        <v>1970</v>
      </c>
      <c r="W116" s="68">
        <v>2036</v>
      </c>
      <c r="X116" s="68">
        <v>161</v>
      </c>
      <c r="Y116" s="68">
        <v>73</v>
      </c>
      <c r="Z116" s="68">
        <v>79</v>
      </c>
      <c r="AA116" s="68">
        <v>1</v>
      </c>
      <c r="AB116" s="300">
        <f t="shared" si="28"/>
        <v>154.74783333333335</v>
      </c>
      <c r="AC116" s="300">
        <f t="shared" si="29"/>
        <v>0.93221586345381535</v>
      </c>
      <c r="AD116" s="68" t="s">
        <v>48</v>
      </c>
      <c r="AE116" s="68" t="s">
        <v>48</v>
      </c>
      <c r="AF116" s="68" t="s">
        <v>317</v>
      </c>
      <c r="AG116" s="68" t="s">
        <v>317</v>
      </c>
      <c r="AH116" s="68" t="s">
        <v>728</v>
      </c>
      <c r="AI116" s="309"/>
      <c r="AJ116" s="309"/>
      <c r="AK116" s="68" t="s">
        <v>37</v>
      </c>
      <c r="AL116" s="68" t="s">
        <v>39</v>
      </c>
      <c r="AM116" s="299">
        <f t="shared" ca="1" si="25"/>
        <v>0.94444444444525288</v>
      </c>
      <c r="AN116" s="85"/>
      <c r="AO116" s="61" t="s">
        <v>89</v>
      </c>
      <c r="AP116" s="62" t="s">
        <v>726</v>
      </c>
      <c r="AQ116" s="61" t="s">
        <v>834</v>
      </c>
      <c r="AR116" s="64">
        <v>44867.666666666664</v>
      </c>
      <c r="AS116" s="61" t="s">
        <v>117</v>
      </c>
      <c r="AT116" s="61" t="s">
        <v>225</v>
      </c>
      <c r="AU116" s="59">
        <v>0.66666666666666663</v>
      </c>
      <c r="AV116" s="61">
        <v>2</v>
      </c>
      <c r="AW116" s="58" t="s">
        <v>66</v>
      </c>
      <c r="AX116" s="86"/>
      <c r="AY116" s="86"/>
      <c r="AZ116" s="86"/>
      <c r="BA116" s="86"/>
      <c r="BB116" s="87"/>
    </row>
    <row r="117" spans="1:54" x14ac:dyDescent="0.25">
      <c r="A117" s="73">
        <v>24</v>
      </c>
      <c r="B117" s="72">
        <v>44866.722222222219</v>
      </c>
      <c r="C117" s="67">
        <v>0.72222222222222221</v>
      </c>
      <c r="D117" s="67">
        <v>0.74305555555555547</v>
      </c>
      <c r="E117" s="67">
        <v>0.87152777777777779</v>
      </c>
      <c r="F117" s="68" t="s">
        <v>170</v>
      </c>
      <c r="G117" s="68" t="s">
        <v>725</v>
      </c>
      <c r="H117" s="66" t="s">
        <v>227</v>
      </c>
      <c r="I117" s="66" t="s">
        <v>189</v>
      </c>
      <c r="J117" s="66" t="s">
        <v>37</v>
      </c>
      <c r="K117" s="66" t="s">
        <v>63</v>
      </c>
      <c r="L117" s="66" t="s">
        <v>209</v>
      </c>
      <c r="M117" s="68" t="s">
        <v>726</v>
      </c>
      <c r="N117" s="68" t="s">
        <v>42</v>
      </c>
      <c r="O117" s="77">
        <v>808809811832833</v>
      </c>
      <c r="P117" s="68" t="s">
        <v>727</v>
      </c>
      <c r="Q117" s="303">
        <f t="shared" si="26"/>
        <v>0</v>
      </c>
      <c r="R117" s="303">
        <f t="shared" si="27"/>
        <v>0</v>
      </c>
      <c r="S117" s="68">
        <v>0</v>
      </c>
      <c r="T117" s="68">
        <v>0</v>
      </c>
      <c r="U117" s="68">
        <v>0</v>
      </c>
      <c r="V117" s="68">
        <v>0</v>
      </c>
      <c r="W117" s="68">
        <v>0</v>
      </c>
      <c r="X117" s="68">
        <v>161</v>
      </c>
      <c r="Y117" s="68">
        <v>138</v>
      </c>
      <c r="Z117" s="68">
        <v>79</v>
      </c>
      <c r="AA117" s="68">
        <v>1</v>
      </c>
      <c r="AB117" s="300">
        <f t="shared" si="28"/>
        <v>292.53699999999998</v>
      </c>
      <c r="AC117" s="300">
        <f t="shared" si="29"/>
        <v>1.7622710843373492</v>
      </c>
      <c r="AD117" s="68">
        <v>0</v>
      </c>
      <c r="AE117" s="68">
        <v>0</v>
      </c>
      <c r="AF117" s="68" t="s">
        <v>317</v>
      </c>
      <c r="AG117" s="68" t="s">
        <v>317</v>
      </c>
      <c r="AH117" s="68" t="s">
        <v>728</v>
      </c>
      <c r="AI117" s="309"/>
      <c r="AJ117" s="309"/>
      <c r="AK117" s="68" t="s">
        <v>37</v>
      </c>
      <c r="AL117" s="68" t="s">
        <v>39</v>
      </c>
      <c r="AM117" s="299">
        <f t="shared" ca="1" si="25"/>
        <v>0.94444444444525288</v>
      </c>
      <c r="AN117" s="51"/>
      <c r="AO117" s="61" t="s">
        <v>89</v>
      </c>
      <c r="AP117" s="62" t="s">
        <v>726</v>
      </c>
      <c r="AQ117" s="61" t="s">
        <v>834</v>
      </c>
      <c r="AR117" s="64">
        <v>44867.666666666664</v>
      </c>
      <c r="AS117" s="61" t="s">
        <v>117</v>
      </c>
      <c r="AT117" s="61" t="s">
        <v>225</v>
      </c>
      <c r="AU117" s="59">
        <v>0.66666666666666663</v>
      </c>
      <c r="AV117" s="61">
        <v>2</v>
      </c>
      <c r="AW117" s="58" t="s">
        <v>66</v>
      </c>
      <c r="AX117" s="52"/>
      <c r="AY117" s="52"/>
      <c r="AZ117" s="52"/>
      <c r="BA117" s="52"/>
    </row>
    <row r="118" spans="1:54" x14ac:dyDescent="0.25">
      <c r="A118" s="73">
        <v>24</v>
      </c>
      <c r="B118" s="72">
        <v>44866.722222222219</v>
      </c>
      <c r="C118" s="67">
        <v>0.72222222222222221</v>
      </c>
      <c r="D118" s="67">
        <v>0.74305555555555547</v>
      </c>
      <c r="E118" s="67">
        <v>0.87152777777777779</v>
      </c>
      <c r="F118" s="68" t="s">
        <v>170</v>
      </c>
      <c r="G118" s="68" t="s">
        <v>725</v>
      </c>
      <c r="H118" s="66" t="s">
        <v>227</v>
      </c>
      <c r="I118" s="66" t="s">
        <v>189</v>
      </c>
      <c r="J118" s="66" t="s">
        <v>37</v>
      </c>
      <c r="K118" s="66" t="s">
        <v>63</v>
      </c>
      <c r="L118" s="66" t="s">
        <v>209</v>
      </c>
      <c r="M118" s="68" t="s">
        <v>726</v>
      </c>
      <c r="N118" s="68" t="s">
        <v>42</v>
      </c>
      <c r="O118" s="77">
        <v>808809811832833</v>
      </c>
      <c r="P118" s="68" t="s">
        <v>727</v>
      </c>
      <c r="Q118" s="303">
        <f t="shared" si="26"/>
        <v>0</v>
      </c>
      <c r="R118" s="303">
        <f t="shared" si="27"/>
        <v>0</v>
      </c>
      <c r="S118" s="68">
        <v>0</v>
      </c>
      <c r="T118" s="68">
        <v>0</v>
      </c>
      <c r="U118" s="68">
        <v>0</v>
      </c>
      <c r="V118" s="68">
        <v>0</v>
      </c>
      <c r="W118" s="68">
        <v>0</v>
      </c>
      <c r="X118" s="68">
        <v>103</v>
      </c>
      <c r="Y118" s="68">
        <v>44</v>
      </c>
      <c r="Z118" s="68">
        <v>43</v>
      </c>
      <c r="AA118" s="68">
        <v>3</v>
      </c>
      <c r="AB118" s="300">
        <f t="shared" si="28"/>
        <v>97.438000000000002</v>
      </c>
      <c r="AC118" s="300">
        <f t="shared" si="29"/>
        <v>0.58697590361445784</v>
      </c>
      <c r="AD118" s="68">
        <v>0</v>
      </c>
      <c r="AE118" s="68">
        <v>0</v>
      </c>
      <c r="AF118" s="68" t="s">
        <v>317</v>
      </c>
      <c r="AG118" s="68" t="s">
        <v>317</v>
      </c>
      <c r="AH118" s="68" t="s">
        <v>728</v>
      </c>
      <c r="AI118" s="309"/>
      <c r="AJ118" s="309"/>
      <c r="AK118" s="68" t="s">
        <v>41</v>
      </c>
      <c r="AL118" s="68" t="s">
        <v>39</v>
      </c>
      <c r="AM118" s="299">
        <f t="shared" ca="1" si="25"/>
        <v>0.94444444444525288</v>
      </c>
      <c r="AN118" s="51"/>
      <c r="AO118" s="61" t="s">
        <v>89</v>
      </c>
      <c r="AP118" s="62" t="s">
        <v>726</v>
      </c>
      <c r="AQ118" s="61" t="s">
        <v>834</v>
      </c>
      <c r="AR118" s="64">
        <v>44867.666666666664</v>
      </c>
      <c r="AS118" s="61" t="s">
        <v>117</v>
      </c>
      <c r="AT118" s="61" t="s">
        <v>225</v>
      </c>
      <c r="AU118" s="59">
        <v>0.66666666666666663</v>
      </c>
      <c r="AV118" s="61">
        <v>2</v>
      </c>
      <c r="AW118" s="58" t="s">
        <v>66</v>
      </c>
      <c r="AX118" s="52"/>
      <c r="AY118" s="52"/>
      <c r="AZ118" s="52"/>
      <c r="BA118" s="52"/>
    </row>
    <row r="119" spans="1:54" x14ac:dyDescent="0.25">
      <c r="A119" s="73">
        <v>24</v>
      </c>
      <c r="B119" s="72">
        <v>44866.722222222219</v>
      </c>
      <c r="C119" s="67">
        <v>0.72222222222222221</v>
      </c>
      <c r="D119" s="67">
        <v>0.74305555555555547</v>
      </c>
      <c r="E119" s="67">
        <v>0.87152777777777779</v>
      </c>
      <c r="F119" s="68" t="s">
        <v>170</v>
      </c>
      <c r="G119" s="68" t="s">
        <v>725</v>
      </c>
      <c r="H119" s="66" t="s">
        <v>227</v>
      </c>
      <c r="I119" s="66" t="s">
        <v>189</v>
      </c>
      <c r="J119" s="66" t="s">
        <v>37</v>
      </c>
      <c r="K119" s="66" t="s">
        <v>63</v>
      </c>
      <c r="L119" s="66" t="s">
        <v>209</v>
      </c>
      <c r="M119" s="68" t="s">
        <v>726</v>
      </c>
      <c r="N119" s="68" t="s">
        <v>42</v>
      </c>
      <c r="O119" s="77">
        <v>808809811832833</v>
      </c>
      <c r="P119" s="68" t="s">
        <v>727</v>
      </c>
      <c r="Q119" s="303">
        <f t="shared" si="26"/>
        <v>0</v>
      </c>
      <c r="R119" s="303">
        <f t="shared" si="27"/>
        <v>0</v>
      </c>
      <c r="S119" s="68">
        <v>0</v>
      </c>
      <c r="T119" s="68">
        <v>0</v>
      </c>
      <c r="U119" s="68">
        <v>0</v>
      </c>
      <c r="V119" s="68">
        <v>0</v>
      </c>
      <c r="W119" s="68">
        <v>0</v>
      </c>
      <c r="X119" s="68">
        <v>103</v>
      </c>
      <c r="Y119" s="68">
        <v>44</v>
      </c>
      <c r="Z119" s="68">
        <v>46</v>
      </c>
      <c r="AA119" s="68">
        <v>1</v>
      </c>
      <c r="AB119" s="300">
        <f t="shared" si="28"/>
        <v>34.745333333333335</v>
      </c>
      <c r="AC119" s="300">
        <f t="shared" si="29"/>
        <v>0.20930923694779116</v>
      </c>
      <c r="AD119" s="68">
        <v>0</v>
      </c>
      <c r="AE119" s="68">
        <v>0</v>
      </c>
      <c r="AF119" s="68" t="s">
        <v>317</v>
      </c>
      <c r="AG119" s="68" t="s">
        <v>317</v>
      </c>
      <c r="AH119" s="68" t="s">
        <v>728</v>
      </c>
      <c r="AI119" s="309"/>
      <c r="AJ119" s="309"/>
      <c r="AK119" s="68" t="s">
        <v>41</v>
      </c>
      <c r="AL119" s="68" t="s">
        <v>39</v>
      </c>
      <c r="AM119" s="299">
        <f t="shared" ca="1" si="25"/>
        <v>0.94444444444525288</v>
      </c>
      <c r="AN119" s="51"/>
      <c r="AO119" s="61" t="s">
        <v>89</v>
      </c>
      <c r="AP119" s="62" t="s">
        <v>726</v>
      </c>
      <c r="AQ119" s="61" t="s">
        <v>834</v>
      </c>
      <c r="AR119" s="64">
        <v>44867.666666666664</v>
      </c>
      <c r="AS119" s="61" t="s">
        <v>117</v>
      </c>
      <c r="AT119" s="61" t="s">
        <v>225</v>
      </c>
      <c r="AU119" s="59">
        <v>0.66666666666666663</v>
      </c>
      <c r="AV119" s="61">
        <v>2</v>
      </c>
      <c r="AW119" s="58" t="s">
        <v>66</v>
      </c>
      <c r="AX119" s="52"/>
      <c r="AY119" s="52"/>
      <c r="AZ119" s="52"/>
      <c r="BA119" s="52"/>
    </row>
    <row r="120" spans="1:54" x14ac:dyDescent="0.25">
      <c r="A120" s="73">
        <v>24</v>
      </c>
      <c r="B120" s="72">
        <v>44866.722222222219</v>
      </c>
      <c r="C120" s="67">
        <v>0.72222222222222221</v>
      </c>
      <c r="D120" s="67">
        <v>0.74305555555555547</v>
      </c>
      <c r="E120" s="67">
        <v>0.87152777777777779</v>
      </c>
      <c r="F120" s="68" t="s">
        <v>170</v>
      </c>
      <c r="G120" s="68" t="s">
        <v>725</v>
      </c>
      <c r="H120" s="66" t="s">
        <v>227</v>
      </c>
      <c r="I120" s="66" t="s">
        <v>189</v>
      </c>
      <c r="J120" s="66" t="s">
        <v>37</v>
      </c>
      <c r="K120" s="66" t="s">
        <v>63</v>
      </c>
      <c r="L120" s="66" t="s">
        <v>209</v>
      </c>
      <c r="M120" s="68" t="s">
        <v>726</v>
      </c>
      <c r="N120" s="68" t="s">
        <v>42</v>
      </c>
      <c r="O120" s="77">
        <v>808809811832833</v>
      </c>
      <c r="P120" s="68" t="s">
        <v>727</v>
      </c>
      <c r="Q120" s="303">
        <f t="shared" si="26"/>
        <v>0</v>
      </c>
      <c r="R120" s="303">
        <f t="shared" si="27"/>
        <v>0</v>
      </c>
      <c r="S120" s="68">
        <v>0</v>
      </c>
      <c r="T120" s="68">
        <v>0</v>
      </c>
      <c r="U120" s="68">
        <v>0</v>
      </c>
      <c r="V120" s="68">
        <v>0</v>
      </c>
      <c r="W120" s="68">
        <v>0</v>
      </c>
      <c r="X120" s="68">
        <v>90</v>
      </c>
      <c r="Y120" s="68">
        <v>36</v>
      </c>
      <c r="Z120" s="68">
        <v>50</v>
      </c>
      <c r="AA120" s="68">
        <v>7</v>
      </c>
      <c r="AB120" s="300">
        <f t="shared" si="28"/>
        <v>189</v>
      </c>
      <c r="AC120" s="300">
        <f t="shared" si="29"/>
        <v>1.1385542168674698</v>
      </c>
      <c r="AD120" s="68">
        <v>0</v>
      </c>
      <c r="AE120" s="68">
        <v>0</v>
      </c>
      <c r="AF120" s="68" t="s">
        <v>317</v>
      </c>
      <c r="AG120" s="68" t="s">
        <v>317</v>
      </c>
      <c r="AH120" s="68" t="s">
        <v>728</v>
      </c>
      <c r="AI120" s="309"/>
      <c r="AJ120" s="309"/>
      <c r="AK120" s="68" t="s">
        <v>48</v>
      </c>
      <c r="AL120" s="68" t="s">
        <v>47</v>
      </c>
      <c r="AM120" s="299">
        <f t="shared" ca="1" si="25"/>
        <v>0.94444444444525288</v>
      </c>
      <c r="AN120" s="51"/>
      <c r="AO120" s="61" t="s">
        <v>89</v>
      </c>
      <c r="AP120" s="62" t="s">
        <v>726</v>
      </c>
      <c r="AQ120" s="61" t="s">
        <v>834</v>
      </c>
      <c r="AR120" s="64">
        <v>44867.666666666664</v>
      </c>
      <c r="AS120" s="61" t="s">
        <v>117</v>
      </c>
      <c r="AT120" s="61" t="s">
        <v>225</v>
      </c>
      <c r="AU120" s="59">
        <v>0.66666666666666663</v>
      </c>
      <c r="AV120" s="61">
        <v>2</v>
      </c>
      <c r="AW120" s="58" t="s">
        <v>66</v>
      </c>
      <c r="AX120" s="52"/>
      <c r="AY120" s="52"/>
      <c r="AZ120" s="52"/>
      <c r="BA120" s="52"/>
    </row>
    <row r="121" spans="1:54" x14ac:dyDescent="0.25">
      <c r="A121" s="73">
        <v>25</v>
      </c>
      <c r="B121" s="72">
        <v>44866.722222222219</v>
      </c>
      <c r="C121" s="67">
        <v>0.72222222222222221</v>
      </c>
      <c r="D121" s="67">
        <v>0.74305555555555547</v>
      </c>
      <c r="E121" s="67">
        <v>0.87152777777777779</v>
      </c>
      <c r="F121" s="68" t="s">
        <v>170</v>
      </c>
      <c r="G121" s="68" t="s">
        <v>725</v>
      </c>
      <c r="H121" s="66" t="s">
        <v>227</v>
      </c>
      <c r="I121" s="66" t="s">
        <v>189</v>
      </c>
      <c r="J121" s="66" t="s">
        <v>37</v>
      </c>
      <c r="K121" s="66" t="s">
        <v>63</v>
      </c>
      <c r="L121" s="66" t="s">
        <v>209</v>
      </c>
      <c r="M121" s="68" t="s">
        <v>729</v>
      </c>
      <c r="N121" s="68" t="s">
        <v>43</v>
      </c>
      <c r="O121" s="77">
        <v>8.2082282382583398E+17</v>
      </c>
      <c r="P121" s="68" t="s">
        <v>730</v>
      </c>
      <c r="Q121" s="303">
        <f t="shared" si="26"/>
        <v>15</v>
      </c>
      <c r="R121" s="303">
        <f t="shared" si="27"/>
        <v>962</v>
      </c>
      <c r="S121" s="68">
        <v>13</v>
      </c>
      <c r="T121" s="68">
        <v>179</v>
      </c>
      <c r="U121" s="68">
        <v>2</v>
      </c>
      <c r="V121" s="68">
        <v>783</v>
      </c>
      <c r="W121" s="68">
        <v>916.46</v>
      </c>
      <c r="X121" s="68">
        <v>41</v>
      </c>
      <c r="Y121" s="68">
        <v>31</v>
      </c>
      <c r="Z121" s="68">
        <v>10</v>
      </c>
      <c r="AA121" s="68">
        <v>12</v>
      </c>
      <c r="AB121" s="300">
        <f t="shared" si="28"/>
        <v>25.42</v>
      </c>
      <c r="AC121" s="300">
        <f t="shared" si="29"/>
        <v>0.15313253012048195</v>
      </c>
      <c r="AD121" s="68" t="s">
        <v>48</v>
      </c>
      <c r="AE121" s="68" t="s">
        <v>48</v>
      </c>
      <c r="AF121" s="68" t="s">
        <v>317</v>
      </c>
      <c r="AG121" s="68" t="s">
        <v>317</v>
      </c>
      <c r="AH121" s="68" t="s">
        <v>731</v>
      </c>
      <c r="AI121" s="309"/>
      <c r="AJ121" s="309"/>
      <c r="AK121" s="68" t="s">
        <v>48</v>
      </c>
      <c r="AL121" s="68" t="s">
        <v>47</v>
      </c>
      <c r="AM121" s="299">
        <f t="shared" ca="1" si="25"/>
        <v>0.96875</v>
      </c>
      <c r="AN121" s="51"/>
      <c r="AO121" s="61" t="s">
        <v>179</v>
      </c>
      <c r="AP121" s="62" t="s">
        <v>732</v>
      </c>
      <c r="AQ121" s="61" t="s">
        <v>835</v>
      </c>
      <c r="AR121" s="64">
        <v>44867.690972222219</v>
      </c>
      <c r="AS121" s="61" t="s">
        <v>836</v>
      </c>
      <c r="AT121" s="61" t="s">
        <v>65</v>
      </c>
      <c r="AU121" s="63">
        <v>0.69097222222222221</v>
      </c>
      <c r="AV121" s="61">
        <v>1</v>
      </c>
      <c r="AW121" s="58" t="s">
        <v>66</v>
      </c>
      <c r="AX121" s="52"/>
      <c r="AY121" s="52"/>
      <c r="AZ121" s="52"/>
      <c r="BA121" s="52"/>
    </row>
    <row r="122" spans="1:54" x14ac:dyDescent="0.25">
      <c r="A122" s="73">
        <v>25</v>
      </c>
      <c r="B122" s="72">
        <v>44866.722222222219</v>
      </c>
      <c r="C122" s="67">
        <v>0.72222222222222221</v>
      </c>
      <c r="D122" s="67">
        <v>0.74305555555555547</v>
      </c>
      <c r="E122" s="67">
        <v>0.87152777777777779</v>
      </c>
      <c r="F122" s="68" t="s">
        <v>170</v>
      </c>
      <c r="G122" s="68" t="s">
        <v>725</v>
      </c>
      <c r="H122" s="66" t="s">
        <v>227</v>
      </c>
      <c r="I122" s="66" t="s">
        <v>189</v>
      </c>
      <c r="J122" s="66" t="s">
        <v>37</v>
      </c>
      <c r="K122" s="66" t="s">
        <v>63</v>
      </c>
      <c r="L122" s="66" t="s">
        <v>209</v>
      </c>
      <c r="M122" s="68" t="s">
        <v>729</v>
      </c>
      <c r="N122" s="68" t="s">
        <v>43</v>
      </c>
      <c r="O122" s="77">
        <v>8.2082282382583398E+17</v>
      </c>
      <c r="P122" s="68" t="s">
        <v>730</v>
      </c>
      <c r="Q122" s="303">
        <f t="shared" si="26"/>
        <v>0</v>
      </c>
      <c r="R122" s="303">
        <f t="shared" si="27"/>
        <v>0</v>
      </c>
      <c r="S122" s="68">
        <v>0</v>
      </c>
      <c r="T122" s="68">
        <v>0</v>
      </c>
      <c r="U122" s="68">
        <v>0</v>
      </c>
      <c r="V122" s="68">
        <v>0</v>
      </c>
      <c r="W122" s="68">
        <v>0</v>
      </c>
      <c r="X122" s="68">
        <v>109</v>
      </c>
      <c r="Y122" s="68">
        <v>32</v>
      </c>
      <c r="Z122" s="68">
        <v>30</v>
      </c>
      <c r="AA122" s="68">
        <v>1</v>
      </c>
      <c r="AB122" s="300">
        <f t="shared" si="28"/>
        <v>17.440000000000001</v>
      </c>
      <c r="AC122" s="300">
        <f t="shared" si="29"/>
        <v>0.10506024096385543</v>
      </c>
      <c r="AD122" s="68">
        <v>0</v>
      </c>
      <c r="AE122" s="68">
        <v>0</v>
      </c>
      <c r="AF122" s="68" t="s">
        <v>317</v>
      </c>
      <c r="AG122" s="68" t="s">
        <v>317</v>
      </c>
      <c r="AH122" s="68" t="s">
        <v>731</v>
      </c>
      <c r="AI122" s="309"/>
      <c r="AJ122" s="309"/>
      <c r="AK122" s="68" t="s">
        <v>48</v>
      </c>
      <c r="AL122" s="68" t="s">
        <v>47</v>
      </c>
      <c r="AM122" s="299">
        <f t="shared" ca="1" si="25"/>
        <v>0.96875</v>
      </c>
      <c r="AN122" s="51"/>
      <c r="AO122" s="61" t="s">
        <v>179</v>
      </c>
      <c r="AP122" s="62" t="s">
        <v>732</v>
      </c>
      <c r="AQ122" s="61" t="s">
        <v>835</v>
      </c>
      <c r="AR122" s="64">
        <v>44867.690972222219</v>
      </c>
      <c r="AS122" s="61" t="s">
        <v>836</v>
      </c>
      <c r="AT122" s="61" t="s">
        <v>65</v>
      </c>
      <c r="AU122" s="63">
        <v>0.69097222222222221</v>
      </c>
      <c r="AV122" s="61">
        <v>1</v>
      </c>
      <c r="AW122" s="58" t="s">
        <v>66</v>
      </c>
      <c r="AX122" s="52"/>
      <c r="AY122" s="52"/>
      <c r="AZ122" s="52"/>
      <c r="BA122" s="52"/>
    </row>
    <row r="123" spans="1:54" x14ac:dyDescent="0.25">
      <c r="A123" s="73">
        <v>25</v>
      </c>
      <c r="B123" s="72">
        <v>44866.722222222219</v>
      </c>
      <c r="C123" s="67">
        <v>0.72222222222222221</v>
      </c>
      <c r="D123" s="67">
        <v>0.74305555555555547</v>
      </c>
      <c r="E123" s="67">
        <v>0.87152777777777779</v>
      </c>
      <c r="F123" s="68" t="s">
        <v>170</v>
      </c>
      <c r="G123" s="68" t="s">
        <v>725</v>
      </c>
      <c r="H123" s="66" t="s">
        <v>227</v>
      </c>
      <c r="I123" s="66" t="s">
        <v>189</v>
      </c>
      <c r="J123" s="66" t="s">
        <v>37</v>
      </c>
      <c r="K123" s="66" t="s">
        <v>63</v>
      </c>
      <c r="L123" s="66" t="s">
        <v>209</v>
      </c>
      <c r="M123" s="68" t="s">
        <v>729</v>
      </c>
      <c r="N123" s="68" t="s">
        <v>43</v>
      </c>
      <c r="O123" s="77">
        <v>8.2082282382583398E+17</v>
      </c>
      <c r="P123" s="68" t="s">
        <v>730</v>
      </c>
      <c r="Q123" s="303">
        <f t="shared" si="26"/>
        <v>0</v>
      </c>
      <c r="R123" s="303">
        <f t="shared" si="27"/>
        <v>0</v>
      </c>
      <c r="S123" s="68">
        <v>0</v>
      </c>
      <c r="T123" s="68">
        <v>0</v>
      </c>
      <c r="U123" s="68">
        <v>0</v>
      </c>
      <c r="V123" s="68">
        <v>0</v>
      </c>
      <c r="W123" s="68">
        <v>0</v>
      </c>
      <c r="X123" s="68">
        <v>160</v>
      </c>
      <c r="Y123" s="68">
        <v>137</v>
      </c>
      <c r="Z123" s="68">
        <v>79</v>
      </c>
      <c r="AA123" s="68">
        <v>1</v>
      </c>
      <c r="AB123" s="300">
        <f t="shared" si="28"/>
        <v>288.61333333333334</v>
      </c>
      <c r="AC123" s="300">
        <f t="shared" si="29"/>
        <v>1.7386345381526105</v>
      </c>
      <c r="AD123" s="68">
        <v>0</v>
      </c>
      <c r="AE123" s="68">
        <v>0</v>
      </c>
      <c r="AF123" s="68" t="s">
        <v>317</v>
      </c>
      <c r="AG123" s="68" t="s">
        <v>317</v>
      </c>
      <c r="AH123" s="68" t="s">
        <v>731</v>
      </c>
      <c r="AI123" s="309"/>
      <c r="AJ123" s="309"/>
      <c r="AK123" s="68" t="s">
        <v>37</v>
      </c>
      <c r="AL123" s="68" t="s">
        <v>39</v>
      </c>
      <c r="AM123" s="299">
        <f t="shared" ca="1" si="25"/>
        <v>0.96875</v>
      </c>
      <c r="AN123" s="51"/>
      <c r="AO123" s="61" t="s">
        <v>179</v>
      </c>
      <c r="AP123" s="62" t="s">
        <v>732</v>
      </c>
      <c r="AQ123" s="61" t="s">
        <v>835</v>
      </c>
      <c r="AR123" s="64">
        <v>44867.690972222219</v>
      </c>
      <c r="AS123" s="61" t="s">
        <v>836</v>
      </c>
      <c r="AT123" s="61" t="s">
        <v>65</v>
      </c>
      <c r="AU123" s="63">
        <v>0.69097222222222221</v>
      </c>
      <c r="AV123" s="61">
        <v>1</v>
      </c>
      <c r="AW123" s="58" t="s">
        <v>66</v>
      </c>
      <c r="AX123" s="52"/>
      <c r="AY123" s="52"/>
      <c r="AZ123" s="52"/>
      <c r="BA123" s="52"/>
    </row>
    <row r="124" spans="1:54" x14ac:dyDescent="0.25">
      <c r="A124" s="73">
        <v>25</v>
      </c>
      <c r="B124" s="72">
        <v>44866.722222222219</v>
      </c>
      <c r="C124" s="67">
        <v>0.72222222222222221</v>
      </c>
      <c r="D124" s="67">
        <v>0.74305555555555547</v>
      </c>
      <c r="E124" s="67">
        <v>0.87152777777777779</v>
      </c>
      <c r="F124" s="68" t="s">
        <v>170</v>
      </c>
      <c r="G124" s="68" t="s">
        <v>725</v>
      </c>
      <c r="H124" s="66" t="s">
        <v>227</v>
      </c>
      <c r="I124" s="66" t="s">
        <v>189</v>
      </c>
      <c r="J124" s="66" t="s">
        <v>37</v>
      </c>
      <c r="K124" s="66" t="s">
        <v>63</v>
      </c>
      <c r="L124" s="66" t="s">
        <v>209</v>
      </c>
      <c r="M124" s="68" t="s">
        <v>729</v>
      </c>
      <c r="N124" s="68" t="s">
        <v>43</v>
      </c>
      <c r="O124" s="77">
        <v>8.2082282382583398E+17</v>
      </c>
      <c r="P124" s="68" t="s">
        <v>730</v>
      </c>
      <c r="Q124" s="303">
        <f t="shared" si="26"/>
        <v>0</v>
      </c>
      <c r="R124" s="303">
        <f t="shared" si="27"/>
        <v>0</v>
      </c>
      <c r="S124" s="68">
        <v>0</v>
      </c>
      <c r="T124" s="68">
        <v>0</v>
      </c>
      <c r="U124" s="68">
        <v>0</v>
      </c>
      <c r="V124" s="68">
        <v>0</v>
      </c>
      <c r="W124" s="68">
        <v>0</v>
      </c>
      <c r="X124" s="68">
        <v>103</v>
      </c>
      <c r="Y124" s="68">
        <v>43</v>
      </c>
      <c r="Z124" s="68">
        <v>44</v>
      </c>
      <c r="AA124" s="68">
        <v>1</v>
      </c>
      <c r="AB124" s="300">
        <f t="shared" si="28"/>
        <v>32.479333333333336</v>
      </c>
      <c r="AC124" s="300">
        <f t="shared" si="29"/>
        <v>0.19565863453815263</v>
      </c>
      <c r="AD124" s="68">
        <v>0</v>
      </c>
      <c r="AE124" s="68">
        <v>0</v>
      </c>
      <c r="AF124" s="68" t="s">
        <v>317</v>
      </c>
      <c r="AG124" s="68" t="s">
        <v>317</v>
      </c>
      <c r="AH124" s="68" t="s">
        <v>731</v>
      </c>
      <c r="AI124" s="309"/>
      <c r="AJ124" s="309"/>
      <c r="AK124" s="68" t="s">
        <v>41</v>
      </c>
      <c r="AL124" s="68" t="s">
        <v>39</v>
      </c>
      <c r="AM124" s="299">
        <f t="shared" ca="1" si="25"/>
        <v>0.96875</v>
      </c>
      <c r="AN124" s="51"/>
      <c r="AO124" s="61" t="s">
        <v>179</v>
      </c>
      <c r="AP124" s="62" t="s">
        <v>732</v>
      </c>
      <c r="AQ124" s="61" t="s">
        <v>835</v>
      </c>
      <c r="AR124" s="64">
        <v>44867.690972222219</v>
      </c>
      <c r="AS124" s="61" t="s">
        <v>836</v>
      </c>
      <c r="AT124" s="61" t="s">
        <v>65</v>
      </c>
      <c r="AU124" s="63">
        <v>0.69097222222222221</v>
      </c>
      <c r="AV124" s="61">
        <v>1</v>
      </c>
      <c r="AW124" s="58" t="s">
        <v>66</v>
      </c>
      <c r="AX124" s="52"/>
      <c r="AY124" s="52"/>
      <c r="AZ124" s="52"/>
      <c r="BA124" s="52"/>
    </row>
    <row r="125" spans="1:54" x14ac:dyDescent="0.25">
      <c r="A125" s="73">
        <v>26</v>
      </c>
      <c r="B125" s="72">
        <v>44866.722222222219</v>
      </c>
      <c r="C125" s="67">
        <v>0.72222222222222221</v>
      </c>
      <c r="D125" s="67">
        <v>0.74305555555555547</v>
      </c>
      <c r="E125" s="67">
        <v>0.87152777777777779</v>
      </c>
      <c r="F125" s="68" t="s">
        <v>170</v>
      </c>
      <c r="G125" s="68" t="s">
        <v>725</v>
      </c>
      <c r="H125" s="66" t="s">
        <v>227</v>
      </c>
      <c r="I125" s="66" t="s">
        <v>189</v>
      </c>
      <c r="J125" s="66" t="s">
        <v>37</v>
      </c>
      <c r="K125" s="66" t="s">
        <v>63</v>
      </c>
      <c r="L125" s="66" t="s">
        <v>209</v>
      </c>
      <c r="M125" s="68" t="s">
        <v>732</v>
      </c>
      <c r="N125" s="68" t="s">
        <v>43</v>
      </c>
      <c r="O125" s="77">
        <v>812821830</v>
      </c>
      <c r="P125" s="68" t="s">
        <v>733</v>
      </c>
      <c r="Q125" s="303">
        <f t="shared" si="26"/>
        <v>10</v>
      </c>
      <c r="R125" s="303">
        <f t="shared" si="27"/>
        <v>2059</v>
      </c>
      <c r="S125" s="68">
        <v>0</v>
      </c>
      <c r="T125" s="68">
        <v>0</v>
      </c>
      <c r="U125" s="68">
        <v>10</v>
      </c>
      <c r="V125" s="68">
        <v>2059</v>
      </c>
      <c r="W125" s="68">
        <v>1972.12</v>
      </c>
      <c r="X125" s="68">
        <v>170</v>
      </c>
      <c r="Y125" s="68">
        <v>97</v>
      </c>
      <c r="Z125" s="68">
        <v>79</v>
      </c>
      <c r="AA125" s="68">
        <v>2</v>
      </c>
      <c r="AB125" s="300">
        <f t="shared" si="28"/>
        <v>434.23666666666668</v>
      </c>
      <c r="AC125" s="300">
        <f t="shared" si="29"/>
        <v>2.6158835341365463</v>
      </c>
      <c r="AD125" s="68" t="s">
        <v>48</v>
      </c>
      <c r="AE125" s="68" t="s">
        <v>48</v>
      </c>
      <c r="AF125" s="68" t="s">
        <v>317</v>
      </c>
      <c r="AG125" s="68" t="s">
        <v>317</v>
      </c>
      <c r="AH125" s="68" t="s">
        <v>734</v>
      </c>
      <c r="AI125" s="309"/>
      <c r="AJ125" s="309"/>
      <c r="AK125" s="68" t="s">
        <v>37</v>
      </c>
      <c r="AL125" s="68" t="s">
        <v>39</v>
      </c>
      <c r="AM125" s="299">
        <f t="shared" ca="1" si="25"/>
        <v>0.96875</v>
      </c>
      <c r="AN125" s="51"/>
      <c r="AO125" s="61" t="s">
        <v>179</v>
      </c>
      <c r="AP125" s="62" t="s">
        <v>732</v>
      </c>
      <c r="AQ125" s="61" t="s">
        <v>835</v>
      </c>
      <c r="AR125" s="64">
        <v>44867.690972222219</v>
      </c>
      <c r="AS125" s="61" t="s">
        <v>836</v>
      </c>
      <c r="AT125" s="61" t="s">
        <v>65</v>
      </c>
      <c r="AU125" s="63">
        <v>0.69097222222222221</v>
      </c>
      <c r="AV125" s="61">
        <v>1</v>
      </c>
      <c r="AW125" s="58" t="s">
        <v>66</v>
      </c>
      <c r="AX125" s="52"/>
      <c r="AY125" s="52"/>
      <c r="AZ125" s="52"/>
      <c r="BA125" s="52"/>
    </row>
    <row r="126" spans="1:54" x14ac:dyDescent="0.25">
      <c r="A126" s="73">
        <v>26</v>
      </c>
      <c r="B126" s="72">
        <v>44866.722222222219</v>
      </c>
      <c r="C126" s="67">
        <v>0.72222222222222221</v>
      </c>
      <c r="D126" s="67">
        <v>0.74305555555555547</v>
      </c>
      <c r="E126" s="67">
        <v>0.87152777777777779</v>
      </c>
      <c r="F126" s="68" t="s">
        <v>170</v>
      </c>
      <c r="G126" s="68" t="s">
        <v>725</v>
      </c>
      <c r="H126" s="66" t="s">
        <v>227</v>
      </c>
      <c r="I126" s="66" t="s">
        <v>189</v>
      </c>
      <c r="J126" s="66" t="s">
        <v>37</v>
      </c>
      <c r="K126" s="66" t="s">
        <v>63</v>
      </c>
      <c r="L126" s="66" t="s">
        <v>209</v>
      </c>
      <c r="M126" s="68" t="s">
        <v>732</v>
      </c>
      <c r="N126" s="68" t="s">
        <v>43</v>
      </c>
      <c r="O126" s="77">
        <v>812821830</v>
      </c>
      <c r="P126" s="68" t="s">
        <v>733</v>
      </c>
      <c r="Q126" s="303">
        <f t="shared" si="26"/>
        <v>0</v>
      </c>
      <c r="R126" s="303">
        <f t="shared" si="27"/>
        <v>0</v>
      </c>
      <c r="S126" s="68">
        <v>0</v>
      </c>
      <c r="T126" s="68">
        <v>0</v>
      </c>
      <c r="U126" s="68">
        <v>0</v>
      </c>
      <c r="V126" s="68">
        <v>0</v>
      </c>
      <c r="W126" s="68">
        <v>0</v>
      </c>
      <c r="X126" s="68">
        <v>160</v>
      </c>
      <c r="Y126" s="68">
        <v>138</v>
      </c>
      <c r="Z126" s="68">
        <v>79</v>
      </c>
      <c r="AA126" s="68">
        <v>6</v>
      </c>
      <c r="AB126" s="300">
        <f t="shared" si="28"/>
        <v>1744.32</v>
      </c>
      <c r="AC126" s="300">
        <f t="shared" si="29"/>
        <v>10.507951807228915</v>
      </c>
      <c r="AD126" s="68">
        <v>0</v>
      </c>
      <c r="AE126" s="68">
        <v>0</v>
      </c>
      <c r="AF126" s="68" t="s">
        <v>317</v>
      </c>
      <c r="AG126" s="68" t="s">
        <v>317</v>
      </c>
      <c r="AH126" s="68" t="s">
        <v>734</v>
      </c>
      <c r="AI126" s="309"/>
      <c r="AJ126" s="309"/>
      <c r="AK126" s="68" t="s">
        <v>37</v>
      </c>
      <c r="AL126" s="68" t="s">
        <v>39</v>
      </c>
      <c r="AM126" s="299">
        <f t="shared" ca="1" si="25"/>
        <v>0.96875</v>
      </c>
      <c r="AN126" s="51"/>
      <c r="AO126" s="61" t="s">
        <v>179</v>
      </c>
      <c r="AP126" s="62" t="s">
        <v>732</v>
      </c>
      <c r="AQ126" s="61" t="s">
        <v>835</v>
      </c>
      <c r="AR126" s="64">
        <v>44867.690972222219</v>
      </c>
      <c r="AS126" s="61" t="s">
        <v>836</v>
      </c>
      <c r="AT126" s="61" t="s">
        <v>65</v>
      </c>
      <c r="AU126" s="63">
        <v>0.69097222222222221</v>
      </c>
      <c r="AV126" s="61">
        <v>1</v>
      </c>
      <c r="AW126" s="58" t="s">
        <v>66</v>
      </c>
      <c r="AX126" s="52"/>
      <c r="AY126" s="52"/>
      <c r="AZ126" s="52"/>
      <c r="BA126" s="52"/>
    </row>
    <row r="127" spans="1:54" x14ac:dyDescent="0.25">
      <c r="A127" s="73">
        <v>26</v>
      </c>
      <c r="B127" s="72">
        <v>44866.722222222219</v>
      </c>
      <c r="C127" s="67">
        <v>0.72222222222222221</v>
      </c>
      <c r="D127" s="67">
        <v>0.74305555555555547</v>
      </c>
      <c r="E127" s="67">
        <v>0.87152777777777779</v>
      </c>
      <c r="F127" s="68" t="s">
        <v>170</v>
      </c>
      <c r="G127" s="68" t="s">
        <v>725</v>
      </c>
      <c r="H127" s="66" t="s">
        <v>227</v>
      </c>
      <c r="I127" s="66" t="s">
        <v>189</v>
      </c>
      <c r="J127" s="66" t="s">
        <v>37</v>
      </c>
      <c r="K127" s="66" t="s">
        <v>63</v>
      </c>
      <c r="L127" s="66" t="s">
        <v>209</v>
      </c>
      <c r="M127" s="68" t="s">
        <v>732</v>
      </c>
      <c r="N127" s="68" t="s">
        <v>43</v>
      </c>
      <c r="O127" s="77">
        <v>812821830</v>
      </c>
      <c r="P127" s="68" t="s">
        <v>733</v>
      </c>
      <c r="Q127" s="303">
        <f t="shared" si="26"/>
        <v>0</v>
      </c>
      <c r="R127" s="303">
        <f t="shared" si="27"/>
        <v>0</v>
      </c>
      <c r="S127" s="68">
        <v>0</v>
      </c>
      <c r="T127" s="68">
        <v>0</v>
      </c>
      <c r="U127" s="68">
        <v>0</v>
      </c>
      <c r="V127" s="68">
        <v>0</v>
      </c>
      <c r="W127" s="68">
        <v>0</v>
      </c>
      <c r="X127" s="68">
        <v>100</v>
      </c>
      <c r="Y127" s="68">
        <v>43</v>
      </c>
      <c r="Z127" s="68">
        <v>51</v>
      </c>
      <c r="AA127" s="68">
        <v>2</v>
      </c>
      <c r="AB127" s="300">
        <f t="shared" si="28"/>
        <v>73.099999999999994</v>
      </c>
      <c r="AC127" s="300">
        <f t="shared" si="29"/>
        <v>0.44036144578313252</v>
      </c>
      <c r="AD127" s="68">
        <v>0</v>
      </c>
      <c r="AE127" s="68">
        <v>0</v>
      </c>
      <c r="AF127" s="68" t="s">
        <v>317</v>
      </c>
      <c r="AG127" s="68" t="s">
        <v>317</v>
      </c>
      <c r="AH127" s="68" t="s">
        <v>734</v>
      </c>
      <c r="AI127" s="309"/>
      <c r="AJ127" s="309"/>
      <c r="AK127" s="68" t="s">
        <v>41</v>
      </c>
      <c r="AL127" s="68" t="s">
        <v>39</v>
      </c>
      <c r="AM127" s="299">
        <f t="shared" ca="1" si="25"/>
        <v>0.96875</v>
      </c>
      <c r="AN127" s="51"/>
      <c r="AO127" s="61" t="s">
        <v>179</v>
      </c>
      <c r="AP127" s="62" t="s">
        <v>732</v>
      </c>
      <c r="AQ127" s="61" t="s">
        <v>835</v>
      </c>
      <c r="AR127" s="64">
        <v>44867.690972222219</v>
      </c>
      <c r="AS127" s="61" t="s">
        <v>836</v>
      </c>
      <c r="AT127" s="61" t="s">
        <v>65</v>
      </c>
      <c r="AU127" s="63">
        <v>0.69097222222222221</v>
      </c>
      <c r="AV127" s="61">
        <v>1</v>
      </c>
      <c r="AW127" s="58" t="s">
        <v>66</v>
      </c>
      <c r="AX127" s="52"/>
      <c r="AY127" s="52"/>
      <c r="AZ127" s="52"/>
      <c r="BA127" s="52"/>
    </row>
    <row r="128" spans="1:54" x14ac:dyDescent="0.25">
      <c r="A128" s="73">
        <v>27</v>
      </c>
      <c r="B128" s="72">
        <v>44866.739583333336</v>
      </c>
      <c r="C128" s="67">
        <v>0.74305555555555547</v>
      </c>
      <c r="D128" s="67">
        <v>0.74652777777777779</v>
      </c>
      <c r="E128" s="67">
        <v>0.86805555555555547</v>
      </c>
      <c r="F128" s="68" t="s">
        <v>171</v>
      </c>
      <c r="G128" s="68" t="s">
        <v>148</v>
      </c>
      <c r="H128" s="66" t="s">
        <v>342</v>
      </c>
      <c r="I128" s="66" t="s">
        <v>342</v>
      </c>
      <c r="J128" s="66" t="s">
        <v>37</v>
      </c>
      <c r="K128" s="66" t="s">
        <v>180</v>
      </c>
      <c r="L128" s="70" t="s">
        <v>206</v>
      </c>
      <c r="M128" s="68" t="s">
        <v>735</v>
      </c>
      <c r="N128" s="68" t="s">
        <v>42</v>
      </c>
      <c r="O128" s="68" t="s">
        <v>736</v>
      </c>
      <c r="P128" s="68">
        <v>29561236</v>
      </c>
      <c r="Q128" s="303">
        <f t="shared" si="26"/>
        <v>2</v>
      </c>
      <c r="R128" s="303">
        <f t="shared" si="27"/>
        <v>446</v>
      </c>
      <c r="S128" s="68">
        <v>0</v>
      </c>
      <c r="T128" s="68">
        <v>0</v>
      </c>
      <c r="U128" s="68">
        <v>2</v>
      </c>
      <c r="V128" s="68">
        <v>446</v>
      </c>
      <c r="W128" s="68">
        <v>450.34199999999998</v>
      </c>
      <c r="X128" s="68">
        <v>82</v>
      </c>
      <c r="Y128" s="68">
        <v>77</v>
      </c>
      <c r="Z128" s="68">
        <v>87</v>
      </c>
      <c r="AA128" s="68">
        <v>2</v>
      </c>
      <c r="AB128" s="300">
        <f t="shared" si="28"/>
        <v>183.10599999999999</v>
      </c>
      <c r="AC128" s="300">
        <f t="shared" si="29"/>
        <v>1.1030481927710842</v>
      </c>
      <c r="AD128" s="68">
        <v>2696.56</v>
      </c>
      <c r="AE128" s="66" t="s">
        <v>109</v>
      </c>
      <c r="AF128" s="66" t="s">
        <v>317</v>
      </c>
      <c r="AG128" s="66" t="s">
        <v>317</v>
      </c>
      <c r="AH128" s="68" t="s">
        <v>737</v>
      </c>
      <c r="AI128" s="309"/>
      <c r="AJ128" s="309"/>
      <c r="AK128" s="68" t="s">
        <v>41</v>
      </c>
      <c r="AL128" s="68" t="s">
        <v>39</v>
      </c>
      <c r="AM128" s="299">
        <f t="shared" ca="1" si="25"/>
        <v>0.75347222221898846</v>
      </c>
      <c r="AN128" s="51"/>
      <c r="AO128" s="61" t="s">
        <v>107</v>
      </c>
      <c r="AP128" s="62" t="s">
        <v>735</v>
      </c>
      <c r="AQ128" s="61" t="s">
        <v>822</v>
      </c>
      <c r="AR128" s="64">
        <v>44867.493055555555</v>
      </c>
      <c r="AS128" s="57" t="s">
        <v>173</v>
      </c>
      <c r="AT128" s="61" t="s">
        <v>225</v>
      </c>
      <c r="AU128" s="63">
        <v>0.49305555555555558</v>
      </c>
      <c r="AV128" s="58">
        <v>1</v>
      </c>
      <c r="AW128" s="58" t="s">
        <v>66</v>
      </c>
      <c r="AX128" s="52"/>
      <c r="AY128" s="52"/>
      <c r="AZ128" s="52"/>
      <c r="BA128" s="52"/>
    </row>
    <row r="129" spans="1:54" x14ac:dyDescent="0.25">
      <c r="A129" s="73">
        <v>28</v>
      </c>
      <c r="B129" s="72">
        <v>44866.753472222219</v>
      </c>
      <c r="C129" s="67">
        <v>0.75694444444444453</v>
      </c>
      <c r="D129" s="67">
        <v>0.76388888888888884</v>
      </c>
      <c r="E129" s="67">
        <v>0.78125</v>
      </c>
      <c r="F129" s="68" t="s">
        <v>169</v>
      </c>
      <c r="G129" s="68" t="s">
        <v>434</v>
      </c>
      <c r="H129" s="66" t="s">
        <v>334</v>
      </c>
      <c r="I129" s="66" t="s">
        <v>335</v>
      </c>
      <c r="J129" s="66" t="s">
        <v>37</v>
      </c>
      <c r="K129" s="66" t="s">
        <v>180</v>
      </c>
      <c r="L129" s="70" t="s">
        <v>206</v>
      </c>
      <c r="M129" s="68" t="s">
        <v>738</v>
      </c>
      <c r="N129" s="68" t="s">
        <v>76</v>
      </c>
      <c r="O129" s="68" t="s">
        <v>739</v>
      </c>
      <c r="P129" s="68">
        <v>41033</v>
      </c>
      <c r="Q129" s="303">
        <f t="shared" si="26"/>
        <v>1</v>
      </c>
      <c r="R129" s="303">
        <f t="shared" si="27"/>
        <v>49</v>
      </c>
      <c r="S129" s="68">
        <v>0</v>
      </c>
      <c r="T129" s="68">
        <v>0</v>
      </c>
      <c r="U129" s="68">
        <v>1</v>
      </c>
      <c r="V129" s="68">
        <v>49</v>
      </c>
      <c r="W129" s="68">
        <v>45.12</v>
      </c>
      <c r="X129" s="68">
        <v>114</v>
      </c>
      <c r="Y129" s="68">
        <v>100</v>
      </c>
      <c r="Z129" s="68">
        <v>50</v>
      </c>
      <c r="AA129" s="68">
        <v>1</v>
      </c>
      <c r="AB129" s="300">
        <f t="shared" si="28"/>
        <v>95</v>
      </c>
      <c r="AC129" s="300">
        <f t="shared" si="29"/>
        <v>0.57228915662650603</v>
      </c>
      <c r="AD129" s="68">
        <v>2280</v>
      </c>
      <c r="AE129" s="66" t="s">
        <v>109</v>
      </c>
      <c r="AF129" s="66" t="s">
        <v>317</v>
      </c>
      <c r="AG129" s="66" t="s">
        <v>317</v>
      </c>
      <c r="AH129" s="68" t="s">
        <v>740</v>
      </c>
      <c r="AI129" s="309"/>
      <c r="AJ129" s="309"/>
      <c r="AK129" s="68" t="s">
        <v>37</v>
      </c>
      <c r="AL129" s="68" t="s">
        <v>39</v>
      </c>
      <c r="AM129" s="299">
        <f t="shared" ca="1" si="25"/>
        <v>3.78125</v>
      </c>
      <c r="AN129" s="51"/>
      <c r="AO129" s="61" t="s">
        <v>123</v>
      </c>
      <c r="AP129" s="62" t="s">
        <v>738</v>
      </c>
      <c r="AQ129" s="61" t="s">
        <v>1053</v>
      </c>
      <c r="AR129" s="64">
        <v>44870.534722222219</v>
      </c>
      <c r="AS129" s="57" t="s">
        <v>173</v>
      </c>
      <c r="AT129" s="61" t="s">
        <v>225</v>
      </c>
      <c r="AU129" s="63">
        <v>0.53472222222222221</v>
      </c>
      <c r="AV129" s="61">
        <v>1</v>
      </c>
      <c r="AW129" s="61" t="s">
        <v>66</v>
      </c>
      <c r="AX129" s="52"/>
      <c r="AY129" s="52"/>
      <c r="AZ129" s="52"/>
      <c r="BA129" s="52"/>
    </row>
    <row r="130" spans="1:54" x14ac:dyDescent="0.25">
      <c r="A130" s="73">
        <v>29</v>
      </c>
      <c r="B130" s="72">
        <v>44866.78125</v>
      </c>
      <c r="C130" s="67">
        <v>0.78472222222222221</v>
      </c>
      <c r="D130" s="67">
        <v>0.78819444444444453</v>
      </c>
      <c r="E130" s="67">
        <v>0.85416666666666663</v>
      </c>
      <c r="F130" s="68" t="s">
        <v>170</v>
      </c>
      <c r="G130" s="68" t="s">
        <v>378</v>
      </c>
      <c r="H130" s="66" t="s">
        <v>204</v>
      </c>
      <c r="I130" s="66" t="s">
        <v>162</v>
      </c>
      <c r="J130" s="66" t="s">
        <v>37</v>
      </c>
      <c r="K130" s="70" t="s">
        <v>63</v>
      </c>
      <c r="L130" s="70" t="s">
        <v>212</v>
      </c>
      <c r="M130" s="68" t="s">
        <v>741</v>
      </c>
      <c r="N130" s="68" t="s">
        <v>158</v>
      </c>
      <c r="O130" s="68" t="s">
        <v>742</v>
      </c>
      <c r="P130" s="68">
        <v>5051929829</v>
      </c>
      <c r="Q130" s="303">
        <f t="shared" si="26"/>
        <v>1</v>
      </c>
      <c r="R130" s="303">
        <f t="shared" si="27"/>
        <v>725</v>
      </c>
      <c r="S130" s="68">
        <v>0</v>
      </c>
      <c r="T130" s="68">
        <v>0</v>
      </c>
      <c r="U130" s="68">
        <v>1</v>
      </c>
      <c r="V130" s="68">
        <v>725</v>
      </c>
      <c r="W130" s="68">
        <v>709</v>
      </c>
      <c r="X130" s="68">
        <v>84</v>
      </c>
      <c r="Y130" s="68">
        <v>68</v>
      </c>
      <c r="Z130" s="68">
        <v>115</v>
      </c>
      <c r="AA130" s="68">
        <v>1</v>
      </c>
      <c r="AB130" s="300">
        <f t="shared" si="28"/>
        <v>109.48</v>
      </c>
      <c r="AC130" s="300">
        <f t="shared" si="29"/>
        <v>0.6595180722891566</v>
      </c>
      <c r="AD130" s="68">
        <v>14381</v>
      </c>
      <c r="AE130" s="66" t="s">
        <v>109</v>
      </c>
      <c r="AF130" s="66" t="s">
        <v>317</v>
      </c>
      <c r="AG130" s="66" t="s">
        <v>317</v>
      </c>
      <c r="AH130" s="68" t="s">
        <v>743</v>
      </c>
      <c r="AI130" s="309"/>
      <c r="AJ130" s="309"/>
      <c r="AK130" s="68" t="s">
        <v>41</v>
      </c>
      <c r="AL130" s="68" t="s">
        <v>52</v>
      </c>
      <c r="AM130" s="299">
        <f t="shared" ca="1" si="25"/>
        <v>0.78125</v>
      </c>
      <c r="AN130" s="51"/>
      <c r="AO130" s="61" t="s">
        <v>159</v>
      </c>
      <c r="AP130" s="62" t="s">
        <v>741</v>
      </c>
      <c r="AQ130" s="61" t="s">
        <v>823</v>
      </c>
      <c r="AR130" s="64">
        <v>44867.5625</v>
      </c>
      <c r="AS130" s="61" t="s">
        <v>136</v>
      </c>
      <c r="AT130" s="61" t="s">
        <v>225</v>
      </c>
      <c r="AU130" s="63">
        <v>0.5625</v>
      </c>
      <c r="AV130" s="61">
        <v>1</v>
      </c>
      <c r="AW130" s="58" t="s">
        <v>66</v>
      </c>
      <c r="AX130" s="52"/>
      <c r="AY130" s="52"/>
      <c r="AZ130" s="52"/>
      <c r="BA130" s="52"/>
    </row>
    <row r="131" spans="1:54" x14ac:dyDescent="0.25">
      <c r="A131" s="73">
        <v>30</v>
      </c>
      <c r="B131" s="72">
        <v>44866.78125</v>
      </c>
      <c r="C131" s="67">
        <v>0.78472222222222221</v>
      </c>
      <c r="D131" s="67">
        <v>0.78819444444444453</v>
      </c>
      <c r="E131" s="67">
        <v>0.85416666666666663</v>
      </c>
      <c r="F131" s="68" t="s">
        <v>170</v>
      </c>
      <c r="G131" s="68" t="s">
        <v>378</v>
      </c>
      <c r="H131" s="66" t="s">
        <v>204</v>
      </c>
      <c r="I131" s="66" t="s">
        <v>110</v>
      </c>
      <c r="J131" s="66" t="s">
        <v>37</v>
      </c>
      <c r="K131" s="70" t="s">
        <v>63</v>
      </c>
      <c r="L131" s="70" t="s">
        <v>212</v>
      </c>
      <c r="M131" s="68" t="s">
        <v>744</v>
      </c>
      <c r="N131" s="68" t="s">
        <v>186</v>
      </c>
      <c r="O131" s="68" t="s">
        <v>745</v>
      </c>
      <c r="P131" s="68">
        <v>5051951057</v>
      </c>
      <c r="Q131" s="303">
        <f t="shared" si="26"/>
        <v>2</v>
      </c>
      <c r="R131" s="303">
        <f t="shared" si="27"/>
        <v>184</v>
      </c>
      <c r="S131" s="68">
        <v>0</v>
      </c>
      <c r="T131" s="68">
        <v>0</v>
      </c>
      <c r="U131" s="68">
        <v>2</v>
      </c>
      <c r="V131" s="68">
        <v>184</v>
      </c>
      <c r="W131" s="68">
        <v>194.4</v>
      </c>
      <c r="X131" s="68">
        <v>65</v>
      </c>
      <c r="Y131" s="68">
        <v>64</v>
      </c>
      <c r="Z131" s="68">
        <v>59</v>
      </c>
      <c r="AA131" s="68">
        <v>1</v>
      </c>
      <c r="AB131" s="300">
        <f t="shared" si="28"/>
        <v>40.906666666666666</v>
      </c>
      <c r="AC131" s="300">
        <f t="shared" si="29"/>
        <v>0.24642570281124498</v>
      </c>
      <c r="AD131" s="68">
        <v>1321.49</v>
      </c>
      <c r="AE131" s="66" t="s">
        <v>109</v>
      </c>
      <c r="AF131" s="66" t="s">
        <v>317</v>
      </c>
      <c r="AG131" s="66" t="s">
        <v>317</v>
      </c>
      <c r="AH131" s="68" t="s">
        <v>746</v>
      </c>
      <c r="AI131" s="309"/>
      <c r="AJ131" s="309"/>
      <c r="AK131" s="68" t="s">
        <v>41</v>
      </c>
      <c r="AL131" s="68" t="s">
        <v>94</v>
      </c>
      <c r="AM131" s="299">
        <f t="shared" ca="1" si="25"/>
        <v>0.88541666666424135</v>
      </c>
      <c r="AN131" s="51"/>
      <c r="AO131" s="20" t="s">
        <v>131</v>
      </c>
      <c r="AP131" s="21" t="s">
        <v>831</v>
      </c>
      <c r="AQ131" s="20" t="s">
        <v>829</v>
      </c>
      <c r="AR131" s="64">
        <v>44867.666666666664</v>
      </c>
      <c r="AS131" s="61" t="s">
        <v>117</v>
      </c>
      <c r="AT131" s="61" t="s">
        <v>225</v>
      </c>
      <c r="AU131" s="59">
        <v>0.66666666666666663</v>
      </c>
      <c r="AV131" s="61">
        <v>2</v>
      </c>
      <c r="AW131" s="58" t="s">
        <v>66</v>
      </c>
      <c r="AX131" s="52"/>
      <c r="AY131" s="52"/>
      <c r="AZ131" s="52"/>
      <c r="BA131" s="52"/>
    </row>
    <row r="132" spans="1:54" x14ac:dyDescent="0.25">
      <c r="A132" s="73">
        <v>30</v>
      </c>
      <c r="B132" s="72">
        <v>44866.78125</v>
      </c>
      <c r="C132" s="67">
        <v>0.78472222222222221</v>
      </c>
      <c r="D132" s="67">
        <v>0.78819444444444453</v>
      </c>
      <c r="E132" s="67">
        <v>0.85416666666666663</v>
      </c>
      <c r="F132" s="68" t="s">
        <v>170</v>
      </c>
      <c r="G132" s="68" t="s">
        <v>378</v>
      </c>
      <c r="H132" s="66" t="s">
        <v>204</v>
      </c>
      <c r="I132" s="66" t="s">
        <v>110</v>
      </c>
      <c r="J132" s="66" t="s">
        <v>37</v>
      </c>
      <c r="K132" s="70" t="s">
        <v>63</v>
      </c>
      <c r="L132" s="70" t="s">
        <v>212</v>
      </c>
      <c r="M132" s="68" t="s">
        <v>744</v>
      </c>
      <c r="N132" s="68" t="s">
        <v>186</v>
      </c>
      <c r="O132" s="68" t="s">
        <v>745</v>
      </c>
      <c r="P132" s="68">
        <v>5051951057</v>
      </c>
      <c r="Q132" s="303">
        <f t="shared" si="26"/>
        <v>0</v>
      </c>
      <c r="R132" s="303">
        <f t="shared" si="27"/>
        <v>0</v>
      </c>
      <c r="S132" s="68">
        <v>0</v>
      </c>
      <c r="T132" s="68">
        <v>0</v>
      </c>
      <c r="U132" s="68">
        <v>0</v>
      </c>
      <c r="V132" s="68">
        <v>0</v>
      </c>
      <c r="W132" s="68">
        <v>194.4</v>
      </c>
      <c r="X132" s="68">
        <v>37</v>
      </c>
      <c r="Y132" s="68">
        <v>29</v>
      </c>
      <c r="Z132" s="68">
        <v>36</v>
      </c>
      <c r="AA132" s="68">
        <v>1</v>
      </c>
      <c r="AB132" s="300">
        <f t="shared" si="28"/>
        <v>6.4379999999999997</v>
      </c>
      <c r="AC132" s="300">
        <f t="shared" si="29"/>
        <v>3.878313253012048E-2</v>
      </c>
      <c r="AD132" s="68">
        <v>0</v>
      </c>
      <c r="AE132" s="68">
        <v>0</v>
      </c>
      <c r="AF132" s="66" t="s">
        <v>317</v>
      </c>
      <c r="AG132" s="66" t="s">
        <v>317</v>
      </c>
      <c r="AH132" s="68" t="s">
        <v>746</v>
      </c>
      <c r="AI132" s="309"/>
      <c r="AJ132" s="309"/>
      <c r="AK132" s="68" t="s">
        <v>41</v>
      </c>
      <c r="AL132" s="68" t="s">
        <v>94</v>
      </c>
      <c r="AM132" s="299">
        <f t="shared" ca="1" si="25"/>
        <v>0.88541666666424135</v>
      </c>
      <c r="AN132" s="51"/>
      <c r="AO132" s="20" t="s">
        <v>131</v>
      </c>
      <c r="AP132" s="21" t="s">
        <v>831</v>
      </c>
      <c r="AQ132" s="20" t="s">
        <v>829</v>
      </c>
      <c r="AR132" s="64">
        <v>44867.666666666664</v>
      </c>
      <c r="AS132" s="61" t="s">
        <v>117</v>
      </c>
      <c r="AT132" s="61" t="s">
        <v>225</v>
      </c>
      <c r="AU132" s="59">
        <v>0.66666666666666663</v>
      </c>
      <c r="AV132" s="61">
        <v>2</v>
      </c>
      <c r="AW132" s="58" t="s">
        <v>66</v>
      </c>
      <c r="AX132" s="52"/>
      <c r="AY132" s="52"/>
      <c r="AZ132" s="52"/>
      <c r="BA132" s="52"/>
    </row>
    <row r="133" spans="1:54" x14ac:dyDescent="0.25">
      <c r="A133" s="73">
        <v>31</v>
      </c>
      <c r="B133" s="72">
        <v>44866.791666666664</v>
      </c>
      <c r="C133" s="67">
        <v>0.79861111111111116</v>
      </c>
      <c r="D133" s="67">
        <v>0.80208333333333337</v>
      </c>
      <c r="E133" s="67">
        <v>0.85416666666666663</v>
      </c>
      <c r="F133" s="68" t="s">
        <v>171</v>
      </c>
      <c r="G133" s="68" t="s">
        <v>278</v>
      </c>
      <c r="H133" s="66" t="s">
        <v>91</v>
      </c>
      <c r="I133" s="66" t="s">
        <v>318</v>
      </c>
      <c r="J133" s="66" t="s">
        <v>41</v>
      </c>
      <c r="K133" s="66" t="s">
        <v>180</v>
      </c>
      <c r="L133" s="70" t="s">
        <v>206</v>
      </c>
      <c r="M133" s="68" t="s">
        <v>747</v>
      </c>
      <c r="N133" s="68" t="s">
        <v>44</v>
      </c>
      <c r="O133" s="68">
        <v>1054968813</v>
      </c>
      <c r="P133" s="68">
        <v>1213914021</v>
      </c>
      <c r="Q133" s="303">
        <f t="shared" si="26"/>
        <v>5</v>
      </c>
      <c r="R133" s="303">
        <f t="shared" si="27"/>
        <v>1070</v>
      </c>
      <c r="S133" s="68">
        <v>0</v>
      </c>
      <c r="T133" s="68">
        <v>0</v>
      </c>
      <c r="U133" s="68">
        <v>5</v>
      </c>
      <c r="V133" s="68">
        <v>1070</v>
      </c>
      <c r="W133" s="68">
        <v>1068</v>
      </c>
      <c r="X133" s="68">
        <v>120</v>
      </c>
      <c r="Y133" s="68">
        <v>80</v>
      </c>
      <c r="Z133" s="68">
        <v>78</v>
      </c>
      <c r="AA133" s="68">
        <v>5</v>
      </c>
      <c r="AB133" s="300">
        <f t="shared" si="28"/>
        <v>624</v>
      </c>
      <c r="AC133" s="300">
        <f t="shared" si="29"/>
        <v>3.7590361445783134</v>
      </c>
      <c r="AD133" s="68">
        <v>46253.23</v>
      </c>
      <c r="AE133" s="66" t="s">
        <v>109</v>
      </c>
      <c r="AF133" s="66" t="s">
        <v>317</v>
      </c>
      <c r="AG133" s="66" t="s">
        <v>317</v>
      </c>
      <c r="AH133" s="68" t="s">
        <v>748</v>
      </c>
      <c r="AI133" s="309"/>
      <c r="AJ133" s="309"/>
      <c r="AK133" s="68" t="s">
        <v>37</v>
      </c>
      <c r="AL133" s="68" t="s">
        <v>49</v>
      </c>
      <c r="AM133" s="299">
        <f t="shared" ca="1" si="25"/>
        <v>0.95138888889050577</v>
      </c>
      <c r="AN133" s="51"/>
      <c r="AO133" s="63" t="s">
        <v>323</v>
      </c>
      <c r="AP133" s="62" t="s">
        <v>747</v>
      </c>
      <c r="AQ133" s="61" t="s">
        <v>840</v>
      </c>
      <c r="AR133" s="64">
        <v>44867.743055555555</v>
      </c>
      <c r="AS133" s="61" t="s">
        <v>136</v>
      </c>
      <c r="AT133" s="61" t="s">
        <v>225</v>
      </c>
      <c r="AU133" s="63">
        <v>0.74305555555555547</v>
      </c>
      <c r="AV133" s="61">
        <v>2</v>
      </c>
      <c r="AW133" s="58" t="s">
        <v>66</v>
      </c>
      <c r="AX133" s="52"/>
      <c r="AY133" s="52"/>
      <c r="AZ133" s="52"/>
      <c r="BA133" s="52"/>
    </row>
    <row r="134" spans="1:54" x14ac:dyDescent="0.25">
      <c r="A134" s="73">
        <v>32</v>
      </c>
      <c r="B134" s="72">
        <v>44866.791666666664</v>
      </c>
      <c r="C134" s="67">
        <v>0.79861111111111116</v>
      </c>
      <c r="D134" s="67">
        <v>0.80208333333333337</v>
      </c>
      <c r="E134" s="67">
        <v>0.85416666666666663</v>
      </c>
      <c r="F134" s="68" t="s">
        <v>171</v>
      </c>
      <c r="G134" s="68" t="s">
        <v>278</v>
      </c>
      <c r="H134" s="66" t="s">
        <v>91</v>
      </c>
      <c r="I134" s="66" t="s">
        <v>318</v>
      </c>
      <c r="J134" s="66" t="s">
        <v>41</v>
      </c>
      <c r="K134" s="66" t="s">
        <v>180</v>
      </c>
      <c r="L134" s="70" t="s">
        <v>206</v>
      </c>
      <c r="M134" s="68" t="s">
        <v>747</v>
      </c>
      <c r="N134" s="68" t="s">
        <v>44</v>
      </c>
      <c r="O134" s="68">
        <v>1054968809</v>
      </c>
      <c r="P134" s="68">
        <v>1213913379</v>
      </c>
      <c r="Q134" s="303">
        <f t="shared" si="26"/>
        <v>5</v>
      </c>
      <c r="R134" s="303">
        <f t="shared" si="27"/>
        <v>1085</v>
      </c>
      <c r="S134" s="68">
        <v>0</v>
      </c>
      <c r="T134" s="68">
        <v>0</v>
      </c>
      <c r="U134" s="68">
        <v>5</v>
      </c>
      <c r="V134" s="68">
        <v>1085</v>
      </c>
      <c r="W134" s="68">
        <v>1071</v>
      </c>
      <c r="X134" s="68">
        <v>120</v>
      </c>
      <c r="Y134" s="68">
        <v>80</v>
      </c>
      <c r="Z134" s="68">
        <v>78</v>
      </c>
      <c r="AA134" s="68">
        <v>5</v>
      </c>
      <c r="AB134" s="300">
        <f t="shared" si="28"/>
        <v>624</v>
      </c>
      <c r="AC134" s="300">
        <f t="shared" si="29"/>
        <v>3.7590361445783134</v>
      </c>
      <c r="AD134" s="68">
        <v>46253.23</v>
      </c>
      <c r="AE134" s="66" t="s">
        <v>109</v>
      </c>
      <c r="AF134" s="66" t="s">
        <v>317</v>
      </c>
      <c r="AG134" s="66" t="s">
        <v>317</v>
      </c>
      <c r="AH134" s="68" t="s">
        <v>749</v>
      </c>
      <c r="AI134" s="309"/>
      <c r="AJ134" s="309"/>
      <c r="AK134" s="68" t="s">
        <v>37</v>
      </c>
      <c r="AL134" s="68" t="s">
        <v>49</v>
      </c>
      <c r="AM134" s="299">
        <f t="shared" ca="1" si="25"/>
        <v>0.95138888889050577</v>
      </c>
      <c r="AN134" s="51"/>
      <c r="AO134" s="63" t="s">
        <v>323</v>
      </c>
      <c r="AP134" s="62" t="s">
        <v>747</v>
      </c>
      <c r="AQ134" s="61" t="s">
        <v>840</v>
      </c>
      <c r="AR134" s="64">
        <v>44867.743055555555</v>
      </c>
      <c r="AS134" s="61" t="s">
        <v>136</v>
      </c>
      <c r="AT134" s="61" t="s">
        <v>225</v>
      </c>
      <c r="AU134" s="63">
        <v>0.74305555555555547</v>
      </c>
      <c r="AV134" s="61">
        <v>2</v>
      </c>
      <c r="AW134" s="58" t="s">
        <v>66</v>
      </c>
      <c r="AX134" s="52"/>
      <c r="AY134" s="52"/>
      <c r="AZ134" s="52"/>
      <c r="BA134" s="52"/>
    </row>
    <row r="135" spans="1:54" x14ac:dyDescent="0.25">
      <c r="A135" s="73">
        <v>33</v>
      </c>
      <c r="B135" s="72">
        <v>44866.791666666664</v>
      </c>
      <c r="C135" s="67">
        <v>0.79861111111111116</v>
      </c>
      <c r="D135" s="67">
        <v>0.80208333333333337</v>
      </c>
      <c r="E135" s="67">
        <v>0.85416666666666663</v>
      </c>
      <c r="F135" s="68" t="s">
        <v>171</v>
      </c>
      <c r="G135" s="68" t="s">
        <v>278</v>
      </c>
      <c r="H135" s="66" t="s">
        <v>91</v>
      </c>
      <c r="I135" s="66" t="s">
        <v>318</v>
      </c>
      <c r="J135" s="66" t="s">
        <v>41</v>
      </c>
      <c r="K135" s="66" t="s">
        <v>180</v>
      </c>
      <c r="L135" s="70" t="s">
        <v>206</v>
      </c>
      <c r="M135" s="68" t="s">
        <v>747</v>
      </c>
      <c r="N135" s="68" t="s">
        <v>44</v>
      </c>
      <c r="O135" s="68">
        <v>1054968804</v>
      </c>
      <c r="P135" s="68">
        <v>1213912682</v>
      </c>
      <c r="Q135" s="303">
        <f t="shared" si="26"/>
        <v>5</v>
      </c>
      <c r="R135" s="303">
        <f t="shared" si="27"/>
        <v>1083</v>
      </c>
      <c r="S135" s="68">
        <v>0</v>
      </c>
      <c r="T135" s="68">
        <v>0</v>
      </c>
      <c r="U135" s="68">
        <v>5</v>
      </c>
      <c r="V135" s="68">
        <v>1083</v>
      </c>
      <c r="W135" s="68">
        <v>1070</v>
      </c>
      <c r="X135" s="68">
        <v>120</v>
      </c>
      <c r="Y135" s="68">
        <v>80</v>
      </c>
      <c r="Z135" s="68">
        <v>78</v>
      </c>
      <c r="AA135" s="68">
        <v>5</v>
      </c>
      <c r="AB135" s="300">
        <f t="shared" si="28"/>
        <v>624</v>
      </c>
      <c r="AC135" s="300">
        <f t="shared" si="29"/>
        <v>3.7590361445783134</v>
      </c>
      <c r="AD135" s="68">
        <v>46253.23</v>
      </c>
      <c r="AE135" s="66" t="s">
        <v>109</v>
      </c>
      <c r="AF135" s="66" t="s">
        <v>317</v>
      </c>
      <c r="AG135" s="66" t="s">
        <v>317</v>
      </c>
      <c r="AH135" s="68" t="s">
        <v>750</v>
      </c>
      <c r="AI135" s="309"/>
      <c r="AJ135" s="309"/>
      <c r="AK135" s="68" t="s">
        <v>37</v>
      </c>
      <c r="AL135" s="68" t="s">
        <v>49</v>
      </c>
      <c r="AM135" s="299">
        <f t="shared" ca="1" si="25"/>
        <v>0.95138888889050577</v>
      </c>
      <c r="AN135" s="51"/>
      <c r="AO135" s="63" t="s">
        <v>323</v>
      </c>
      <c r="AP135" s="62" t="s">
        <v>747</v>
      </c>
      <c r="AQ135" s="61" t="s">
        <v>840</v>
      </c>
      <c r="AR135" s="64">
        <v>44867.743055555555</v>
      </c>
      <c r="AS135" s="61" t="s">
        <v>136</v>
      </c>
      <c r="AT135" s="61" t="s">
        <v>225</v>
      </c>
      <c r="AU135" s="63">
        <v>0.74305555555555547</v>
      </c>
      <c r="AV135" s="61">
        <v>2</v>
      </c>
      <c r="AW135" s="58" t="s">
        <v>66</v>
      </c>
      <c r="AX135" s="52"/>
      <c r="AY135" s="52"/>
      <c r="AZ135" s="52"/>
      <c r="BA135" s="52"/>
    </row>
    <row r="136" spans="1:54" x14ac:dyDescent="0.25">
      <c r="A136" s="73">
        <v>34</v>
      </c>
      <c r="B136" s="72">
        <v>44866.791666666664</v>
      </c>
      <c r="C136" s="67">
        <v>0.79861111111111116</v>
      </c>
      <c r="D136" s="67">
        <v>0.80208333333333337</v>
      </c>
      <c r="E136" s="67">
        <v>0.85416666666666663</v>
      </c>
      <c r="F136" s="68" t="s">
        <v>171</v>
      </c>
      <c r="G136" s="68" t="s">
        <v>278</v>
      </c>
      <c r="H136" s="66" t="s">
        <v>91</v>
      </c>
      <c r="I136" s="66" t="s">
        <v>318</v>
      </c>
      <c r="J136" s="66" t="s">
        <v>41</v>
      </c>
      <c r="K136" s="66" t="s">
        <v>180</v>
      </c>
      <c r="L136" s="70" t="s">
        <v>206</v>
      </c>
      <c r="M136" s="68" t="s">
        <v>751</v>
      </c>
      <c r="N136" s="68" t="s">
        <v>44</v>
      </c>
      <c r="O136" s="68">
        <v>1054968801</v>
      </c>
      <c r="P136" s="68">
        <v>1213913232</v>
      </c>
      <c r="Q136" s="303">
        <f t="shared" si="26"/>
        <v>5</v>
      </c>
      <c r="R136" s="303">
        <f t="shared" si="27"/>
        <v>1079</v>
      </c>
      <c r="S136" s="68">
        <v>0</v>
      </c>
      <c r="T136" s="68">
        <v>0</v>
      </c>
      <c r="U136" s="68">
        <v>5</v>
      </c>
      <c r="V136" s="68">
        <v>1079</v>
      </c>
      <c r="W136" s="68">
        <v>1070</v>
      </c>
      <c r="X136" s="68">
        <v>120</v>
      </c>
      <c r="Y136" s="68">
        <v>80</v>
      </c>
      <c r="Z136" s="68">
        <v>78</v>
      </c>
      <c r="AA136" s="68">
        <v>5</v>
      </c>
      <c r="AB136" s="300">
        <f t="shared" si="28"/>
        <v>624</v>
      </c>
      <c r="AC136" s="300">
        <f t="shared" si="29"/>
        <v>3.7590361445783134</v>
      </c>
      <c r="AD136" s="68">
        <v>46253.23</v>
      </c>
      <c r="AE136" s="66" t="s">
        <v>109</v>
      </c>
      <c r="AF136" s="66" t="s">
        <v>317</v>
      </c>
      <c r="AG136" s="66" t="s">
        <v>317</v>
      </c>
      <c r="AH136" s="68" t="s">
        <v>752</v>
      </c>
      <c r="AI136" s="309"/>
      <c r="AJ136" s="309"/>
      <c r="AK136" s="68" t="s">
        <v>37</v>
      </c>
      <c r="AL136" s="68" t="s">
        <v>49</v>
      </c>
      <c r="AM136" s="299">
        <f t="shared" ca="1" si="25"/>
        <v>0.66666666667151731</v>
      </c>
      <c r="AN136" s="51"/>
      <c r="AO136" s="61" t="s">
        <v>323</v>
      </c>
      <c r="AP136" s="62" t="s">
        <v>751</v>
      </c>
      <c r="AQ136" s="61" t="s">
        <v>820</v>
      </c>
      <c r="AR136" s="64">
        <v>44867.458333333336</v>
      </c>
      <c r="AS136" s="61" t="s">
        <v>117</v>
      </c>
      <c r="AT136" s="61" t="s">
        <v>225</v>
      </c>
      <c r="AU136" s="59">
        <v>0.45833333333333331</v>
      </c>
      <c r="AV136" s="58">
        <v>1</v>
      </c>
      <c r="AW136" s="58" t="s">
        <v>66</v>
      </c>
      <c r="AX136" s="52"/>
      <c r="AY136" s="52"/>
      <c r="AZ136" s="52"/>
      <c r="BA136" s="52"/>
    </row>
    <row r="137" spans="1:54" x14ac:dyDescent="0.25">
      <c r="A137" s="73">
        <v>35</v>
      </c>
      <c r="B137" s="72">
        <v>44866.819444444445</v>
      </c>
      <c r="C137" s="67">
        <v>0.82291666666666663</v>
      </c>
      <c r="D137" s="67">
        <v>0.82638888888888884</v>
      </c>
      <c r="E137" s="67">
        <v>0.84027777777777779</v>
      </c>
      <c r="F137" s="68" t="s">
        <v>171</v>
      </c>
      <c r="G137" s="68" t="s">
        <v>392</v>
      </c>
      <c r="H137" s="66" t="s">
        <v>287</v>
      </c>
      <c r="I137" s="66" t="s">
        <v>753</v>
      </c>
      <c r="J137" s="66" t="s">
        <v>37</v>
      </c>
      <c r="K137" s="66" t="s">
        <v>180</v>
      </c>
      <c r="L137" s="66">
        <v>0</v>
      </c>
      <c r="M137" s="68" t="s">
        <v>754</v>
      </c>
      <c r="N137" s="68" t="s">
        <v>44</v>
      </c>
      <c r="O137" s="68" t="s">
        <v>755</v>
      </c>
      <c r="P137" s="68">
        <v>51667</v>
      </c>
      <c r="Q137" s="303">
        <f t="shared" si="26"/>
        <v>6</v>
      </c>
      <c r="R137" s="303">
        <f t="shared" si="27"/>
        <v>80</v>
      </c>
      <c r="S137" s="68">
        <v>6</v>
      </c>
      <c r="T137" s="68">
        <v>80</v>
      </c>
      <c r="U137" s="68">
        <v>0</v>
      </c>
      <c r="V137" s="68">
        <v>0</v>
      </c>
      <c r="W137" s="68">
        <v>80</v>
      </c>
      <c r="X137" s="68">
        <v>35</v>
      </c>
      <c r="Y137" s="68">
        <v>34</v>
      </c>
      <c r="Z137" s="68">
        <v>14</v>
      </c>
      <c r="AA137" s="68">
        <v>6</v>
      </c>
      <c r="AB137" s="300">
        <f t="shared" si="28"/>
        <v>16.66</v>
      </c>
      <c r="AC137" s="300">
        <f t="shared" si="29"/>
        <v>0.10036144578313252</v>
      </c>
      <c r="AD137" s="68">
        <v>3254.4</v>
      </c>
      <c r="AE137" s="66" t="s">
        <v>109</v>
      </c>
      <c r="AF137" s="66" t="s">
        <v>317</v>
      </c>
      <c r="AG137" s="66" t="s">
        <v>317</v>
      </c>
      <c r="AH137" s="68" t="s">
        <v>756</v>
      </c>
      <c r="AI137" s="309"/>
      <c r="AJ137" s="309"/>
      <c r="AK137" s="68" t="s">
        <v>48</v>
      </c>
      <c r="AL137" s="68" t="s">
        <v>50</v>
      </c>
      <c r="AM137" s="299">
        <f t="shared" ca="1" si="25"/>
        <v>7.9201388888905058</v>
      </c>
      <c r="AN137" s="51"/>
      <c r="AO137" s="61" t="s">
        <v>1332</v>
      </c>
      <c r="AP137" s="62" t="s">
        <v>754</v>
      </c>
      <c r="AQ137" s="61" t="s">
        <v>1333</v>
      </c>
      <c r="AR137" s="64">
        <v>44874.739583333336</v>
      </c>
      <c r="AS137" s="61" t="s">
        <v>117</v>
      </c>
      <c r="AT137" s="61" t="s">
        <v>225</v>
      </c>
      <c r="AU137" s="59">
        <v>0.73958333333333337</v>
      </c>
      <c r="AV137" s="61">
        <v>2</v>
      </c>
      <c r="AW137" s="61" t="s">
        <v>66</v>
      </c>
      <c r="AX137" s="52"/>
      <c r="AY137" s="52"/>
      <c r="AZ137" s="52"/>
      <c r="BA137" s="52"/>
    </row>
    <row r="138" spans="1:54" ht="15.75" thickBot="1" x14ac:dyDescent="0.3">
      <c r="A138" s="73">
        <v>36</v>
      </c>
      <c r="B138" s="72">
        <v>44866.833333333336</v>
      </c>
      <c r="C138" s="67">
        <v>0.83680555555555547</v>
      </c>
      <c r="D138" s="67">
        <v>0.84027777777777779</v>
      </c>
      <c r="E138" s="67">
        <v>0.84375</v>
      </c>
      <c r="F138" s="68" t="s">
        <v>171</v>
      </c>
      <c r="G138" s="68" t="s">
        <v>388</v>
      </c>
      <c r="H138" s="66" t="s">
        <v>75</v>
      </c>
      <c r="I138" s="66" t="s">
        <v>238</v>
      </c>
      <c r="J138" s="66" t="s">
        <v>37</v>
      </c>
      <c r="K138" s="66" t="s">
        <v>180</v>
      </c>
      <c r="L138" s="70" t="s">
        <v>206</v>
      </c>
      <c r="M138" s="68" t="s">
        <v>757</v>
      </c>
      <c r="N138" s="68" t="s">
        <v>283</v>
      </c>
      <c r="O138" s="68" t="s">
        <v>758</v>
      </c>
      <c r="P138" s="68" t="s">
        <v>759</v>
      </c>
      <c r="Q138" s="303">
        <f t="shared" si="26"/>
        <v>1</v>
      </c>
      <c r="R138" s="303">
        <f t="shared" si="27"/>
        <v>133</v>
      </c>
      <c r="S138" s="68">
        <v>0</v>
      </c>
      <c r="T138" s="68">
        <v>0</v>
      </c>
      <c r="U138" s="68">
        <v>1</v>
      </c>
      <c r="V138" s="68">
        <v>133</v>
      </c>
      <c r="W138" s="68">
        <v>132</v>
      </c>
      <c r="X138" s="68">
        <v>81</v>
      </c>
      <c r="Y138" s="68">
        <v>80</v>
      </c>
      <c r="Z138" s="68">
        <v>65</v>
      </c>
      <c r="AA138" s="68">
        <v>1</v>
      </c>
      <c r="AB138" s="300">
        <f t="shared" si="28"/>
        <v>70.2</v>
      </c>
      <c r="AC138" s="300">
        <f t="shared" si="29"/>
        <v>0.42289156626506025</v>
      </c>
      <c r="AD138" s="68">
        <v>1581.6</v>
      </c>
      <c r="AE138" s="66" t="s">
        <v>109</v>
      </c>
      <c r="AF138" s="66" t="s">
        <v>317</v>
      </c>
      <c r="AG138" s="66" t="s">
        <v>317</v>
      </c>
      <c r="AH138" s="68" t="s">
        <v>760</v>
      </c>
      <c r="AI138" s="309"/>
      <c r="AJ138" s="309"/>
      <c r="AK138" s="68" t="s">
        <v>37</v>
      </c>
      <c r="AL138" s="68" t="s">
        <v>39</v>
      </c>
      <c r="AM138" s="299">
        <f t="shared" ca="1" si="25"/>
        <v>5.6701388888832298</v>
      </c>
      <c r="AN138" s="51"/>
      <c r="AO138" s="61" t="s">
        <v>202</v>
      </c>
      <c r="AP138" s="62" t="s">
        <v>757</v>
      </c>
      <c r="AQ138" s="61" t="s">
        <v>1128</v>
      </c>
      <c r="AR138" s="64">
        <v>44872.503472222219</v>
      </c>
      <c r="AS138" s="57" t="s">
        <v>173</v>
      </c>
      <c r="AT138" s="61" t="s">
        <v>225</v>
      </c>
      <c r="AU138" s="63">
        <v>0.50347222222222221</v>
      </c>
      <c r="AV138" s="61">
        <v>1</v>
      </c>
      <c r="AW138" s="61" t="s">
        <v>66</v>
      </c>
      <c r="AX138" s="52"/>
      <c r="AY138" s="52"/>
      <c r="AZ138" s="52"/>
      <c r="BA138" s="52"/>
    </row>
    <row r="139" spans="1:54" ht="15.75" thickBot="1" x14ac:dyDescent="0.3">
      <c r="A139" s="73">
        <v>37</v>
      </c>
      <c r="B139" s="72">
        <v>44866.840277777781</v>
      </c>
      <c r="C139" s="67">
        <v>0.84375</v>
      </c>
      <c r="D139" s="67">
        <v>0.85069444444444453</v>
      </c>
      <c r="E139" s="67">
        <v>0.85416666666666663</v>
      </c>
      <c r="F139" s="68" t="s">
        <v>171</v>
      </c>
      <c r="G139" s="68" t="s">
        <v>321</v>
      </c>
      <c r="H139" s="71" t="s">
        <v>91</v>
      </c>
      <c r="I139" s="71" t="s">
        <v>318</v>
      </c>
      <c r="J139" s="71" t="s">
        <v>41</v>
      </c>
      <c r="K139" s="71" t="s">
        <v>180</v>
      </c>
      <c r="L139" s="47" t="s">
        <v>206</v>
      </c>
      <c r="M139" s="68" t="s">
        <v>751</v>
      </c>
      <c r="N139" s="68" t="s">
        <v>44</v>
      </c>
      <c r="O139" s="68">
        <v>1054968760</v>
      </c>
      <c r="P139" s="68">
        <v>1213911335</v>
      </c>
      <c r="Q139" s="303">
        <f t="shared" si="26"/>
        <v>3</v>
      </c>
      <c r="R139" s="303">
        <f t="shared" si="27"/>
        <v>643</v>
      </c>
      <c r="S139" s="68">
        <v>0</v>
      </c>
      <c r="T139" s="68">
        <v>0</v>
      </c>
      <c r="U139" s="68">
        <v>3</v>
      </c>
      <c r="V139" s="68">
        <v>643</v>
      </c>
      <c r="W139" s="68">
        <v>637</v>
      </c>
      <c r="X139" s="68">
        <v>120</v>
      </c>
      <c r="Y139" s="68">
        <v>80</v>
      </c>
      <c r="Z139" s="68">
        <v>78</v>
      </c>
      <c r="AA139" s="68">
        <v>3</v>
      </c>
      <c r="AB139" s="300">
        <f t="shared" si="28"/>
        <v>374.4</v>
      </c>
      <c r="AC139" s="300">
        <f t="shared" si="29"/>
        <v>2.2554216867469878</v>
      </c>
      <c r="AD139" s="68">
        <v>27751.94</v>
      </c>
      <c r="AE139" s="71" t="s">
        <v>109</v>
      </c>
      <c r="AF139" s="71" t="s">
        <v>317</v>
      </c>
      <c r="AG139" s="71" t="s">
        <v>317</v>
      </c>
      <c r="AH139" s="68" t="s">
        <v>761</v>
      </c>
      <c r="AI139" s="309"/>
      <c r="AJ139" s="309"/>
      <c r="AK139" s="68" t="s">
        <v>37</v>
      </c>
      <c r="AL139" s="68" t="s">
        <v>54</v>
      </c>
      <c r="AM139" s="299">
        <f t="shared" ca="1" si="25"/>
        <v>0.61805555555474712</v>
      </c>
      <c r="AN139" s="75"/>
      <c r="AO139" s="61" t="s">
        <v>323</v>
      </c>
      <c r="AP139" s="62" t="s">
        <v>751</v>
      </c>
      <c r="AQ139" s="61" t="s">
        <v>820</v>
      </c>
      <c r="AR139" s="64">
        <v>44867.458333333336</v>
      </c>
      <c r="AS139" s="61" t="s">
        <v>117</v>
      </c>
      <c r="AT139" s="61" t="s">
        <v>225</v>
      </c>
      <c r="AU139" s="59">
        <v>0.45833333333333331</v>
      </c>
      <c r="AV139" s="58">
        <v>1</v>
      </c>
      <c r="AW139" s="58" t="s">
        <v>66</v>
      </c>
      <c r="AX139" s="76"/>
      <c r="AY139" s="76"/>
      <c r="AZ139" s="76"/>
      <c r="BA139" s="76"/>
      <c r="BB139" s="74"/>
    </row>
    <row r="140" spans="1:54" ht="15.75" thickBot="1" x14ac:dyDescent="0.3">
      <c r="A140" s="73">
        <v>38</v>
      </c>
      <c r="B140" s="72">
        <v>44866.840277777781</v>
      </c>
      <c r="C140" s="67">
        <v>0.84375</v>
      </c>
      <c r="D140" s="67">
        <v>0.85069444444444453</v>
      </c>
      <c r="E140" s="67">
        <v>0.85416666666666663</v>
      </c>
      <c r="F140" s="68" t="s">
        <v>171</v>
      </c>
      <c r="G140" s="68" t="s">
        <v>321</v>
      </c>
      <c r="H140" s="66" t="s">
        <v>91</v>
      </c>
      <c r="I140" s="66" t="s">
        <v>318</v>
      </c>
      <c r="J140" s="66" t="s">
        <v>41</v>
      </c>
      <c r="K140" s="66" t="s">
        <v>180</v>
      </c>
      <c r="L140" s="70" t="s">
        <v>206</v>
      </c>
      <c r="M140" s="68" t="s">
        <v>751</v>
      </c>
      <c r="N140" s="68" t="s">
        <v>44</v>
      </c>
      <c r="O140" s="68">
        <v>1054968797</v>
      </c>
      <c r="P140" s="68">
        <v>1213912661</v>
      </c>
      <c r="Q140" s="303">
        <f t="shared" si="26"/>
        <v>5</v>
      </c>
      <c r="R140" s="303">
        <f t="shared" si="27"/>
        <v>1084</v>
      </c>
      <c r="S140" s="68">
        <v>0</v>
      </c>
      <c r="T140" s="68">
        <v>0</v>
      </c>
      <c r="U140" s="68">
        <v>5</v>
      </c>
      <c r="V140" s="68">
        <v>1084</v>
      </c>
      <c r="W140" s="68">
        <v>1064</v>
      </c>
      <c r="X140" s="68">
        <v>120</v>
      </c>
      <c r="Y140" s="68">
        <v>80</v>
      </c>
      <c r="Z140" s="68">
        <v>78</v>
      </c>
      <c r="AA140" s="68">
        <v>5</v>
      </c>
      <c r="AB140" s="300">
        <f t="shared" si="28"/>
        <v>624</v>
      </c>
      <c r="AC140" s="300">
        <f t="shared" si="29"/>
        <v>3.7590361445783134</v>
      </c>
      <c r="AD140" s="68">
        <v>46253.23</v>
      </c>
      <c r="AE140" s="66" t="s">
        <v>109</v>
      </c>
      <c r="AF140" s="66" t="s">
        <v>317</v>
      </c>
      <c r="AG140" s="66" t="s">
        <v>317</v>
      </c>
      <c r="AH140" s="68" t="s">
        <v>762</v>
      </c>
      <c r="AI140" s="309"/>
      <c r="AJ140" s="309"/>
      <c r="AK140" s="68" t="s">
        <v>37</v>
      </c>
      <c r="AL140" s="68" t="s">
        <v>54</v>
      </c>
      <c r="AM140" s="299">
        <f t="shared" ca="1" si="25"/>
        <v>0.61805555555474712</v>
      </c>
      <c r="AN140" s="75"/>
      <c r="AO140" s="61" t="s">
        <v>323</v>
      </c>
      <c r="AP140" s="62" t="s">
        <v>751</v>
      </c>
      <c r="AQ140" s="61" t="s">
        <v>820</v>
      </c>
      <c r="AR140" s="64">
        <v>44867.458333333336</v>
      </c>
      <c r="AS140" s="61" t="s">
        <v>117</v>
      </c>
      <c r="AT140" s="61" t="s">
        <v>225</v>
      </c>
      <c r="AU140" s="59">
        <v>0.45833333333333331</v>
      </c>
      <c r="AV140" s="58">
        <v>1</v>
      </c>
      <c r="AW140" s="58" t="s">
        <v>66</v>
      </c>
      <c r="AX140" s="76"/>
      <c r="AY140" s="76"/>
      <c r="AZ140" s="76"/>
      <c r="BA140" s="76"/>
      <c r="BB140" s="74"/>
    </row>
    <row r="141" spans="1:54" ht="15.75" thickBot="1" x14ac:dyDescent="0.3">
      <c r="A141" s="73">
        <v>39</v>
      </c>
      <c r="B141" s="72">
        <v>44866.840277777781</v>
      </c>
      <c r="C141" s="67">
        <v>0.84375</v>
      </c>
      <c r="D141" s="67">
        <v>0.85069444444444453</v>
      </c>
      <c r="E141" s="67">
        <v>0.85416666666666663</v>
      </c>
      <c r="F141" s="68" t="s">
        <v>171</v>
      </c>
      <c r="G141" s="68" t="s">
        <v>321</v>
      </c>
      <c r="H141" s="66" t="s">
        <v>91</v>
      </c>
      <c r="I141" s="66" t="s">
        <v>318</v>
      </c>
      <c r="J141" s="66" t="s">
        <v>41</v>
      </c>
      <c r="K141" s="66" t="s">
        <v>180</v>
      </c>
      <c r="L141" s="70" t="s">
        <v>206</v>
      </c>
      <c r="M141" s="68" t="s">
        <v>751</v>
      </c>
      <c r="N141" s="68" t="s">
        <v>44</v>
      </c>
      <c r="O141" s="68">
        <v>1054968755</v>
      </c>
      <c r="P141" s="68">
        <v>1213910769</v>
      </c>
      <c r="Q141" s="303">
        <f t="shared" si="26"/>
        <v>5</v>
      </c>
      <c r="R141" s="303">
        <f t="shared" si="27"/>
        <v>1063</v>
      </c>
      <c r="S141" s="68">
        <v>0</v>
      </c>
      <c r="T141" s="68">
        <v>0</v>
      </c>
      <c r="U141" s="68">
        <v>5</v>
      </c>
      <c r="V141" s="68">
        <v>1063</v>
      </c>
      <c r="W141" s="68">
        <v>1072</v>
      </c>
      <c r="X141" s="68">
        <v>120</v>
      </c>
      <c r="Y141" s="68">
        <v>80</v>
      </c>
      <c r="Z141" s="68">
        <v>78</v>
      </c>
      <c r="AA141" s="68">
        <v>5</v>
      </c>
      <c r="AB141" s="300">
        <f t="shared" si="28"/>
        <v>624</v>
      </c>
      <c r="AC141" s="300">
        <f t="shared" si="29"/>
        <v>3.7590361445783134</v>
      </c>
      <c r="AD141" s="68">
        <v>46253.23</v>
      </c>
      <c r="AE141" s="66" t="s">
        <v>109</v>
      </c>
      <c r="AF141" s="66" t="s">
        <v>317</v>
      </c>
      <c r="AG141" s="66" t="s">
        <v>317</v>
      </c>
      <c r="AH141" s="66" t="s">
        <v>763</v>
      </c>
      <c r="AI141" s="307"/>
      <c r="AJ141" s="307"/>
      <c r="AK141" s="68" t="s">
        <v>37</v>
      </c>
      <c r="AL141" s="68" t="s">
        <v>54</v>
      </c>
      <c r="AM141" s="299">
        <f t="shared" ca="1" si="25"/>
        <v>0.61805555555474712</v>
      </c>
      <c r="AN141" s="75"/>
      <c r="AO141" s="61" t="s">
        <v>323</v>
      </c>
      <c r="AP141" s="62" t="s">
        <v>751</v>
      </c>
      <c r="AQ141" s="61" t="s">
        <v>820</v>
      </c>
      <c r="AR141" s="64">
        <v>44867.458333333336</v>
      </c>
      <c r="AS141" s="61" t="s">
        <v>117</v>
      </c>
      <c r="AT141" s="61" t="s">
        <v>225</v>
      </c>
      <c r="AU141" s="59">
        <v>0.45833333333333331</v>
      </c>
      <c r="AV141" s="58">
        <v>1</v>
      </c>
      <c r="AW141" s="58" t="s">
        <v>66</v>
      </c>
      <c r="AX141" s="76"/>
      <c r="AY141" s="76"/>
      <c r="AZ141" s="76"/>
      <c r="BA141" s="76"/>
      <c r="BB141" s="74"/>
    </row>
    <row r="142" spans="1:54" ht="15.75" thickBot="1" x14ac:dyDescent="0.3">
      <c r="A142" s="73">
        <v>40</v>
      </c>
      <c r="B142" s="72">
        <v>44866.833333333336</v>
      </c>
      <c r="C142" s="67">
        <v>0.84027777777777779</v>
      </c>
      <c r="D142" s="67">
        <v>0.84375</v>
      </c>
      <c r="E142" s="67">
        <v>0.84722222222222221</v>
      </c>
      <c r="F142" s="68" t="s">
        <v>171</v>
      </c>
      <c r="G142" s="68" t="s">
        <v>95</v>
      </c>
      <c r="H142" s="66" t="s">
        <v>764</v>
      </c>
      <c r="I142" s="66" t="s">
        <v>765</v>
      </c>
      <c r="J142" s="66" t="s">
        <v>41</v>
      </c>
      <c r="K142" s="66" t="s">
        <v>180</v>
      </c>
      <c r="L142" s="70">
        <v>0</v>
      </c>
      <c r="M142" s="68" t="s">
        <v>766</v>
      </c>
      <c r="N142" s="68" t="s">
        <v>43</v>
      </c>
      <c r="O142" s="68" t="s">
        <v>767</v>
      </c>
      <c r="P142" s="68">
        <v>430132296</v>
      </c>
      <c r="Q142" s="303">
        <f t="shared" si="26"/>
        <v>1</v>
      </c>
      <c r="R142" s="303">
        <f t="shared" si="27"/>
        <v>80</v>
      </c>
      <c r="S142" s="68">
        <v>0</v>
      </c>
      <c r="T142" s="68">
        <v>0</v>
      </c>
      <c r="U142" s="68">
        <v>1</v>
      </c>
      <c r="V142" s="68">
        <v>80</v>
      </c>
      <c r="W142" s="68">
        <v>78.652000000000001</v>
      </c>
      <c r="X142" s="68">
        <v>120</v>
      </c>
      <c r="Y142" s="68">
        <v>100</v>
      </c>
      <c r="Z142" s="68">
        <v>35</v>
      </c>
      <c r="AA142" s="68">
        <v>1</v>
      </c>
      <c r="AB142" s="300">
        <f t="shared" si="28"/>
        <v>70</v>
      </c>
      <c r="AC142" s="300">
        <f t="shared" si="29"/>
        <v>0.42168674698795183</v>
      </c>
      <c r="AD142" s="68">
        <v>76522.100000000006</v>
      </c>
      <c r="AE142" s="66" t="s">
        <v>109</v>
      </c>
      <c r="AF142" s="66" t="s">
        <v>317</v>
      </c>
      <c r="AG142" s="66" t="s">
        <v>317</v>
      </c>
      <c r="AH142" s="68">
        <v>0</v>
      </c>
      <c r="AI142" s="309"/>
      <c r="AJ142" s="309"/>
      <c r="AK142" s="68" t="s">
        <v>37</v>
      </c>
      <c r="AL142" s="68" t="s">
        <v>106</v>
      </c>
      <c r="AM142" s="299">
        <f t="shared" ca="1" si="25"/>
        <v>0.75</v>
      </c>
      <c r="AN142" s="75"/>
      <c r="AO142" s="61" t="s">
        <v>190</v>
      </c>
      <c r="AP142" s="61" t="s">
        <v>766</v>
      </c>
      <c r="AQ142" s="61" t="s">
        <v>828</v>
      </c>
      <c r="AR142" s="64">
        <v>44867.583333333336</v>
      </c>
      <c r="AS142" s="61" t="s">
        <v>95</v>
      </c>
      <c r="AT142" s="61" t="s">
        <v>225</v>
      </c>
      <c r="AU142" s="59">
        <v>0.58333333333333337</v>
      </c>
      <c r="AV142" s="61">
        <v>1</v>
      </c>
      <c r="AW142" s="58" t="s">
        <v>66</v>
      </c>
      <c r="AX142" s="76"/>
      <c r="AY142" s="76"/>
      <c r="AZ142" s="76"/>
      <c r="BA142" s="76"/>
      <c r="BB142" s="74"/>
    </row>
    <row r="143" spans="1:54" ht="15.75" thickBot="1" x14ac:dyDescent="0.3">
      <c r="A143" s="73">
        <v>41</v>
      </c>
      <c r="B143" s="72">
        <v>44867.40625</v>
      </c>
      <c r="C143" s="67">
        <v>0.41319444444444442</v>
      </c>
      <c r="D143" s="67">
        <v>0.41666666666666669</v>
      </c>
      <c r="E143" s="67">
        <v>0.4236111111111111</v>
      </c>
      <c r="F143" s="68" t="s">
        <v>171</v>
      </c>
      <c r="G143" s="68" t="s">
        <v>290</v>
      </c>
      <c r="H143" s="66" t="s">
        <v>339</v>
      </c>
      <c r="I143" s="66" t="s">
        <v>91</v>
      </c>
      <c r="J143" s="66" t="s">
        <v>37</v>
      </c>
      <c r="K143" s="66" t="s">
        <v>180</v>
      </c>
      <c r="L143" s="70" t="s">
        <v>206</v>
      </c>
      <c r="M143" s="68" t="s">
        <v>788</v>
      </c>
      <c r="N143" s="68" t="s">
        <v>44</v>
      </c>
      <c r="O143" s="68" t="s">
        <v>768</v>
      </c>
      <c r="P143" s="68">
        <v>4501296093</v>
      </c>
      <c r="Q143" s="303">
        <f t="shared" si="26"/>
        <v>1</v>
      </c>
      <c r="R143" s="303">
        <f t="shared" si="27"/>
        <v>81</v>
      </c>
      <c r="S143" s="68">
        <v>0</v>
      </c>
      <c r="T143" s="68">
        <v>0</v>
      </c>
      <c r="U143" s="68">
        <v>1</v>
      </c>
      <c r="V143" s="68">
        <v>81</v>
      </c>
      <c r="W143" s="68">
        <v>76</v>
      </c>
      <c r="X143" s="68">
        <v>120</v>
      </c>
      <c r="Y143" s="68">
        <v>80</v>
      </c>
      <c r="Z143" s="68">
        <v>81</v>
      </c>
      <c r="AA143" s="68">
        <v>1</v>
      </c>
      <c r="AB143" s="300">
        <f t="shared" si="28"/>
        <v>129.6</v>
      </c>
      <c r="AC143" s="300">
        <f t="shared" si="29"/>
        <v>0.78072289156626506</v>
      </c>
      <c r="AD143" s="68">
        <v>88038.8</v>
      </c>
      <c r="AE143" s="66" t="s">
        <v>109</v>
      </c>
      <c r="AF143" s="66" t="s">
        <v>317</v>
      </c>
      <c r="AG143" s="66" t="s">
        <v>317</v>
      </c>
      <c r="AH143" s="68" t="s">
        <v>769</v>
      </c>
      <c r="AI143" s="309"/>
      <c r="AJ143" s="309"/>
      <c r="AK143" s="68" t="s">
        <v>37</v>
      </c>
      <c r="AL143" s="68" t="s">
        <v>39</v>
      </c>
      <c r="AM143" s="299">
        <f t="shared" ca="1" si="25"/>
        <v>0.33680555555474712</v>
      </c>
      <c r="AN143" s="75"/>
      <c r="AO143" s="63" t="s">
        <v>323</v>
      </c>
      <c r="AP143" s="61" t="s">
        <v>788</v>
      </c>
      <c r="AQ143" s="61" t="s">
        <v>840</v>
      </c>
      <c r="AR143" s="64">
        <v>44867.743055555555</v>
      </c>
      <c r="AS143" s="61" t="s">
        <v>136</v>
      </c>
      <c r="AT143" s="61" t="s">
        <v>225</v>
      </c>
      <c r="AU143" s="63">
        <v>0.74305555555555547</v>
      </c>
      <c r="AV143" s="61">
        <v>2</v>
      </c>
      <c r="AW143" s="58" t="s">
        <v>66</v>
      </c>
      <c r="AX143" s="76"/>
      <c r="AY143" s="76"/>
      <c r="AZ143" s="76"/>
      <c r="BA143" s="76"/>
      <c r="BB143" s="74"/>
    </row>
    <row r="144" spans="1:54" ht="15.75" thickBot="1" x14ac:dyDescent="0.3">
      <c r="A144" s="73">
        <v>42</v>
      </c>
      <c r="B144" s="72">
        <v>44867.472222222219</v>
      </c>
      <c r="C144" s="67">
        <v>0.47569444444444442</v>
      </c>
      <c r="D144" s="67">
        <v>0.4826388888888889</v>
      </c>
      <c r="E144" s="67">
        <v>0.48958333333333331</v>
      </c>
      <c r="F144" s="68" t="s">
        <v>169</v>
      </c>
      <c r="G144" s="68" t="s">
        <v>770</v>
      </c>
      <c r="H144" s="66" t="s">
        <v>312</v>
      </c>
      <c r="I144" s="66" t="s">
        <v>313</v>
      </c>
      <c r="J144" s="66" t="s">
        <v>37</v>
      </c>
      <c r="K144" s="66" t="s">
        <v>233</v>
      </c>
      <c r="L144" s="66" t="s">
        <v>306</v>
      </c>
      <c r="M144" s="68" t="s">
        <v>771</v>
      </c>
      <c r="N144" s="68" t="s">
        <v>76</v>
      </c>
      <c r="O144" s="68" t="s">
        <v>772</v>
      </c>
      <c r="P144" s="68" t="s">
        <v>773</v>
      </c>
      <c r="Q144" s="303">
        <f t="shared" si="26"/>
        <v>11</v>
      </c>
      <c r="R144" s="303">
        <f t="shared" si="27"/>
        <v>89</v>
      </c>
      <c r="S144" s="68">
        <v>11</v>
      </c>
      <c r="T144" s="68">
        <v>89</v>
      </c>
      <c r="U144" s="68">
        <v>0</v>
      </c>
      <c r="V144" s="68">
        <v>0</v>
      </c>
      <c r="W144" s="68">
        <v>81.400000000000006</v>
      </c>
      <c r="X144" s="68">
        <v>64</v>
      </c>
      <c r="Y144" s="68">
        <v>52</v>
      </c>
      <c r="Z144" s="68">
        <v>23</v>
      </c>
      <c r="AA144" s="68">
        <v>11</v>
      </c>
      <c r="AB144" s="300">
        <f t="shared" si="28"/>
        <v>140.33066666666667</v>
      </c>
      <c r="AC144" s="300">
        <f t="shared" si="29"/>
        <v>0.84536546184738959</v>
      </c>
      <c r="AD144" s="68">
        <v>803</v>
      </c>
      <c r="AE144" s="66" t="s">
        <v>109</v>
      </c>
      <c r="AF144" s="66" t="s">
        <v>317</v>
      </c>
      <c r="AG144" s="66" t="s">
        <v>317</v>
      </c>
      <c r="AH144" s="68" t="s">
        <v>774</v>
      </c>
      <c r="AI144" s="309"/>
      <c r="AJ144" s="309"/>
      <c r="AK144" s="68" t="s">
        <v>48</v>
      </c>
      <c r="AL144" s="68" t="s">
        <v>50</v>
      </c>
      <c r="AM144" s="299">
        <f t="shared" ca="1" si="25"/>
        <v>6.1006944444452529</v>
      </c>
      <c r="AN144" s="75"/>
      <c r="AO144" s="61" t="s">
        <v>123</v>
      </c>
      <c r="AP144" s="62" t="s">
        <v>771</v>
      </c>
      <c r="AQ144" s="61" t="s">
        <v>1244</v>
      </c>
      <c r="AR144" s="64">
        <v>44873.572916666664</v>
      </c>
      <c r="AS144" s="61" t="s">
        <v>95</v>
      </c>
      <c r="AT144" s="61" t="s">
        <v>225</v>
      </c>
      <c r="AU144" s="59">
        <v>0.57291666666666663</v>
      </c>
      <c r="AV144" s="61">
        <v>1</v>
      </c>
      <c r="AW144" s="61" t="s">
        <v>66</v>
      </c>
      <c r="AX144" s="76"/>
      <c r="AY144" s="76"/>
      <c r="AZ144" s="76"/>
      <c r="BA144" s="76"/>
      <c r="BB144" s="74"/>
    </row>
    <row r="145" spans="1:53" x14ac:dyDescent="0.25">
      <c r="A145" s="73">
        <v>43</v>
      </c>
      <c r="B145" s="72">
        <v>44867.5</v>
      </c>
      <c r="C145" s="67">
        <v>0.51388888888888895</v>
      </c>
      <c r="D145" s="67">
        <v>0.52083333333333337</v>
      </c>
      <c r="E145" s="67">
        <v>0.53125</v>
      </c>
      <c r="F145" s="68" t="s">
        <v>171</v>
      </c>
      <c r="G145" s="68" t="s">
        <v>341</v>
      </c>
      <c r="H145" s="71" t="s">
        <v>342</v>
      </c>
      <c r="I145" s="71" t="s">
        <v>342</v>
      </c>
      <c r="J145" s="71" t="s">
        <v>37</v>
      </c>
      <c r="K145" s="71" t="s">
        <v>180</v>
      </c>
      <c r="L145" s="70" t="s">
        <v>206</v>
      </c>
      <c r="M145" s="68" t="s">
        <v>775</v>
      </c>
      <c r="N145" s="68" t="s">
        <v>42</v>
      </c>
      <c r="O145" s="68" t="s">
        <v>776</v>
      </c>
      <c r="P145" s="68" t="s">
        <v>777</v>
      </c>
      <c r="Q145" s="303">
        <f t="shared" si="26"/>
        <v>12</v>
      </c>
      <c r="R145" s="303">
        <f t="shared" si="27"/>
        <v>5812</v>
      </c>
      <c r="S145" s="68">
        <v>0</v>
      </c>
      <c r="T145" s="68">
        <v>0</v>
      </c>
      <c r="U145" s="68">
        <v>12</v>
      </c>
      <c r="V145" s="68">
        <v>5812</v>
      </c>
      <c r="W145" s="68">
        <v>5760</v>
      </c>
      <c r="X145" s="68">
        <v>119</v>
      </c>
      <c r="Y145" s="68">
        <v>63</v>
      </c>
      <c r="Z145" s="68">
        <v>105</v>
      </c>
      <c r="AA145" s="68">
        <v>1</v>
      </c>
      <c r="AB145" s="300">
        <f t="shared" si="28"/>
        <v>131.19749999999999</v>
      </c>
      <c r="AC145" s="300">
        <f t="shared" si="29"/>
        <v>0.79034638554216863</v>
      </c>
      <c r="AD145" s="68">
        <v>49535.6</v>
      </c>
      <c r="AE145" s="66" t="s">
        <v>109</v>
      </c>
      <c r="AF145" s="66" t="s">
        <v>317</v>
      </c>
      <c r="AG145" s="66" t="s">
        <v>317</v>
      </c>
      <c r="AH145" s="68" t="s">
        <v>778</v>
      </c>
      <c r="AI145" s="309"/>
      <c r="AJ145" s="309"/>
      <c r="AK145" s="68" t="s">
        <v>37</v>
      </c>
      <c r="AL145" s="68" t="s">
        <v>47</v>
      </c>
      <c r="AM145" s="299">
        <f t="shared" ca="1" si="25"/>
        <v>1.1458333333357587</v>
      </c>
      <c r="AN145" s="51"/>
      <c r="AO145" s="61" t="s">
        <v>107</v>
      </c>
      <c r="AP145" s="62" t="s">
        <v>775</v>
      </c>
      <c r="AQ145" s="61" t="s">
        <v>906</v>
      </c>
      <c r="AR145" s="64">
        <v>44868.645833333336</v>
      </c>
      <c r="AS145" s="57" t="s">
        <v>173</v>
      </c>
      <c r="AT145" s="61" t="s">
        <v>225</v>
      </c>
      <c r="AU145" s="63">
        <v>0.65972222222222221</v>
      </c>
      <c r="AV145" s="61">
        <v>2</v>
      </c>
      <c r="AW145" s="61" t="s">
        <v>66</v>
      </c>
      <c r="AX145" s="52"/>
      <c r="AY145" s="52"/>
      <c r="AZ145" s="52"/>
      <c r="BA145" s="52"/>
    </row>
    <row r="146" spans="1:53" x14ac:dyDescent="0.25">
      <c r="A146" s="73">
        <v>43</v>
      </c>
      <c r="B146" s="72">
        <v>44867.5</v>
      </c>
      <c r="C146" s="67">
        <v>0.51388888888888895</v>
      </c>
      <c r="D146" s="67">
        <v>0.52083333333333337</v>
      </c>
      <c r="E146" s="67">
        <v>0.53125</v>
      </c>
      <c r="F146" s="68" t="s">
        <v>171</v>
      </c>
      <c r="G146" s="68" t="s">
        <v>341</v>
      </c>
      <c r="H146" s="66" t="s">
        <v>342</v>
      </c>
      <c r="I146" s="66" t="s">
        <v>342</v>
      </c>
      <c r="J146" s="66" t="s">
        <v>37</v>
      </c>
      <c r="K146" s="66" t="s">
        <v>180</v>
      </c>
      <c r="L146" s="70" t="s">
        <v>206</v>
      </c>
      <c r="M146" s="68" t="s">
        <v>775</v>
      </c>
      <c r="N146" s="68" t="s">
        <v>42</v>
      </c>
      <c r="O146" s="68" t="s">
        <v>776</v>
      </c>
      <c r="P146" s="68" t="s">
        <v>777</v>
      </c>
      <c r="Q146" s="303">
        <f t="shared" si="26"/>
        <v>0</v>
      </c>
      <c r="R146" s="303">
        <f t="shared" si="27"/>
        <v>0</v>
      </c>
      <c r="S146" s="68">
        <v>0</v>
      </c>
      <c r="T146" s="68">
        <v>0</v>
      </c>
      <c r="U146" s="68">
        <v>0</v>
      </c>
      <c r="V146" s="68">
        <v>0</v>
      </c>
      <c r="W146" s="68">
        <v>0</v>
      </c>
      <c r="X146" s="68">
        <v>99</v>
      </c>
      <c r="Y146" s="68">
        <v>98</v>
      </c>
      <c r="Z146" s="68">
        <v>77</v>
      </c>
      <c r="AA146" s="68">
        <v>11</v>
      </c>
      <c r="AB146" s="300">
        <f t="shared" si="28"/>
        <v>1369.5989999999999</v>
      </c>
      <c r="AC146" s="300">
        <f t="shared" si="29"/>
        <v>8.2505963855421687</v>
      </c>
      <c r="AD146" s="68">
        <v>0</v>
      </c>
      <c r="AE146" s="68">
        <v>0</v>
      </c>
      <c r="AF146" s="66" t="s">
        <v>317</v>
      </c>
      <c r="AG146" s="66" t="s">
        <v>317</v>
      </c>
      <c r="AH146" s="68" t="s">
        <v>778</v>
      </c>
      <c r="AI146" s="309"/>
      <c r="AJ146" s="309"/>
      <c r="AK146" s="68" t="s">
        <v>37</v>
      </c>
      <c r="AL146" s="68" t="s">
        <v>47</v>
      </c>
      <c r="AM146" s="299">
        <f t="shared" ca="1" si="25"/>
        <v>1.1458333333357587</v>
      </c>
      <c r="AN146" s="51"/>
      <c r="AO146" s="61" t="s">
        <v>107</v>
      </c>
      <c r="AP146" s="62" t="s">
        <v>775</v>
      </c>
      <c r="AQ146" s="61" t="s">
        <v>906</v>
      </c>
      <c r="AR146" s="64">
        <v>44868.645833333336</v>
      </c>
      <c r="AS146" s="57" t="s">
        <v>173</v>
      </c>
      <c r="AT146" s="61" t="s">
        <v>225</v>
      </c>
      <c r="AU146" s="63">
        <v>0.65972222222222221</v>
      </c>
      <c r="AV146" s="61">
        <v>2</v>
      </c>
      <c r="AW146" s="61" t="s">
        <v>66</v>
      </c>
      <c r="AX146" s="52"/>
      <c r="AY146" s="52"/>
      <c r="AZ146" s="52"/>
      <c r="BA146" s="52"/>
    </row>
    <row r="147" spans="1:53" x14ac:dyDescent="0.25">
      <c r="A147" s="73">
        <v>44</v>
      </c>
      <c r="B147" s="72">
        <v>44867.5</v>
      </c>
      <c r="C147" s="67">
        <v>0.51388888888888895</v>
      </c>
      <c r="D147" s="67">
        <v>0.52083333333333337</v>
      </c>
      <c r="E147" s="67">
        <v>0.53125</v>
      </c>
      <c r="F147" s="68" t="s">
        <v>171</v>
      </c>
      <c r="G147" s="68" t="s">
        <v>341</v>
      </c>
      <c r="H147" s="66" t="s">
        <v>342</v>
      </c>
      <c r="I147" s="66" t="s">
        <v>342</v>
      </c>
      <c r="J147" s="66" t="s">
        <v>37</v>
      </c>
      <c r="K147" s="66" t="s">
        <v>180</v>
      </c>
      <c r="L147" s="70" t="s">
        <v>206</v>
      </c>
      <c r="M147" s="68" t="s">
        <v>779</v>
      </c>
      <c r="N147" s="68" t="s">
        <v>175</v>
      </c>
      <c r="O147" s="68" t="s">
        <v>780</v>
      </c>
      <c r="P147" s="68">
        <v>29542280</v>
      </c>
      <c r="Q147" s="303">
        <f t="shared" si="26"/>
        <v>1</v>
      </c>
      <c r="R147" s="303">
        <f t="shared" si="27"/>
        <v>436</v>
      </c>
      <c r="S147" s="68">
        <v>0</v>
      </c>
      <c r="T147" s="68">
        <v>0</v>
      </c>
      <c r="U147" s="68">
        <v>1</v>
      </c>
      <c r="V147" s="68">
        <v>436</v>
      </c>
      <c r="W147" s="68">
        <v>450</v>
      </c>
      <c r="X147" s="68">
        <v>85</v>
      </c>
      <c r="Y147" s="68">
        <v>83</v>
      </c>
      <c r="Z147" s="68">
        <v>80</v>
      </c>
      <c r="AA147" s="68">
        <v>1</v>
      </c>
      <c r="AB147" s="300">
        <f t="shared" si="28"/>
        <v>94.066666666666663</v>
      </c>
      <c r="AC147" s="300">
        <f t="shared" si="29"/>
        <v>0.56666666666666665</v>
      </c>
      <c r="AD147" s="68">
        <v>2360.4</v>
      </c>
      <c r="AE147" s="66" t="s">
        <v>109</v>
      </c>
      <c r="AF147" s="66" t="s">
        <v>317</v>
      </c>
      <c r="AG147" s="66" t="s">
        <v>317</v>
      </c>
      <c r="AH147" s="68" t="s">
        <v>781</v>
      </c>
      <c r="AI147" s="309"/>
      <c r="AJ147" s="309"/>
      <c r="AK147" s="68" t="s">
        <v>37</v>
      </c>
      <c r="AL147" s="68" t="s">
        <v>47</v>
      </c>
      <c r="AM147" s="299">
        <f t="shared" ca="1" si="25"/>
        <v>0.16666666666424135</v>
      </c>
      <c r="AN147" s="51"/>
      <c r="AO147" s="61" t="s">
        <v>181</v>
      </c>
      <c r="AP147" s="62" t="s">
        <v>779</v>
      </c>
      <c r="AQ147" s="61" t="s">
        <v>833</v>
      </c>
      <c r="AR147" s="64">
        <v>44867.666666666664</v>
      </c>
      <c r="AS147" s="61" t="s">
        <v>117</v>
      </c>
      <c r="AT147" s="61" t="s">
        <v>225</v>
      </c>
      <c r="AU147" s="59">
        <v>0.66666666666666663</v>
      </c>
      <c r="AV147" s="61">
        <v>2</v>
      </c>
      <c r="AW147" s="58" t="s">
        <v>66</v>
      </c>
      <c r="AX147" s="52"/>
      <c r="AY147" s="52"/>
      <c r="AZ147" s="52"/>
      <c r="BA147" s="52"/>
    </row>
    <row r="148" spans="1:53" x14ac:dyDescent="0.25">
      <c r="A148" s="73">
        <v>45</v>
      </c>
      <c r="B148" s="72">
        <v>44867.5</v>
      </c>
      <c r="C148" s="67">
        <v>0.51388888888888895</v>
      </c>
      <c r="D148" s="67">
        <v>0.52083333333333337</v>
      </c>
      <c r="E148" s="67">
        <v>0.53125</v>
      </c>
      <c r="F148" s="68" t="s">
        <v>171</v>
      </c>
      <c r="G148" s="68" t="s">
        <v>341</v>
      </c>
      <c r="H148" s="66" t="s">
        <v>342</v>
      </c>
      <c r="I148" s="66" t="s">
        <v>342</v>
      </c>
      <c r="J148" s="66" t="s">
        <v>37</v>
      </c>
      <c r="K148" s="66" t="s">
        <v>180</v>
      </c>
      <c r="L148" s="70" t="s">
        <v>206</v>
      </c>
      <c r="M148" s="68" t="s">
        <v>782</v>
      </c>
      <c r="N148" s="68" t="s">
        <v>231</v>
      </c>
      <c r="O148" s="68" t="s">
        <v>783</v>
      </c>
      <c r="P148" s="68">
        <v>29545469</v>
      </c>
      <c r="Q148" s="303">
        <f t="shared" si="26"/>
        <v>1</v>
      </c>
      <c r="R148" s="303">
        <f t="shared" si="27"/>
        <v>654</v>
      </c>
      <c r="S148" s="68">
        <v>0</v>
      </c>
      <c r="T148" s="68">
        <v>0</v>
      </c>
      <c r="U148" s="68">
        <v>1</v>
      </c>
      <c r="V148" s="68">
        <v>654</v>
      </c>
      <c r="W148" s="68">
        <v>600</v>
      </c>
      <c r="X148" s="68">
        <v>99</v>
      </c>
      <c r="Y148" s="68">
        <v>99</v>
      </c>
      <c r="Z148" s="68">
        <v>79</v>
      </c>
      <c r="AA148" s="68">
        <v>1</v>
      </c>
      <c r="AB148" s="300">
        <f t="shared" si="28"/>
        <v>129.04650000000001</v>
      </c>
      <c r="AC148" s="300">
        <f t="shared" si="29"/>
        <v>0.77738855421686748</v>
      </c>
      <c r="AD148" s="68">
        <v>6624.96</v>
      </c>
      <c r="AE148" s="66" t="s">
        <v>109</v>
      </c>
      <c r="AF148" s="66" t="s">
        <v>317</v>
      </c>
      <c r="AG148" s="66" t="s">
        <v>317</v>
      </c>
      <c r="AH148" s="68" t="s">
        <v>784</v>
      </c>
      <c r="AI148" s="309"/>
      <c r="AJ148" s="309"/>
      <c r="AK148" s="68" t="s">
        <v>37</v>
      </c>
      <c r="AL148" s="68" t="s">
        <v>47</v>
      </c>
      <c r="AM148" s="299">
        <f t="shared" ca="1" si="25"/>
        <v>0.24305555555474712</v>
      </c>
      <c r="AN148" s="51"/>
      <c r="AO148" s="63" t="s">
        <v>53</v>
      </c>
      <c r="AP148" s="62" t="s">
        <v>782</v>
      </c>
      <c r="AQ148" s="61" t="s">
        <v>840</v>
      </c>
      <c r="AR148" s="64">
        <v>44867.743055555555</v>
      </c>
      <c r="AS148" s="61" t="s">
        <v>136</v>
      </c>
      <c r="AT148" s="61" t="s">
        <v>225</v>
      </c>
      <c r="AU148" s="63">
        <v>0.74305555555555547</v>
      </c>
      <c r="AV148" s="61">
        <v>2</v>
      </c>
      <c r="AW148" s="58" t="s">
        <v>66</v>
      </c>
      <c r="AX148" s="52"/>
      <c r="AY148" s="52"/>
      <c r="AZ148" s="52"/>
      <c r="BA148" s="52"/>
    </row>
    <row r="149" spans="1:53" x14ac:dyDescent="0.25">
      <c r="A149" s="73">
        <v>46</v>
      </c>
      <c r="B149" s="72">
        <v>44867.559027777781</v>
      </c>
      <c r="C149" s="67">
        <v>0.5625</v>
      </c>
      <c r="D149" s="67">
        <v>0.56597222222222221</v>
      </c>
      <c r="E149" s="67">
        <v>0.57291666666666663</v>
      </c>
      <c r="F149" s="68" t="s">
        <v>169</v>
      </c>
      <c r="G149" s="68" t="s">
        <v>381</v>
      </c>
      <c r="H149" s="66" t="s">
        <v>257</v>
      </c>
      <c r="I149" s="66" t="s">
        <v>258</v>
      </c>
      <c r="J149" s="66" t="s">
        <v>41</v>
      </c>
      <c r="K149" s="66" t="s">
        <v>241</v>
      </c>
      <c r="L149" s="66" t="s">
        <v>284</v>
      </c>
      <c r="M149" s="68" t="s">
        <v>785</v>
      </c>
      <c r="N149" s="68" t="s">
        <v>42</v>
      </c>
      <c r="O149" s="68" t="s">
        <v>786</v>
      </c>
      <c r="P149" s="68">
        <v>4500113757</v>
      </c>
      <c r="Q149" s="303">
        <f t="shared" si="26"/>
        <v>35</v>
      </c>
      <c r="R149" s="303">
        <f t="shared" si="27"/>
        <v>639</v>
      </c>
      <c r="S149" s="68">
        <v>35</v>
      </c>
      <c r="T149" s="68">
        <v>639</v>
      </c>
      <c r="U149" s="68">
        <v>0</v>
      </c>
      <c r="V149" s="68">
        <v>0</v>
      </c>
      <c r="W149" s="68">
        <v>624.73</v>
      </c>
      <c r="X149" s="68">
        <v>60</v>
      </c>
      <c r="Y149" s="68">
        <v>40</v>
      </c>
      <c r="Z149" s="68">
        <v>30</v>
      </c>
      <c r="AA149" s="68">
        <v>35</v>
      </c>
      <c r="AB149" s="300">
        <f t="shared" si="28"/>
        <v>420</v>
      </c>
      <c r="AC149" s="300">
        <f t="shared" si="29"/>
        <v>2.5301204819277108</v>
      </c>
      <c r="AD149" s="68">
        <v>15362.16</v>
      </c>
      <c r="AE149" s="66" t="s">
        <v>109</v>
      </c>
      <c r="AF149" s="66" t="s">
        <v>317</v>
      </c>
      <c r="AG149" s="66" t="s">
        <v>317</v>
      </c>
      <c r="AH149" s="68" t="s">
        <v>787</v>
      </c>
      <c r="AI149" s="309"/>
      <c r="AJ149" s="309"/>
      <c r="AK149" s="68" t="s">
        <v>48</v>
      </c>
      <c r="AL149" s="68" t="s">
        <v>56</v>
      </c>
      <c r="AM149" s="299">
        <f t="shared" ca="1" si="25"/>
        <v>5.9201388888832298</v>
      </c>
      <c r="AN149" s="51"/>
      <c r="AO149" s="61" t="s">
        <v>127</v>
      </c>
      <c r="AP149" s="62" t="s">
        <v>785</v>
      </c>
      <c r="AQ149" s="61" t="s">
        <v>1236</v>
      </c>
      <c r="AR149" s="64">
        <v>44873.479166666664</v>
      </c>
      <c r="AS149" s="57" t="s">
        <v>173</v>
      </c>
      <c r="AT149" s="61" t="s">
        <v>225</v>
      </c>
      <c r="AU149" s="63">
        <v>0.47916666666666669</v>
      </c>
      <c r="AV149" s="61">
        <v>1</v>
      </c>
      <c r="AW149" s="61" t="s">
        <v>66</v>
      </c>
      <c r="AX149" s="52"/>
      <c r="AY149" s="52"/>
      <c r="AZ149" s="52"/>
      <c r="BA149" s="52"/>
    </row>
    <row r="150" spans="1:53" x14ac:dyDescent="0.25">
      <c r="A150" s="73">
        <v>47</v>
      </c>
      <c r="B150" s="72">
        <v>44867.618055555555</v>
      </c>
      <c r="C150" s="67">
        <v>0.625</v>
      </c>
      <c r="D150" s="67">
        <v>0.63888888888888895</v>
      </c>
      <c r="E150" s="67">
        <v>0.64583333333333337</v>
      </c>
      <c r="F150" s="68" t="s">
        <v>170</v>
      </c>
      <c r="G150" s="68" t="s">
        <v>789</v>
      </c>
      <c r="H150" s="71" t="s">
        <v>57</v>
      </c>
      <c r="I150" s="71" t="s">
        <v>790</v>
      </c>
      <c r="J150" s="71" t="s">
        <v>37</v>
      </c>
      <c r="K150" s="71" t="s">
        <v>63</v>
      </c>
      <c r="L150" s="71" t="s">
        <v>209</v>
      </c>
      <c r="M150" s="68">
        <v>313313894</v>
      </c>
      <c r="N150" s="68" t="s">
        <v>44</v>
      </c>
      <c r="O150" s="68" t="s">
        <v>791</v>
      </c>
      <c r="P150" s="68">
        <v>81952547</v>
      </c>
      <c r="Q150" s="303">
        <f t="shared" si="26"/>
        <v>2</v>
      </c>
      <c r="R150" s="303">
        <f t="shared" si="27"/>
        <v>384</v>
      </c>
      <c r="S150" s="68">
        <v>0</v>
      </c>
      <c r="T150" s="68">
        <v>0</v>
      </c>
      <c r="U150" s="68">
        <v>2</v>
      </c>
      <c r="V150" s="68">
        <v>384</v>
      </c>
      <c r="W150" s="68">
        <v>379</v>
      </c>
      <c r="X150" s="68">
        <v>184</v>
      </c>
      <c r="Y150" s="68">
        <v>84</v>
      </c>
      <c r="Z150" s="68">
        <v>91</v>
      </c>
      <c r="AA150" s="68">
        <v>1</v>
      </c>
      <c r="AB150" s="300">
        <f t="shared" si="28"/>
        <v>234.416</v>
      </c>
      <c r="AC150" s="300">
        <f t="shared" si="29"/>
        <v>1.4121445783132529</v>
      </c>
      <c r="AD150" s="68">
        <v>50351</v>
      </c>
      <c r="AE150" s="66" t="s">
        <v>109</v>
      </c>
      <c r="AF150" s="66" t="s">
        <v>317</v>
      </c>
      <c r="AG150" s="66" t="s">
        <v>317</v>
      </c>
      <c r="AH150" s="68" t="s">
        <v>792</v>
      </c>
      <c r="AI150" s="309"/>
      <c r="AJ150" s="309"/>
      <c r="AK150" s="68" t="s">
        <v>37</v>
      </c>
      <c r="AL150" s="68" t="s">
        <v>54</v>
      </c>
      <c r="AM150" s="299">
        <f t="shared" ca="1" si="25"/>
        <v>0.13194444444525288</v>
      </c>
      <c r="AN150" s="51"/>
      <c r="AO150" s="61" t="s">
        <v>53</v>
      </c>
      <c r="AP150" s="61">
        <v>313313894</v>
      </c>
      <c r="AQ150" s="61" t="s">
        <v>243</v>
      </c>
      <c r="AR150" s="64">
        <v>44867.75</v>
      </c>
      <c r="AS150" s="61" t="s">
        <v>430</v>
      </c>
      <c r="AT150" s="61" t="s">
        <v>65</v>
      </c>
      <c r="AU150" s="63">
        <v>0.75</v>
      </c>
      <c r="AV150" s="61">
        <v>1</v>
      </c>
      <c r="AW150" s="58" t="s">
        <v>152</v>
      </c>
      <c r="AX150" s="52"/>
      <c r="AY150" s="52"/>
      <c r="AZ150" s="52"/>
      <c r="BA150" s="52"/>
    </row>
    <row r="151" spans="1:53" x14ac:dyDescent="0.25">
      <c r="A151" s="73">
        <v>47</v>
      </c>
      <c r="B151" s="72">
        <v>44867.618055555555</v>
      </c>
      <c r="C151" s="67">
        <v>0.625</v>
      </c>
      <c r="D151" s="67">
        <v>0.63888888888888895</v>
      </c>
      <c r="E151" s="67">
        <v>0.64583333333333337</v>
      </c>
      <c r="F151" s="68" t="s">
        <v>170</v>
      </c>
      <c r="G151" s="68" t="s">
        <v>789</v>
      </c>
      <c r="H151" s="66" t="s">
        <v>57</v>
      </c>
      <c r="I151" s="66" t="s">
        <v>790</v>
      </c>
      <c r="J151" s="66" t="s">
        <v>37</v>
      </c>
      <c r="K151" s="66" t="s">
        <v>63</v>
      </c>
      <c r="L151" s="66" t="s">
        <v>209</v>
      </c>
      <c r="M151" s="68">
        <v>313313894</v>
      </c>
      <c r="N151" s="68" t="s">
        <v>44</v>
      </c>
      <c r="O151" s="68" t="s">
        <v>791</v>
      </c>
      <c r="P151" s="68">
        <v>81952547</v>
      </c>
      <c r="Q151" s="303">
        <f t="shared" si="26"/>
        <v>0</v>
      </c>
      <c r="R151" s="303">
        <f t="shared" si="27"/>
        <v>0</v>
      </c>
      <c r="S151" s="68">
        <v>0</v>
      </c>
      <c r="T151" s="68">
        <v>0</v>
      </c>
      <c r="U151" s="68">
        <v>0</v>
      </c>
      <c r="V151" s="68">
        <v>0</v>
      </c>
      <c r="W151" s="68">
        <v>0</v>
      </c>
      <c r="X151" s="68">
        <v>98</v>
      </c>
      <c r="Y151" s="68">
        <v>67</v>
      </c>
      <c r="Z151" s="68">
        <v>65</v>
      </c>
      <c r="AA151" s="68">
        <v>1</v>
      </c>
      <c r="AB151" s="300">
        <f t="shared" si="28"/>
        <v>71.131666666666661</v>
      </c>
      <c r="AC151" s="300">
        <f t="shared" si="29"/>
        <v>0.42850401606425698</v>
      </c>
      <c r="AD151" s="68">
        <v>0</v>
      </c>
      <c r="AE151" s="68">
        <v>0</v>
      </c>
      <c r="AF151" s="66" t="s">
        <v>317</v>
      </c>
      <c r="AG151" s="66" t="s">
        <v>317</v>
      </c>
      <c r="AH151" s="68" t="s">
        <v>792</v>
      </c>
      <c r="AI151" s="309"/>
      <c r="AJ151" s="309"/>
      <c r="AK151" s="68" t="s">
        <v>37</v>
      </c>
      <c r="AL151" s="68" t="s">
        <v>54</v>
      </c>
      <c r="AM151" s="299">
        <f t="shared" ca="1" si="25"/>
        <v>0.13194444444525288</v>
      </c>
      <c r="AN151" s="51"/>
      <c r="AO151" s="61" t="s">
        <v>53</v>
      </c>
      <c r="AP151" s="61">
        <v>313313894</v>
      </c>
      <c r="AQ151" s="61" t="s">
        <v>243</v>
      </c>
      <c r="AR151" s="64">
        <v>44867.75</v>
      </c>
      <c r="AS151" s="61" t="s">
        <v>430</v>
      </c>
      <c r="AT151" s="61" t="s">
        <v>65</v>
      </c>
      <c r="AU151" s="63">
        <v>0.75</v>
      </c>
      <c r="AV151" s="61">
        <v>1</v>
      </c>
      <c r="AW151" s="58" t="s">
        <v>152</v>
      </c>
      <c r="AX151" s="52"/>
      <c r="AY151" s="52"/>
      <c r="AZ151" s="52"/>
      <c r="BA151" s="52"/>
    </row>
    <row r="152" spans="1:53" x14ac:dyDescent="0.25">
      <c r="A152" s="73">
        <v>48</v>
      </c>
      <c r="B152" s="72">
        <v>44867.618055555555</v>
      </c>
      <c r="C152" s="67">
        <v>0.625</v>
      </c>
      <c r="D152" s="67">
        <v>0.63888888888888895</v>
      </c>
      <c r="E152" s="67">
        <v>0.64583333333333337</v>
      </c>
      <c r="F152" s="68" t="s">
        <v>170</v>
      </c>
      <c r="G152" s="68" t="s">
        <v>789</v>
      </c>
      <c r="H152" s="66" t="s">
        <v>57</v>
      </c>
      <c r="I152" s="66" t="s">
        <v>793</v>
      </c>
      <c r="J152" s="66" t="s">
        <v>37</v>
      </c>
      <c r="K152" s="66" t="s">
        <v>63</v>
      </c>
      <c r="L152" s="66" t="s">
        <v>209</v>
      </c>
      <c r="M152" s="68">
        <v>313313893</v>
      </c>
      <c r="N152" s="68" t="s">
        <v>44</v>
      </c>
      <c r="O152" s="68" t="s">
        <v>794</v>
      </c>
      <c r="P152" s="68">
        <v>81952162</v>
      </c>
      <c r="Q152" s="303">
        <f t="shared" si="26"/>
        <v>9</v>
      </c>
      <c r="R152" s="303">
        <f t="shared" si="27"/>
        <v>2443</v>
      </c>
      <c r="S152" s="68">
        <v>0</v>
      </c>
      <c r="T152" s="68">
        <v>0</v>
      </c>
      <c r="U152" s="68">
        <v>9</v>
      </c>
      <c r="V152" s="68">
        <v>2443</v>
      </c>
      <c r="W152" s="68">
        <v>2438</v>
      </c>
      <c r="X152" s="68">
        <v>184</v>
      </c>
      <c r="Y152" s="68">
        <v>84</v>
      </c>
      <c r="Z152" s="68">
        <v>91</v>
      </c>
      <c r="AA152" s="68">
        <v>8</v>
      </c>
      <c r="AB152" s="300">
        <f t="shared" si="28"/>
        <v>1875.328</v>
      </c>
      <c r="AC152" s="300">
        <f t="shared" si="29"/>
        <v>11.297156626506023</v>
      </c>
      <c r="AD152" s="68">
        <v>201985</v>
      </c>
      <c r="AE152" s="66" t="s">
        <v>109</v>
      </c>
      <c r="AF152" s="66" t="s">
        <v>317</v>
      </c>
      <c r="AG152" s="66" t="s">
        <v>317</v>
      </c>
      <c r="AH152" s="68" t="s">
        <v>795</v>
      </c>
      <c r="AI152" s="309"/>
      <c r="AJ152" s="309"/>
      <c r="AK152" s="68" t="s">
        <v>37</v>
      </c>
      <c r="AL152" s="68" t="s">
        <v>54</v>
      </c>
      <c r="AM152" s="299">
        <f t="shared" ca="1" si="25"/>
        <v>0.13194444444525288</v>
      </c>
      <c r="AN152" s="51"/>
      <c r="AO152" s="61" t="s">
        <v>53</v>
      </c>
      <c r="AP152" s="61">
        <v>313313893</v>
      </c>
      <c r="AQ152" s="61" t="s">
        <v>243</v>
      </c>
      <c r="AR152" s="64">
        <v>44867.75</v>
      </c>
      <c r="AS152" s="61" t="s">
        <v>430</v>
      </c>
      <c r="AT152" s="61" t="s">
        <v>65</v>
      </c>
      <c r="AU152" s="63">
        <v>0.75</v>
      </c>
      <c r="AV152" s="61">
        <v>1</v>
      </c>
      <c r="AW152" s="58" t="s">
        <v>152</v>
      </c>
      <c r="AX152" s="52"/>
      <c r="AY152" s="52"/>
      <c r="AZ152" s="52"/>
      <c r="BA152" s="52"/>
    </row>
    <row r="153" spans="1:53" x14ac:dyDescent="0.25">
      <c r="A153" s="73">
        <v>48</v>
      </c>
      <c r="B153" s="72">
        <v>44867.618055555555</v>
      </c>
      <c r="C153" s="67">
        <v>0.625</v>
      </c>
      <c r="D153" s="67">
        <v>0.63888888888888895</v>
      </c>
      <c r="E153" s="67">
        <v>0.64583333333333337</v>
      </c>
      <c r="F153" s="68" t="s">
        <v>170</v>
      </c>
      <c r="G153" s="68" t="s">
        <v>789</v>
      </c>
      <c r="H153" s="66" t="s">
        <v>57</v>
      </c>
      <c r="I153" s="66" t="s">
        <v>793</v>
      </c>
      <c r="J153" s="66" t="s">
        <v>37</v>
      </c>
      <c r="K153" s="66" t="s">
        <v>63</v>
      </c>
      <c r="L153" s="66" t="s">
        <v>209</v>
      </c>
      <c r="M153" s="68">
        <v>313313893</v>
      </c>
      <c r="N153" s="68" t="s">
        <v>44</v>
      </c>
      <c r="O153" s="68" t="s">
        <v>794</v>
      </c>
      <c r="P153" s="68">
        <v>81952162</v>
      </c>
      <c r="Q153" s="303">
        <f t="shared" si="26"/>
        <v>0</v>
      </c>
      <c r="R153" s="303">
        <f t="shared" si="27"/>
        <v>0</v>
      </c>
      <c r="S153" s="68">
        <v>0</v>
      </c>
      <c r="T153" s="68">
        <v>0</v>
      </c>
      <c r="U153" s="68">
        <v>0</v>
      </c>
      <c r="V153" s="68">
        <v>0</v>
      </c>
      <c r="W153" s="68">
        <v>0</v>
      </c>
      <c r="X153" s="68">
        <v>108</v>
      </c>
      <c r="Y153" s="68">
        <v>83</v>
      </c>
      <c r="Z153" s="68">
        <v>74</v>
      </c>
      <c r="AA153" s="68">
        <v>1</v>
      </c>
      <c r="AB153" s="300">
        <f t="shared" si="28"/>
        <v>110.556</v>
      </c>
      <c r="AC153" s="300">
        <f t="shared" si="29"/>
        <v>0.66600000000000004</v>
      </c>
      <c r="AD153" s="68">
        <v>0</v>
      </c>
      <c r="AE153" s="68">
        <v>0</v>
      </c>
      <c r="AF153" s="66" t="s">
        <v>317</v>
      </c>
      <c r="AG153" s="66" t="s">
        <v>317</v>
      </c>
      <c r="AH153" s="68" t="s">
        <v>795</v>
      </c>
      <c r="AI153" s="309"/>
      <c r="AJ153" s="309"/>
      <c r="AK153" s="68" t="s">
        <v>37</v>
      </c>
      <c r="AL153" s="68" t="s">
        <v>54</v>
      </c>
      <c r="AM153" s="299">
        <f t="shared" ca="1" si="25"/>
        <v>0.13194444444525288</v>
      </c>
      <c r="AN153" s="51"/>
      <c r="AO153" s="61" t="s">
        <v>53</v>
      </c>
      <c r="AP153" s="61">
        <v>313313893</v>
      </c>
      <c r="AQ153" s="61" t="s">
        <v>243</v>
      </c>
      <c r="AR153" s="64">
        <v>44867.75</v>
      </c>
      <c r="AS153" s="61" t="s">
        <v>430</v>
      </c>
      <c r="AT153" s="61" t="s">
        <v>65</v>
      </c>
      <c r="AU153" s="63">
        <v>0.75</v>
      </c>
      <c r="AV153" s="61">
        <v>1</v>
      </c>
      <c r="AW153" s="58" t="s">
        <v>152</v>
      </c>
      <c r="AX153" s="52"/>
      <c r="AY153" s="52"/>
      <c r="AZ153" s="52"/>
      <c r="BA153" s="52"/>
    </row>
    <row r="154" spans="1:53" x14ac:dyDescent="0.25">
      <c r="A154" s="73">
        <v>49</v>
      </c>
      <c r="B154" s="72">
        <v>44867.618055555555</v>
      </c>
      <c r="C154" s="67">
        <v>0.625</v>
      </c>
      <c r="D154" s="67">
        <v>0.63888888888888895</v>
      </c>
      <c r="E154" s="67">
        <v>0.64583333333333337</v>
      </c>
      <c r="F154" s="68" t="s">
        <v>170</v>
      </c>
      <c r="G154" s="68" t="s">
        <v>796</v>
      </c>
      <c r="H154" s="66" t="s">
        <v>46</v>
      </c>
      <c r="I154" s="66" t="s">
        <v>162</v>
      </c>
      <c r="J154" s="66" t="s">
        <v>41</v>
      </c>
      <c r="K154" s="66" t="s">
        <v>63</v>
      </c>
      <c r="L154" s="66" t="s">
        <v>214</v>
      </c>
      <c r="M154" s="68" t="s">
        <v>797</v>
      </c>
      <c r="N154" s="68" t="s">
        <v>158</v>
      </c>
      <c r="O154" s="68" t="s">
        <v>798</v>
      </c>
      <c r="P154" s="68">
        <v>4906</v>
      </c>
      <c r="Q154" s="303">
        <f t="shared" si="26"/>
        <v>1</v>
      </c>
      <c r="R154" s="303">
        <f t="shared" si="27"/>
        <v>236</v>
      </c>
      <c r="S154" s="68">
        <v>0</v>
      </c>
      <c r="T154" s="68">
        <v>0</v>
      </c>
      <c r="U154" s="68">
        <v>1</v>
      </c>
      <c r="V154" s="68">
        <v>236</v>
      </c>
      <c r="W154" s="68">
        <v>242.5</v>
      </c>
      <c r="X154" s="68">
        <v>92</v>
      </c>
      <c r="Y154" s="68">
        <v>50</v>
      </c>
      <c r="Z154" s="68">
        <v>51</v>
      </c>
      <c r="AA154" s="68">
        <v>1</v>
      </c>
      <c r="AB154" s="300">
        <f t="shared" si="28"/>
        <v>39.1</v>
      </c>
      <c r="AC154" s="300">
        <f t="shared" si="29"/>
        <v>0.23554216867469879</v>
      </c>
      <c r="AD154" s="68" t="s">
        <v>48</v>
      </c>
      <c r="AE154" s="68" t="s">
        <v>48</v>
      </c>
      <c r="AF154" s="66" t="s">
        <v>317</v>
      </c>
      <c r="AG154" s="66" t="s">
        <v>317</v>
      </c>
      <c r="AH154" s="68" t="s">
        <v>799</v>
      </c>
      <c r="AI154" s="309"/>
      <c r="AJ154" s="309"/>
      <c r="AK154" s="68" t="s">
        <v>41</v>
      </c>
      <c r="AL154" s="68" t="s">
        <v>54</v>
      </c>
      <c r="AM154" s="299">
        <f t="shared" ca="1" si="25"/>
        <v>3.0243055555547471</v>
      </c>
      <c r="AN154" s="51"/>
      <c r="AO154" s="61" t="s">
        <v>159</v>
      </c>
      <c r="AP154" s="62" t="s">
        <v>797</v>
      </c>
      <c r="AQ154" s="61" t="s">
        <v>1065</v>
      </c>
      <c r="AR154" s="64">
        <v>44870.642361111109</v>
      </c>
      <c r="AS154" s="61" t="s">
        <v>88</v>
      </c>
      <c r="AT154" s="61" t="s">
        <v>65</v>
      </c>
      <c r="AU154" s="59">
        <v>0.64236111111111105</v>
      </c>
      <c r="AV154" s="61">
        <v>1</v>
      </c>
      <c r="AW154" s="61" t="s">
        <v>66</v>
      </c>
      <c r="AX154" s="52"/>
      <c r="AY154" s="52"/>
      <c r="AZ154" s="52"/>
      <c r="BA154" s="52"/>
    </row>
    <row r="155" spans="1:53" x14ac:dyDescent="0.25">
      <c r="A155" s="73">
        <v>50</v>
      </c>
      <c r="B155" s="72">
        <v>44867.618055555555</v>
      </c>
      <c r="C155" s="67">
        <v>0.625</v>
      </c>
      <c r="D155" s="67">
        <v>0.63888888888888895</v>
      </c>
      <c r="E155" s="67">
        <v>0.64583333333333337</v>
      </c>
      <c r="F155" s="68" t="s">
        <v>170</v>
      </c>
      <c r="G155" s="68" t="s">
        <v>796</v>
      </c>
      <c r="H155" s="66" t="s">
        <v>156</v>
      </c>
      <c r="I155" s="66" t="s">
        <v>110</v>
      </c>
      <c r="J155" s="66" t="s">
        <v>37</v>
      </c>
      <c r="K155" s="66" t="s">
        <v>63</v>
      </c>
      <c r="L155" s="66" t="s">
        <v>212</v>
      </c>
      <c r="M155" s="68" t="s">
        <v>800</v>
      </c>
      <c r="N155" s="68" t="s">
        <v>186</v>
      </c>
      <c r="O155" s="68" t="s">
        <v>801</v>
      </c>
      <c r="P155" s="68" t="s">
        <v>380</v>
      </c>
      <c r="Q155" s="303">
        <f t="shared" si="26"/>
        <v>5</v>
      </c>
      <c r="R155" s="303">
        <f t="shared" si="27"/>
        <v>104</v>
      </c>
      <c r="S155" s="68">
        <v>0</v>
      </c>
      <c r="T155" s="68">
        <v>0</v>
      </c>
      <c r="U155" s="68">
        <v>5</v>
      </c>
      <c r="V155" s="68">
        <v>104</v>
      </c>
      <c r="W155" s="68">
        <v>104.44</v>
      </c>
      <c r="X155" s="68">
        <v>54</v>
      </c>
      <c r="Y155" s="68">
        <v>37</v>
      </c>
      <c r="Z155" s="68">
        <v>33</v>
      </c>
      <c r="AA155" s="68">
        <v>1</v>
      </c>
      <c r="AB155" s="300">
        <f t="shared" si="28"/>
        <v>10.989000000000001</v>
      </c>
      <c r="AC155" s="300">
        <f t="shared" si="29"/>
        <v>6.61987951807229E-2</v>
      </c>
      <c r="AD155" s="68">
        <v>1515.48</v>
      </c>
      <c r="AE155" s="66" t="s">
        <v>109</v>
      </c>
      <c r="AF155" s="66" t="s">
        <v>317</v>
      </c>
      <c r="AG155" s="66" t="s">
        <v>317</v>
      </c>
      <c r="AH155" s="68" t="s">
        <v>802</v>
      </c>
      <c r="AI155" s="309"/>
      <c r="AJ155" s="309"/>
      <c r="AK155" s="68" t="s">
        <v>37</v>
      </c>
      <c r="AL155" s="68" t="s">
        <v>54</v>
      </c>
      <c r="AM155" s="299">
        <f t="shared" ca="1" si="25"/>
        <v>2.9166666666642413</v>
      </c>
      <c r="AN155" s="51"/>
      <c r="AO155" s="61" t="s">
        <v>131</v>
      </c>
      <c r="AP155" s="62" t="s">
        <v>800</v>
      </c>
      <c r="AQ155" s="61" t="s">
        <v>1056</v>
      </c>
      <c r="AR155" s="64">
        <v>44870.534722222219</v>
      </c>
      <c r="AS155" s="57" t="s">
        <v>173</v>
      </c>
      <c r="AT155" s="61" t="s">
        <v>225</v>
      </c>
      <c r="AU155" s="63">
        <v>0.53472222222222221</v>
      </c>
      <c r="AV155" s="61">
        <v>1</v>
      </c>
      <c r="AW155" s="61" t="s">
        <v>66</v>
      </c>
      <c r="AX155" s="52"/>
      <c r="AY155" s="52"/>
      <c r="AZ155" s="52"/>
      <c r="BA155" s="52"/>
    </row>
    <row r="156" spans="1:53" x14ac:dyDescent="0.25">
      <c r="A156" s="73">
        <v>50</v>
      </c>
      <c r="B156" s="72">
        <v>44867.618055555555</v>
      </c>
      <c r="C156" s="67">
        <v>0.625</v>
      </c>
      <c r="D156" s="67">
        <v>0.63888888888888895</v>
      </c>
      <c r="E156" s="67">
        <v>0.64583333333333337</v>
      </c>
      <c r="F156" s="68" t="s">
        <v>170</v>
      </c>
      <c r="G156" s="68" t="s">
        <v>796</v>
      </c>
      <c r="H156" s="66" t="s">
        <v>156</v>
      </c>
      <c r="I156" s="66" t="s">
        <v>110</v>
      </c>
      <c r="J156" s="66" t="s">
        <v>37</v>
      </c>
      <c r="K156" s="66" t="s">
        <v>63</v>
      </c>
      <c r="L156" s="66" t="s">
        <v>212</v>
      </c>
      <c r="M156" s="68" t="s">
        <v>800</v>
      </c>
      <c r="N156" s="68" t="s">
        <v>186</v>
      </c>
      <c r="O156" s="68" t="s">
        <v>801</v>
      </c>
      <c r="P156" s="68" t="s">
        <v>380</v>
      </c>
      <c r="Q156" s="303">
        <f t="shared" si="26"/>
        <v>0</v>
      </c>
      <c r="R156" s="303">
        <f t="shared" si="27"/>
        <v>0</v>
      </c>
      <c r="S156" s="68">
        <v>0</v>
      </c>
      <c r="T156" s="68">
        <v>0</v>
      </c>
      <c r="U156" s="68">
        <v>0</v>
      </c>
      <c r="V156" s="68">
        <v>0</v>
      </c>
      <c r="W156" s="68">
        <v>0</v>
      </c>
      <c r="X156" s="68">
        <v>35</v>
      </c>
      <c r="Y156" s="68">
        <v>34</v>
      </c>
      <c r="Z156" s="68">
        <v>39</v>
      </c>
      <c r="AA156" s="68">
        <v>1</v>
      </c>
      <c r="AB156" s="300">
        <f t="shared" si="28"/>
        <v>7.7350000000000003</v>
      </c>
      <c r="AC156" s="300">
        <f t="shared" si="29"/>
        <v>4.6596385542168675E-2</v>
      </c>
      <c r="AD156" s="68">
        <v>0</v>
      </c>
      <c r="AE156" s="68">
        <v>0</v>
      </c>
      <c r="AF156" s="66" t="s">
        <v>317</v>
      </c>
      <c r="AG156" s="66" t="s">
        <v>317</v>
      </c>
      <c r="AH156" s="68" t="s">
        <v>802</v>
      </c>
      <c r="AI156" s="309"/>
      <c r="AJ156" s="309"/>
      <c r="AK156" s="68" t="s">
        <v>37</v>
      </c>
      <c r="AL156" s="68" t="s">
        <v>54</v>
      </c>
      <c r="AM156" s="299">
        <f t="shared" ca="1" si="25"/>
        <v>2.9166666666642413</v>
      </c>
      <c r="AN156" s="51"/>
      <c r="AO156" s="61" t="s">
        <v>131</v>
      </c>
      <c r="AP156" s="62" t="s">
        <v>800</v>
      </c>
      <c r="AQ156" s="61" t="s">
        <v>1056</v>
      </c>
      <c r="AR156" s="64">
        <v>44870.534722222219</v>
      </c>
      <c r="AS156" s="57" t="s">
        <v>173</v>
      </c>
      <c r="AT156" s="61" t="s">
        <v>225</v>
      </c>
      <c r="AU156" s="63">
        <v>0.53472222222222221</v>
      </c>
      <c r="AV156" s="61">
        <v>1</v>
      </c>
      <c r="AW156" s="61" t="s">
        <v>66</v>
      </c>
      <c r="AX156" s="52"/>
      <c r="AY156" s="52"/>
      <c r="AZ156" s="52"/>
      <c r="BA156" s="52"/>
    </row>
    <row r="157" spans="1:53" x14ac:dyDescent="0.25">
      <c r="A157" s="73">
        <v>50</v>
      </c>
      <c r="B157" s="72">
        <v>44867.618055555555</v>
      </c>
      <c r="C157" s="67">
        <v>0.625</v>
      </c>
      <c r="D157" s="67">
        <v>0.63888888888888895</v>
      </c>
      <c r="E157" s="67">
        <v>0.64583333333333337</v>
      </c>
      <c r="F157" s="68" t="s">
        <v>170</v>
      </c>
      <c r="G157" s="68" t="s">
        <v>796</v>
      </c>
      <c r="H157" s="66" t="s">
        <v>156</v>
      </c>
      <c r="I157" s="66" t="s">
        <v>110</v>
      </c>
      <c r="J157" s="66" t="s">
        <v>37</v>
      </c>
      <c r="K157" s="66" t="s">
        <v>63</v>
      </c>
      <c r="L157" s="66" t="s">
        <v>212</v>
      </c>
      <c r="M157" s="68" t="s">
        <v>800</v>
      </c>
      <c r="N157" s="68" t="s">
        <v>186</v>
      </c>
      <c r="O157" s="68" t="s">
        <v>801</v>
      </c>
      <c r="P157" s="68" t="s">
        <v>380</v>
      </c>
      <c r="Q157" s="303">
        <f t="shared" si="26"/>
        <v>0</v>
      </c>
      <c r="R157" s="303">
        <f t="shared" si="27"/>
        <v>0</v>
      </c>
      <c r="S157" s="68">
        <v>0</v>
      </c>
      <c r="T157" s="68">
        <v>0</v>
      </c>
      <c r="U157" s="68">
        <v>0</v>
      </c>
      <c r="V157" s="68">
        <v>0</v>
      </c>
      <c r="W157" s="68">
        <v>0</v>
      </c>
      <c r="X157" s="68">
        <v>50</v>
      </c>
      <c r="Y157" s="68">
        <v>47</v>
      </c>
      <c r="Z157" s="68">
        <v>14</v>
      </c>
      <c r="AA157" s="68">
        <v>1</v>
      </c>
      <c r="AB157" s="300">
        <f t="shared" si="28"/>
        <v>5.4833333333333334</v>
      </c>
      <c r="AC157" s="300">
        <f t="shared" si="29"/>
        <v>3.3032128514056222E-2</v>
      </c>
      <c r="AD157" s="68">
        <v>0</v>
      </c>
      <c r="AE157" s="68">
        <v>0</v>
      </c>
      <c r="AF157" s="66" t="s">
        <v>317</v>
      </c>
      <c r="AG157" s="66" t="s">
        <v>317</v>
      </c>
      <c r="AH157" s="68" t="s">
        <v>802</v>
      </c>
      <c r="AI157" s="309"/>
      <c r="AJ157" s="309"/>
      <c r="AK157" s="68" t="s">
        <v>37</v>
      </c>
      <c r="AL157" s="68" t="s">
        <v>54</v>
      </c>
      <c r="AM157" s="299">
        <f t="shared" ca="1" si="25"/>
        <v>2.9166666666642413</v>
      </c>
      <c r="AN157" s="51"/>
      <c r="AO157" s="61" t="s">
        <v>131</v>
      </c>
      <c r="AP157" s="62" t="s">
        <v>800</v>
      </c>
      <c r="AQ157" s="61" t="s">
        <v>1056</v>
      </c>
      <c r="AR157" s="64">
        <v>44870.534722222219</v>
      </c>
      <c r="AS157" s="57" t="s">
        <v>173</v>
      </c>
      <c r="AT157" s="61" t="s">
        <v>225</v>
      </c>
      <c r="AU157" s="63">
        <v>0.53472222222222221</v>
      </c>
      <c r="AV157" s="61">
        <v>1</v>
      </c>
      <c r="AW157" s="61" t="s">
        <v>66</v>
      </c>
      <c r="AX157" s="52"/>
      <c r="AY157" s="52"/>
      <c r="AZ157" s="52"/>
      <c r="BA157" s="52"/>
    </row>
    <row r="158" spans="1:53" x14ac:dyDescent="0.25">
      <c r="A158" s="73">
        <v>50</v>
      </c>
      <c r="B158" s="72">
        <v>44867.618055555555</v>
      </c>
      <c r="C158" s="67">
        <v>0.625</v>
      </c>
      <c r="D158" s="67">
        <v>0.63888888888888895</v>
      </c>
      <c r="E158" s="67">
        <v>0.64583333333333337</v>
      </c>
      <c r="F158" s="68" t="s">
        <v>170</v>
      </c>
      <c r="G158" s="68" t="s">
        <v>796</v>
      </c>
      <c r="H158" s="66" t="s">
        <v>156</v>
      </c>
      <c r="I158" s="66" t="s">
        <v>110</v>
      </c>
      <c r="J158" s="66" t="s">
        <v>37</v>
      </c>
      <c r="K158" s="66" t="s">
        <v>63</v>
      </c>
      <c r="L158" s="66" t="s">
        <v>212</v>
      </c>
      <c r="M158" s="68" t="s">
        <v>800</v>
      </c>
      <c r="N158" s="68" t="s">
        <v>186</v>
      </c>
      <c r="O158" s="68" t="s">
        <v>801</v>
      </c>
      <c r="P158" s="68" t="s">
        <v>380</v>
      </c>
      <c r="Q158" s="303">
        <f t="shared" si="26"/>
        <v>0</v>
      </c>
      <c r="R158" s="303">
        <f t="shared" si="27"/>
        <v>0</v>
      </c>
      <c r="S158" s="68">
        <v>0</v>
      </c>
      <c r="T158" s="68">
        <v>0</v>
      </c>
      <c r="U158" s="68">
        <v>0</v>
      </c>
      <c r="V158" s="68">
        <v>0</v>
      </c>
      <c r="W158" s="68">
        <v>0</v>
      </c>
      <c r="X158" s="68">
        <v>27</v>
      </c>
      <c r="Y158" s="68">
        <v>22</v>
      </c>
      <c r="Z158" s="68">
        <v>29</v>
      </c>
      <c r="AA158" s="68">
        <v>1</v>
      </c>
      <c r="AB158" s="300">
        <f t="shared" si="28"/>
        <v>2.871</v>
      </c>
      <c r="AC158" s="300">
        <f t="shared" si="29"/>
        <v>1.7295180722891566E-2</v>
      </c>
      <c r="AD158" s="68">
        <v>0</v>
      </c>
      <c r="AE158" s="68">
        <v>0</v>
      </c>
      <c r="AF158" s="66" t="s">
        <v>317</v>
      </c>
      <c r="AG158" s="66" t="s">
        <v>317</v>
      </c>
      <c r="AH158" s="68" t="s">
        <v>802</v>
      </c>
      <c r="AI158" s="309"/>
      <c r="AJ158" s="309"/>
      <c r="AK158" s="68" t="s">
        <v>37</v>
      </c>
      <c r="AL158" s="68" t="s">
        <v>54</v>
      </c>
      <c r="AM158" s="299">
        <f t="shared" ca="1" si="25"/>
        <v>2.9166666666642413</v>
      </c>
      <c r="AN158" s="51"/>
      <c r="AO158" s="61" t="s">
        <v>131</v>
      </c>
      <c r="AP158" s="62" t="s">
        <v>800</v>
      </c>
      <c r="AQ158" s="61" t="s">
        <v>1056</v>
      </c>
      <c r="AR158" s="64">
        <v>44870.534722222219</v>
      </c>
      <c r="AS158" s="57" t="s">
        <v>173</v>
      </c>
      <c r="AT158" s="61" t="s">
        <v>225</v>
      </c>
      <c r="AU158" s="63">
        <v>0.53472222222222221</v>
      </c>
      <c r="AV158" s="61">
        <v>1</v>
      </c>
      <c r="AW158" s="61" t="s">
        <v>66</v>
      </c>
      <c r="AX158" s="52"/>
      <c r="AY158" s="52"/>
      <c r="AZ158" s="52"/>
      <c r="BA158" s="52"/>
    </row>
    <row r="159" spans="1:53" x14ac:dyDescent="0.25">
      <c r="A159" s="73">
        <v>50</v>
      </c>
      <c r="B159" s="72">
        <v>44867.618055555555</v>
      </c>
      <c r="C159" s="67">
        <v>0.625</v>
      </c>
      <c r="D159" s="67">
        <v>0.63888888888888895</v>
      </c>
      <c r="E159" s="67">
        <v>0.64583333333333337</v>
      </c>
      <c r="F159" s="68" t="s">
        <v>170</v>
      </c>
      <c r="G159" s="68" t="s">
        <v>796</v>
      </c>
      <c r="H159" s="66" t="s">
        <v>156</v>
      </c>
      <c r="I159" s="66" t="s">
        <v>110</v>
      </c>
      <c r="J159" s="66" t="s">
        <v>37</v>
      </c>
      <c r="K159" s="66" t="s">
        <v>63</v>
      </c>
      <c r="L159" s="66" t="s">
        <v>212</v>
      </c>
      <c r="M159" s="68" t="s">
        <v>800</v>
      </c>
      <c r="N159" s="68" t="s">
        <v>186</v>
      </c>
      <c r="O159" s="68" t="s">
        <v>801</v>
      </c>
      <c r="P159" s="68" t="s">
        <v>380</v>
      </c>
      <c r="Q159" s="303">
        <f t="shared" si="26"/>
        <v>0</v>
      </c>
      <c r="R159" s="303">
        <f t="shared" si="27"/>
        <v>0</v>
      </c>
      <c r="S159" s="68">
        <v>0</v>
      </c>
      <c r="T159" s="68">
        <v>0</v>
      </c>
      <c r="U159" s="68">
        <v>0</v>
      </c>
      <c r="V159" s="68">
        <v>0</v>
      </c>
      <c r="W159" s="68">
        <v>0</v>
      </c>
      <c r="X159" s="68">
        <v>20</v>
      </c>
      <c r="Y159" s="68">
        <v>16</v>
      </c>
      <c r="Z159" s="68">
        <v>19</v>
      </c>
      <c r="AA159" s="68">
        <v>1</v>
      </c>
      <c r="AB159" s="300">
        <f t="shared" si="28"/>
        <v>1.0133333333333334</v>
      </c>
      <c r="AC159" s="300">
        <f t="shared" si="29"/>
        <v>6.1044176706827316E-3</v>
      </c>
      <c r="AD159" s="68">
        <v>0</v>
      </c>
      <c r="AE159" s="68">
        <v>0</v>
      </c>
      <c r="AF159" s="66" t="s">
        <v>317</v>
      </c>
      <c r="AG159" s="66" t="s">
        <v>317</v>
      </c>
      <c r="AH159" s="68" t="s">
        <v>802</v>
      </c>
      <c r="AI159" s="309"/>
      <c r="AJ159" s="309"/>
      <c r="AK159" s="68" t="s">
        <v>37</v>
      </c>
      <c r="AL159" s="68" t="s">
        <v>54</v>
      </c>
      <c r="AM159" s="299">
        <f t="shared" ca="1" si="25"/>
        <v>2.9166666666642413</v>
      </c>
      <c r="AN159" s="51"/>
      <c r="AO159" s="61" t="s">
        <v>131</v>
      </c>
      <c r="AP159" s="62" t="s">
        <v>800</v>
      </c>
      <c r="AQ159" s="61" t="s">
        <v>1056</v>
      </c>
      <c r="AR159" s="64">
        <v>44870.534722222219</v>
      </c>
      <c r="AS159" s="57" t="s">
        <v>173</v>
      </c>
      <c r="AT159" s="61" t="s">
        <v>225</v>
      </c>
      <c r="AU159" s="63">
        <v>0.53472222222222221</v>
      </c>
      <c r="AV159" s="61">
        <v>1</v>
      </c>
      <c r="AW159" s="61" t="s">
        <v>66</v>
      </c>
      <c r="AX159" s="52"/>
      <c r="AY159" s="52"/>
      <c r="AZ159" s="52"/>
      <c r="BA159" s="52"/>
    </row>
    <row r="160" spans="1:53" x14ac:dyDescent="0.25">
      <c r="A160" s="73">
        <v>51</v>
      </c>
      <c r="B160" s="72">
        <v>44867.652777777781</v>
      </c>
      <c r="C160" s="67">
        <v>0.65625</v>
      </c>
      <c r="D160" s="67">
        <v>0.66319444444444442</v>
      </c>
      <c r="E160" s="67">
        <v>0.67013888888888884</v>
      </c>
      <c r="F160" s="68" t="s">
        <v>170</v>
      </c>
      <c r="G160" s="68" t="s">
        <v>314</v>
      </c>
      <c r="H160" s="66" t="s">
        <v>227</v>
      </c>
      <c r="I160" s="66" t="s">
        <v>189</v>
      </c>
      <c r="J160" s="66" t="s">
        <v>37</v>
      </c>
      <c r="K160" s="66" t="s">
        <v>63</v>
      </c>
      <c r="L160" s="70" t="s">
        <v>206</v>
      </c>
      <c r="M160" s="68" t="s">
        <v>803</v>
      </c>
      <c r="N160" s="68" t="s">
        <v>42</v>
      </c>
      <c r="O160" s="68">
        <v>846</v>
      </c>
      <c r="P160" s="68">
        <v>3737</v>
      </c>
      <c r="Q160" s="303">
        <f t="shared" si="26"/>
        <v>1</v>
      </c>
      <c r="R160" s="303">
        <f t="shared" si="27"/>
        <v>315</v>
      </c>
      <c r="S160" s="68">
        <v>0</v>
      </c>
      <c r="T160" s="68">
        <v>0</v>
      </c>
      <c r="U160" s="68">
        <v>1</v>
      </c>
      <c r="V160" s="68">
        <v>315</v>
      </c>
      <c r="W160" s="68">
        <v>303.19</v>
      </c>
      <c r="X160" s="68">
        <v>170</v>
      </c>
      <c r="Y160" s="68">
        <v>97</v>
      </c>
      <c r="Z160" s="68">
        <v>95</v>
      </c>
      <c r="AA160" s="68">
        <v>1</v>
      </c>
      <c r="AB160" s="300">
        <f t="shared" si="28"/>
        <v>261.09166666666664</v>
      </c>
      <c r="AC160" s="300">
        <f t="shared" si="29"/>
        <v>1.5728413654618472</v>
      </c>
      <c r="AD160" s="68" t="s">
        <v>48</v>
      </c>
      <c r="AE160" s="68" t="s">
        <v>48</v>
      </c>
      <c r="AF160" s="66" t="s">
        <v>317</v>
      </c>
      <c r="AG160" s="66" t="s">
        <v>317</v>
      </c>
      <c r="AH160" s="68" t="s">
        <v>804</v>
      </c>
      <c r="AI160" s="309"/>
      <c r="AJ160" s="309"/>
      <c r="AK160" s="68" t="s">
        <v>37</v>
      </c>
      <c r="AL160" s="68" t="s">
        <v>47</v>
      </c>
      <c r="AM160" s="299">
        <f t="shared" ca="1" si="25"/>
        <v>0.78819444443797693</v>
      </c>
      <c r="AN160" s="51"/>
      <c r="AO160" s="61" t="s">
        <v>89</v>
      </c>
      <c r="AP160" s="62" t="s">
        <v>803</v>
      </c>
      <c r="AQ160" s="61" t="s">
        <v>904</v>
      </c>
      <c r="AR160" s="64">
        <v>44868.440972222219</v>
      </c>
      <c r="AS160" s="61" t="s">
        <v>117</v>
      </c>
      <c r="AT160" s="61" t="s">
        <v>225</v>
      </c>
      <c r="AU160" s="59">
        <v>0.44097222222222227</v>
      </c>
      <c r="AV160" s="61">
        <v>1</v>
      </c>
      <c r="AW160" s="61" t="s">
        <v>66</v>
      </c>
      <c r="AX160" s="52"/>
      <c r="AY160" s="52"/>
      <c r="AZ160" s="52"/>
      <c r="BA160" s="52"/>
    </row>
    <row r="161" spans="1:53" x14ac:dyDescent="0.25">
      <c r="A161" s="73">
        <v>52</v>
      </c>
      <c r="B161" s="72">
        <v>44867.652777777781</v>
      </c>
      <c r="C161" s="67">
        <v>0.65625</v>
      </c>
      <c r="D161" s="67">
        <v>0.66319444444444442</v>
      </c>
      <c r="E161" s="67">
        <v>0.67013888888888884</v>
      </c>
      <c r="F161" s="68" t="s">
        <v>170</v>
      </c>
      <c r="G161" s="68" t="s">
        <v>314</v>
      </c>
      <c r="H161" s="66" t="s">
        <v>227</v>
      </c>
      <c r="I161" s="66" t="s">
        <v>189</v>
      </c>
      <c r="J161" s="66" t="s">
        <v>37</v>
      </c>
      <c r="K161" s="66" t="s">
        <v>63</v>
      </c>
      <c r="L161" s="70" t="s">
        <v>206</v>
      </c>
      <c r="M161" s="68" t="s">
        <v>805</v>
      </c>
      <c r="N161" s="68" t="s">
        <v>43</v>
      </c>
      <c r="O161" s="68" t="s">
        <v>806</v>
      </c>
      <c r="P161" s="68" t="s">
        <v>807</v>
      </c>
      <c r="Q161" s="303">
        <f t="shared" si="26"/>
        <v>7</v>
      </c>
      <c r="R161" s="303">
        <f t="shared" si="27"/>
        <v>477</v>
      </c>
      <c r="S161" s="68">
        <v>5</v>
      </c>
      <c r="T161" s="68">
        <v>76</v>
      </c>
      <c r="U161" s="68">
        <v>2</v>
      </c>
      <c r="V161" s="68">
        <v>401</v>
      </c>
      <c r="W161" s="68">
        <v>465.29</v>
      </c>
      <c r="X161" s="68">
        <v>170</v>
      </c>
      <c r="Y161" s="68">
        <v>97</v>
      </c>
      <c r="Z161" s="68">
        <v>95</v>
      </c>
      <c r="AA161" s="68">
        <v>1</v>
      </c>
      <c r="AB161" s="300">
        <f t="shared" si="28"/>
        <v>261.09166666666664</v>
      </c>
      <c r="AC161" s="300">
        <f t="shared" si="29"/>
        <v>1.5728413654618472</v>
      </c>
      <c r="AD161" s="68" t="s">
        <v>48</v>
      </c>
      <c r="AE161" s="68" t="s">
        <v>48</v>
      </c>
      <c r="AF161" s="66" t="s">
        <v>317</v>
      </c>
      <c r="AG161" s="66" t="s">
        <v>317</v>
      </c>
      <c r="AH161" s="68" t="s">
        <v>808</v>
      </c>
      <c r="AI161" s="309"/>
      <c r="AJ161" s="309"/>
      <c r="AK161" s="68" t="s">
        <v>37</v>
      </c>
      <c r="AL161" s="68" t="s">
        <v>49</v>
      </c>
      <c r="AM161" s="299">
        <f t="shared" ca="1" si="25"/>
        <v>0.84722222221898846</v>
      </c>
      <c r="AN161" s="51"/>
      <c r="AO161" s="61" t="s">
        <v>179</v>
      </c>
      <c r="AP161" s="62" t="s">
        <v>805</v>
      </c>
      <c r="AQ161" s="61" t="s">
        <v>905</v>
      </c>
      <c r="AR161" s="64">
        <v>44868.5</v>
      </c>
      <c r="AS161" s="61" t="s">
        <v>136</v>
      </c>
      <c r="AT161" s="61" t="s">
        <v>225</v>
      </c>
      <c r="AU161" s="63">
        <v>0.5</v>
      </c>
      <c r="AV161" s="61">
        <v>1</v>
      </c>
      <c r="AW161" s="61" t="s">
        <v>66</v>
      </c>
      <c r="AX161" s="52"/>
      <c r="AY161" s="52"/>
      <c r="AZ161" s="52"/>
      <c r="BA161" s="52"/>
    </row>
    <row r="162" spans="1:53" x14ac:dyDescent="0.25">
      <c r="A162" s="73">
        <v>52</v>
      </c>
      <c r="B162" s="72">
        <v>44867.652777777781</v>
      </c>
      <c r="C162" s="67">
        <v>0.65625</v>
      </c>
      <c r="D162" s="67">
        <v>0.66319444444444442</v>
      </c>
      <c r="E162" s="67">
        <v>0.67013888888888884</v>
      </c>
      <c r="F162" s="68" t="s">
        <v>170</v>
      </c>
      <c r="G162" s="68" t="s">
        <v>314</v>
      </c>
      <c r="H162" s="66" t="s">
        <v>227</v>
      </c>
      <c r="I162" s="66" t="s">
        <v>189</v>
      </c>
      <c r="J162" s="66" t="s">
        <v>37</v>
      </c>
      <c r="K162" s="66" t="s">
        <v>63</v>
      </c>
      <c r="L162" s="70" t="s">
        <v>206</v>
      </c>
      <c r="M162" s="68" t="s">
        <v>805</v>
      </c>
      <c r="N162" s="68" t="s">
        <v>43</v>
      </c>
      <c r="O162" s="68" t="s">
        <v>806</v>
      </c>
      <c r="P162" s="68" t="s">
        <v>807</v>
      </c>
      <c r="Q162" s="303">
        <f t="shared" si="26"/>
        <v>0</v>
      </c>
      <c r="R162" s="303">
        <f t="shared" si="27"/>
        <v>0</v>
      </c>
      <c r="S162" s="68">
        <v>0</v>
      </c>
      <c r="T162" s="68">
        <v>0</v>
      </c>
      <c r="U162" s="68">
        <v>0</v>
      </c>
      <c r="V162" s="68">
        <v>0</v>
      </c>
      <c r="W162" s="68">
        <v>0</v>
      </c>
      <c r="X162" s="68">
        <v>161</v>
      </c>
      <c r="Y162" s="68">
        <v>137</v>
      </c>
      <c r="Z162" s="68">
        <v>79</v>
      </c>
      <c r="AA162" s="68">
        <v>1</v>
      </c>
      <c r="AB162" s="300">
        <f t="shared" si="28"/>
        <v>290.41716666666667</v>
      </c>
      <c r="AC162" s="300">
        <f t="shared" si="29"/>
        <v>1.7495010040160643</v>
      </c>
      <c r="AD162" s="68">
        <v>0</v>
      </c>
      <c r="AE162" s="68">
        <v>0</v>
      </c>
      <c r="AF162" s="66" t="s">
        <v>317</v>
      </c>
      <c r="AG162" s="66" t="s">
        <v>317</v>
      </c>
      <c r="AH162" s="68" t="s">
        <v>808</v>
      </c>
      <c r="AI162" s="309"/>
      <c r="AJ162" s="309"/>
      <c r="AK162" s="68" t="s">
        <v>37</v>
      </c>
      <c r="AL162" s="68" t="s">
        <v>49</v>
      </c>
      <c r="AM162" s="299">
        <f t="shared" ca="1" si="25"/>
        <v>0.84722222221898846</v>
      </c>
      <c r="AN162" s="51"/>
      <c r="AO162" s="61" t="s">
        <v>179</v>
      </c>
      <c r="AP162" s="62" t="s">
        <v>805</v>
      </c>
      <c r="AQ162" s="61" t="s">
        <v>905</v>
      </c>
      <c r="AR162" s="64">
        <v>44868.5</v>
      </c>
      <c r="AS162" s="61" t="s">
        <v>136</v>
      </c>
      <c r="AT162" s="61" t="s">
        <v>225</v>
      </c>
      <c r="AU162" s="63">
        <v>0.5</v>
      </c>
      <c r="AV162" s="61">
        <v>1</v>
      </c>
      <c r="AW162" s="61" t="s">
        <v>66</v>
      </c>
      <c r="AX162" s="52"/>
      <c r="AY162" s="52"/>
      <c r="AZ162" s="52"/>
      <c r="BA162" s="52"/>
    </row>
    <row r="163" spans="1:53" x14ac:dyDescent="0.25">
      <c r="A163" s="73">
        <v>52</v>
      </c>
      <c r="B163" s="72">
        <v>44867.652777777781</v>
      </c>
      <c r="C163" s="67">
        <v>0.65625</v>
      </c>
      <c r="D163" s="67">
        <v>0.66319444444444442</v>
      </c>
      <c r="E163" s="67">
        <v>0.67013888888888884</v>
      </c>
      <c r="F163" s="68" t="s">
        <v>170</v>
      </c>
      <c r="G163" s="68" t="s">
        <v>314</v>
      </c>
      <c r="H163" s="66" t="s">
        <v>227</v>
      </c>
      <c r="I163" s="66" t="s">
        <v>189</v>
      </c>
      <c r="J163" s="66" t="s">
        <v>37</v>
      </c>
      <c r="K163" s="66" t="s">
        <v>63</v>
      </c>
      <c r="L163" s="70" t="s">
        <v>206</v>
      </c>
      <c r="M163" s="68" t="s">
        <v>805</v>
      </c>
      <c r="N163" s="68" t="s">
        <v>43</v>
      </c>
      <c r="O163" s="68" t="s">
        <v>806</v>
      </c>
      <c r="P163" s="68" t="s">
        <v>807</v>
      </c>
      <c r="Q163" s="303">
        <f t="shared" si="26"/>
        <v>0</v>
      </c>
      <c r="R163" s="303">
        <f t="shared" si="27"/>
        <v>0</v>
      </c>
      <c r="S163" s="68">
        <v>0</v>
      </c>
      <c r="T163" s="68">
        <v>0</v>
      </c>
      <c r="U163" s="68">
        <v>0</v>
      </c>
      <c r="V163" s="68">
        <v>0</v>
      </c>
      <c r="W163" s="68">
        <v>0</v>
      </c>
      <c r="X163" s="68">
        <v>35</v>
      </c>
      <c r="Y163" s="68">
        <v>30</v>
      </c>
      <c r="Z163" s="68">
        <v>18</v>
      </c>
      <c r="AA163" s="68">
        <v>5</v>
      </c>
      <c r="AB163" s="300">
        <f t="shared" si="28"/>
        <v>15.75</v>
      </c>
      <c r="AC163" s="300">
        <f t="shared" si="29"/>
        <v>9.4879518072289157E-2</v>
      </c>
      <c r="AD163" s="68">
        <v>0</v>
      </c>
      <c r="AE163" s="68">
        <v>0</v>
      </c>
      <c r="AF163" s="66" t="s">
        <v>317</v>
      </c>
      <c r="AG163" s="66" t="s">
        <v>317</v>
      </c>
      <c r="AH163" s="68" t="s">
        <v>808</v>
      </c>
      <c r="AI163" s="309"/>
      <c r="AJ163" s="309"/>
      <c r="AK163" s="68" t="s">
        <v>37</v>
      </c>
      <c r="AL163" s="68" t="s">
        <v>39</v>
      </c>
      <c r="AM163" s="299">
        <f t="shared" ca="1" si="25"/>
        <v>0.84722222221898846</v>
      </c>
      <c r="AN163" s="51"/>
      <c r="AO163" s="61" t="s">
        <v>179</v>
      </c>
      <c r="AP163" s="62" t="s">
        <v>805</v>
      </c>
      <c r="AQ163" s="61" t="s">
        <v>905</v>
      </c>
      <c r="AR163" s="64">
        <v>44868.5</v>
      </c>
      <c r="AS163" s="61" t="s">
        <v>136</v>
      </c>
      <c r="AT163" s="61" t="s">
        <v>225</v>
      </c>
      <c r="AU163" s="63">
        <v>0.5</v>
      </c>
      <c r="AV163" s="61">
        <v>1</v>
      </c>
      <c r="AW163" s="61" t="s">
        <v>66</v>
      </c>
      <c r="AX163" s="52"/>
      <c r="AY163" s="52"/>
      <c r="AZ163" s="52"/>
      <c r="BA163" s="52"/>
    </row>
    <row r="164" spans="1:53" x14ac:dyDescent="0.25">
      <c r="A164" s="73">
        <v>53</v>
      </c>
      <c r="B164" s="72">
        <v>44867.652777777781</v>
      </c>
      <c r="C164" s="67">
        <v>0.65625</v>
      </c>
      <c r="D164" s="67">
        <v>0.66319444444444442</v>
      </c>
      <c r="E164" s="67">
        <v>0.67013888888888884</v>
      </c>
      <c r="F164" s="68" t="s">
        <v>170</v>
      </c>
      <c r="G164" s="68" t="s">
        <v>314</v>
      </c>
      <c r="H164" s="66" t="s">
        <v>227</v>
      </c>
      <c r="I164" s="66" t="s">
        <v>189</v>
      </c>
      <c r="J164" s="66" t="s">
        <v>37</v>
      </c>
      <c r="K164" s="66" t="s">
        <v>63</v>
      </c>
      <c r="L164" s="70" t="s">
        <v>206</v>
      </c>
      <c r="M164" s="68" t="s">
        <v>809</v>
      </c>
      <c r="N164" s="68" t="s">
        <v>42</v>
      </c>
      <c r="O164" s="68">
        <v>826</v>
      </c>
      <c r="P164" s="68">
        <v>2476</v>
      </c>
      <c r="Q164" s="303">
        <f t="shared" si="26"/>
        <v>7</v>
      </c>
      <c r="R164" s="303">
        <f t="shared" si="27"/>
        <v>2092</v>
      </c>
      <c r="S164" s="68">
        <v>0</v>
      </c>
      <c r="T164" s="68">
        <v>0</v>
      </c>
      <c r="U164" s="68">
        <v>7</v>
      </c>
      <c r="V164" s="68">
        <v>2092</v>
      </c>
      <c r="W164" s="68">
        <v>2088.8000000000002</v>
      </c>
      <c r="X164" s="68">
        <v>100</v>
      </c>
      <c r="Y164" s="68">
        <v>43</v>
      </c>
      <c r="Z164" s="68">
        <v>45</v>
      </c>
      <c r="AA164" s="68">
        <v>7</v>
      </c>
      <c r="AB164" s="300">
        <f t="shared" si="28"/>
        <v>225.75</v>
      </c>
      <c r="AC164" s="300">
        <f t="shared" si="29"/>
        <v>1.3599397590361446</v>
      </c>
      <c r="AD164" s="68" t="s">
        <v>48</v>
      </c>
      <c r="AE164" s="68" t="s">
        <v>48</v>
      </c>
      <c r="AF164" s="66" t="s">
        <v>317</v>
      </c>
      <c r="AG164" s="66" t="s">
        <v>317</v>
      </c>
      <c r="AH164" s="68" t="s">
        <v>810</v>
      </c>
      <c r="AI164" s="309"/>
      <c r="AJ164" s="309"/>
      <c r="AK164" s="68" t="s">
        <v>41</v>
      </c>
      <c r="AL164" s="68" t="s">
        <v>47</v>
      </c>
      <c r="AM164" s="299">
        <f t="shared" ca="1" si="25"/>
        <v>0.78819444443797693</v>
      </c>
      <c r="AN164" s="51"/>
      <c r="AO164" s="61" t="s">
        <v>89</v>
      </c>
      <c r="AP164" s="62" t="s">
        <v>809</v>
      </c>
      <c r="AQ164" s="61" t="s">
        <v>904</v>
      </c>
      <c r="AR164" s="64">
        <v>44868.440972222219</v>
      </c>
      <c r="AS164" s="61" t="s">
        <v>117</v>
      </c>
      <c r="AT164" s="61" t="s">
        <v>225</v>
      </c>
      <c r="AU164" s="59">
        <v>0.44097222222222227</v>
      </c>
      <c r="AV164" s="61">
        <v>1</v>
      </c>
      <c r="AW164" s="61" t="s">
        <v>66</v>
      </c>
      <c r="AX164" s="52"/>
      <c r="AY164" s="52"/>
      <c r="AZ164" s="52"/>
      <c r="BA164" s="52"/>
    </row>
    <row r="165" spans="1:53" x14ac:dyDescent="0.25">
      <c r="A165" s="73" t="s">
        <v>916</v>
      </c>
      <c r="B165" s="72">
        <v>44867.677083333336</v>
      </c>
      <c r="C165" s="67">
        <v>0.6875</v>
      </c>
      <c r="D165" s="67">
        <v>0.69097222222222221</v>
      </c>
      <c r="E165" s="89">
        <v>44869.479166666664</v>
      </c>
      <c r="F165" s="68" t="s">
        <v>171</v>
      </c>
      <c r="G165" s="68" t="s">
        <v>279</v>
      </c>
      <c r="H165" s="66" t="s">
        <v>217</v>
      </c>
      <c r="I165" s="66" t="s">
        <v>141</v>
      </c>
      <c r="J165" s="68" t="s">
        <v>41</v>
      </c>
      <c r="K165" s="68" t="s">
        <v>180</v>
      </c>
      <c r="L165" s="69" t="s">
        <v>209</v>
      </c>
      <c r="M165" s="61" t="s">
        <v>917</v>
      </c>
      <c r="N165" s="68" t="s">
        <v>42</v>
      </c>
      <c r="O165" s="68" t="s">
        <v>918</v>
      </c>
      <c r="P165" s="68">
        <v>4501197944</v>
      </c>
      <c r="Q165" s="303">
        <f t="shared" si="26"/>
        <v>3</v>
      </c>
      <c r="R165" s="303">
        <f t="shared" si="27"/>
        <v>449</v>
      </c>
      <c r="S165" s="68">
        <v>0</v>
      </c>
      <c r="T165" s="68">
        <v>0</v>
      </c>
      <c r="U165" s="68">
        <v>3</v>
      </c>
      <c r="V165" s="68">
        <f>110+168+171</f>
        <v>449</v>
      </c>
      <c r="W165" s="68">
        <v>441</v>
      </c>
      <c r="X165" s="68">
        <v>86</v>
      </c>
      <c r="Y165" s="68">
        <v>61</v>
      </c>
      <c r="Z165" s="68">
        <v>80</v>
      </c>
      <c r="AA165" s="68">
        <v>1</v>
      </c>
      <c r="AB165" s="300">
        <f t="shared" si="28"/>
        <v>69.946666666666673</v>
      </c>
      <c r="AC165" s="300">
        <f t="shared" si="29"/>
        <v>0.4213654618473896</v>
      </c>
      <c r="AD165" s="68">
        <v>10072.14</v>
      </c>
      <c r="AE165" s="68" t="s">
        <v>109</v>
      </c>
      <c r="AF165" s="66" t="s">
        <v>317</v>
      </c>
      <c r="AG165" s="66" t="s">
        <v>317</v>
      </c>
      <c r="AH165" s="68" t="s">
        <v>919</v>
      </c>
      <c r="AI165" s="309"/>
      <c r="AJ165" s="309"/>
      <c r="AK165" s="68" t="s">
        <v>37</v>
      </c>
      <c r="AL165" s="68" t="s">
        <v>39</v>
      </c>
      <c r="AM165" s="299">
        <f t="shared" ca="1" si="25"/>
        <v>1.9409722222189885</v>
      </c>
      <c r="AN165" s="75"/>
      <c r="AO165" s="61" t="s">
        <v>120</v>
      </c>
      <c r="AP165" s="62" t="s">
        <v>917</v>
      </c>
      <c r="AQ165" s="61" t="s">
        <v>920</v>
      </c>
      <c r="AR165" s="64">
        <v>44869.618055555555</v>
      </c>
      <c r="AS165" s="61" t="s">
        <v>117</v>
      </c>
      <c r="AT165" s="61" t="s">
        <v>225</v>
      </c>
      <c r="AU165" s="59">
        <v>0.61805555555555558</v>
      </c>
      <c r="AV165" s="61">
        <v>2</v>
      </c>
      <c r="AW165" s="61" t="s">
        <v>66</v>
      </c>
      <c r="AX165" s="76"/>
      <c r="AY165" s="76"/>
      <c r="AZ165" s="76"/>
      <c r="BA165" s="76"/>
    </row>
    <row r="166" spans="1:53" x14ac:dyDescent="0.25">
      <c r="A166" s="73" t="s">
        <v>916</v>
      </c>
      <c r="B166" s="72">
        <v>44867.677083333336</v>
      </c>
      <c r="C166" s="67">
        <v>0.6875</v>
      </c>
      <c r="D166" s="67">
        <v>0.69097222222222221</v>
      </c>
      <c r="E166" s="89">
        <v>44869.479166666664</v>
      </c>
      <c r="F166" s="68" t="s">
        <v>171</v>
      </c>
      <c r="G166" s="68" t="s">
        <v>279</v>
      </c>
      <c r="H166" s="66" t="s">
        <v>217</v>
      </c>
      <c r="I166" s="66" t="s">
        <v>141</v>
      </c>
      <c r="J166" s="68" t="s">
        <v>41</v>
      </c>
      <c r="K166" s="68" t="s">
        <v>180</v>
      </c>
      <c r="L166" s="69" t="s">
        <v>209</v>
      </c>
      <c r="M166" s="61" t="s">
        <v>917</v>
      </c>
      <c r="N166" s="68" t="s">
        <v>42</v>
      </c>
      <c r="O166" s="68" t="s">
        <v>918</v>
      </c>
      <c r="P166" s="68">
        <v>4501197944</v>
      </c>
      <c r="Q166" s="303">
        <f t="shared" si="26"/>
        <v>0</v>
      </c>
      <c r="R166" s="303">
        <f t="shared" si="27"/>
        <v>0</v>
      </c>
      <c r="S166" s="68">
        <v>0</v>
      </c>
      <c r="T166" s="68">
        <v>0</v>
      </c>
      <c r="U166" s="68">
        <v>0</v>
      </c>
      <c r="V166" s="68">
        <v>0</v>
      </c>
      <c r="W166" s="68">
        <v>0</v>
      </c>
      <c r="X166" s="68">
        <v>91</v>
      </c>
      <c r="Y166" s="68">
        <v>86</v>
      </c>
      <c r="Z166" s="68">
        <v>80</v>
      </c>
      <c r="AA166" s="68">
        <v>2</v>
      </c>
      <c r="AB166" s="300">
        <f t="shared" si="28"/>
        <v>208.69333333333333</v>
      </c>
      <c r="AC166" s="300">
        <f t="shared" si="29"/>
        <v>1.2571887550200802</v>
      </c>
      <c r="AD166" s="68">
        <v>0</v>
      </c>
      <c r="AE166" s="68">
        <v>0</v>
      </c>
      <c r="AF166" s="66" t="s">
        <v>317</v>
      </c>
      <c r="AG166" s="66" t="s">
        <v>317</v>
      </c>
      <c r="AH166" s="68">
        <v>0</v>
      </c>
      <c r="AI166" s="309"/>
      <c r="AJ166" s="309"/>
      <c r="AK166" s="68">
        <v>0</v>
      </c>
      <c r="AL166" s="68" t="s">
        <v>39</v>
      </c>
      <c r="AM166" s="299">
        <f t="shared" ca="1" si="25"/>
        <v>1.9409722222189885</v>
      </c>
      <c r="AN166" s="75"/>
      <c r="AO166" s="61" t="s">
        <v>120</v>
      </c>
      <c r="AP166" s="62" t="s">
        <v>917</v>
      </c>
      <c r="AQ166" s="61" t="s">
        <v>920</v>
      </c>
      <c r="AR166" s="64">
        <v>44869.618055555555</v>
      </c>
      <c r="AS166" s="61" t="s">
        <v>117</v>
      </c>
      <c r="AT166" s="61" t="s">
        <v>225</v>
      </c>
      <c r="AU166" s="59">
        <v>0.61805555555555558</v>
      </c>
      <c r="AV166" s="61">
        <v>2</v>
      </c>
      <c r="AW166" s="61" t="s">
        <v>66</v>
      </c>
      <c r="AX166" s="76"/>
      <c r="AY166" s="76"/>
      <c r="AZ166" s="76"/>
      <c r="BA166" s="76"/>
    </row>
    <row r="167" spans="1:53" x14ac:dyDescent="0.25">
      <c r="A167" s="73">
        <v>54</v>
      </c>
      <c r="B167" s="72">
        <v>44867.736111111109</v>
      </c>
      <c r="C167" s="67">
        <v>0.73958333333333337</v>
      </c>
      <c r="D167" s="67">
        <v>0.74652777777777779</v>
      </c>
      <c r="E167" s="67">
        <v>0.75</v>
      </c>
      <c r="F167" s="68" t="s">
        <v>171</v>
      </c>
      <c r="G167" s="68" t="s">
        <v>811</v>
      </c>
      <c r="H167" s="66" t="s">
        <v>178</v>
      </c>
      <c r="I167" s="66" t="s">
        <v>188</v>
      </c>
      <c r="J167" s="66" t="s">
        <v>37</v>
      </c>
      <c r="K167" s="66" t="s">
        <v>180</v>
      </c>
      <c r="L167" s="70" t="s">
        <v>206</v>
      </c>
      <c r="M167" s="68" t="s">
        <v>812</v>
      </c>
      <c r="N167" s="68" t="s">
        <v>42</v>
      </c>
      <c r="O167" s="68" t="s">
        <v>813</v>
      </c>
      <c r="P167" s="68">
        <v>28588297</v>
      </c>
      <c r="Q167" s="303">
        <f t="shared" si="26"/>
        <v>1</v>
      </c>
      <c r="R167" s="303">
        <f t="shared" si="27"/>
        <v>91</v>
      </c>
      <c r="S167" s="68">
        <v>0</v>
      </c>
      <c r="T167" s="68">
        <v>0</v>
      </c>
      <c r="U167" s="68">
        <v>1</v>
      </c>
      <c r="V167" s="68">
        <v>91</v>
      </c>
      <c r="W167" s="68">
        <v>87</v>
      </c>
      <c r="X167" s="68">
        <v>110</v>
      </c>
      <c r="Y167" s="68">
        <v>110</v>
      </c>
      <c r="Z167" s="68">
        <v>104</v>
      </c>
      <c r="AA167" s="68">
        <v>1</v>
      </c>
      <c r="AB167" s="300">
        <f t="shared" si="28"/>
        <v>209.73333333333332</v>
      </c>
      <c r="AC167" s="300">
        <f t="shared" si="29"/>
        <v>1.2634538152610442</v>
      </c>
      <c r="AD167" s="68">
        <v>2217.6</v>
      </c>
      <c r="AE167" s="68" t="s">
        <v>109</v>
      </c>
      <c r="AF167" s="66" t="s">
        <v>317</v>
      </c>
      <c r="AG167" s="66" t="s">
        <v>317</v>
      </c>
      <c r="AH167" s="68" t="s">
        <v>814</v>
      </c>
      <c r="AI167" s="309"/>
      <c r="AJ167" s="309"/>
      <c r="AK167" s="68" t="s">
        <v>41</v>
      </c>
      <c r="AL167" s="68" t="s">
        <v>39</v>
      </c>
      <c r="AM167" s="299">
        <f t="shared" ca="1" si="25"/>
        <v>1.8819444444452529</v>
      </c>
      <c r="AN167" s="51"/>
      <c r="AO167" s="61" t="s">
        <v>177</v>
      </c>
      <c r="AP167" s="62" t="s">
        <v>812</v>
      </c>
      <c r="AQ167" s="61" t="s">
        <v>924</v>
      </c>
      <c r="AR167" s="64">
        <v>44869.618055555555</v>
      </c>
      <c r="AS167" s="61" t="s">
        <v>117</v>
      </c>
      <c r="AT167" s="61" t="s">
        <v>225</v>
      </c>
      <c r="AU167" s="59">
        <v>0.61805555555555558</v>
      </c>
      <c r="AV167" s="61">
        <v>2</v>
      </c>
      <c r="AW167" s="61" t="s">
        <v>66</v>
      </c>
      <c r="AX167" s="52"/>
      <c r="AY167" s="52"/>
      <c r="AZ167" s="52"/>
      <c r="BA167" s="52"/>
    </row>
    <row r="168" spans="1:53" x14ac:dyDescent="0.25">
      <c r="A168" s="73">
        <v>55</v>
      </c>
      <c r="B168" s="72">
        <v>44867.75</v>
      </c>
      <c r="C168" s="67">
        <v>0.75347222222222221</v>
      </c>
      <c r="D168" s="67">
        <v>0.75694444444444453</v>
      </c>
      <c r="E168" s="67">
        <v>0.76041666666666663</v>
      </c>
      <c r="F168" s="68" t="s">
        <v>171</v>
      </c>
      <c r="G168" s="68" t="s">
        <v>200</v>
      </c>
      <c r="H168" s="66" t="s">
        <v>75</v>
      </c>
      <c r="I168" s="66" t="s">
        <v>110</v>
      </c>
      <c r="J168" s="66" t="s">
        <v>37</v>
      </c>
      <c r="K168" s="66" t="s">
        <v>180</v>
      </c>
      <c r="L168" s="66" t="s">
        <v>209</v>
      </c>
      <c r="M168" s="68" t="s">
        <v>815</v>
      </c>
      <c r="N168" s="68" t="s">
        <v>283</v>
      </c>
      <c r="O168" s="68" t="s">
        <v>816</v>
      </c>
      <c r="P168" s="68">
        <v>21018218</v>
      </c>
      <c r="Q168" s="303">
        <f t="shared" si="26"/>
        <v>1</v>
      </c>
      <c r="R168" s="303">
        <f t="shared" si="27"/>
        <v>84</v>
      </c>
      <c r="S168" s="68">
        <v>0</v>
      </c>
      <c r="T168" s="68">
        <v>0</v>
      </c>
      <c r="U168" s="68">
        <v>1</v>
      </c>
      <c r="V168" s="68">
        <v>84</v>
      </c>
      <c r="W168" s="68">
        <v>81</v>
      </c>
      <c r="X168" s="68">
        <v>57</v>
      </c>
      <c r="Y168" s="68">
        <v>57</v>
      </c>
      <c r="Z168" s="68">
        <v>45</v>
      </c>
      <c r="AA168" s="68">
        <v>1</v>
      </c>
      <c r="AB168" s="300">
        <f t="shared" si="28"/>
        <v>24.3675</v>
      </c>
      <c r="AC168" s="300">
        <f t="shared" si="29"/>
        <v>0.1467921686746988</v>
      </c>
      <c r="AD168" s="68">
        <v>3819</v>
      </c>
      <c r="AE168" s="68" t="s">
        <v>109</v>
      </c>
      <c r="AF168" s="66" t="s">
        <v>317</v>
      </c>
      <c r="AG168" s="66" t="s">
        <v>317</v>
      </c>
      <c r="AH168" s="68" t="s">
        <v>817</v>
      </c>
      <c r="AI168" s="309"/>
      <c r="AJ168" s="309"/>
      <c r="AK168" s="68" t="s">
        <v>37</v>
      </c>
      <c r="AL168" s="68" t="s">
        <v>47</v>
      </c>
      <c r="AM168" s="299">
        <f t="shared" ref="AM168:AM231" ca="1" si="30">IF(AP168="",NOW()-B168,AR168-B168)</f>
        <v>4.7534722222189885</v>
      </c>
      <c r="AN168" s="51"/>
      <c r="AO168" s="61" t="s">
        <v>202</v>
      </c>
      <c r="AP168" s="62" t="s">
        <v>815</v>
      </c>
      <c r="AQ168" s="61" t="s">
        <v>1129</v>
      </c>
      <c r="AR168" s="64">
        <v>44872.503472222219</v>
      </c>
      <c r="AS168" s="57" t="s">
        <v>173</v>
      </c>
      <c r="AT168" s="61" t="s">
        <v>225</v>
      </c>
      <c r="AU168" s="63">
        <v>0.50347222222222221</v>
      </c>
      <c r="AV168" s="61">
        <v>1</v>
      </c>
      <c r="AW168" s="61" t="s">
        <v>66</v>
      </c>
      <c r="AX168" s="52"/>
      <c r="AY168" s="52"/>
      <c r="AZ168" s="52"/>
      <c r="BA168" s="52"/>
    </row>
    <row r="169" spans="1:53" x14ac:dyDescent="0.25">
      <c r="A169" s="73">
        <v>56</v>
      </c>
      <c r="B169" s="72">
        <v>44867.777777777781</v>
      </c>
      <c r="C169" s="67">
        <v>0.78125</v>
      </c>
      <c r="D169" s="67">
        <v>0.78472222222222221</v>
      </c>
      <c r="E169" s="67">
        <v>0.78819444444444453</v>
      </c>
      <c r="F169" s="68" t="s">
        <v>171</v>
      </c>
      <c r="G169" s="68" t="s">
        <v>173</v>
      </c>
      <c r="H169" s="66" t="s">
        <v>91</v>
      </c>
      <c r="I169" s="66" t="s">
        <v>318</v>
      </c>
      <c r="J169" s="60" t="s">
        <v>41</v>
      </c>
      <c r="K169" s="60" t="s">
        <v>180</v>
      </c>
      <c r="L169" s="65" t="s">
        <v>206</v>
      </c>
      <c r="M169" s="68" t="s">
        <v>818</v>
      </c>
      <c r="N169" s="68" t="s">
        <v>44</v>
      </c>
      <c r="O169" s="68">
        <v>1054968822</v>
      </c>
      <c r="P169" s="68">
        <v>1213915027</v>
      </c>
      <c r="Q169" s="303">
        <f t="shared" ref="Q169:Q232" si="31">S169+U169</f>
        <v>5</v>
      </c>
      <c r="R169" s="303">
        <f t="shared" ref="R169:R232" si="32">T169+V169</f>
        <v>1064</v>
      </c>
      <c r="S169" s="68">
        <v>0</v>
      </c>
      <c r="T169" s="68">
        <v>0</v>
      </c>
      <c r="U169" s="68">
        <v>5</v>
      </c>
      <c r="V169" s="68">
        <f>214+213+212+213+212</f>
        <v>1064</v>
      </c>
      <c r="W169" s="68">
        <v>1068</v>
      </c>
      <c r="X169" s="68">
        <v>120</v>
      </c>
      <c r="Y169" s="68">
        <v>80</v>
      </c>
      <c r="Z169" s="68">
        <v>78</v>
      </c>
      <c r="AA169" s="68">
        <v>5</v>
      </c>
      <c r="AB169" s="300">
        <f t="shared" ref="AB169:AB232" si="33">X169*Y169*Z169*AA169/6000</f>
        <v>624</v>
      </c>
      <c r="AC169" s="300">
        <f t="shared" ref="AC169:AC232" si="34">AB169/166</f>
        <v>3.7590361445783134</v>
      </c>
      <c r="AD169" s="68">
        <v>46253.23</v>
      </c>
      <c r="AE169" s="68" t="s">
        <v>109</v>
      </c>
      <c r="AF169" s="66" t="s">
        <v>317</v>
      </c>
      <c r="AG169" s="66" t="s">
        <v>317</v>
      </c>
      <c r="AH169" s="68" t="s">
        <v>819</v>
      </c>
      <c r="AI169" s="309"/>
      <c r="AJ169" s="309"/>
      <c r="AK169" s="68" t="s">
        <v>37</v>
      </c>
      <c r="AL169" s="68" t="s">
        <v>49</v>
      </c>
      <c r="AM169" s="299">
        <f t="shared" ca="1" si="30"/>
        <v>1.7256944444379769</v>
      </c>
      <c r="AN169" s="51"/>
      <c r="AO169" s="61" t="s">
        <v>323</v>
      </c>
      <c r="AP169" s="62" t="s">
        <v>818</v>
      </c>
      <c r="AQ169" s="61" t="s">
        <v>914</v>
      </c>
      <c r="AR169" s="64">
        <v>44869.503472222219</v>
      </c>
      <c r="AS169" s="61" t="s">
        <v>95</v>
      </c>
      <c r="AT169" s="61" t="s">
        <v>225</v>
      </c>
      <c r="AU169" s="59">
        <v>0.50347222222222221</v>
      </c>
      <c r="AV169" s="61">
        <v>1</v>
      </c>
      <c r="AW169" s="61" t="s">
        <v>66</v>
      </c>
      <c r="AX169" s="52"/>
      <c r="AY169" s="52"/>
      <c r="AZ169" s="52"/>
      <c r="BA169" s="52"/>
    </row>
    <row r="170" spans="1:53" x14ac:dyDescent="0.25">
      <c r="A170" s="73">
        <v>57</v>
      </c>
      <c r="B170" s="72">
        <v>44867.802083333336</v>
      </c>
      <c r="C170" s="67">
        <v>0.80555555555555547</v>
      </c>
      <c r="D170" s="67">
        <v>0.80902777777777779</v>
      </c>
      <c r="E170" s="67">
        <v>0.83333333333333337</v>
      </c>
      <c r="F170" s="68" t="s">
        <v>171</v>
      </c>
      <c r="G170" s="68" t="s">
        <v>321</v>
      </c>
      <c r="H170" s="71" t="s">
        <v>195</v>
      </c>
      <c r="I170" s="71" t="s">
        <v>195</v>
      </c>
      <c r="J170" s="71" t="s">
        <v>37</v>
      </c>
      <c r="K170" s="71" t="s">
        <v>180</v>
      </c>
      <c r="L170" s="71" t="s">
        <v>209</v>
      </c>
      <c r="M170" s="68" t="s">
        <v>841</v>
      </c>
      <c r="N170" s="68" t="s">
        <v>42</v>
      </c>
      <c r="O170" s="68" t="s">
        <v>842</v>
      </c>
      <c r="P170" s="68">
        <v>2101066279</v>
      </c>
      <c r="Q170" s="303">
        <f t="shared" si="31"/>
        <v>8</v>
      </c>
      <c r="R170" s="303">
        <f t="shared" si="32"/>
        <v>1833</v>
      </c>
      <c r="S170" s="68">
        <v>0</v>
      </c>
      <c r="T170" s="68">
        <v>0</v>
      </c>
      <c r="U170" s="68">
        <v>8</v>
      </c>
      <c r="V170" s="38">
        <v>1833</v>
      </c>
      <c r="W170" s="38">
        <v>2884</v>
      </c>
      <c r="X170" s="68">
        <v>114</v>
      </c>
      <c r="Y170" s="68">
        <v>80</v>
      </c>
      <c r="Z170" s="68">
        <v>116</v>
      </c>
      <c r="AA170" s="68">
        <v>3</v>
      </c>
      <c r="AB170" s="300">
        <f t="shared" si="33"/>
        <v>528.96</v>
      </c>
      <c r="AC170" s="300">
        <f t="shared" si="34"/>
        <v>3.1865060240963858</v>
      </c>
      <c r="AD170" s="68">
        <v>71183.759999999995</v>
      </c>
      <c r="AE170" s="68" t="s">
        <v>109</v>
      </c>
      <c r="AF170" s="66" t="s">
        <v>317</v>
      </c>
      <c r="AG170" s="66" t="s">
        <v>317</v>
      </c>
      <c r="AH170" s="68" t="s">
        <v>843</v>
      </c>
      <c r="AI170" s="309"/>
      <c r="AJ170" s="309"/>
      <c r="AK170" s="68" t="s">
        <v>41</v>
      </c>
      <c r="AL170" s="68" t="s">
        <v>49</v>
      </c>
      <c r="AM170" s="299">
        <f t="shared" ca="1" si="30"/>
        <v>0.63541666666424135</v>
      </c>
      <c r="AN170" s="51"/>
      <c r="AO170" s="61" t="s">
        <v>128</v>
      </c>
      <c r="AP170" s="62" t="s">
        <v>841</v>
      </c>
      <c r="AQ170" s="61" t="s">
        <v>902</v>
      </c>
      <c r="AR170" s="64">
        <v>44868.4375</v>
      </c>
      <c r="AS170" s="57" t="s">
        <v>903</v>
      </c>
      <c r="AT170" s="61" t="s">
        <v>225</v>
      </c>
      <c r="AU170" s="63">
        <v>0.4375</v>
      </c>
      <c r="AV170" s="61">
        <v>1</v>
      </c>
      <c r="AW170" s="61" t="s">
        <v>66</v>
      </c>
      <c r="AX170" s="52"/>
      <c r="AY170" s="52"/>
      <c r="AZ170" s="52"/>
      <c r="BA170" s="52"/>
    </row>
    <row r="171" spans="1:53" x14ac:dyDescent="0.25">
      <c r="A171" s="73">
        <v>57</v>
      </c>
      <c r="B171" s="72">
        <v>44867.802083333336</v>
      </c>
      <c r="C171" s="67">
        <v>0.80555555555555547</v>
      </c>
      <c r="D171" s="67">
        <v>0.80902777777777779</v>
      </c>
      <c r="E171" s="67">
        <v>0.83333333333333337</v>
      </c>
      <c r="F171" s="68" t="s">
        <v>171</v>
      </c>
      <c r="G171" s="68" t="s">
        <v>321</v>
      </c>
      <c r="H171" s="66" t="s">
        <v>195</v>
      </c>
      <c r="I171" s="66" t="s">
        <v>195</v>
      </c>
      <c r="J171" s="66" t="s">
        <v>37</v>
      </c>
      <c r="K171" s="66" t="s">
        <v>180</v>
      </c>
      <c r="L171" s="66" t="s">
        <v>209</v>
      </c>
      <c r="M171" s="68" t="s">
        <v>841</v>
      </c>
      <c r="N171" s="68" t="s">
        <v>42</v>
      </c>
      <c r="O171" s="68" t="s">
        <v>842</v>
      </c>
      <c r="P171" s="68">
        <v>2101066279</v>
      </c>
      <c r="Q171" s="303">
        <f t="shared" si="31"/>
        <v>0</v>
      </c>
      <c r="R171" s="303">
        <f t="shared" si="32"/>
        <v>0</v>
      </c>
      <c r="S171" s="68">
        <v>0</v>
      </c>
      <c r="T171" s="68">
        <v>0</v>
      </c>
      <c r="U171" s="68">
        <v>0</v>
      </c>
      <c r="V171" s="68">
        <v>0</v>
      </c>
      <c r="W171" s="68">
        <v>0</v>
      </c>
      <c r="X171" s="68">
        <v>114</v>
      </c>
      <c r="Y171" s="68">
        <v>80</v>
      </c>
      <c r="Z171" s="68">
        <v>83</v>
      </c>
      <c r="AA171" s="68">
        <v>1</v>
      </c>
      <c r="AB171" s="300">
        <f t="shared" si="33"/>
        <v>126.16</v>
      </c>
      <c r="AC171" s="300">
        <f t="shared" si="34"/>
        <v>0.76</v>
      </c>
      <c r="AD171" s="68">
        <v>0</v>
      </c>
      <c r="AE171" s="68">
        <v>0</v>
      </c>
      <c r="AF171" s="66" t="s">
        <v>317</v>
      </c>
      <c r="AG171" s="66" t="s">
        <v>317</v>
      </c>
      <c r="AH171" s="68" t="s">
        <v>843</v>
      </c>
      <c r="AI171" s="309"/>
      <c r="AJ171" s="309"/>
      <c r="AK171" s="68" t="s">
        <v>41</v>
      </c>
      <c r="AL171" s="68" t="s">
        <v>49</v>
      </c>
      <c r="AM171" s="299">
        <f t="shared" ca="1" si="30"/>
        <v>0.63541666666424135</v>
      </c>
      <c r="AN171" s="51"/>
      <c r="AO171" s="61" t="s">
        <v>128</v>
      </c>
      <c r="AP171" s="62" t="s">
        <v>841</v>
      </c>
      <c r="AQ171" s="61" t="s">
        <v>902</v>
      </c>
      <c r="AR171" s="64">
        <v>44868.4375</v>
      </c>
      <c r="AS171" s="57" t="s">
        <v>903</v>
      </c>
      <c r="AT171" s="61" t="s">
        <v>225</v>
      </c>
      <c r="AU171" s="63">
        <v>0.4375</v>
      </c>
      <c r="AV171" s="61">
        <v>1</v>
      </c>
      <c r="AW171" s="61" t="s">
        <v>66</v>
      </c>
      <c r="AX171" s="52"/>
      <c r="AY171" s="52"/>
      <c r="AZ171" s="52"/>
      <c r="BA171" s="52"/>
    </row>
    <row r="172" spans="1:53" x14ac:dyDescent="0.25">
      <c r="A172" s="73">
        <v>57</v>
      </c>
      <c r="B172" s="72">
        <v>44867.802083333336</v>
      </c>
      <c r="C172" s="67">
        <v>0.80555555555555547</v>
      </c>
      <c r="D172" s="67">
        <v>0.80902777777777779</v>
      </c>
      <c r="E172" s="67">
        <v>0.83333333333333337</v>
      </c>
      <c r="F172" s="68" t="s">
        <v>171</v>
      </c>
      <c r="G172" s="68" t="s">
        <v>321</v>
      </c>
      <c r="H172" s="66" t="s">
        <v>195</v>
      </c>
      <c r="I172" s="66" t="s">
        <v>195</v>
      </c>
      <c r="J172" s="66" t="s">
        <v>37</v>
      </c>
      <c r="K172" s="66" t="s">
        <v>180</v>
      </c>
      <c r="L172" s="66" t="s">
        <v>209</v>
      </c>
      <c r="M172" s="68" t="s">
        <v>841</v>
      </c>
      <c r="N172" s="68" t="s">
        <v>42</v>
      </c>
      <c r="O172" s="68" t="s">
        <v>842</v>
      </c>
      <c r="P172" s="68">
        <v>2101066279</v>
      </c>
      <c r="Q172" s="303">
        <f t="shared" si="31"/>
        <v>0</v>
      </c>
      <c r="R172" s="303">
        <f t="shared" si="32"/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114</v>
      </c>
      <c r="Y172" s="68">
        <v>80</v>
      </c>
      <c r="Z172" s="68">
        <v>122</v>
      </c>
      <c r="AA172" s="68">
        <v>1</v>
      </c>
      <c r="AB172" s="300">
        <f t="shared" si="33"/>
        <v>185.44</v>
      </c>
      <c r="AC172" s="300">
        <f t="shared" si="34"/>
        <v>1.1171084337349397</v>
      </c>
      <c r="AD172" s="68">
        <v>0</v>
      </c>
      <c r="AE172" s="68">
        <v>0</v>
      </c>
      <c r="AF172" s="66" t="s">
        <v>317</v>
      </c>
      <c r="AG172" s="66" t="s">
        <v>317</v>
      </c>
      <c r="AH172" s="68" t="s">
        <v>843</v>
      </c>
      <c r="AI172" s="309"/>
      <c r="AJ172" s="309"/>
      <c r="AK172" s="68" t="s">
        <v>41</v>
      </c>
      <c r="AL172" s="68" t="s">
        <v>49</v>
      </c>
      <c r="AM172" s="299">
        <f t="shared" ca="1" si="30"/>
        <v>0.63541666666424135</v>
      </c>
      <c r="AN172" s="51"/>
      <c r="AO172" s="61" t="s">
        <v>128</v>
      </c>
      <c r="AP172" s="62" t="s">
        <v>841</v>
      </c>
      <c r="AQ172" s="61" t="s">
        <v>902</v>
      </c>
      <c r="AR172" s="64">
        <v>44868.4375</v>
      </c>
      <c r="AS172" s="57" t="s">
        <v>903</v>
      </c>
      <c r="AT172" s="61" t="s">
        <v>225</v>
      </c>
      <c r="AU172" s="63">
        <v>0.4375</v>
      </c>
      <c r="AV172" s="61">
        <v>1</v>
      </c>
      <c r="AW172" s="61" t="s">
        <v>66</v>
      </c>
      <c r="AX172" s="52"/>
      <c r="AY172" s="52"/>
      <c r="AZ172" s="52"/>
      <c r="BA172" s="52"/>
    </row>
    <row r="173" spans="1:53" x14ac:dyDescent="0.25">
      <c r="A173" s="73">
        <v>57</v>
      </c>
      <c r="B173" s="72">
        <v>44867.802083333336</v>
      </c>
      <c r="C173" s="67">
        <v>0.80555555555555547</v>
      </c>
      <c r="D173" s="67">
        <v>0.80902777777777779</v>
      </c>
      <c r="E173" s="67">
        <v>0.83333333333333337</v>
      </c>
      <c r="F173" s="68" t="s">
        <v>171</v>
      </c>
      <c r="G173" s="68" t="s">
        <v>321</v>
      </c>
      <c r="H173" s="66" t="s">
        <v>195</v>
      </c>
      <c r="I173" s="66" t="s">
        <v>195</v>
      </c>
      <c r="J173" s="66" t="s">
        <v>37</v>
      </c>
      <c r="K173" s="66" t="s">
        <v>180</v>
      </c>
      <c r="L173" s="66" t="s">
        <v>209</v>
      </c>
      <c r="M173" s="68" t="s">
        <v>841</v>
      </c>
      <c r="N173" s="68" t="s">
        <v>42</v>
      </c>
      <c r="O173" s="68" t="s">
        <v>842</v>
      </c>
      <c r="P173" s="68">
        <v>2101066279</v>
      </c>
      <c r="Q173" s="303">
        <f t="shared" si="31"/>
        <v>0</v>
      </c>
      <c r="R173" s="303">
        <f t="shared" si="32"/>
        <v>0</v>
      </c>
      <c r="S173" s="68">
        <v>0</v>
      </c>
      <c r="T173" s="68">
        <v>0</v>
      </c>
      <c r="U173" s="68">
        <v>0</v>
      </c>
      <c r="V173" s="68">
        <v>0</v>
      </c>
      <c r="W173" s="68">
        <v>0</v>
      </c>
      <c r="X173" s="68">
        <v>114</v>
      </c>
      <c r="Y173" s="68">
        <v>80</v>
      </c>
      <c r="Z173" s="68">
        <v>128</v>
      </c>
      <c r="AA173" s="68">
        <v>3</v>
      </c>
      <c r="AB173" s="300">
        <f t="shared" si="33"/>
        <v>583.67999999999995</v>
      </c>
      <c r="AC173" s="300">
        <f t="shared" si="34"/>
        <v>3.5161445783132526</v>
      </c>
      <c r="AD173" s="68">
        <v>0</v>
      </c>
      <c r="AE173" s="68">
        <v>0</v>
      </c>
      <c r="AF173" s="66" t="s">
        <v>317</v>
      </c>
      <c r="AG173" s="66" t="s">
        <v>317</v>
      </c>
      <c r="AH173" s="68" t="s">
        <v>843</v>
      </c>
      <c r="AI173" s="309"/>
      <c r="AJ173" s="309"/>
      <c r="AK173" s="68" t="s">
        <v>41</v>
      </c>
      <c r="AL173" s="68" t="s">
        <v>49</v>
      </c>
      <c r="AM173" s="299">
        <f t="shared" ca="1" si="30"/>
        <v>0.63541666666424135</v>
      </c>
      <c r="AN173" s="51"/>
      <c r="AO173" s="61" t="s">
        <v>128</v>
      </c>
      <c r="AP173" s="62" t="s">
        <v>841</v>
      </c>
      <c r="AQ173" s="61" t="s">
        <v>902</v>
      </c>
      <c r="AR173" s="64">
        <v>44868.4375</v>
      </c>
      <c r="AS173" s="57" t="s">
        <v>903</v>
      </c>
      <c r="AT173" s="61" t="s">
        <v>225</v>
      </c>
      <c r="AU173" s="63">
        <v>0.4375</v>
      </c>
      <c r="AV173" s="61">
        <v>1</v>
      </c>
      <c r="AW173" s="61" t="s">
        <v>66</v>
      </c>
      <c r="AX173" s="52"/>
      <c r="AY173" s="52"/>
      <c r="AZ173" s="52"/>
      <c r="BA173" s="52"/>
    </row>
    <row r="174" spans="1:53" x14ac:dyDescent="0.25">
      <c r="A174" s="73">
        <v>58</v>
      </c>
      <c r="B174" s="72">
        <v>44867.815972222219</v>
      </c>
      <c r="C174" s="67">
        <v>0.81944444444444453</v>
      </c>
      <c r="D174" s="67">
        <v>0.82986111111111116</v>
      </c>
      <c r="E174" s="67">
        <v>0.83333333333333337</v>
      </c>
      <c r="F174" s="68" t="s">
        <v>171</v>
      </c>
      <c r="G174" s="68" t="s">
        <v>844</v>
      </c>
      <c r="H174" s="66" t="s">
        <v>195</v>
      </c>
      <c r="I174" s="66" t="s">
        <v>195</v>
      </c>
      <c r="J174" s="66" t="s">
        <v>37</v>
      </c>
      <c r="K174" s="66" t="s">
        <v>180</v>
      </c>
      <c r="L174" s="66" t="s">
        <v>209</v>
      </c>
      <c r="M174" s="68" t="s">
        <v>845</v>
      </c>
      <c r="N174" s="68" t="s">
        <v>42</v>
      </c>
      <c r="O174" s="68" t="s">
        <v>846</v>
      </c>
      <c r="P174" s="68">
        <v>2101066280</v>
      </c>
      <c r="Q174" s="303">
        <f t="shared" si="31"/>
        <v>8</v>
      </c>
      <c r="R174" s="303">
        <f t="shared" si="32"/>
        <v>2114</v>
      </c>
      <c r="S174" s="68">
        <v>0</v>
      </c>
      <c r="T174" s="68">
        <v>0</v>
      </c>
      <c r="U174" s="68">
        <v>8</v>
      </c>
      <c r="V174" s="68">
        <v>2114</v>
      </c>
      <c r="W174" s="68">
        <v>2299.998</v>
      </c>
      <c r="X174" s="68">
        <v>114</v>
      </c>
      <c r="Y174" s="68">
        <v>80</v>
      </c>
      <c r="Z174" s="68">
        <v>131</v>
      </c>
      <c r="AA174" s="68">
        <v>4</v>
      </c>
      <c r="AB174" s="300">
        <f t="shared" si="33"/>
        <v>796.48</v>
      </c>
      <c r="AC174" s="300">
        <f t="shared" si="34"/>
        <v>4.798072289156627</v>
      </c>
      <c r="AD174" s="68">
        <v>80064.34</v>
      </c>
      <c r="AE174" s="68" t="s">
        <v>109</v>
      </c>
      <c r="AF174" s="66" t="s">
        <v>317</v>
      </c>
      <c r="AG174" s="66" t="s">
        <v>317</v>
      </c>
      <c r="AH174" s="68" t="s">
        <v>847</v>
      </c>
      <c r="AI174" s="309"/>
      <c r="AJ174" s="309"/>
      <c r="AK174" s="68" t="s">
        <v>41</v>
      </c>
      <c r="AL174" s="68" t="s">
        <v>39</v>
      </c>
      <c r="AM174" s="299">
        <f t="shared" ca="1" si="30"/>
        <v>0.62152777778101154</v>
      </c>
      <c r="AN174" s="51"/>
      <c r="AO174" s="61" t="s">
        <v>132</v>
      </c>
      <c r="AP174" s="62" t="s">
        <v>845</v>
      </c>
      <c r="AQ174" s="61" t="s">
        <v>902</v>
      </c>
      <c r="AR174" s="64">
        <v>44868.4375</v>
      </c>
      <c r="AS174" s="57" t="s">
        <v>173</v>
      </c>
      <c r="AT174" s="61" t="s">
        <v>225</v>
      </c>
      <c r="AU174" s="63">
        <v>0.4375</v>
      </c>
      <c r="AV174" s="61">
        <v>1</v>
      </c>
      <c r="AW174" s="61" t="s">
        <v>66</v>
      </c>
      <c r="AX174" s="52"/>
      <c r="AY174" s="52"/>
      <c r="AZ174" s="52"/>
      <c r="BA174" s="52"/>
    </row>
    <row r="175" spans="1:53" x14ac:dyDescent="0.25">
      <c r="A175" s="73">
        <v>58</v>
      </c>
      <c r="B175" s="72">
        <v>44867.815972222219</v>
      </c>
      <c r="C175" s="67">
        <v>0.81944444444444453</v>
      </c>
      <c r="D175" s="67">
        <v>0.82986111111111116</v>
      </c>
      <c r="E175" s="67">
        <v>0.83333333333333337</v>
      </c>
      <c r="F175" s="68" t="s">
        <v>171</v>
      </c>
      <c r="G175" s="68" t="s">
        <v>844</v>
      </c>
      <c r="H175" s="66" t="s">
        <v>195</v>
      </c>
      <c r="I175" s="66" t="s">
        <v>195</v>
      </c>
      <c r="J175" s="66" t="s">
        <v>37</v>
      </c>
      <c r="K175" s="66" t="s">
        <v>180</v>
      </c>
      <c r="L175" s="66" t="s">
        <v>209</v>
      </c>
      <c r="M175" s="68" t="s">
        <v>845</v>
      </c>
      <c r="N175" s="68" t="s">
        <v>42</v>
      </c>
      <c r="O175" s="68" t="s">
        <v>846</v>
      </c>
      <c r="P175" s="68">
        <v>2101066280</v>
      </c>
      <c r="Q175" s="303">
        <f t="shared" si="31"/>
        <v>0</v>
      </c>
      <c r="R175" s="303">
        <f t="shared" si="32"/>
        <v>0</v>
      </c>
      <c r="S175" s="68">
        <v>0</v>
      </c>
      <c r="T175" s="68">
        <v>0</v>
      </c>
      <c r="U175" s="68">
        <v>0</v>
      </c>
      <c r="V175" s="68">
        <v>0</v>
      </c>
      <c r="W175" s="68">
        <v>0</v>
      </c>
      <c r="X175" s="68">
        <v>114</v>
      </c>
      <c r="Y175" s="68">
        <v>80</v>
      </c>
      <c r="Z175" s="68">
        <v>112</v>
      </c>
      <c r="AA175" s="68">
        <v>3</v>
      </c>
      <c r="AB175" s="300">
        <f t="shared" si="33"/>
        <v>510.72</v>
      </c>
      <c r="AC175" s="300">
        <f t="shared" si="34"/>
        <v>3.0766265060240965</v>
      </c>
      <c r="AD175" s="68">
        <v>0</v>
      </c>
      <c r="AE175" s="68">
        <v>0</v>
      </c>
      <c r="AF175" s="66" t="s">
        <v>317</v>
      </c>
      <c r="AG175" s="66" t="s">
        <v>317</v>
      </c>
      <c r="AH175" s="68" t="s">
        <v>847</v>
      </c>
      <c r="AI175" s="309"/>
      <c r="AJ175" s="309"/>
      <c r="AK175" s="68" t="s">
        <v>41</v>
      </c>
      <c r="AL175" s="68" t="s">
        <v>39</v>
      </c>
      <c r="AM175" s="299">
        <f t="shared" ca="1" si="30"/>
        <v>0.62152777778101154</v>
      </c>
      <c r="AN175" s="51"/>
      <c r="AO175" s="61" t="s">
        <v>132</v>
      </c>
      <c r="AP175" s="62" t="s">
        <v>845</v>
      </c>
      <c r="AQ175" s="61" t="s">
        <v>902</v>
      </c>
      <c r="AR175" s="64">
        <v>44868.4375</v>
      </c>
      <c r="AS175" s="57" t="s">
        <v>173</v>
      </c>
      <c r="AT175" s="61" t="s">
        <v>225</v>
      </c>
      <c r="AU175" s="63">
        <v>0.4375</v>
      </c>
      <c r="AV175" s="61">
        <v>1</v>
      </c>
      <c r="AW175" s="61" t="s">
        <v>66</v>
      </c>
      <c r="AX175" s="52"/>
      <c r="AY175" s="52"/>
      <c r="AZ175" s="52"/>
      <c r="BA175" s="52"/>
    </row>
    <row r="176" spans="1:53" ht="15.75" thickBot="1" x14ac:dyDescent="0.3">
      <c r="A176" s="73">
        <v>58</v>
      </c>
      <c r="B176" s="72">
        <v>44867.815972222219</v>
      </c>
      <c r="C176" s="67">
        <v>0.81944444444444453</v>
      </c>
      <c r="D176" s="67">
        <v>0.82986111111111116</v>
      </c>
      <c r="E176" s="67">
        <v>0.83333333333333337</v>
      </c>
      <c r="F176" s="68" t="s">
        <v>171</v>
      </c>
      <c r="G176" s="68" t="s">
        <v>844</v>
      </c>
      <c r="H176" s="66" t="s">
        <v>195</v>
      </c>
      <c r="I176" s="66" t="s">
        <v>195</v>
      </c>
      <c r="J176" s="66" t="s">
        <v>37</v>
      </c>
      <c r="K176" s="66" t="s">
        <v>180</v>
      </c>
      <c r="L176" s="66" t="s">
        <v>209</v>
      </c>
      <c r="M176" s="68" t="s">
        <v>845</v>
      </c>
      <c r="N176" s="68" t="s">
        <v>42</v>
      </c>
      <c r="O176" s="68" t="s">
        <v>846</v>
      </c>
      <c r="P176" s="68">
        <v>2101066280</v>
      </c>
      <c r="Q176" s="303">
        <f t="shared" si="31"/>
        <v>0</v>
      </c>
      <c r="R176" s="303">
        <f t="shared" si="32"/>
        <v>0</v>
      </c>
      <c r="S176" s="68">
        <v>0</v>
      </c>
      <c r="T176" s="68">
        <v>0</v>
      </c>
      <c r="U176" s="68">
        <v>0</v>
      </c>
      <c r="V176" s="68">
        <v>0</v>
      </c>
      <c r="W176" s="68">
        <v>0</v>
      </c>
      <c r="X176" s="68">
        <v>114</v>
      </c>
      <c r="Y176" s="68">
        <v>80</v>
      </c>
      <c r="Z176" s="68">
        <v>126</v>
      </c>
      <c r="AA176" s="68">
        <v>1</v>
      </c>
      <c r="AB176" s="300">
        <f t="shared" si="33"/>
        <v>191.52</v>
      </c>
      <c r="AC176" s="300">
        <f t="shared" si="34"/>
        <v>1.1537349397590362</v>
      </c>
      <c r="AD176" s="68">
        <v>0</v>
      </c>
      <c r="AE176" s="68">
        <v>0</v>
      </c>
      <c r="AF176" s="66" t="s">
        <v>317</v>
      </c>
      <c r="AG176" s="66" t="s">
        <v>317</v>
      </c>
      <c r="AH176" s="68" t="s">
        <v>847</v>
      </c>
      <c r="AI176" s="309"/>
      <c r="AJ176" s="309"/>
      <c r="AK176" s="68" t="s">
        <v>41</v>
      </c>
      <c r="AL176" s="68" t="s">
        <v>39</v>
      </c>
      <c r="AM176" s="299">
        <f t="shared" ca="1" si="30"/>
        <v>0.62152777778101154</v>
      </c>
      <c r="AN176" s="51"/>
      <c r="AO176" s="61" t="s">
        <v>132</v>
      </c>
      <c r="AP176" s="62" t="s">
        <v>845</v>
      </c>
      <c r="AQ176" s="61" t="s">
        <v>902</v>
      </c>
      <c r="AR176" s="64">
        <v>44868.4375</v>
      </c>
      <c r="AS176" s="57" t="s">
        <v>173</v>
      </c>
      <c r="AT176" s="61" t="s">
        <v>225</v>
      </c>
      <c r="AU176" s="63">
        <v>0.4375</v>
      </c>
      <c r="AV176" s="61">
        <v>1</v>
      </c>
      <c r="AW176" s="61" t="s">
        <v>66</v>
      </c>
      <c r="AX176" s="52"/>
      <c r="AY176" s="52"/>
      <c r="AZ176" s="52"/>
      <c r="BA176" s="52"/>
    </row>
    <row r="177" spans="1:54" ht="15.75" thickBot="1" x14ac:dyDescent="0.3">
      <c r="A177" s="73">
        <v>59</v>
      </c>
      <c r="B177" s="72">
        <v>44868.381944444445</v>
      </c>
      <c r="C177" s="67">
        <v>0.3923611111111111</v>
      </c>
      <c r="D177" s="67">
        <v>0.39583333333333331</v>
      </c>
      <c r="E177" s="67">
        <v>0.40277777777777773</v>
      </c>
      <c r="F177" s="68" t="s">
        <v>171</v>
      </c>
      <c r="G177" s="68" t="s">
        <v>492</v>
      </c>
      <c r="H177" s="71" t="s">
        <v>199</v>
      </c>
      <c r="I177" s="71" t="s">
        <v>69</v>
      </c>
      <c r="J177" s="71" t="s">
        <v>37</v>
      </c>
      <c r="K177" s="71" t="s">
        <v>180</v>
      </c>
      <c r="L177" s="47" t="s">
        <v>206</v>
      </c>
      <c r="M177" s="68" t="s">
        <v>848</v>
      </c>
      <c r="N177" s="68" t="s">
        <v>42</v>
      </c>
      <c r="O177" s="68">
        <v>274010663</v>
      </c>
      <c r="P177" s="68">
        <v>2000073377</v>
      </c>
      <c r="Q177" s="303">
        <f t="shared" si="31"/>
        <v>1</v>
      </c>
      <c r="R177" s="303">
        <f t="shared" si="32"/>
        <v>180</v>
      </c>
      <c r="S177" s="68">
        <v>0</v>
      </c>
      <c r="T177" s="68">
        <v>0</v>
      </c>
      <c r="U177" s="68">
        <v>1</v>
      </c>
      <c r="V177" s="68">
        <v>180</v>
      </c>
      <c r="W177" s="68">
        <v>181.8</v>
      </c>
      <c r="X177" s="68">
        <v>123</v>
      </c>
      <c r="Y177" s="68">
        <v>83</v>
      </c>
      <c r="Z177" s="68">
        <v>75</v>
      </c>
      <c r="AA177" s="68">
        <v>1</v>
      </c>
      <c r="AB177" s="300">
        <f t="shared" si="33"/>
        <v>127.6125</v>
      </c>
      <c r="AC177" s="300">
        <f t="shared" si="34"/>
        <v>0.76874999999999993</v>
      </c>
      <c r="AD177" s="68">
        <v>5140.8</v>
      </c>
      <c r="AE177" s="68" t="s">
        <v>109</v>
      </c>
      <c r="AF177" s="66" t="s">
        <v>317</v>
      </c>
      <c r="AG177" s="66" t="s">
        <v>317</v>
      </c>
      <c r="AH177" s="68" t="s">
        <v>849</v>
      </c>
      <c r="AI177" s="309"/>
      <c r="AJ177" s="309"/>
      <c r="AK177" s="68" t="s">
        <v>37</v>
      </c>
      <c r="AL177" s="68" t="s">
        <v>47</v>
      </c>
      <c r="AM177" s="299">
        <f t="shared" ca="1" si="30"/>
        <v>0.26388888889050577</v>
      </c>
      <c r="AN177" s="75"/>
      <c r="AO177" s="61" t="s">
        <v>157</v>
      </c>
      <c r="AP177" s="62" t="s">
        <v>848</v>
      </c>
      <c r="AQ177" s="61" t="s">
        <v>907</v>
      </c>
      <c r="AR177" s="64">
        <v>44868.645833333336</v>
      </c>
      <c r="AS177" s="61" t="s">
        <v>95</v>
      </c>
      <c r="AT177" s="61" t="s">
        <v>225</v>
      </c>
      <c r="AU177" s="59">
        <v>0.65972222222222221</v>
      </c>
      <c r="AV177" s="61">
        <v>1</v>
      </c>
      <c r="AW177" s="61" t="s">
        <v>66</v>
      </c>
      <c r="AX177" s="76"/>
      <c r="AY177" s="76"/>
      <c r="AZ177" s="76"/>
      <c r="BA177" s="76"/>
      <c r="BB177" s="74"/>
    </row>
    <row r="178" spans="1:54" ht="15.75" thickBot="1" x14ac:dyDescent="0.3">
      <c r="A178" s="73">
        <v>60</v>
      </c>
      <c r="B178" s="72">
        <v>44868.399305555555</v>
      </c>
      <c r="C178" s="67">
        <v>0.40277777777777773</v>
      </c>
      <c r="D178" s="67">
        <v>0.40625</v>
      </c>
      <c r="E178" s="67">
        <v>0.4201388888888889</v>
      </c>
      <c r="F178" s="68" t="s">
        <v>170</v>
      </c>
      <c r="G178" s="68" t="s">
        <v>328</v>
      </c>
      <c r="H178" s="66" t="s">
        <v>204</v>
      </c>
      <c r="I178" s="66" t="s">
        <v>92</v>
      </c>
      <c r="J178" s="66" t="s">
        <v>37</v>
      </c>
      <c r="K178" s="66" t="s">
        <v>63</v>
      </c>
      <c r="L178" s="66" t="s">
        <v>212</v>
      </c>
      <c r="M178" s="68" t="s">
        <v>850</v>
      </c>
      <c r="N178" s="68" t="s">
        <v>42</v>
      </c>
      <c r="O178" s="68" t="s">
        <v>851</v>
      </c>
      <c r="P178" s="68">
        <v>5051935898</v>
      </c>
      <c r="Q178" s="303">
        <f t="shared" si="31"/>
        <v>1</v>
      </c>
      <c r="R178" s="303">
        <f t="shared" si="32"/>
        <v>100</v>
      </c>
      <c r="S178" s="68">
        <v>0</v>
      </c>
      <c r="T178" s="68">
        <v>0</v>
      </c>
      <c r="U178" s="68">
        <v>1</v>
      </c>
      <c r="V178" s="68">
        <v>100</v>
      </c>
      <c r="W178" s="68">
        <v>103</v>
      </c>
      <c r="X178" s="68">
        <v>54</v>
      </c>
      <c r="Y178" s="68">
        <v>34</v>
      </c>
      <c r="Z178" s="68">
        <v>47</v>
      </c>
      <c r="AA178" s="68">
        <v>1</v>
      </c>
      <c r="AB178" s="300">
        <f t="shared" si="33"/>
        <v>14.382</v>
      </c>
      <c r="AC178" s="300">
        <f t="shared" si="34"/>
        <v>8.6638554216867461E-2</v>
      </c>
      <c r="AD178" s="68">
        <v>878.1</v>
      </c>
      <c r="AE178" s="68" t="s">
        <v>109</v>
      </c>
      <c r="AF178" s="66" t="s">
        <v>317</v>
      </c>
      <c r="AG178" s="66" t="s">
        <v>317</v>
      </c>
      <c r="AH178" s="68" t="s">
        <v>852</v>
      </c>
      <c r="AI178" s="309"/>
      <c r="AJ178" s="309"/>
      <c r="AK178" s="68" t="s">
        <v>41</v>
      </c>
      <c r="AL178" s="68" t="s">
        <v>52</v>
      </c>
      <c r="AM178" s="299">
        <f t="shared" ca="1" si="30"/>
        <v>1.0451388888905058</v>
      </c>
      <c r="AN178" s="75"/>
      <c r="AO178" s="61" t="s">
        <v>83</v>
      </c>
      <c r="AP178" s="62" t="s">
        <v>850</v>
      </c>
      <c r="AQ178" s="61" t="s">
        <v>912</v>
      </c>
      <c r="AR178" s="64">
        <v>44869.444444444445</v>
      </c>
      <c r="AS178" s="57" t="s">
        <v>173</v>
      </c>
      <c r="AT178" s="61" t="s">
        <v>225</v>
      </c>
      <c r="AU178" s="63">
        <v>0.44444444444444442</v>
      </c>
      <c r="AV178" s="61">
        <v>1</v>
      </c>
      <c r="AW178" s="61" t="s">
        <v>66</v>
      </c>
      <c r="AX178" s="76"/>
      <c r="AY178" s="76"/>
      <c r="AZ178" s="76"/>
      <c r="BA178" s="76"/>
      <c r="BB178" s="74"/>
    </row>
    <row r="179" spans="1:54" ht="15.75" thickBot="1" x14ac:dyDescent="0.3">
      <c r="A179" s="73">
        <v>61</v>
      </c>
      <c r="B179" s="72">
        <v>44868.399305555555</v>
      </c>
      <c r="C179" s="67">
        <v>0.40277777777777773</v>
      </c>
      <c r="D179" s="67">
        <v>0.40625</v>
      </c>
      <c r="E179" s="67">
        <v>0.4201388888888889</v>
      </c>
      <c r="F179" s="68" t="s">
        <v>170</v>
      </c>
      <c r="G179" s="68" t="s">
        <v>328</v>
      </c>
      <c r="H179" s="66" t="s">
        <v>204</v>
      </c>
      <c r="I179" s="66" t="s">
        <v>110</v>
      </c>
      <c r="J179" s="66" t="s">
        <v>37</v>
      </c>
      <c r="K179" s="66" t="s">
        <v>63</v>
      </c>
      <c r="L179" s="66" t="s">
        <v>212</v>
      </c>
      <c r="M179" s="68" t="s">
        <v>853</v>
      </c>
      <c r="N179" s="68" t="s">
        <v>186</v>
      </c>
      <c r="O179" s="68" t="s">
        <v>854</v>
      </c>
      <c r="P179" s="68">
        <v>5051951057</v>
      </c>
      <c r="Q179" s="303">
        <f t="shared" si="31"/>
        <v>2</v>
      </c>
      <c r="R179" s="303">
        <f t="shared" si="32"/>
        <v>157</v>
      </c>
      <c r="S179" s="68">
        <v>0</v>
      </c>
      <c r="T179" s="68">
        <v>0</v>
      </c>
      <c r="U179" s="68">
        <v>2</v>
      </c>
      <c r="V179" s="68">
        <v>157</v>
      </c>
      <c r="W179" s="68">
        <v>167</v>
      </c>
      <c r="X179" s="68">
        <v>54</v>
      </c>
      <c r="Y179" s="68">
        <v>37</v>
      </c>
      <c r="Z179" s="68">
        <v>48</v>
      </c>
      <c r="AA179" s="68">
        <v>2</v>
      </c>
      <c r="AB179" s="300">
        <f t="shared" si="33"/>
        <v>31.968</v>
      </c>
      <c r="AC179" s="300">
        <f t="shared" si="34"/>
        <v>0.19257831325301206</v>
      </c>
      <c r="AD179" s="68">
        <v>3993.8</v>
      </c>
      <c r="AE179" s="68" t="s">
        <v>109</v>
      </c>
      <c r="AF179" s="66" t="s">
        <v>317</v>
      </c>
      <c r="AG179" s="66" t="s">
        <v>317</v>
      </c>
      <c r="AH179" s="68" t="s">
        <v>852</v>
      </c>
      <c r="AI179" s="309"/>
      <c r="AJ179" s="309"/>
      <c r="AK179" s="68" t="s">
        <v>41</v>
      </c>
      <c r="AL179" s="68" t="s">
        <v>52</v>
      </c>
      <c r="AM179" s="299">
        <f t="shared" ca="1" si="30"/>
        <v>2.1354166666642413</v>
      </c>
      <c r="AN179" s="75"/>
      <c r="AO179" s="61" t="s">
        <v>131</v>
      </c>
      <c r="AP179" s="62" t="s">
        <v>853</v>
      </c>
      <c r="AQ179" s="61" t="s">
        <v>1056</v>
      </c>
      <c r="AR179" s="64">
        <v>44870.534722222219</v>
      </c>
      <c r="AS179" s="57" t="s">
        <v>173</v>
      </c>
      <c r="AT179" s="61" t="s">
        <v>225</v>
      </c>
      <c r="AU179" s="63">
        <v>0.53472222222222221</v>
      </c>
      <c r="AV179" s="61">
        <v>1</v>
      </c>
      <c r="AW179" s="61" t="s">
        <v>66</v>
      </c>
      <c r="AX179" s="76"/>
      <c r="AY179" s="76"/>
      <c r="AZ179" s="76"/>
      <c r="BA179" s="76"/>
      <c r="BB179" s="74"/>
    </row>
    <row r="180" spans="1:54" ht="15.75" thickBot="1" x14ac:dyDescent="0.3">
      <c r="A180" s="73">
        <v>62</v>
      </c>
      <c r="B180" s="72">
        <v>44868.40625</v>
      </c>
      <c r="C180" s="67">
        <v>0.40972222222222227</v>
      </c>
      <c r="D180" s="67">
        <v>0.41319444444444442</v>
      </c>
      <c r="E180" s="67">
        <v>0.4236111111111111</v>
      </c>
      <c r="F180" s="68" t="s">
        <v>171</v>
      </c>
      <c r="G180" s="68" t="s">
        <v>295</v>
      </c>
      <c r="H180" s="66" t="s">
        <v>85</v>
      </c>
      <c r="I180" s="66" t="s">
        <v>86</v>
      </c>
      <c r="J180" s="66" t="s">
        <v>37</v>
      </c>
      <c r="K180" s="66" t="s">
        <v>233</v>
      </c>
      <c r="L180" s="70" t="s">
        <v>206</v>
      </c>
      <c r="M180" s="68" t="s">
        <v>855</v>
      </c>
      <c r="N180" s="68" t="s">
        <v>42</v>
      </c>
      <c r="O180" s="68" t="s">
        <v>856</v>
      </c>
      <c r="P180" s="68" t="s">
        <v>857</v>
      </c>
      <c r="Q180" s="303">
        <f t="shared" si="31"/>
        <v>4</v>
      </c>
      <c r="R180" s="303">
        <f t="shared" si="32"/>
        <v>1122</v>
      </c>
      <c r="S180" s="68">
        <v>0</v>
      </c>
      <c r="T180" s="68">
        <v>0</v>
      </c>
      <c r="U180" s="68">
        <v>4</v>
      </c>
      <c r="V180" s="68">
        <v>1122</v>
      </c>
      <c r="W180" s="68">
        <v>1018</v>
      </c>
      <c r="X180" s="68">
        <v>120</v>
      </c>
      <c r="Y180" s="68">
        <v>80</v>
      </c>
      <c r="Z180" s="68">
        <v>49</v>
      </c>
      <c r="AA180" s="68">
        <v>1</v>
      </c>
      <c r="AB180" s="300">
        <f t="shared" si="33"/>
        <v>78.400000000000006</v>
      </c>
      <c r="AC180" s="300">
        <f t="shared" si="34"/>
        <v>0.47228915662650606</v>
      </c>
      <c r="AD180" s="68">
        <v>14054.83</v>
      </c>
      <c r="AE180" s="68" t="s">
        <v>109</v>
      </c>
      <c r="AF180" s="66" t="s">
        <v>317</v>
      </c>
      <c r="AG180" s="66" t="s">
        <v>317</v>
      </c>
      <c r="AH180" s="68" t="s">
        <v>858</v>
      </c>
      <c r="AI180" s="309"/>
      <c r="AJ180" s="309"/>
      <c r="AK180" s="68" t="s">
        <v>37</v>
      </c>
      <c r="AL180" s="68" t="s">
        <v>49</v>
      </c>
      <c r="AM180" s="299">
        <f t="shared" ca="1" si="30"/>
        <v>0.23958333333575865</v>
      </c>
      <c r="AN180" s="75"/>
      <c r="AO180" s="61" t="s">
        <v>87</v>
      </c>
      <c r="AP180" s="62" t="s">
        <v>855</v>
      </c>
      <c r="AQ180" s="61" t="s">
        <v>906</v>
      </c>
      <c r="AR180" s="64">
        <v>44868.645833333336</v>
      </c>
      <c r="AS180" s="61" t="s">
        <v>95</v>
      </c>
      <c r="AT180" s="61" t="s">
        <v>225</v>
      </c>
      <c r="AU180" s="59">
        <v>0.65972222222222221</v>
      </c>
      <c r="AV180" s="61">
        <v>1</v>
      </c>
      <c r="AW180" s="61" t="s">
        <v>66</v>
      </c>
      <c r="AX180" s="76"/>
      <c r="AY180" s="76"/>
      <c r="AZ180" s="76"/>
      <c r="BA180" s="76"/>
      <c r="BB180" s="74"/>
    </row>
    <row r="181" spans="1:54" ht="15.75" thickBot="1" x14ac:dyDescent="0.3">
      <c r="A181" s="73">
        <v>62</v>
      </c>
      <c r="B181" s="72">
        <v>44868.40625</v>
      </c>
      <c r="C181" s="67">
        <v>0.40972222222222227</v>
      </c>
      <c r="D181" s="67">
        <v>0.41319444444444442</v>
      </c>
      <c r="E181" s="67">
        <v>0.4236111111111111</v>
      </c>
      <c r="F181" s="68" t="s">
        <v>171</v>
      </c>
      <c r="G181" s="68" t="s">
        <v>295</v>
      </c>
      <c r="H181" s="66" t="s">
        <v>85</v>
      </c>
      <c r="I181" s="66" t="s">
        <v>86</v>
      </c>
      <c r="J181" s="66" t="s">
        <v>37</v>
      </c>
      <c r="K181" s="66" t="s">
        <v>233</v>
      </c>
      <c r="L181" s="70" t="s">
        <v>206</v>
      </c>
      <c r="M181" s="68" t="s">
        <v>855</v>
      </c>
      <c r="N181" s="68" t="s">
        <v>42</v>
      </c>
      <c r="O181" s="68" t="s">
        <v>856</v>
      </c>
      <c r="P181" s="68" t="s">
        <v>857</v>
      </c>
      <c r="Q181" s="303">
        <f t="shared" si="31"/>
        <v>0</v>
      </c>
      <c r="R181" s="303">
        <f t="shared" si="32"/>
        <v>0</v>
      </c>
      <c r="S181" s="68">
        <v>0</v>
      </c>
      <c r="T181" s="68">
        <v>0</v>
      </c>
      <c r="U181" s="68">
        <v>0</v>
      </c>
      <c r="V181" s="68">
        <v>0</v>
      </c>
      <c r="W181" s="68">
        <v>0</v>
      </c>
      <c r="X181" s="68">
        <v>120</v>
      </c>
      <c r="Y181" s="68">
        <v>80</v>
      </c>
      <c r="Z181" s="68">
        <v>88</v>
      </c>
      <c r="AA181" s="68">
        <v>1</v>
      </c>
      <c r="AB181" s="300">
        <f t="shared" si="33"/>
        <v>140.80000000000001</v>
      </c>
      <c r="AC181" s="300">
        <f t="shared" si="34"/>
        <v>0.84819277108433744</v>
      </c>
      <c r="AD181" s="68">
        <v>0</v>
      </c>
      <c r="AE181" s="68">
        <v>0</v>
      </c>
      <c r="AF181" s="66" t="s">
        <v>317</v>
      </c>
      <c r="AG181" s="66" t="s">
        <v>317</v>
      </c>
      <c r="AH181" s="68" t="s">
        <v>858</v>
      </c>
      <c r="AI181" s="309"/>
      <c r="AJ181" s="309"/>
      <c r="AK181" s="68" t="s">
        <v>37</v>
      </c>
      <c r="AL181" s="68" t="s">
        <v>49</v>
      </c>
      <c r="AM181" s="299">
        <f t="shared" ca="1" si="30"/>
        <v>0.23958333333575865</v>
      </c>
      <c r="AN181" s="75"/>
      <c r="AO181" s="61" t="s">
        <v>87</v>
      </c>
      <c r="AP181" s="62" t="s">
        <v>855</v>
      </c>
      <c r="AQ181" s="61" t="s">
        <v>906</v>
      </c>
      <c r="AR181" s="64">
        <v>44868.645833333336</v>
      </c>
      <c r="AS181" s="61" t="s">
        <v>95</v>
      </c>
      <c r="AT181" s="61" t="s">
        <v>225</v>
      </c>
      <c r="AU181" s="59">
        <v>0.65972222222222221</v>
      </c>
      <c r="AV181" s="61">
        <v>1</v>
      </c>
      <c r="AW181" s="61" t="s">
        <v>66</v>
      </c>
      <c r="AX181" s="76"/>
      <c r="AY181" s="76"/>
      <c r="AZ181" s="76"/>
      <c r="BA181" s="76"/>
      <c r="BB181" s="74"/>
    </row>
    <row r="182" spans="1:54" ht="15.75" thickBot="1" x14ac:dyDescent="0.3">
      <c r="A182" s="73">
        <v>62</v>
      </c>
      <c r="B182" s="72">
        <v>44868.40625</v>
      </c>
      <c r="C182" s="67">
        <v>0.40972222222222227</v>
      </c>
      <c r="D182" s="67">
        <v>0.41319444444444442</v>
      </c>
      <c r="E182" s="67">
        <v>0.4236111111111111</v>
      </c>
      <c r="F182" s="68" t="s">
        <v>171</v>
      </c>
      <c r="G182" s="68" t="s">
        <v>295</v>
      </c>
      <c r="H182" s="66" t="s">
        <v>85</v>
      </c>
      <c r="I182" s="66" t="s">
        <v>86</v>
      </c>
      <c r="J182" s="66" t="s">
        <v>37</v>
      </c>
      <c r="K182" s="66" t="s">
        <v>233</v>
      </c>
      <c r="L182" s="70" t="s">
        <v>206</v>
      </c>
      <c r="M182" s="68" t="s">
        <v>855</v>
      </c>
      <c r="N182" s="68" t="s">
        <v>42</v>
      </c>
      <c r="O182" s="68" t="s">
        <v>856</v>
      </c>
      <c r="P182" s="68" t="s">
        <v>857</v>
      </c>
      <c r="Q182" s="303">
        <f t="shared" si="31"/>
        <v>0</v>
      </c>
      <c r="R182" s="303">
        <f t="shared" si="32"/>
        <v>0</v>
      </c>
      <c r="S182" s="68">
        <v>0</v>
      </c>
      <c r="T182" s="68">
        <v>0</v>
      </c>
      <c r="U182" s="68">
        <v>0</v>
      </c>
      <c r="V182" s="68">
        <v>0</v>
      </c>
      <c r="W182" s="68">
        <v>0</v>
      </c>
      <c r="X182" s="68">
        <v>120</v>
      </c>
      <c r="Y182" s="68">
        <v>80</v>
      </c>
      <c r="Z182" s="68">
        <v>86</v>
      </c>
      <c r="AA182" s="68">
        <v>1</v>
      </c>
      <c r="AB182" s="300">
        <f t="shared" si="33"/>
        <v>137.6</v>
      </c>
      <c r="AC182" s="300">
        <f t="shared" si="34"/>
        <v>0.82891566265060235</v>
      </c>
      <c r="AD182" s="68">
        <v>0</v>
      </c>
      <c r="AE182" s="68">
        <v>0</v>
      </c>
      <c r="AF182" s="66" t="s">
        <v>317</v>
      </c>
      <c r="AG182" s="66" t="s">
        <v>317</v>
      </c>
      <c r="AH182" s="68" t="s">
        <v>858</v>
      </c>
      <c r="AI182" s="309"/>
      <c r="AJ182" s="309"/>
      <c r="AK182" s="68" t="s">
        <v>37</v>
      </c>
      <c r="AL182" s="68" t="s">
        <v>49</v>
      </c>
      <c r="AM182" s="299">
        <f t="shared" ca="1" si="30"/>
        <v>0.23958333333575865</v>
      </c>
      <c r="AN182" s="75"/>
      <c r="AO182" s="61" t="s">
        <v>87</v>
      </c>
      <c r="AP182" s="62" t="s">
        <v>855</v>
      </c>
      <c r="AQ182" s="61" t="s">
        <v>906</v>
      </c>
      <c r="AR182" s="64">
        <v>44868.645833333336</v>
      </c>
      <c r="AS182" s="61" t="s">
        <v>95</v>
      </c>
      <c r="AT182" s="61" t="s">
        <v>225</v>
      </c>
      <c r="AU182" s="59">
        <v>0.65972222222222221</v>
      </c>
      <c r="AV182" s="61">
        <v>1</v>
      </c>
      <c r="AW182" s="61" t="s">
        <v>66</v>
      </c>
      <c r="AX182" s="76"/>
      <c r="AY182" s="76"/>
      <c r="AZ182" s="76"/>
      <c r="BA182" s="76"/>
      <c r="BB182" s="74"/>
    </row>
    <row r="183" spans="1:54" ht="15.75" thickBot="1" x14ac:dyDescent="0.3">
      <c r="A183" s="73">
        <v>62</v>
      </c>
      <c r="B183" s="72">
        <v>44868.40625</v>
      </c>
      <c r="C183" s="67">
        <v>0.40972222222222227</v>
      </c>
      <c r="D183" s="67">
        <v>0.41319444444444442</v>
      </c>
      <c r="E183" s="67">
        <v>0.4236111111111111</v>
      </c>
      <c r="F183" s="68" t="s">
        <v>171</v>
      </c>
      <c r="G183" s="68" t="s">
        <v>295</v>
      </c>
      <c r="H183" s="66" t="s">
        <v>85</v>
      </c>
      <c r="I183" s="66" t="s">
        <v>86</v>
      </c>
      <c r="J183" s="66" t="s">
        <v>37</v>
      </c>
      <c r="K183" s="66" t="s">
        <v>233</v>
      </c>
      <c r="L183" s="70" t="s">
        <v>206</v>
      </c>
      <c r="M183" s="68" t="s">
        <v>855</v>
      </c>
      <c r="N183" s="68" t="s">
        <v>42</v>
      </c>
      <c r="O183" s="68" t="s">
        <v>856</v>
      </c>
      <c r="P183" s="68" t="s">
        <v>857</v>
      </c>
      <c r="Q183" s="303">
        <f t="shared" si="31"/>
        <v>0</v>
      </c>
      <c r="R183" s="303">
        <f t="shared" si="32"/>
        <v>0</v>
      </c>
      <c r="S183" s="68">
        <v>0</v>
      </c>
      <c r="T183" s="68">
        <v>0</v>
      </c>
      <c r="U183" s="68">
        <v>0</v>
      </c>
      <c r="V183" s="68">
        <v>0</v>
      </c>
      <c r="W183" s="68">
        <v>0</v>
      </c>
      <c r="X183" s="68">
        <v>120</v>
      </c>
      <c r="Y183" s="68">
        <v>80</v>
      </c>
      <c r="Z183" s="68">
        <v>58</v>
      </c>
      <c r="AA183" s="68">
        <v>1</v>
      </c>
      <c r="AB183" s="300">
        <f t="shared" si="33"/>
        <v>92.8</v>
      </c>
      <c r="AC183" s="300">
        <f t="shared" si="34"/>
        <v>0.55903614457831319</v>
      </c>
      <c r="AD183" s="68">
        <v>0</v>
      </c>
      <c r="AE183" s="68">
        <v>0</v>
      </c>
      <c r="AF183" s="66" t="s">
        <v>317</v>
      </c>
      <c r="AG183" s="66" t="s">
        <v>317</v>
      </c>
      <c r="AH183" s="68" t="s">
        <v>858</v>
      </c>
      <c r="AI183" s="309"/>
      <c r="AJ183" s="309"/>
      <c r="AK183" s="68" t="s">
        <v>37</v>
      </c>
      <c r="AL183" s="68" t="s">
        <v>49</v>
      </c>
      <c r="AM183" s="299">
        <f t="shared" ca="1" si="30"/>
        <v>0.23958333333575865</v>
      </c>
      <c r="AN183" s="75"/>
      <c r="AO183" s="61" t="s">
        <v>87</v>
      </c>
      <c r="AP183" s="62" t="s">
        <v>855</v>
      </c>
      <c r="AQ183" s="61" t="s">
        <v>906</v>
      </c>
      <c r="AR183" s="64">
        <v>44868.645833333336</v>
      </c>
      <c r="AS183" s="61" t="s">
        <v>95</v>
      </c>
      <c r="AT183" s="61" t="s">
        <v>225</v>
      </c>
      <c r="AU183" s="59">
        <v>0.65972222222222221</v>
      </c>
      <c r="AV183" s="61">
        <v>1</v>
      </c>
      <c r="AW183" s="61" t="s">
        <v>66</v>
      </c>
      <c r="AX183" s="76"/>
      <c r="AY183" s="76"/>
      <c r="AZ183" s="76"/>
      <c r="BA183" s="76"/>
      <c r="BB183" s="74"/>
    </row>
    <row r="184" spans="1:54" ht="15.75" thickBot="1" x14ac:dyDescent="0.3">
      <c r="A184" s="73">
        <v>63</v>
      </c>
      <c r="B184" s="72">
        <v>44868.409722222219</v>
      </c>
      <c r="C184" s="67">
        <v>0.41666666666666669</v>
      </c>
      <c r="D184" s="67">
        <v>0.42708333333333331</v>
      </c>
      <c r="E184" s="67">
        <v>0.44097222222222227</v>
      </c>
      <c r="F184" s="68" t="s">
        <v>171</v>
      </c>
      <c r="G184" s="68" t="s">
        <v>148</v>
      </c>
      <c r="H184" s="66" t="s">
        <v>431</v>
      </c>
      <c r="I184" s="66" t="s">
        <v>172</v>
      </c>
      <c r="J184" s="66" t="s">
        <v>41</v>
      </c>
      <c r="K184" s="66" t="s">
        <v>82</v>
      </c>
      <c r="L184" s="66" t="s">
        <v>209</v>
      </c>
      <c r="M184" s="68" t="s">
        <v>859</v>
      </c>
      <c r="N184" s="68" t="s">
        <v>59</v>
      </c>
      <c r="O184" s="68">
        <v>180000508</v>
      </c>
      <c r="P184" s="68">
        <v>816745</v>
      </c>
      <c r="Q184" s="303">
        <f t="shared" si="31"/>
        <v>3</v>
      </c>
      <c r="R184" s="303">
        <f t="shared" si="32"/>
        <v>124</v>
      </c>
      <c r="S184" s="68">
        <v>3</v>
      </c>
      <c r="T184" s="68">
        <v>124</v>
      </c>
      <c r="U184" s="68">
        <v>0</v>
      </c>
      <c r="V184" s="68">
        <v>0</v>
      </c>
      <c r="W184" s="68">
        <v>98</v>
      </c>
      <c r="X184" s="68">
        <v>64</v>
      </c>
      <c r="Y184" s="68">
        <v>52</v>
      </c>
      <c r="Z184" s="68">
        <v>33</v>
      </c>
      <c r="AA184" s="68">
        <v>2</v>
      </c>
      <c r="AB184" s="300">
        <f t="shared" si="33"/>
        <v>36.607999999999997</v>
      </c>
      <c r="AC184" s="300">
        <f t="shared" si="34"/>
        <v>0.22053012048192769</v>
      </c>
      <c r="AD184" s="68">
        <v>894.44</v>
      </c>
      <c r="AE184" s="68" t="s">
        <v>111</v>
      </c>
      <c r="AF184" s="66" t="s">
        <v>317</v>
      </c>
      <c r="AG184" s="66" t="s">
        <v>317</v>
      </c>
      <c r="AH184" s="68" t="s">
        <v>860</v>
      </c>
      <c r="AI184" s="309"/>
      <c r="AJ184" s="309"/>
      <c r="AK184" s="68" t="s">
        <v>48</v>
      </c>
      <c r="AL184" s="68" t="s">
        <v>39</v>
      </c>
      <c r="AM184" s="299">
        <f t="shared" ca="1" si="30"/>
        <v>1.2083333333357587</v>
      </c>
      <c r="AN184" s="75"/>
      <c r="AO184" s="61" t="s">
        <v>70</v>
      </c>
      <c r="AP184" s="62" t="s">
        <v>859</v>
      </c>
      <c r="AQ184" s="61" t="s">
        <v>921</v>
      </c>
      <c r="AR184" s="64">
        <v>44869.618055555555</v>
      </c>
      <c r="AS184" s="61" t="s">
        <v>117</v>
      </c>
      <c r="AT184" s="61" t="s">
        <v>225</v>
      </c>
      <c r="AU184" s="59">
        <v>0.61805555555555558</v>
      </c>
      <c r="AV184" s="61">
        <v>2</v>
      </c>
      <c r="AW184" s="61" t="s">
        <v>66</v>
      </c>
      <c r="AX184" s="76"/>
      <c r="AY184" s="76"/>
      <c r="AZ184" s="76"/>
      <c r="BA184" s="76"/>
      <c r="BB184" s="74"/>
    </row>
    <row r="185" spans="1:54" ht="15.75" thickBot="1" x14ac:dyDescent="0.3">
      <c r="A185" s="73">
        <v>63</v>
      </c>
      <c r="B185" s="72">
        <v>44868.409722222219</v>
      </c>
      <c r="C185" s="67">
        <v>0.41666666666666669</v>
      </c>
      <c r="D185" s="67">
        <v>0.42708333333333331</v>
      </c>
      <c r="E185" s="67">
        <v>0.44097222222222227</v>
      </c>
      <c r="F185" s="68" t="s">
        <v>171</v>
      </c>
      <c r="G185" s="68" t="s">
        <v>148</v>
      </c>
      <c r="H185" s="66" t="s">
        <v>431</v>
      </c>
      <c r="I185" s="66" t="s">
        <v>172</v>
      </c>
      <c r="J185" s="66" t="s">
        <v>41</v>
      </c>
      <c r="K185" s="66" t="s">
        <v>82</v>
      </c>
      <c r="L185" s="66" t="s">
        <v>209</v>
      </c>
      <c r="M185" s="68" t="s">
        <v>859</v>
      </c>
      <c r="N185" s="68" t="s">
        <v>59</v>
      </c>
      <c r="O185" s="68">
        <v>180000508</v>
      </c>
      <c r="P185" s="68">
        <v>816745</v>
      </c>
      <c r="Q185" s="303">
        <f t="shared" si="31"/>
        <v>0</v>
      </c>
      <c r="R185" s="303">
        <f t="shared" si="32"/>
        <v>0</v>
      </c>
      <c r="S185" s="68">
        <v>0</v>
      </c>
      <c r="T185" s="68">
        <v>0</v>
      </c>
      <c r="U185" s="68">
        <v>0</v>
      </c>
      <c r="V185" s="68">
        <v>0</v>
      </c>
      <c r="W185" s="68">
        <v>0</v>
      </c>
      <c r="X185" s="68">
        <v>43</v>
      </c>
      <c r="Y185" s="68">
        <v>32</v>
      </c>
      <c r="Z185" s="68">
        <v>22</v>
      </c>
      <c r="AA185" s="68">
        <v>1</v>
      </c>
      <c r="AB185" s="300">
        <f t="shared" si="33"/>
        <v>5.0453333333333337</v>
      </c>
      <c r="AC185" s="300">
        <f t="shared" si="34"/>
        <v>3.0393574297188756E-2</v>
      </c>
      <c r="AD185" s="68">
        <v>0</v>
      </c>
      <c r="AE185" s="68">
        <v>0</v>
      </c>
      <c r="AF185" s="66" t="s">
        <v>317</v>
      </c>
      <c r="AG185" s="66" t="s">
        <v>317</v>
      </c>
      <c r="AH185" s="68" t="s">
        <v>860</v>
      </c>
      <c r="AI185" s="309"/>
      <c r="AJ185" s="309"/>
      <c r="AK185" s="68" t="s">
        <v>48</v>
      </c>
      <c r="AL185" s="68" t="s">
        <v>39</v>
      </c>
      <c r="AM185" s="299">
        <f t="shared" ca="1" si="30"/>
        <v>1.2083333333357587</v>
      </c>
      <c r="AN185" s="75"/>
      <c r="AO185" s="61" t="s">
        <v>70</v>
      </c>
      <c r="AP185" s="62" t="s">
        <v>859</v>
      </c>
      <c r="AQ185" s="61" t="s">
        <v>921</v>
      </c>
      <c r="AR185" s="64">
        <v>44869.618055555555</v>
      </c>
      <c r="AS185" s="61" t="s">
        <v>117</v>
      </c>
      <c r="AT185" s="61" t="s">
        <v>225</v>
      </c>
      <c r="AU185" s="59">
        <v>0.61805555555555558</v>
      </c>
      <c r="AV185" s="61">
        <v>2</v>
      </c>
      <c r="AW185" s="61" t="s">
        <v>66</v>
      </c>
      <c r="AX185" s="76"/>
      <c r="AY185" s="76"/>
      <c r="AZ185" s="76"/>
      <c r="BA185" s="76"/>
      <c r="BB185" s="74"/>
    </row>
    <row r="186" spans="1:54" x14ac:dyDescent="0.25">
      <c r="A186" s="73">
        <v>64</v>
      </c>
      <c r="B186" s="72">
        <v>44868.604166666664</v>
      </c>
      <c r="C186" s="67">
        <v>0.60763888888888895</v>
      </c>
      <c r="D186" s="67">
        <v>0.61458333333333337</v>
      </c>
      <c r="E186" s="67">
        <v>0.63888888888888895</v>
      </c>
      <c r="F186" s="68" t="s">
        <v>170</v>
      </c>
      <c r="G186" s="68" t="s">
        <v>861</v>
      </c>
      <c r="H186" s="71" t="s">
        <v>187</v>
      </c>
      <c r="I186" s="71" t="s">
        <v>71</v>
      </c>
      <c r="J186" s="71" t="s">
        <v>37</v>
      </c>
      <c r="K186" s="71" t="s">
        <v>63</v>
      </c>
      <c r="L186" s="71" t="s">
        <v>212</v>
      </c>
      <c r="M186" s="68" t="s">
        <v>862</v>
      </c>
      <c r="N186" s="68" t="s">
        <v>139</v>
      </c>
      <c r="O186" s="68">
        <v>21222231510</v>
      </c>
      <c r="P186" s="68">
        <v>5051988077</v>
      </c>
      <c r="Q186" s="303">
        <f t="shared" si="31"/>
        <v>2</v>
      </c>
      <c r="R186" s="303">
        <f t="shared" si="32"/>
        <v>260</v>
      </c>
      <c r="S186" s="68">
        <v>0</v>
      </c>
      <c r="T186" s="68">
        <v>0</v>
      </c>
      <c r="U186" s="68">
        <v>2</v>
      </c>
      <c r="V186" s="68">
        <v>260</v>
      </c>
      <c r="W186" s="68">
        <v>255.65</v>
      </c>
      <c r="X186" s="68">
        <v>120</v>
      </c>
      <c r="Y186" s="68">
        <v>82</v>
      </c>
      <c r="Z186" s="68">
        <v>43</v>
      </c>
      <c r="AA186" s="68">
        <v>2</v>
      </c>
      <c r="AB186" s="300">
        <f t="shared" si="33"/>
        <v>141.04</v>
      </c>
      <c r="AC186" s="300">
        <f t="shared" si="34"/>
        <v>0.8496385542168674</v>
      </c>
      <c r="AD186" s="68">
        <v>17125.36</v>
      </c>
      <c r="AE186" s="68" t="s">
        <v>109</v>
      </c>
      <c r="AF186" s="66" t="s">
        <v>317</v>
      </c>
      <c r="AG186" s="66" t="s">
        <v>317</v>
      </c>
      <c r="AH186" s="68" t="s">
        <v>863</v>
      </c>
      <c r="AI186" s="309"/>
      <c r="AJ186" s="309"/>
      <c r="AK186" s="68" t="s">
        <v>41</v>
      </c>
      <c r="AL186" s="68" t="s">
        <v>49</v>
      </c>
      <c r="AM186" s="299">
        <f t="shared" ca="1" si="30"/>
        <v>0.89930555555474712</v>
      </c>
      <c r="AN186" s="51"/>
      <c r="AO186" s="61" t="s">
        <v>72</v>
      </c>
      <c r="AP186" s="62" t="s">
        <v>862</v>
      </c>
      <c r="AQ186" s="61" t="s">
        <v>913</v>
      </c>
      <c r="AR186" s="64">
        <v>44869.503472222219</v>
      </c>
      <c r="AS186" s="61" t="s">
        <v>95</v>
      </c>
      <c r="AT186" s="61" t="s">
        <v>225</v>
      </c>
      <c r="AU186" s="59">
        <v>0.50347222222222221</v>
      </c>
      <c r="AV186" s="61">
        <v>1</v>
      </c>
      <c r="AW186" s="61" t="s">
        <v>66</v>
      </c>
      <c r="AX186" s="52"/>
      <c r="AY186" s="52"/>
      <c r="AZ186" s="52"/>
      <c r="BA186" s="52"/>
    </row>
    <row r="187" spans="1:54" x14ac:dyDescent="0.25">
      <c r="A187" s="73">
        <v>65</v>
      </c>
      <c r="B187" s="72">
        <v>44868.604166666664</v>
      </c>
      <c r="C187" s="67">
        <v>0.60763888888888895</v>
      </c>
      <c r="D187" s="67">
        <v>0.61458333333333337</v>
      </c>
      <c r="E187" s="67">
        <v>0.63888888888888895</v>
      </c>
      <c r="F187" s="68" t="s">
        <v>170</v>
      </c>
      <c r="G187" s="68" t="s">
        <v>861</v>
      </c>
      <c r="H187" s="66" t="s">
        <v>187</v>
      </c>
      <c r="I187" s="66" t="s">
        <v>110</v>
      </c>
      <c r="J187" s="66" t="s">
        <v>37</v>
      </c>
      <c r="K187" s="66" t="s">
        <v>63</v>
      </c>
      <c r="L187" s="66" t="s">
        <v>212</v>
      </c>
      <c r="M187" s="68" t="s">
        <v>864</v>
      </c>
      <c r="N187" s="68" t="s">
        <v>186</v>
      </c>
      <c r="O187" s="68">
        <v>21222231501</v>
      </c>
      <c r="P187" s="68">
        <v>5051993510</v>
      </c>
      <c r="Q187" s="303">
        <f t="shared" si="31"/>
        <v>1</v>
      </c>
      <c r="R187" s="303">
        <f t="shared" si="32"/>
        <v>40</v>
      </c>
      <c r="S187" s="68">
        <v>0</v>
      </c>
      <c r="T187" s="68">
        <v>0</v>
      </c>
      <c r="U187" s="68">
        <v>1</v>
      </c>
      <c r="V187" s="68">
        <v>40</v>
      </c>
      <c r="W187" s="68">
        <v>37.097000000000001</v>
      </c>
      <c r="X187" s="68">
        <v>120</v>
      </c>
      <c r="Y187" s="68">
        <v>82</v>
      </c>
      <c r="Z187" s="68">
        <v>55</v>
      </c>
      <c r="AA187" s="68">
        <v>1</v>
      </c>
      <c r="AB187" s="300">
        <f t="shared" si="33"/>
        <v>90.2</v>
      </c>
      <c r="AC187" s="300">
        <f t="shared" si="34"/>
        <v>0.54337349397590362</v>
      </c>
      <c r="AD187" s="68">
        <v>421.76</v>
      </c>
      <c r="AE187" s="68" t="s">
        <v>109</v>
      </c>
      <c r="AF187" s="66" t="s">
        <v>317</v>
      </c>
      <c r="AG187" s="66" t="s">
        <v>317</v>
      </c>
      <c r="AH187" s="68" t="s">
        <v>865</v>
      </c>
      <c r="AI187" s="309"/>
      <c r="AJ187" s="309"/>
      <c r="AK187" s="68" t="s">
        <v>41</v>
      </c>
      <c r="AL187" s="68" t="s">
        <v>49</v>
      </c>
      <c r="AM187" s="299">
        <f t="shared" ca="1" si="30"/>
        <v>1.9305555555547471</v>
      </c>
      <c r="AN187" s="51"/>
      <c r="AO187" s="61" t="s">
        <v>131</v>
      </c>
      <c r="AP187" s="62" t="s">
        <v>864</v>
      </c>
      <c r="AQ187" s="61" t="s">
        <v>1056</v>
      </c>
      <c r="AR187" s="64">
        <v>44870.534722222219</v>
      </c>
      <c r="AS187" s="57" t="s">
        <v>173</v>
      </c>
      <c r="AT187" s="61" t="s">
        <v>225</v>
      </c>
      <c r="AU187" s="63">
        <v>0.53472222222222221</v>
      </c>
      <c r="AV187" s="61">
        <v>1</v>
      </c>
      <c r="AW187" s="61" t="s">
        <v>66</v>
      </c>
      <c r="AX187" s="52"/>
      <c r="AY187" s="52"/>
      <c r="AZ187" s="52"/>
      <c r="BA187" s="52"/>
    </row>
    <row r="188" spans="1:54" x14ac:dyDescent="0.25">
      <c r="A188" s="73">
        <v>66</v>
      </c>
      <c r="B188" s="72">
        <v>44868.604166666664</v>
      </c>
      <c r="C188" s="67">
        <v>0.60763888888888895</v>
      </c>
      <c r="D188" s="67">
        <v>0.61458333333333337</v>
      </c>
      <c r="E188" s="67">
        <v>0.63888888888888895</v>
      </c>
      <c r="F188" s="68" t="s">
        <v>170</v>
      </c>
      <c r="G188" s="68" t="s">
        <v>861</v>
      </c>
      <c r="H188" s="66" t="s">
        <v>187</v>
      </c>
      <c r="I188" s="66" t="s">
        <v>71</v>
      </c>
      <c r="J188" s="66" t="s">
        <v>37</v>
      </c>
      <c r="K188" s="66" t="s">
        <v>63</v>
      </c>
      <c r="L188" s="66" t="s">
        <v>212</v>
      </c>
      <c r="M188" s="68" t="s">
        <v>866</v>
      </c>
      <c r="N188" s="68" t="s">
        <v>139</v>
      </c>
      <c r="O188" s="68">
        <v>21222231511</v>
      </c>
      <c r="P188" s="68">
        <v>5051988077</v>
      </c>
      <c r="Q188" s="303">
        <f t="shared" si="31"/>
        <v>1</v>
      </c>
      <c r="R188" s="303">
        <f t="shared" si="32"/>
        <v>171</v>
      </c>
      <c r="S188" s="68">
        <v>0</v>
      </c>
      <c r="T188" s="68">
        <v>0</v>
      </c>
      <c r="U188" s="68">
        <v>1</v>
      </c>
      <c r="V188" s="68">
        <v>171</v>
      </c>
      <c r="W188" s="68">
        <v>167.50200000000001</v>
      </c>
      <c r="X188" s="68">
        <v>120</v>
      </c>
      <c r="Y188" s="68">
        <v>82</v>
      </c>
      <c r="Z188" s="68">
        <v>53</v>
      </c>
      <c r="AA188" s="68">
        <v>1</v>
      </c>
      <c r="AB188" s="300">
        <f t="shared" si="33"/>
        <v>86.92</v>
      </c>
      <c r="AC188" s="300">
        <f t="shared" si="34"/>
        <v>0.52361445783132532</v>
      </c>
      <c r="AD188" s="68">
        <v>11632.22</v>
      </c>
      <c r="AE188" s="68" t="s">
        <v>109</v>
      </c>
      <c r="AF188" s="66" t="s">
        <v>317</v>
      </c>
      <c r="AG188" s="66" t="s">
        <v>317</v>
      </c>
      <c r="AH188" s="68" t="s">
        <v>867</v>
      </c>
      <c r="AI188" s="309"/>
      <c r="AJ188" s="309"/>
      <c r="AK188" s="68" t="s">
        <v>41</v>
      </c>
      <c r="AL188" s="68" t="s">
        <v>49</v>
      </c>
      <c r="AM188" s="299">
        <f t="shared" ca="1" si="30"/>
        <v>0.89930555555474712</v>
      </c>
      <c r="AN188" s="51"/>
      <c r="AO188" s="61" t="s">
        <v>72</v>
      </c>
      <c r="AP188" s="62" t="s">
        <v>866</v>
      </c>
      <c r="AQ188" s="61" t="s">
        <v>913</v>
      </c>
      <c r="AR188" s="64">
        <v>44869.503472222219</v>
      </c>
      <c r="AS188" s="61" t="s">
        <v>95</v>
      </c>
      <c r="AT188" s="61" t="s">
        <v>225</v>
      </c>
      <c r="AU188" s="59">
        <v>0.50347222222222221</v>
      </c>
      <c r="AV188" s="61">
        <v>1</v>
      </c>
      <c r="AW188" s="61" t="s">
        <v>66</v>
      </c>
      <c r="AX188" s="52"/>
      <c r="AY188" s="52"/>
      <c r="AZ188" s="52"/>
      <c r="BA188" s="52"/>
    </row>
    <row r="189" spans="1:54" x14ac:dyDescent="0.25">
      <c r="A189" s="73">
        <v>67</v>
      </c>
      <c r="B189" s="72">
        <v>44868.604166666664</v>
      </c>
      <c r="C189" s="67">
        <v>0.60763888888888895</v>
      </c>
      <c r="D189" s="67">
        <v>0.61458333333333337</v>
      </c>
      <c r="E189" s="67">
        <v>0.63888888888888895</v>
      </c>
      <c r="F189" s="68" t="s">
        <v>170</v>
      </c>
      <c r="G189" s="68" t="s">
        <v>861</v>
      </c>
      <c r="H189" s="66" t="s">
        <v>187</v>
      </c>
      <c r="I189" s="66" t="s">
        <v>71</v>
      </c>
      <c r="J189" s="66" t="s">
        <v>37</v>
      </c>
      <c r="K189" s="66" t="s">
        <v>63</v>
      </c>
      <c r="L189" s="66" t="s">
        <v>212</v>
      </c>
      <c r="M189" s="68" t="s">
        <v>868</v>
      </c>
      <c r="N189" s="68" t="s">
        <v>139</v>
      </c>
      <c r="O189" s="68">
        <v>21222231521</v>
      </c>
      <c r="P189" s="68">
        <v>5051970844</v>
      </c>
      <c r="Q189" s="303">
        <f t="shared" si="31"/>
        <v>1</v>
      </c>
      <c r="R189" s="303">
        <f t="shared" si="32"/>
        <v>171</v>
      </c>
      <c r="S189" s="68">
        <v>0</v>
      </c>
      <c r="T189" s="68">
        <v>0</v>
      </c>
      <c r="U189" s="68">
        <v>1</v>
      </c>
      <c r="V189" s="68">
        <v>171</v>
      </c>
      <c r="W189" s="68">
        <v>165.80199999999999</v>
      </c>
      <c r="X189" s="68">
        <v>80</v>
      </c>
      <c r="Y189" s="68">
        <v>60</v>
      </c>
      <c r="Z189" s="68">
        <v>54</v>
      </c>
      <c r="AA189" s="68">
        <v>1</v>
      </c>
      <c r="AB189" s="300">
        <f t="shared" si="33"/>
        <v>43.2</v>
      </c>
      <c r="AC189" s="300">
        <f t="shared" si="34"/>
        <v>0.26024096385542173</v>
      </c>
      <c r="AD189" s="68">
        <v>2718.44</v>
      </c>
      <c r="AE189" s="68" t="s">
        <v>109</v>
      </c>
      <c r="AF189" s="66" t="s">
        <v>317</v>
      </c>
      <c r="AG189" s="66" t="s">
        <v>317</v>
      </c>
      <c r="AH189" s="68" t="s">
        <v>869</v>
      </c>
      <c r="AI189" s="309"/>
      <c r="AJ189" s="309"/>
      <c r="AK189" s="68" t="s">
        <v>41</v>
      </c>
      <c r="AL189" s="68" t="s">
        <v>49</v>
      </c>
      <c r="AM189" s="299">
        <f t="shared" ca="1" si="30"/>
        <v>0.89930555555474712</v>
      </c>
      <c r="AN189" s="51"/>
      <c r="AO189" s="61" t="s">
        <v>72</v>
      </c>
      <c r="AP189" s="62" t="s">
        <v>868</v>
      </c>
      <c r="AQ189" s="61" t="s">
        <v>913</v>
      </c>
      <c r="AR189" s="64">
        <v>44869.503472222219</v>
      </c>
      <c r="AS189" s="61" t="s">
        <v>95</v>
      </c>
      <c r="AT189" s="61" t="s">
        <v>225</v>
      </c>
      <c r="AU189" s="59">
        <v>0.50347222222222221</v>
      </c>
      <c r="AV189" s="61">
        <v>1</v>
      </c>
      <c r="AW189" s="61" t="s">
        <v>66</v>
      </c>
      <c r="AX189" s="52"/>
      <c r="AY189" s="52"/>
      <c r="AZ189" s="52"/>
      <c r="BA189" s="52"/>
    </row>
    <row r="190" spans="1:54" x14ac:dyDescent="0.25">
      <c r="A190" s="73">
        <v>68</v>
      </c>
      <c r="B190" s="72">
        <v>44868.604166666664</v>
      </c>
      <c r="C190" s="67">
        <v>0.60763888888888895</v>
      </c>
      <c r="D190" s="67">
        <v>0.61458333333333337</v>
      </c>
      <c r="E190" s="67">
        <v>0.63888888888888895</v>
      </c>
      <c r="F190" s="68" t="s">
        <v>170</v>
      </c>
      <c r="G190" s="68" t="s">
        <v>861</v>
      </c>
      <c r="H190" s="66" t="s">
        <v>187</v>
      </c>
      <c r="I190" s="66" t="s">
        <v>71</v>
      </c>
      <c r="J190" s="66" t="s">
        <v>37</v>
      </c>
      <c r="K190" s="66" t="s">
        <v>63</v>
      </c>
      <c r="L190" s="66" t="s">
        <v>212</v>
      </c>
      <c r="M190" s="68" t="s">
        <v>870</v>
      </c>
      <c r="N190" s="68" t="s">
        <v>139</v>
      </c>
      <c r="O190" s="68">
        <v>21222231508</v>
      </c>
      <c r="P190" s="68">
        <v>5051983516</v>
      </c>
      <c r="Q190" s="303">
        <f t="shared" si="31"/>
        <v>1</v>
      </c>
      <c r="R190" s="303">
        <f t="shared" si="32"/>
        <v>149</v>
      </c>
      <c r="S190" s="68">
        <v>0</v>
      </c>
      <c r="T190" s="68">
        <v>0</v>
      </c>
      <c r="U190" s="68">
        <v>1</v>
      </c>
      <c r="V190" s="68">
        <v>149</v>
      </c>
      <c r="W190" s="68">
        <v>148.15</v>
      </c>
      <c r="X190" s="68">
        <v>66</v>
      </c>
      <c r="Y190" s="68">
        <v>65</v>
      </c>
      <c r="Z190" s="68">
        <v>69</v>
      </c>
      <c r="AA190" s="68">
        <v>1</v>
      </c>
      <c r="AB190" s="300">
        <f t="shared" si="33"/>
        <v>49.335000000000001</v>
      </c>
      <c r="AC190" s="300">
        <f t="shared" si="34"/>
        <v>0.2971987951807229</v>
      </c>
      <c r="AD190" s="68">
        <v>1197.81</v>
      </c>
      <c r="AE190" s="68" t="s">
        <v>109</v>
      </c>
      <c r="AF190" s="66" t="s">
        <v>317</v>
      </c>
      <c r="AG190" s="66" t="s">
        <v>317</v>
      </c>
      <c r="AH190" s="68" t="s">
        <v>871</v>
      </c>
      <c r="AI190" s="309"/>
      <c r="AJ190" s="309"/>
      <c r="AK190" s="68" t="s">
        <v>41</v>
      </c>
      <c r="AL190" s="68" t="s">
        <v>49</v>
      </c>
      <c r="AM190" s="299">
        <f t="shared" ca="1" si="30"/>
        <v>0.89930555555474712</v>
      </c>
      <c r="AN190" s="51"/>
      <c r="AO190" s="61" t="s">
        <v>72</v>
      </c>
      <c r="AP190" s="62" t="s">
        <v>870</v>
      </c>
      <c r="AQ190" s="61" t="s">
        <v>913</v>
      </c>
      <c r="AR190" s="64">
        <v>44869.503472222219</v>
      </c>
      <c r="AS190" s="61" t="s">
        <v>95</v>
      </c>
      <c r="AT190" s="61" t="s">
        <v>225</v>
      </c>
      <c r="AU190" s="59">
        <v>0.50347222222222221</v>
      </c>
      <c r="AV190" s="61">
        <v>1</v>
      </c>
      <c r="AW190" s="61" t="s">
        <v>66</v>
      </c>
      <c r="AX190" s="52"/>
      <c r="AY190" s="52"/>
      <c r="AZ190" s="52"/>
      <c r="BA190" s="52"/>
    </row>
    <row r="191" spans="1:54" x14ac:dyDescent="0.25">
      <c r="A191" s="73">
        <v>69</v>
      </c>
      <c r="B191" s="72">
        <v>44868.604166666664</v>
      </c>
      <c r="C191" s="67">
        <v>0.60763888888888895</v>
      </c>
      <c r="D191" s="67">
        <v>0.61458333333333337</v>
      </c>
      <c r="E191" s="67">
        <v>0.63888888888888895</v>
      </c>
      <c r="F191" s="68" t="s">
        <v>170</v>
      </c>
      <c r="G191" s="68" t="s">
        <v>861</v>
      </c>
      <c r="H191" s="66" t="s">
        <v>187</v>
      </c>
      <c r="I191" s="66" t="s">
        <v>71</v>
      </c>
      <c r="J191" s="66" t="s">
        <v>37</v>
      </c>
      <c r="K191" s="66" t="s">
        <v>63</v>
      </c>
      <c r="L191" s="66" t="s">
        <v>212</v>
      </c>
      <c r="M191" s="68" t="s">
        <v>872</v>
      </c>
      <c r="N191" s="68" t="s">
        <v>139</v>
      </c>
      <c r="O191" s="68">
        <v>21222231505</v>
      </c>
      <c r="P191" s="68">
        <v>5051971609</v>
      </c>
      <c r="Q191" s="303">
        <f t="shared" si="31"/>
        <v>1</v>
      </c>
      <c r="R191" s="303">
        <f t="shared" si="32"/>
        <v>64</v>
      </c>
      <c r="S191" s="68">
        <v>0</v>
      </c>
      <c r="T191" s="68">
        <v>0</v>
      </c>
      <c r="U191" s="68">
        <v>1</v>
      </c>
      <c r="V191" s="68">
        <v>64</v>
      </c>
      <c r="W191" s="68">
        <v>64.05</v>
      </c>
      <c r="X191" s="68">
        <v>80</v>
      </c>
      <c r="Y191" s="68">
        <v>60</v>
      </c>
      <c r="Z191" s="68">
        <v>45</v>
      </c>
      <c r="AA191" s="68">
        <v>1</v>
      </c>
      <c r="AB191" s="300">
        <f t="shared" si="33"/>
        <v>36</v>
      </c>
      <c r="AC191" s="300">
        <f t="shared" si="34"/>
        <v>0.21686746987951808</v>
      </c>
      <c r="AD191" s="68">
        <v>1122.8800000000001</v>
      </c>
      <c r="AE191" s="68" t="s">
        <v>109</v>
      </c>
      <c r="AF191" s="66" t="s">
        <v>317</v>
      </c>
      <c r="AG191" s="66" t="s">
        <v>317</v>
      </c>
      <c r="AH191" s="68" t="s">
        <v>873</v>
      </c>
      <c r="AI191" s="309"/>
      <c r="AJ191" s="309"/>
      <c r="AK191" s="68" t="s">
        <v>41</v>
      </c>
      <c r="AL191" s="68" t="s">
        <v>49</v>
      </c>
      <c r="AM191" s="299">
        <f t="shared" ca="1" si="30"/>
        <v>0.89930555555474712</v>
      </c>
      <c r="AN191" s="51"/>
      <c r="AO191" s="61" t="s">
        <v>72</v>
      </c>
      <c r="AP191" s="62" t="s">
        <v>872</v>
      </c>
      <c r="AQ191" s="61" t="s">
        <v>913</v>
      </c>
      <c r="AR191" s="64">
        <v>44869.503472222219</v>
      </c>
      <c r="AS191" s="61" t="s">
        <v>95</v>
      </c>
      <c r="AT191" s="61" t="s">
        <v>225</v>
      </c>
      <c r="AU191" s="59">
        <v>0.50347222222222221</v>
      </c>
      <c r="AV191" s="61">
        <v>1</v>
      </c>
      <c r="AW191" s="61" t="s">
        <v>66</v>
      </c>
      <c r="AX191" s="52"/>
      <c r="AY191" s="52"/>
      <c r="AZ191" s="52"/>
      <c r="BA191" s="52"/>
    </row>
    <row r="192" spans="1:54" x14ac:dyDescent="0.25">
      <c r="A192" s="73">
        <v>70</v>
      </c>
      <c r="B192" s="72">
        <v>44868.604166666664</v>
      </c>
      <c r="C192" s="67">
        <v>0.60763888888888895</v>
      </c>
      <c r="D192" s="67">
        <v>0.61458333333333337</v>
      </c>
      <c r="E192" s="67">
        <v>0.63888888888888895</v>
      </c>
      <c r="F192" s="68" t="s">
        <v>170</v>
      </c>
      <c r="G192" s="68" t="s">
        <v>861</v>
      </c>
      <c r="H192" s="66" t="s">
        <v>187</v>
      </c>
      <c r="I192" s="66" t="s">
        <v>110</v>
      </c>
      <c r="J192" s="66" t="s">
        <v>37</v>
      </c>
      <c r="K192" s="66" t="s">
        <v>63</v>
      </c>
      <c r="L192" s="66" t="s">
        <v>212</v>
      </c>
      <c r="M192" s="68" t="s">
        <v>864</v>
      </c>
      <c r="N192" s="68" t="s">
        <v>186</v>
      </c>
      <c r="O192" s="68">
        <v>21222231500</v>
      </c>
      <c r="P192" s="68">
        <v>5051991755</v>
      </c>
      <c r="Q192" s="303">
        <f t="shared" si="31"/>
        <v>1</v>
      </c>
      <c r="R192" s="303">
        <f t="shared" si="32"/>
        <v>77</v>
      </c>
      <c r="S192" s="68">
        <v>0</v>
      </c>
      <c r="T192" s="68">
        <v>0</v>
      </c>
      <c r="U192" s="68">
        <v>1</v>
      </c>
      <c r="V192" s="68">
        <v>77</v>
      </c>
      <c r="W192" s="68">
        <v>74.55</v>
      </c>
      <c r="X192" s="68">
        <v>120</v>
      </c>
      <c r="Y192" s="68">
        <v>82</v>
      </c>
      <c r="Z192" s="68">
        <v>55</v>
      </c>
      <c r="AA192" s="68">
        <v>1</v>
      </c>
      <c r="AB192" s="300">
        <f t="shared" si="33"/>
        <v>90.2</v>
      </c>
      <c r="AC192" s="300">
        <f t="shared" si="34"/>
        <v>0.54337349397590362</v>
      </c>
      <c r="AD192" s="68">
        <v>2106.21</v>
      </c>
      <c r="AE192" s="68" t="s">
        <v>109</v>
      </c>
      <c r="AF192" s="66" t="s">
        <v>317</v>
      </c>
      <c r="AG192" s="66" t="s">
        <v>317</v>
      </c>
      <c r="AH192" s="68" t="s">
        <v>874</v>
      </c>
      <c r="AI192" s="309"/>
      <c r="AJ192" s="309"/>
      <c r="AK192" s="68" t="s">
        <v>41</v>
      </c>
      <c r="AL192" s="68" t="s">
        <v>49</v>
      </c>
      <c r="AM192" s="299">
        <f t="shared" ca="1" si="30"/>
        <v>1.9305555555547471</v>
      </c>
      <c r="AN192" s="51"/>
      <c r="AO192" s="61" t="s">
        <v>131</v>
      </c>
      <c r="AP192" s="62" t="s">
        <v>864</v>
      </c>
      <c r="AQ192" s="61" t="s">
        <v>1056</v>
      </c>
      <c r="AR192" s="64">
        <v>44870.534722222219</v>
      </c>
      <c r="AS192" s="57" t="s">
        <v>173</v>
      </c>
      <c r="AT192" s="61" t="s">
        <v>225</v>
      </c>
      <c r="AU192" s="63">
        <v>0.53472222222222221</v>
      </c>
      <c r="AV192" s="61">
        <v>1</v>
      </c>
      <c r="AW192" s="61" t="s">
        <v>66</v>
      </c>
      <c r="AX192" s="52"/>
      <c r="AY192" s="52"/>
      <c r="AZ192" s="52"/>
      <c r="BA192" s="52"/>
    </row>
    <row r="193" spans="1:53" x14ac:dyDescent="0.25">
      <c r="A193" s="73">
        <v>71</v>
      </c>
      <c r="B193" s="72">
        <v>44868.604166666664</v>
      </c>
      <c r="C193" s="67">
        <v>0.60763888888888895</v>
      </c>
      <c r="D193" s="67">
        <v>0.61458333333333337</v>
      </c>
      <c r="E193" s="67">
        <v>0.63888888888888895</v>
      </c>
      <c r="F193" s="68" t="s">
        <v>170</v>
      </c>
      <c r="G193" s="68" t="s">
        <v>861</v>
      </c>
      <c r="H193" s="66" t="s">
        <v>187</v>
      </c>
      <c r="I193" s="66" t="s">
        <v>71</v>
      </c>
      <c r="J193" s="66" t="s">
        <v>37</v>
      </c>
      <c r="K193" s="66" t="s">
        <v>63</v>
      </c>
      <c r="L193" s="66" t="s">
        <v>212</v>
      </c>
      <c r="M193" s="68" t="s">
        <v>870</v>
      </c>
      <c r="N193" s="68" t="s">
        <v>139</v>
      </c>
      <c r="O193" s="68">
        <v>21222231504</v>
      </c>
      <c r="P193" s="68">
        <v>5051970843</v>
      </c>
      <c r="Q193" s="303">
        <f t="shared" si="31"/>
        <v>1</v>
      </c>
      <c r="R193" s="303">
        <f t="shared" si="32"/>
        <v>48</v>
      </c>
      <c r="S193" s="68">
        <v>0</v>
      </c>
      <c r="T193" s="68">
        <v>0</v>
      </c>
      <c r="U193" s="68">
        <v>1</v>
      </c>
      <c r="V193" s="68">
        <v>48</v>
      </c>
      <c r="W193" s="68">
        <v>46.000999999999998</v>
      </c>
      <c r="X193" s="68">
        <v>80</v>
      </c>
      <c r="Y193" s="68">
        <v>60</v>
      </c>
      <c r="Z193" s="68">
        <v>44</v>
      </c>
      <c r="AA193" s="68">
        <v>1</v>
      </c>
      <c r="AB193" s="300">
        <f t="shared" si="33"/>
        <v>35.200000000000003</v>
      </c>
      <c r="AC193" s="300">
        <f t="shared" si="34"/>
        <v>0.21204819277108436</v>
      </c>
      <c r="AD193" s="68">
        <v>1182.01</v>
      </c>
      <c r="AE193" s="68" t="s">
        <v>109</v>
      </c>
      <c r="AF193" s="66" t="s">
        <v>317</v>
      </c>
      <c r="AG193" s="66" t="s">
        <v>317</v>
      </c>
      <c r="AH193" s="68" t="s">
        <v>875</v>
      </c>
      <c r="AI193" s="309"/>
      <c r="AJ193" s="309"/>
      <c r="AK193" s="68" t="s">
        <v>41</v>
      </c>
      <c r="AL193" s="68" t="s">
        <v>49</v>
      </c>
      <c r="AM193" s="299">
        <f t="shared" ca="1" si="30"/>
        <v>0.89930555555474712</v>
      </c>
      <c r="AN193" s="51"/>
      <c r="AO193" s="61" t="s">
        <v>72</v>
      </c>
      <c r="AP193" s="62" t="s">
        <v>870</v>
      </c>
      <c r="AQ193" s="61" t="s">
        <v>913</v>
      </c>
      <c r="AR193" s="64">
        <v>44869.503472222219</v>
      </c>
      <c r="AS193" s="61" t="s">
        <v>95</v>
      </c>
      <c r="AT193" s="61" t="s">
        <v>225</v>
      </c>
      <c r="AU193" s="59">
        <v>0.50347222222222221</v>
      </c>
      <c r="AV193" s="61">
        <v>1</v>
      </c>
      <c r="AW193" s="61" t="s">
        <v>66</v>
      </c>
      <c r="AX193" s="52"/>
      <c r="AY193" s="52"/>
      <c r="AZ193" s="52"/>
      <c r="BA193" s="52"/>
    </row>
    <row r="194" spans="1:53" x14ac:dyDescent="0.25">
      <c r="A194" s="73">
        <v>72</v>
      </c>
      <c r="B194" s="72">
        <v>44868.604166666664</v>
      </c>
      <c r="C194" s="67">
        <v>0.60763888888888895</v>
      </c>
      <c r="D194" s="67">
        <v>0.61458333333333337</v>
      </c>
      <c r="E194" s="67">
        <v>0.63888888888888895</v>
      </c>
      <c r="F194" s="68" t="s">
        <v>170</v>
      </c>
      <c r="G194" s="68" t="s">
        <v>861</v>
      </c>
      <c r="H194" s="66" t="s">
        <v>187</v>
      </c>
      <c r="I194" s="66" t="s">
        <v>71</v>
      </c>
      <c r="J194" s="66" t="s">
        <v>37</v>
      </c>
      <c r="K194" s="66" t="s">
        <v>63</v>
      </c>
      <c r="L194" s="66" t="s">
        <v>212</v>
      </c>
      <c r="M194" s="68" t="s">
        <v>872</v>
      </c>
      <c r="N194" s="68" t="s">
        <v>139</v>
      </c>
      <c r="O194" s="68">
        <v>21222231509</v>
      </c>
      <c r="P194" s="68">
        <v>5051988077</v>
      </c>
      <c r="Q194" s="303">
        <f t="shared" si="31"/>
        <v>1</v>
      </c>
      <c r="R194" s="303">
        <f t="shared" si="32"/>
        <v>100</v>
      </c>
      <c r="S194" s="68">
        <v>0</v>
      </c>
      <c r="T194" s="68">
        <v>0</v>
      </c>
      <c r="U194" s="68">
        <v>1</v>
      </c>
      <c r="V194" s="68">
        <v>100</v>
      </c>
      <c r="W194" s="68">
        <v>98.247</v>
      </c>
      <c r="X194" s="68">
        <v>80</v>
      </c>
      <c r="Y194" s="68">
        <v>60</v>
      </c>
      <c r="Z194" s="68">
        <v>54</v>
      </c>
      <c r="AA194" s="68">
        <v>1</v>
      </c>
      <c r="AB194" s="300">
        <f t="shared" si="33"/>
        <v>43.2</v>
      </c>
      <c r="AC194" s="300">
        <f t="shared" si="34"/>
        <v>0.26024096385542173</v>
      </c>
      <c r="AD194" s="68">
        <v>1465.14</v>
      </c>
      <c r="AE194" s="68" t="s">
        <v>109</v>
      </c>
      <c r="AF194" s="66" t="s">
        <v>317</v>
      </c>
      <c r="AG194" s="66" t="s">
        <v>317</v>
      </c>
      <c r="AH194" s="68" t="s">
        <v>876</v>
      </c>
      <c r="AI194" s="309"/>
      <c r="AJ194" s="309"/>
      <c r="AK194" s="68" t="s">
        <v>41</v>
      </c>
      <c r="AL194" s="68" t="s">
        <v>49</v>
      </c>
      <c r="AM194" s="299">
        <f t="shared" ca="1" si="30"/>
        <v>0.89930555555474712</v>
      </c>
      <c r="AN194" s="51"/>
      <c r="AO194" s="61" t="s">
        <v>72</v>
      </c>
      <c r="AP194" s="62" t="s">
        <v>872</v>
      </c>
      <c r="AQ194" s="61" t="s">
        <v>913</v>
      </c>
      <c r="AR194" s="64">
        <v>44869.503472222219</v>
      </c>
      <c r="AS194" s="61" t="s">
        <v>95</v>
      </c>
      <c r="AT194" s="61" t="s">
        <v>225</v>
      </c>
      <c r="AU194" s="59">
        <v>0.50347222222222221</v>
      </c>
      <c r="AV194" s="61">
        <v>1</v>
      </c>
      <c r="AW194" s="61" t="s">
        <v>66</v>
      </c>
      <c r="AX194" s="52"/>
      <c r="AY194" s="52"/>
      <c r="AZ194" s="52"/>
      <c r="BA194" s="52"/>
    </row>
    <row r="195" spans="1:53" x14ac:dyDescent="0.25">
      <c r="A195" s="73">
        <v>73</v>
      </c>
      <c r="B195" s="72">
        <v>44868.604166666664</v>
      </c>
      <c r="C195" s="67">
        <v>0.60763888888888895</v>
      </c>
      <c r="D195" s="67">
        <v>0.61458333333333337</v>
      </c>
      <c r="E195" s="67">
        <v>0.63888888888888895</v>
      </c>
      <c r="F195" s="68" t="s">
        <v>170</v>
      </c>
      <c r="G195" s="68" t="s">
        <v>861</v>
      </c>
      <c r="H195" s="66" t="s">
        <v>57</v>
      </c>
      <c r="I195" s="66" t="s">
        <v>92</v>
      </c>
      <c r="J195" s="66" t="s">
        <v>37</v>
      </c>
      <c r="K195" s="66" t="s">
        <v>63</v>
      </c>
      <c r="L195" s="66" t="s">
        <v>209</v>
      </c>
      <c r="M195" s="68" t="s">
        <v>877</v>
      </c>
      <c r="N195" s="68" t="s">
        <v>42</v>
      </c>
      <c r="O195" s="68" t="s">
        <v>878</v>
      </c>
      <c r="P195" s="68">
        <v>81953305</v>
      </c>
      <c r="Q195" s="303">
        <f t="shared" si="31"/>
        <v>2</v>
      </c>
      <c r="R195" s="303">
        <f t="shared" si="32"/>
        <v>665</v>
      </c>
      <c r="S195" s="68">
        <v>0</v>
      </c>
      <c r="T195" s="68">
        <v>0</v>
      </c>
      <c r="U195" s="68">
        <v>2</v>
      </c>
      <c r="V195" s="68">
        <v>665</v>
      </c>
      <c r="W195" s="68">
        <v>663</v>
      </c>
      <c r="X195" s="68">
        <v>147</v>
      </c>
      <c r="Y195" s="68">
        <v>147</v>
      </c>
      <c r="Z195" s="68">
        <v>93</v>
      </c>
      <c r="AA195" s="68">
        <v>1</v>
      </c>
      <c r="AB195" s="300">
        <f t="shared" si="33"/>
        <v>334.93950000000001</v>
      </c>
      <c r="AC195" s="300">
        <f t="shared" si="34"/>
        <v>2.0177078313253012</v>
      </c>
      <c r="AD195" s="68">
        <v>21195.3</v>
      </c>
      <c r="AE195" s="68" t="s">
        <v>109</v>
      </c>
      <c r="AF195" s="66" t="s">
        <v>317</v>
      </c>
      <c r="AG195" s="66" t="s">
        <v>317</v>
      </c>
      <c r="AH195" s="68" t="s">
        <v>879</v>
      </c>
      <c r="AI195" s="309"/>
      <c r="AJ195" s="309"/>
      <c r="AK195" s="68" t="s">
        <v>37</v>
      </c>
      <c r="AL195" s="68" t="s">
        <v>54</v>
      </c>
      <c r="AM195" s="299">
        <f t="shared" ca="1" si="30"/>
        <v>0.84027777778101154</v>
      </c>
      <c r="AN195" s="51"/>
      <c r="AO195" s="61" t="s">
        <v>83</v>
      </c>
      <c r="AP195" s="62" t="s">
        <v>877</v>
      </c>
      <c r="AQ195" s="61" t="s">
        <v>912</v>
      </c>
      <c r="AR195" s="64">
        <v>44869.444444444445</v>
      </c>
      <c r="AS195" s="57" t="s">
        <v>903</v>
      </c>
      <c r="AT195" s="61" t="s">
        <v>225</v>
      </c>
      <c r="AU195" s="63">
        <v>0.44444444444444442</v>
      </c>
      <c r="AV195" s="61">
        <v>1</v>
      </c>
      <c r="AW195" s="61" t="s">
        <v>66</v>
      </c>
      <c r="AX195" s="52"/>
      <c r="AY195" s="52"/>
      <c r="AZ195" s="52"/>
      <c r="BA195" s="52"/>
    </row>
    <row r="196" spans="1:53" x14ac:dyDescent="0.25">
      <c r="A196" s="73">
        <v>73</v>
      </c>
      <c r="B196" s="72">
        <v>44868.604166666664</v>
      </c>
      <c r="C196" s="67">
        <v>0.60763888888888895</v>
      </c>
      <c r="D196" s="67">
        <v>0.61458333333333337</v>
      </c>
      <c r="E196" s="67">
        <v>0.63888888888888895</v>
      </c>
      <c r="F196" s="68" t="s">
        <v>170</v>
      </c>
      <c r="G196" s="68" t="s">
        <v>861</v>
      </c>
      <c r="H196" s="66" t="s">
        <v>57</v>
      </c>
      <c r="I196" s="66" t="s">
        <v>92</v>
      </c>
      <c r="J196" s="66" t="s">
        <v>37</v>
      </c>
      <c r="K196" s="66" t="s">
        <v>63</v>
      </c>
      <c r="L196" s="66" t="s">
        <v>209</v>
      </c>
      <c r="M196" s="68" t="s">
        <v>877</v>
      </c>
      <c r="N196" s="68" t="s">
        <v>42</v>
      </c>
      <c r="O196" s="68" t="s">
        <v>878</v>
      </c>
      <c r="P196" s="68">
        <v>81953305</v>
      </c>
      <c r="Q196" s="303">
        <f t="shared" si="31"/>
        <v>0</v>
      </c>
      <c r="R196" s="303">
        <f t="shared" si="32"/>
        <v>0</v>
      </c>
      <c r="S196" s="68">
        <v>0</v>
      </c>
      <c r="T196" s="68">
        <v>0</v>
      </c>
      <c r="U196" s="68">
        <v>0</v>
      </c>
      <c r="V196" s="68">
        <v>0</v>
      </c>
      <c r="W196" s="68">
        <v>0</v>
      </c>
      <c r="X196" s="68">
        <v>147</v>
      </c>
      <c r="Y196" s="68">
        <v>82</v>
      </c>
      <c r="Z196" s="68">
        <v>75</v>
      </c>
      <c r="AA196" s="68">
        <v>1</v>
      </c>
      <c r="AB196" s="300">
        <f t="shared" si="33"/>
        <v>150.67500000000001</v>
      </c>
      <c r="AC196" s="300">
        <f t="shared" si="34"/>
        <v>0.90768072289156632</v>
      </c>
      <c r="AD196" s="68">
        <v>0</v>
      </c>
      <c r="AE196" s="68">
        <v>0</v>
      </c>
      <c r="AF196" s="66" t="s">
        <v>317</v>
      </c>
      <c r="AG196" s="66" t="s">
        <v>317</v>
      </c>
      <c r="AH196" s="68" t="s">
        <v>879</v>
      </c>
      <c r="AI196" s="309"/>
      <c r="AJ196" s="309"/>
      <c r="AK196" s="68" t="s">
        <v>37</v>
      </c>
      <c r="AL196" s="68" t="s">
        <v>54</v>
      </c>
      <c r="AM196" s="299">
        <f t="shared" ca="1" si="30"/>
        <v>0.84027777778101154</v>
      </c>
      <c r="AN196" s="51"/>
      <c r="AO196" s="61" t="s">
        <v>83</v>
      </c>
      <c r="AP196" s="62" t="s">
        <v>877</v>
      </c>
      <c r="AQ196" s="61" t="s">
        <v>912</v>
      </c>
      <c r="AR196" s="64">
        <v>44869.444444444445</v>
      </c>
      <c r="AS196" s="57" t="s">
        <v>903</v>
      </c>
      <c r="AT196" s="61" t="s">
        <v>225</v>
      </c>
      <c r="AU196" s="63">
        <v>0.44444444444444442</v>
      </c>
      <c r="AV196" s="61">
        <v>1</v>
      </c>
      <c r="AW196" s="61" t="s">
        <v>66</v>
      </c>
      <c r="AX196" s="52"/>
      <c r="AY196" s="52"/>
      <c r="AZ196" s="52"/>
      <c r="BA196" s="52"/>
    </row>
    <row r="197" spans="1:53" x14ac:dyDescent="0.25">
      <c r="A197" s="73">
        <v>74</v>
      </c>
      <c r="B197" s="72">
        <v>44868.604166666664</v>
      </c>
      <c r="C197" s="67">
        <v>0.60763888888888895</v>
      </c>
      <c r="D197" s="67">
        <v>0.61458333333333337</v>
      </c>
      <c r="E197" s="67">
        <v>0.63888888888888895</v>
      </c>
      <c r="F197" s="68" t="s">
        <v>170</v>
      </c>
      <c r="G197" s="68" t="s">
        <v>861</v>
      </c>
      <c r="H197" s="66" t="s">
        <v>57</v>
      </c>
      <c r="I197" s="66" t="s">
        <v>92</v>
      </c>
      <c r="J197" s="66" t="s">
        <v>37</v>
      </c>
      <c r="K197" s="66" t="s">
        <v>63</v>
      </c>
      <c r="L197" s="66" t="s">
        <v>209</v>
      </c>
      <c r="M197" s="68" t="s">
        <v>877</v>
      </c>
      <c r="N197" s="68" t="s">
        <v>42</v>
      </c>
      <c r="O197" s="68" t="s">
        <v>880</v>
      </c>
      <c r="P197" s="68">
        <v>81953306</v>
      </c>
      <c r="Q197" s="303">
        <f t="shared" si="31"/>
        <v>2</v>
      </c>
      <c r="R197" s="303">
        <f t="shared" si="32"/>
        <v>821</v>
      </c>
      <c r="S197" s="68">
        <v>0</v>
      </c>
      <c r="T197" s="68">
        <v>0</v>
      </c>
      <c r="U197" s="68">
        <v>2</v>
      </c>
      <c r="V197" s="68">
        <v>821</v>
      </c>
      <c r="W197" s="68">
        <v>806</v>
      </c>
      <c r="X197" s="68">
        <v>147</v>
      </c>
      <c r="Y197" s="68">
        <v>147</v>
      </c>
      <c r="Z197" s="68">
        <v>93</v>
      </c>
      <c r="AA197" s="68">
        <v>2</v>
      </c>
      <c r="AB197" s="300">
        <f t="shared" si="33"/>
        <v>669.87900000000002</v>
      </c>
      <c r="AC197" s="300">
        <f t="shared" si="34"/>
        <v>4.0354156626506024</v>
      </c>
      <c r="AD197" s="68">
        <v>25958.240000000002</v>
      </c>
      <c r="AE197" s="68" t="s">
        <v>109</v>
      </c>
      <c r="AF197" s="66" t="s">
        <v>317</v>
      </c>
      <c r="AG197" s="66" t="s">
        <v>317</v>
      </c>
      <c r="AH197" s="68" t="s">
        <v>881</v>
      </c>
      <c r="AI197" s="309"/>
      <c r="AJ197" s="309"/>
      <c r="AK197" s="68" t="s">
        <v>37</v>
      </c>
      <c r="AL197" s="68" t="s">
        <v>54</v>
      </c>
      <c r="AM197" s="299">
        <f t="shared" ca="1" si="30"/>
        <v>0.84027777778101154</v>
      </c>
      <c r="AN197" s="51"/>
      <c r="AO197" s="61" t="s">
        <v>83</v>
      </c>
      <c r="AP197" s="62" t="s">
        <v>877</v>
      </c>
      <c r="AQ197" s="61" t="s">
        <v>912</v>
      </c>
      <c r="AR197" s="64">
        <v>44869.444444444445</v>
      </c>
      <c r="AS197" s="57" t="s">
        <v>903</v>
      </c>
      <c r="AT197" s="61" t="s">
        <v>225</v>
      </c>
      <c r="AU197" s="63">
        <v>0.44444444444444442</v>
      </c>
      <c r="AV197" s="61">
        <v>1</v>
      </c>
      <c r="AW197" s="61" t="s">
        <v>66</v>
      </c>
      <c r="AX197" s="52"/>
      <c r="AY197" s="52"/>
      <c r="AZ197" s="52"/>
      <c r="BA197" s="52"/>
    </row>
    <row r="198" spans="1:53" x14ac:dyDescent="0.25">
      <c r="A198" s="73">
        <v>75</v>
      </c>
      <c r="B198" s="72">
        <v>44868.604166666664</v>
      </c>
      <c r="C198" s="67">
        <v>0.60763888888888895</v>
      </c>
      <c r="D198" s="67">
        <v>0.61458333333333337</v>
      </c>
      <c r="E198" s="67">
        <v>0.63888888888888895</v>
      </c>
      <c r="F198" s="68" t="s">
        <v>170</v>
      </c>
      <c r="G198" s="68" t="s">
        <v>861</v>
      </c>
      <c r="H198" s="66" t="s">
        <v>57</v>
      </c>
      <c r="I198" s="66" t="s">
        <v>92</v>
      </c>
      <c r="J198" s="66" t="s">
        <v>37</v>
      </c>
      <c r="K198" s="66" t="s">
        <v>63</v>
      </c>
      <c r="L198" s="66" t="s">
        <v>209</v>
      </c>
      <c r="M198" s="68" t="s">
        <v>877</v>
      </c>
      <c r="N198" s="68" t="s">
        <v>42</v>
      </c>
      <c r="O198" s="68" t="s">
        <v>882</v>
      </c>
      <c r="P198" s="68">
        <v>81953308</v>
      </c>
      <c r="Q198" s="303">
        <f t="shared" si="31"/>
        <v>1</v>
      </c>
      <c r="R198" s="303">
        <f t="shared" si="32"/>
        <v>406</v>
      </c>
      <c r="S198" s="68">
        <v>0</v>
      </c>
      <c r="T198" s="68">
        <v>0</v>
      </c>
      <c r="U198" s="68">
        <v>1</v>
      </c>
      <c r="V198" s="68">
        <v>406</v>
      </c>
      <c r="W198" s="68">
        <v>403</v>
      </c>
      <c r="X198" s="68">
        <v>147</v>
      </c>
      <c r="Y198" s="68">
        <v>147</v>
      </c>
      <c r="Z198" s="68">
        <v>93</v>
      </c>
      <c r="AA198" s="68">
        <v>1</v>
      </c>
      <c r="AB198" s="300">
        <f t="shared" si="33"/>
        <v>334.93950000000001</v>
      </c>
      <c r="AC198" s="300">
        <f t="shared" si="34"/>
        <v>2.0177078313253012</v>
      </c>
      <c r="AD198" s="68">
        <v>12326.61</v>
      </c>
      <c r="AE198" s="68" t="s">
        <v>109</v>
      </c>
      <c r="AF198" s="66" t="s">
        <v>317</v>
      </c>
      <c r="AG198" s="66" t="s">
        <v>317</v>
      </c>
      <c r="AH198" s="68" t="s">
        <v>881</v>
      </c>
      <c r="AI198" s="309"/>
      <c r="AJ198" s="309"/>
      <c r="AK198" s="68" t="s">
        <v>37</v>
      </c>
      <c r="AL198" s="68" t="s">
        <v>54</v>
      </c>
      <c r="AM198" s="299">
        <f t="shared" ca="1" si="30"/>
        <v>0.84027777778101154</v>
      </c>
      <c r="AN198" s="51"/>
      <c r="AO198" s="61" t="s">
        <v>83</v>
      </c>
      <c r="AP198" s="62" t="s">
        <v>877</v>
      </c>
      <c r="AQ198" s="61" t="s">
        <v>912</v>
      </c>
      <c r="AR198" s="64">
        <v>44869.444444444445</v>
      </c>
      <c r="AS198" s="57" t="s">
        <v>903</v>
      </c>
      <c r="AT198" s="61" t="s">
        <v>225</v>
      </c>
      <c r="AU198" s="63">
        <v>0.44444444444444442</v>
      </c>
      <c r="AV198" s="61">
        <v>1</v>
      </c>
      <c r="AW198" s="61" t="s">
        <v>66</v>
      </c>
      <c r="AX198" s="52"/>
      <c r="AY198" s="52"/>
      <c r="AZ198" s="52"/>
      <c r="BA198" s="52"/>
    </row>
    <row r="199" spans="1:53" x14ac:dyDescent="0.25">
      <c r="A199" s="73">
        <v>76</v>
      </c>
      <c r="B199" s="72">
        <v>44868.604166666664</v>
      </c>
      <c r="C199" s="67">
        <v>0.60763888888888895</v>
      </c>
      <c r="D199" s="67">
        <v>0.61458333333333337</v>
      </c>
      <c r="E199" s="67">
        <v>0.63888888888888895</v>
      </c>
      <c r="F199" s="68" t="s">
        <v>170</v>
      </c>
      <c r="G199" s="68" t="s">
        <v>861</v>
      </c>
      <c r="H199" s="66" t="s">
        <v>57</v>
      </c>
      <c r="I199" s="66" t="s">
        <v>92</v>
      </c>
      <c r="J199" s="66" t="s">
        <v>37</v>
      </c>
      <c r="K199" s="66" t="s">
        <v>63</v>
      </c>
      <c r="L199" s="66" t="s">
        <v>209</v>
      </c>
      <c r="M199" s="68" t="s">
        <v>877</v>
      </c>
      <c r="N199" s="68" t="s">
        <v>42</v>
      </c>
      <c r="O199" s="68" t="s">
        <v>883</v>
      </c>
      <c r="P199" s="68">
        <v>81953329</v>
      </c>
      <c r="Q199" s="303">
        <f t="shared" si="31"/>
        <v>2</v>
      </c>
      <c r="R199" s="303">
        <f t="shared" si="32"/>
        <v>810</v>
      </c>
      <c r="S199" s="68">
        <v>0</v>
      </c>
      <c r="T199" s="68">
        <v>0</v>
      </c>
      <c r="U199" s="68">
        <v>2</v>
      </c>
      <c r="V199" s="68">
        <v>810</v>
      </c>
      <c r="W199" s="68">
        <v>806</v>
      </c>
      <c r="X199" s="68">
        <v>147</v>
      </c>
      <c r="Y199" s="68">
        <v>147</v>
      </c>
      <c r="Z199" s="68">
        <v>93</v>
      </c>
      <c r="AA199" s="68">
        <v>2</v>
      </c>
      <c r="AB199" s="300">
        <f t="shared" si="33"/>
        <v>669.87900000000002</v>
      </c>
      <c r="AC199" s="300">
        <f t="shared" si="34"/>
        <v>4.0354156626506024</v>
      </c>
      <c r="AD199" s="68">
        <v>24653.200000000001</v>
      </c>
      <c r="AE199" s="68" t="s">
        <v>109</v>
      </c>
      <c r="AF199" s="66" t="s">
        <v>317</v>
      </c>
      <c r="AG199" s="66" t="s">
        <v>317</v>
      </c>
      <c r="AH199" s="68" t="s">
        <v>884</v>
      </c>
      <c r="AI199" s="309"/>
      <c r="AJ199" s="309"/>
      <c r="AK199" s="68" t="s">
        <v>37</v>
      </c>
      <c r="AL199" s="68" t="s">
        <v>54</v>
      </c>
      <c r="AM199" s="299">
        <f t="shared" ca="1" si="30"/>
        <v>0.84027777778101154</v>
      </c>
      <c r="AN199" s="51"/>
      <c r="AO199" s="61" t="s">
        <v>83</v>
      </c>
      <c r="AP199" s="62" t="s">
        <v>877</v>
      </c>
      <c r="AQ199" s="61" t="s">
        <v>912</v>
      </c>
      <c r="AR199" s="64">
        <v>44869.444444444445</v>
      </c>
      <c r="AS199" s="57" t="s">
        <v>903</v>
      </c>
      <c r="AT199" s="61" t="s">
        <v>225</v>
      </c>
      <c r="AU199" s="63">
        <v>0.44444444444444442</v>
      </c>
      <c r="AV199" s="61">
        <v>1</v>
      </c>
      <c r="AW199" s="61" t="s">
        <v>66</v>
      </c>
      <c r="AX199" s="52"/>
      <c r="AY199" s="52"/>
      <c r="AZ199" s="52"/>
      <c r="BA199" s="52"/>
    </row>
    <row r="200" spans="1:53" x14ac:dyDescent="0.25">
      <c r="A200" s="73">
        <v>77</v>
      </c>
      <c r="B200" s="72">
        <v>44868.614583333336</v>
      </c>
      <c r="C200" s="67">
        <v>0.61805555555555558</v>
      </c>
      <c r="D200" s="67">
        <v>0.625</v>
      </c>
      <c r="E200" s="67">
        <v>0.64583333333333337</v>
      </c>
      <c r="F200" s="68" t="s">
        <v>170</v>
      </c>
      <c r="G200" s="68" t="s">
        <v>885</v>
      </c>
      <c r="H200" s="66" t="s">
        <v>227</v>
      </c>
      <c r="I200" s="66" t="s">
        <v>189</v>
      </c>
      <c r="J200" s="66" t="s">
        <v>37</v>
      </c>
      <c r="K200" s="66" t="s">
        <v>63</v>
      </c>
      <c r="L200" s="70" t="s">
        <v>206</v>
      </c>
      <c r="M200" s="68" t="s">
        <v>886</v>
      </c>
      <c r="N200" s="68" t="s">
        <v>43</v>
      </c>
      <c r="O200" s="77">
        <v>847848</v>
      </c>
      <c r="P200" s="68" t="s">
        <v>887</v>
      </c>
      <c r="Q200" s="303">
        <f t="shared" si="31"/>
        <v>1</v>
      </c>
      <c r="R200" s="303">
        <f t="shared" si="32"/>
        <v>166</v>
      </c>
      <c r="S200" s="68">
        <v>0</v>
      </c>
      <c r="T200" s="68">
        <v>0</v>
      </c>
      <c r="U200" s="68">
        <v>1</v>
      </c>
      <c r="V200" s="68">
        <v>166</v>
      </c>
      <c r="W200" s="68">
        <v>180</v>
      </c>
      <c r="X200" s="68">
        <v>160</v>
      </c>
      <c r="Y200" s="68">
        <v>137</v>
      </c>
      <c r="Z200" s="68">
        <v>79</v>
      </c>
      <c r="AA200" s="68">
        <v>1</v>
      </c>
      <c r="AB200" s="300">
        <f t="shared" si="33"/>
        <v>288.61333333333334</v>
      </c>
      <c r="AC200" s="300">
        <f t="shared" si="34"/>
        <v>1.7386345381526105</v>
      </c>
      <c r="AD200" s="68" t="s">
        <v>48</v>
      </c>
      <c r="AE200" s="68" t="s">
        <v>48</v>
      </c>
      <c r="AF200" s="66" t="s">
        <v>317</v>
      </c>
      <c r="AG200" s="66" t="s">
        <v>317</v>
      </c>
      <c r="AH200" s="68" t="s">
        <v>888</v>
      </c>
      <c r="AI200" s="309"/>
      <c r="AJ200" s="309"/>
      <c r="AK200" s="68" t="s">
        <v>37</v>
      </c>
      <c r="AL200" s="68" t="s">
        <v>47</v>
      </c>
      <c r="AM200" s="299">
        <f t="shared" ca="1" si="30"/>
        <v>1.9479166666642413</v>
      </c>
      <c r="AN200" s="51"/>
      <c r="AO200" s="61" t="s">
        <v>179</v>
      </c>
      <c r="AP200" s="62" t="s">
        <v>1061</v>
      </c>
      <c r="AQ200" s="61" t="s">
        <v>1062</v>
      </c>
      <c r="AR200" s="64">
        <v>44870.5625</v>
      </c>
      <c r="AS200" s="61" t="s">
        <v>117</v>
      </c>
      <c r="AT200" s="61" t="s">
        <v>225</v>
      </c>
      <c r="AU200" s="59">
        <v>0.5625</v>
      </c>
      <c r="AV200" s="61">
        <v>2</v>
      </c>
      <c r="AW200" s="61" t="s">
        <v>66</v>
      </c>
      <c r="AX200" s="52"/>
      <c r="AY200" s="52"/>
      <c r="AZ200" s="52"/>
      <c r="BA200" s="52"/>
    </row>
    <row r="201" spans="1:53" x14ac:dyDescent="0.25">
      <c r="A201" s="73">
        <v>78</v>
      </c>
      <c r="B201" s="72">
        <v>44868.614583333336</v>
      </c>
      <c r="C201" s="67">
        <v>0.61805555555555558</v>
      </c>
      <c r="D201" s="67">
        <v>0.625</v>
      </c>
      <c r="E201" s="67">
        <v>0.64583333333333337</v>
      </c>
      <c r="F201" s="68" t="s">
        <v>170</v>
      </c>
      <c r="G201" s="68" t="s">
        <v>885</v>
      </c>
      <c r="H201" s="66" t="s">
        <v>138</v>
      </c>
      <c r="I201" s="66" t="s">
        <v>162</v>
      </c>
      <c r="J201" s="66" t="s">
        <v>37</v>
      </c>
      <c r="K201" s="66" t="s">
        <v>63</v>
      </c>
      <c r="L201" s="70" t="s">
        <v>219</v>
      </c>
      <c r="M201" s="68" t="s">
        <v>889</v>
      </c>
      <c r="N201" s="68" t="s">
        <v>158</v>
      </c>
      <c r="O201" s="68" t="s">
        <v>890</v>
      </c>
      <c r="P201" s="68">
        <v>5051940853</v>
      </c>
      <c r="Q201" s="303">
        <f t="shared" si="31"/>
        <v>2</v>
      </c>
      <c r="R201" s="303">
        <f t="shared" si="32"/>
        <v>192</v>
      </c>
      <c r="S201" s="68">
        <v>0</v>
      </c>
      <c r="T201" s="68">
        <v>0</v>
      </c>
      <c r="U201" s="68">
        <v>2</v>
      </c>
      <c r="V201" s="68">
        <v>192</v>
      </c>
      <c r="W201" s="68">
        <v>192</v>
      </c>
      <c r="X201" s="68">
        <v>91</v>
      </c>
      <c r="Y201" s="68">
        <v>49</v>
      </c>
      <c r="Z201" s="68">
        <v>49</v>
      </c>
      <c r="AA201" s="68">
        <v>1</v>
      </c>
      <c r="AB201" s="300">
        <f t="shared" si="33"/>
        <v>36.415166666666664</v>
      </c>
      <c r="AC201" s="300">
        <f t="shared" si="34"/>
        <v>0.21936847389558231</v>
      </c>
      <c r="AD201" s="68">
        <v>918</v>
      </c>
      <c r="AE201" s="68" t="s">
        <v>109</v>
      </c>
      <c r="AF201" s="66" t="s">
        <v>317</v>
      </c>
      <c r="AG201" s="66" t="s">
        <v>317</v>
      </c>
      <c r="AH201" s="68" t="s">
        <v>891</v>
      </c>
      <c r="AI201" s="309"/>
      <c r="AJ201" s="309"/>
      <c r="AK201" s="68" t="s">
        <v>41</v>
      </c>
      <c r="AL201" s="68" t="s">
        <v>47</v>
      </c>
      <c r="AM201" s="299">
        <f t="shared" ca="1" si="30"/>
        <v>2.0277777777737356</v>
      </c>
      <c r="AN201" s="51"/>
      <c r="AO201" s="61" t="s">
        <v>159</v>
      </c>
      <c r="AP201" s="62" t="s">
        <v>889</v>
      </c>
      <c r="AQ201" s="61" t="s">
        <v>1065</v>
      </c>
      <c r="AR201" s="64">
        <v>44870.642361111109</v>
      </c>
      <c r="AS201" s="61" t="s">
        <v>88</v>
      </c>
      <c r="AT201" s="61" t="s">
        <v>65</v>
      </c>
      <c r="AU201" s="59">
        <v>0.64236111111111105</v>
      </c>
      <c r="AV201" s="61">
        <v>1</v>
      </c>
      <c r="AW201" s="61" t="s">
        <v>66</v>
      </c>
      <c r="AX201" s="52"/>
      <c r="AY201" s="52"/>
      <c r="AZ201" s="52"/>
      <c r="BA201" s="52"/>
    </row>
    <row r="202" spans="1:53" x14ac:dyDescent="0.25">
      <c r="A202" s="73">
        <v>78</v>
      </c>
      <c r="B202" s="72">
        <v>44868.614583333336</v>
      </c>
      <c r="C202" s="67">
        <v>0.61805555555555558</v>
      </c>
      <c r="D202" s="67">
        <v>0.625</v>
      </c>
      <c r="E202" s="67">
        <v>0.64583333333333337</v>
      </c>
      <c r="F202" s="68" t="s">
        <v>170</v>
      </c>
      <c r="G202" s="68" t="s">
        <v>885</v>
      </c>
      <c r="H202" s="66" t="s">
        <v>138</v>
      </c>
      <c r="I202" s="66" t="s">
        <v>162</v>
      </c>
      <c r="J202" s="66" t="s">
        <v>37</v>
      </c>
      <c r="K202" s="66" t="s">
        <v>63</v>
      </c>
      <c r="L202" s="70" t="s">
        <v>219</v>
      </c>
      <c r="M202" s="68" t="s">
        <v>889</v>
      </c>
      <c r="N202" s="68" t="s">
        <v>158</v>
      </c>
      <c r="O202" s="68" t="s">
        <v>890</v>
      </c>
      <c r="P202" s="68">
        <v>5051940853</v>
      </c>
      <c r="Q202" s="303">
        <f t="shared" si="31"/>
        <v>0</v>
      </c>
      <c r="R202" s="303">
        <f t="shared" si="32"/>
        <v>0</v>
      </c>
      <c r="S202" s="68">
        <v>0</v>
      </c>
      <c r="T202" s="68">
        <v>0</v>
      </c>
      <c r="U202" s="68">
        <v>0</v>
      </c>
      <c r="V202" s="68">
        <v>0</v>
      </c>
      <c r="W202" s="68">
        <v>0</v>
      </c>
      <c r="X202" s="68">
        <v>113</v>
      </c>
      <c r="Y202" s="68">
        <v>50</v>
      </c>
      <c r="Z202" s="68">
        <v>49</v>
      </c>
      <c r="AA202" s="68">
        <v>1</v>
      </c>
      <c r="AB202" s="300">
        <f t="shared" si="33"/>
        <v>46.141666666666666</v>
      </c>
      <c r="AC202" s="300">
        <f t="shared" si="34"/>
        <v>0.2779618473895582</v>
      </c>
      <c r="AD202" s="68">
        <v>0</v>
      </c>
      <c r="AE202" s="68">
        <v>0</v>
      </c>
      <c r="AF202" s="66" t="s">
        <v>317</v>
      </c>
      <c r="AG202" s="66" t="s">
        <v>317</v>
      </c>
      <c r="AH202" s="68" t="s">
        <v>891</v>
      </c>
      <c r="AI202" s="309"/>
      <c r="AJ202" s="309"/>
      <c r="AK202" s="68" t="s">
        <v>41</v>
      </c>
      <c r="AL202" s="68" t="s">
        <v>47</v>
      </c>
      <c r="AM202" s="299">
        <f t="shared" ca="1" si="30"/>
        <v>2.0277777777737356</v>
      </c>
      <c r="AN202" s="51"/>
      <c r="AO202" s="61" t="s">
        <v>159</v>
      </c>
      <c r="AP202" s="62" t="s">
        <v>889</v>
      </c>
      <c r="AQ202" s="61" t="s">
        <v>1065</v>
      </c>
      <c r="AR202" s="64">
        <v>44870.642361111109</v>
      </c>
      <c r="AS202" s="61" t="s">
        <v>88</v>
      </c>
      <c r="AT202" s="61" t="s">
        <v>65</v>
      </c>
      <c r="AU202" s="59">
        <v>0.64236111111111105</v>
      </c>
      <c r="AV202" s="61">
        <v>1</v>
      </c>
      <c r="AW202" s="61" t="s">
        <v>66</v>
      </c>
      <c r="AX202" s="52"/>
      <c r="AY202" s="52"/>
      <c r="AZ202" s="52"/>
      <c r="BA202" s="52"/>
    </row>
    <row r="203" spans="1:53" x14ac:dyDescent="0.25">
      <c r="A203" s="73">
        <v>79</v>
      </c>
      <c r="B203" s="72">
        <v>44868.614583333336</v>
      </c>
      <c r="C203" s="67">
        <v>0.61805555555555558</v>
      </c>
      <c r="D203" s="67">
        <v>0.625</v>
      </c>
      <c r="E203" s="67">
        <v>0.64583333333333337</v>
      </c>
      <c r="F203" s="68" t="s">
        <v>170</v>
      </c>
      <c r="G203" s="68" t="s">
        <v>885</v>
      </c>
      <c r="H203" s="66" t="s">
        <v>46</v>
      </c>
      <c r="I203" s="66" t="s">
        <v>71</v>
      </c>
      <c r="J203" s="66" t="s">
        <v>41</v>
      </c>
      <c r="K203" s="66" t="s">
        <v>63</v>
      </c>
      <c r="L203" s="66" t="s">
        <v>214</v>
      </c>
      <c r="M203" s="68" t="s">
        <v>892</v>
      </c>
      <c r="N203" s="68" t="s">
        <v>139</v>
      </c>
      <c r="O203" s="68" t="s">
        <v>893</v>
      </c>
      <c r="P203" s="68" t="s">
        <v>894</v>
      </c>
      <c r="Q203" s="303">
        <f t="shared" si="31"/>
        <v>2</v>
      </c>
      <c r="R203" s="303">
        <f t="shared" si="32"/>
        <v>213</v>
      </c>
      <c r="S203" s="68">
        <v>0</v>
      </c>
      <c r="T203" s="68">
        <v>0</v>
      </c>
      <c r="U203" s="68">
        <v>2</v>
      </c>
      <c r="V203" s="68">
        <v>213</v>
      </c>
      <c r="W203" s="68">
        <v>214.8</v>
      </c>
      <c r="X203" s="68">
        <v>69</v>
      </c>
      <c r="Y203" s="68">
        <v>38</v>
      </c>
      <c r="Z203" s="68">
        <v>47</v>
      </c>
      <c r="AA203" s="68">
        <v>1</v>
      </c>
      <c r="AB203" s="300">
        <f t="shared" si="33"/>
        <v>20.539000000000001</v>
      </c>
      <c r="AC203" s="300">
        <f t="shared" si="34"/>
        <v>0.12372891566265061</v>
      </c>
      <c r="AD203" s="68" t="s">
        <v>48</v>
      </c>
      <c r="AE203" s="68" t="s">
        <v>48</v>
      </c>
      <c r="AF203" s="66" t="s">
        <v>317</v>
      </c>
      <c r="AG203" s="66" t="s">
        <v>317</v>
      </c>
      <c r="AH203" s="68" t="s">
        <v>895</v>
      </c>
      <c r="AI203" s="309"/>
      <c r="AJ203" s="309"/>
      <c r="AK203" s="68" t="s">
        <v>41</v>
      </c>
      <c r="AL203" s="68" t="s">
        <v>47</v>
      </c>
      <c r="AM203" s="299">
        <f t="shared" ca="1" si="30"/>
        <v>0.88888888888322981</v>
      </c>
      <c r="AN203" s="51"/>
      <c r="AO203" s="61" t="s">
        <v>72</v>
      </c>
      <c r="AP203" s="62" t="s">
        <v>892</v>
      </c>
      <c r="AQ203" s="61" t="s">
        <v>913</v>
      </c>
      <c r="AR203" s="64">
        <v>44869.503472222219</v>
      </c>
      <c r="AS203" s="61" t="s">
        <v>95</v>
      </c>
      <c r="AT203" s="61" t="s">
        <v>225</v>
      </c>
      <c r="AU203" s="59">
        <v>0.50347222222222221</v>
      </c>
      <c r="AV203" s="61">
        <v>1</v>
      </c>
      <c r="AW203" s="61" t="s">
        <v>66</v>
      </c>
      <c r="AX203" s="52"/>
      <c r="AY203" s="52"/>
      <c r="AZ203" s="52"/>
      <c r="BA203" s="52"/>
    </row>
    <row r="204" spans="1:53" x14ac:dyDescent="0.25">
      <c r="A204" s="73">
        <v>79</v>
      </c>
      <c r="B204" s="72">
        <v>44868.614583333336</v>
      </c>
      <c r="C204" s="67">
        <v>0.61805555555555558</v>
      </c>
      <c r="D204" s="67">
        <v>0.625</v>
      </c>
      <c r="E204" s="67">
        <v>0.64583333333333337</v>
      </c>
      <c r="F204" s="68" t="s">
        <v>170</v>
      </c>
      <c r="G204" s="68" t="s">
        <v>885</v>
      </c>
      <c r="H204" s="66" t="s">
        <v>46</v>
      </c>
      <c r="I204" s="66" t="s">
        <v>71</v>
      </c>
      <c r="J204" s="66" t="s">
        <v>41</v>
      </c>
      <c r="K204" s="66" t="s">
        <v>63</v>
      </c>
      <c r="L204" s="66" t="s">
        <v>214</v>
      </c>
      <c r="M204" s="68" t="s">
        <v>892</v>
      </c>
      <c r="N204" s="68" t="s">
        <v>139</v>
      </c>
      <c r="O204" s="68" t="s">
        <v>893</v>
      </c>
      <c r="P204" s="68" t="s">
        <v>894</v>
      </c>
      <c r="Q204" s="303">
        <f t="shared" si="31"/>
        <v>0</v>
      </c>
      <c r="R204" s="303">
        <f t="shared" si="32"/>
        <v>0</v>
      </c>
      <c r="S204" s="68">
        <v>0</v>
      </c>
      <c r="T204" s="68">
        <v>0</v>
      </c>
      <c r="U204" s="68">
        <v>0</v>
      </c>
      <c r="V204" s="68">
        <v>0</v>
      </c>
      <c r="W204" s="68">
        <v>0</v>
      </c>
      <c r="X204" s="68">
        <v>82</v>
      </c>
      <c r="Y204" s="68">
        <v>44</v>
      </c>
      <c r="Z204" s="68">
        <v>49</v>
      </c>
      <c r="AA204" s="68">
        <v>1</v>
      </c>
      <c r="AB204" s="300">
        <f t="shared" si="33"/>
        <v>29.465333333333334</v>
      </c>
      <c r="AC204" s="300">
        <f t="shared" si="34"/>
        <v>0.17750200803212851</v>
      </c>
      <c r="AD204" s="68">
        <v>0</v>
      </c>
      <c r="AE204" s="68">
        <v>0</v>
      </c>
      <c r="AF204" s="66" t="s">
        <v>317</v>
      </c>
      <c r="AG204" s="66" t="s">
        <v>317</v>
      </c>
      <c r="AH204" s="68" t="s">
        <v>895</v>
      </c>
      <c r="AI204" s="309"/>
      <c r="AJ204" s="309"/>
      <c r="AK204" s="68" t="s">
        <v>41</v>
      </c>
      <c r="AL204" s="68" t="s">
        <v>47</v>
      </c>
      <c r="AM204" s="299">
        <f t="shared" ca="1" si="30"/>
        <v>0.88888888888322981</v>
      </c>
      <c r="AN204" s="51"/>
      <c r="AO204" s="61" t="s">
        <v>72</v>
      </c>
      <c r="AP204" s="62" t="s">
        <v>892</v>
      </c>
      <c r="AQ204" s="61" t="s">
        <v>913</v>
      </c>
      <c r="AR204" s="64">
        <v>44869.503472222219</v>
      </c>
      <c r="AS204" s="61" t="s">
        <v>95</v>
      </c>
      <c r="AT204" s="61" t="s">
        <v>225</v>
      </c>
      <c r="AU204" s="59">
        <v>0.50347222222222221</v>
      </c>
      <c r="AV204" s="61">
        <v>1</v>
      </c>
      <c r="AW204" s="61" t="s">
        <v>66</v>
      </c>
      <c r="AX204" s="52"/>
      <c r="AY204" s="52"/>
      <c r="AZ204" s="52"/>
      <c r="BA204" s="52"/>
    </row>
    <row r="205" spans="1:53" x14ac:dyDescent="0.25">
      <c r="A205" s="73">
        <v>80</v>
      </c>
      <c r="B205" s="72">
        <v>44868.614583333336</v>
      </c>
      <c r="C205" s="67">
        <v>0.61805555555555558</v>
      </c>
      <c r="D205" s="67">
        <v>0.625</v>
      </c>
      <c r="E205" s="67">
        <v>0.64583333333333337</v>
      </c>
      <c r="F205" s="68" t="s">
        <v>170</v>
      </c>
      <c r="G205" s="68" t="s">
        <v>885</v>
      </c>
      <c r="H205" s="66" t="s">
        <v>46</v>
      </c>
      <c r="I205" s="66" t="s">
        <v>73</v>
      </c>
      <c r="J205" s="66" t="s">
        <v>41</v>
      </c>
      <c r="K205" s="66" t="s">
        <v>63</v>
      </c>
      <c r="L205" s="66" t="s">
        <v>214</v>
      </c>
      <c r="M205" s="68" t="s">
        <v>896</v>
      </c>
      <c r="N205" s="68" t="s">
        <v>59</v>
      </c>
      <c r="O205" s="68" t="s">
        <v>897</v>
      </c>
      <c r="P205" s="68">
        <v>4952</v>
      </c>
      <c r="Q205" s="303">
        <f t="shared" si="31"/>
        <v>1</v>
      </c>
      <c r="R205" s="303">
        <f t="shared" si="32"/>
        <v>83</v>
      </c>
      <c r="S205" s="68">
        <v>0</v>
      </c>
      <c r="T205" s="68">
        <v>0</v>
      </c>
      <c r="U205" s="68">
        <v>1</v>
      </c>
      <c r="V205" s="68">
        <v>83</v>
      </c>
      <c r="W205" s="68">
        <v>84</v>
      </c>
      <c r="X205" s="68">
        <v>69</v>
      </c>
      <c r="Y205" s="68">
        <v>38</v>
      </c>
      <c r="Z205" s="68">
        <v>47</v>
      </c>
      <c r="AA205" s="68">
        <v>1</v>
      </c>
      <c r="AB205" s="300">
        <f t="shared" si="33"/>
        <v>20.539000000000001</v>
      </c>
      <c r="AC205" s="300">
        <f t="shared" si="34"/>
        <v>0.12372891566265061</v>
      </c>
      <c r="AD205" s="68" t="s">
        <v>48</v>
      </c>
      <c r="AE205" s="68" t="s">
        <v>48</v>
      </c>
      <c r="AF205" s="66" t="s">
        <v>317</v>
      </c>
      <c r="AG205" s="66" t="s">
        <v>317</v>
      </c>
      <c r="AH205" s="68" t="s">
        <v>898</v>
      </c>
      <c r="AI205" s="309"/>
      <c r="AJ205" s="309"/>
      <c r="AK205" s="68" t="s">
        <v>41</v>
      </c>
      <c r="AL205" s="68" t="s">
        <v>47</v>
      </c>
      <c r="AM205" s="299">
        <f t="shared" ca="1" si="30"/>
        <v>1.0034722222189885</v>
      </c>
      <c r="AN205" s="51"/>
      <c r="AO205" s="61" t="s">
        <v>70</v>
      </c>
      <c r="AP205" s="62" t="s">
        <v>896</v>
      </c>
      <c r="AQ205" s="61" t="s">
        <v>921</v>
      </c>
      <c r="AR205" s="64">
        <v>44869.618055555555</v>
      </c>
      <c r="AS205" s="61" t="s">
        <v>117</v>
      </c>
      <c r="AT205" s="61" t="s">
        <v>225</v>
      </c>
      <c r="AU205" s="59">
        <v>0.61805555555555558</v>
      </c>
      <c r="AV205" s="61">
        <v>2</v>
      </c>
      <c r="AW205" s="61" t="s">
        <v>66</v>
      </c>
      <c r="AX205" s="52"/>
      <c r="AY205" s="52"/>
      <c r="AZ205" s="52"/>
      <c r="BA205" s="52"/>
    </row>
    <row r="206" spans="1:53" x14ac:dyDescent="0.25">
      <c r="A206" s="73">
        <v>81</v>
      </c>
      <c r="B206" s="72">
        <v>44868.684027777781</v>
      </c>
      <c r="C206" s="67">
        <v>0.6875</v>
      </c>
      <c r="D206" s="67">
        <v>0.69097222222222221</v>
      </c>
      <c r="E206" s="67">
        <v>0.69791666666666663</v>
      </c>
      <c r="F206" s="68" t="s">
        <v>171</v>
      </c>
      <c r="G206" s="68" t="s">
        <v>117</v>
      </c>
      <c r="H206" s="66" t="s">
        <v>342</v>
      </c>
      <c r="I206" s="66" t="s">
        <v>342</v>
      </c>
      <c r="J206" s="66" t="s">
        <v>37</v>
      </c>
      <c r="K206" s="66" t="s">
        <v>180</v>
      </c>
      <c r="L206" s="66">
        <v>0</v>
      </c>
      <c r="M206" s="68" t="s">
        <v>899</v>
      </c>
      <c r="N206" s="68" t="s">
        <v>42</v>
      </c>
      <c r="O206" s="68" t="s">
        <v>900</v>
      </c>
      <c r="P206" s="68">
        <v>29545469</v>
      </c>
      <c r="Q206" s="303">
        <f t="shared" si="31"/>
        <v>2</v>
      </c>
      <c r="R206" s="303">
        <f t="shared" si="32"/>
        <v>1315</v>
      </c>
      <c r="S206" s="68">
        <v>0</v>
      </c>
      <c r="T206" s="68">
        <v>0</v>
      </c>
      <c r="U206" s="68">
        <v>2</v>
      </c>
      <c r="V206" s="68">
        <v>1315</v>
      </c>
      <c r="W206" s="68">
        <v>1200</v>
      </c>
      <c r="X206" s="68">
        <v>99</v>
      </c>
      <c r="Y206" s="68">
        <v>99</v>
      </c>
      <c r="Z206" s="68">
        <v>75</v>
      </c>
      <c r="AA206" s="68">
        <v>2</v>
      </c>
      <c r="AB206" s="300">
        <f t="shared" si="33"/>
        <v>245.02500000000001</v>
      </c>
      <c r="AC206" s="300">
        <f t="shared" si="34"/>
        <v>1.47605421686747</v>
      </c>
      <c r="AD206" s="68">
        <v>13249.92</v>
      </c>
      <c r="AE206" s="68" t="s">
        <v>109</v>
      </c>
      <c r="AF206" s="66" t="s">
        <v>317</v>
      </c>
      <c r="AG206" s="66" t="s">
        <v>317</v>
      </c>
      <c r="AH206" s="68" t="s">
        <v>901</v>
      </c>
      <c r="AI206" s="309"/>
      <c r="AJ206" s="309"/>
      <c r="AK206" s="68" t="s">
        <v>37</v>
      </c>
      <c r="AL206" s="68" t="s">
        <v>39</v>
      </c>
      <c r="AM206" s="299">
        <f t="shared" ca="1" si="30"/>
        <v>0.81944444443797693</v>
      </c>
      <c r="AN206" s="51"/>
      <c r="AO206" s="61" t="s">
        <v>107</v>
      </c>
      <c r="AP206" s="62" t="s">
        <v>899</v>
      </c>
      <c r="AQ206" s="61" t="s">
        <v>915</v>
      </c>
      <c r="AR206" s="64">
        <v>44869.503472222219</v>
      </c>
      <c r="AS206" s="61" t="s">
        <v>95</v>
      </c>
      <c r="AT206" s="61" t="s">
        <v>225</v>
      </c>
      <c r="AU206" s="59">
        <v>0.50347222222222221</v>
      </c>
      <c r="AV206" s="61">
        <v>1</v>
      </c>
      <c r="AW206" s="61" t="s">
        <v>66</v>
      </c>
      <c r="AX206" s="52"/>
      <c r="AY206" s="52"/>
      <c r="AZ206" s="52"/>
      <c r="BA206" s="52"/>
    </row>
    <row r="207" spans="1:53" x14ac:dyDescent="0.25">
      <c r="A207" s="48">
        <v>82</v>
      </c>
      <c r="B207" s="72">
        <v>44868.746527777781</v>
      </c>
      <c r="C207" s="36">
        <v>0.75</v>
      </c>
      <c r="D207" s="36">
        <v>0.75347222222222221</v>
      </c>
      <c r="E207" s="36">
        <v>0.75694444444444453</v>
      </c>
      <c r="F207" s="37" t="s">
        <v>171</v>
      </c>
      <c r="G207" s="37" t="s">
        <v>289</v>
      </c>
      <c r="H207" s="26" t="s">
        <v>75</v>
      </c>
      <c r="I207" s="26" t="s">
        <v>166</v>
      </c>
      <c r="J207" s="60" t="s">
        <v>37</v>
      </c>
      <c r="K207" s="60" t="s">
        <v>180</v>
      </c>
      <c r="L207" s="60" t="s">
        <v>209</v>
      </c>
      <c r="M207" s="37" t="s">
        <v>910</v>
      </c>
      <c r="N207" s="37" t="s">
        <v>167</v>
      </c>
      <c r="O207" s="37" t="s">
        <v>908</v>
      </c>
      <c r="P207" s="37">
        <v>16953</v>
      </c>
      <c r="Q207" s="303">
        <f t="shared" si="31"/>
        <v>2</v>
      </c>
      <c r="R207" s="303">
        <f t="shared" si="32"/>
        <v>265</v>
      </c>
      <c r="S207" s="37">
        <v>0</v>
      </c>
      <c r="T207" s="37">
        <v>0</v>
      </c>
      <c r="U207" s="37">
        <v>2</v>
      </c>
      <c r="V207" s="37">
        <f>153+112</f>
        <v>265</v>
      </c>
      <c r="W207" s="37">
        <v>267</v>
      </c>
      <c r="X207" s="37">
        <v>71</v>
      </c>
      <c r="Y207" s="37">
        <v>71</v>
      </c>
      <c r="Z207" s="37">
        <v>67</v>
      </c>
      <c r="AA207" s="37">
        <v>2</v>
      </c>
      <c r="AB207" s="300">
        <f t="shared" si="33"/>
        <v>112.58233333333334</v>
      </c>
      <c r="AC207" s="300">
        <f t="shared" si="34"/>
        <v>0.67820682730923698</v>
      </c>
      <c r="AD207" s="37">
        <v>2598.38</v>
      </c>
      <c r="AE207" s="68" t="s">
        <v>109</v>
      </c>
      <c r="AF207" s="66" t="s">
        <v>317</v>
      </c>
      <c r="AG207" s="66" t="s">
        <v>317</v>
      </c>
      <c r="AH207" s="37" t="s">
        <v>909</v>
      </c>
      <c r="AI207" s="309"/>
      <c r="AJ207" s="309"/>
      <c r="AK207" s="37" t="s">
        <v>37</v>
      </c>
      <c r="AL207" s="37" t="s">
        <v>49</v>
      </c>
      <c r="AM207" s="299">
        <f t="shared" ca="1" si="30"/>
        <v>1.6770833333284827</v>
      </c>
      <c r="AN207" s="51"/>
      <c r="AO207" s="61" t="s">
        <v>161</v>
      </c>
      <c r="AP207" s="62" t="s">
        <v>910</v>
      </c>
      <c r="AQ207" s="61" t="s">
        <v>1050</v>
      </c>
      <c r="AR207" s="64">
        <v>44870.423611111109</v>
      </c>
      <c r="AS207" s="61" t="s">
        <v>117</v>
      </c>
      <c r="AT207" s="61" t="s">
        <v>225</v>
      </c>
      <c r="AU207" s="59">
        <v>0.4236111111111111</v>
      </c>
      <c r="AV207" s="61">
        <v>1</v>
      </c>
      <c r="AW207" s="61" t="s">
        <v>66</v>
      </c>
      <c r="AX207" s="52"/>
      <c r="AY207" s="52"/>
      <c r="AZ207" s="52"/>
      <c r="BA207" s="52"/>
    </row>
    <row r="208" spans="1:53" x14ac:dyDescent="0.25">
      <c r="A208" s="73">
        <v>83</v>
      </c>
      <c r="B208" s="72">
        <v>44869.409722222219</v>
      </c>
      <c r="C208" s="67">
        <v>0.41666666666666669</v>
      </c>
      <c r="D208" s="67">
        <v>0.43402777777777773</v>
      </c>
      <c r="E208" s="67">
        <v>0.4548611111111111</v>
      </c>
      <c r="F208" s="68" t="s">
        <v>170</v>
      </c>
      <c r="G208" s="68" t="s">
        <v>235</v>
      </c>
      <c r="H208" s="71" t="s">
        <v>228</v>
      </c>
      <c r="I208" s="71" t="s">
        <v>925</v>
      </c>
      <c r="J208" s="71" t="s">
        <v>37</v>
      </c>
      <c r="K208" s="71" t="s">
        <v>63</v>
      </c>
      <c r="L208" s="71" t="s">
        <v>212</v>
      </c>
      <c r="M208" s="68" t="s">
        <v>926</v>
      </c>
      <c r="N208" s="68" t="s">
        <v>44</v>
      </c>
      <c r="O208" s="68" t="s">
        <v>927</v>
      </c>
      <c r="P208" s="68">
        <v>4513594342</v>
      </c>
      <c r="Q208" s="303">
        <f t="shared" si="31"/>
        <v>2</v>
      </c>
      <c r="R208" s="303">
        <f t="shared" si="32"/>
        <v>68</v>
      </c>
      <c r="S208" s="68">
        <v>0</v>
      </c>
      <c r="T208" s="68">
        <v>0</v>
      </c>
      <c r="U208" s="68">
        <v>2</v>
      </c>
      <c r="V208" s="68">
        <v>68</v>
      </c>
      <c r="W208" s="68">
        <v>67</v>
      </c>
      <c r="X208" s="68">
        <v>32</v>
      </c>
      <c r="Y208" s="68">
        <v>32</v>
      </c>
      <c r="Z208" s="68">
        <v>34</v>
      </c>
      <c r="AA208" s="68">
        <v>1</v>
      </c>
      <c r="AB208" s="300">
        <f t="shared" si="33"/>
        <v>5.8026666666666671</v>
      </c>
      <c r="AC208" s="300">
        <f t="shared" si="34"/>
        <v>3.4955823293172691E-2</v>
      </c>
      <c r="AD208" s="68">
        <v>1570.96</v>
      </c>
      <c r="AE208" s="68" t="s">
        <v>109</v>
      </c>
      <c r="AF208" s="66" t="s">
        <v>317</v>
      </c>
      <c r="AG208" s="66" t="s">
        <v>317</v>
      </c>
      <c r="AH208" s="68" t="s">
        <v>928</v>
      </c>
      <c r="AI208" s="309"/>
      <c r="AJ208" s="309"/>
      <c r="AK208" s="68" t="s">
        <v>37</v>
      </c>
      <c r="AL208" s="68" t="s">
        <v>39</v>
      </c>
      <c r="AM208" s="299">
        <f t="shared" ca="1" si="30"/>
        <v>1.125</v>
      </c>
      <c r="AN208" s="51"/>
      <c r="AO208" s="61" t="s">
        <v>272</v>
      </c>
      <c r="AP208" s="62" t="s">
        <v>926</v>
      </c>
      <c r="AQ208" s="61" t="s">
        <v>1052</v>
      </c>
      <c r="AR208" s="64">
        <v>44870.534722222219</v>
      </c>
      <c r="AS208" s="57" t="s">
        <v>173</v>
      </c>
      <c r="AT208" s="61" t="s">
        <v>225</v>
      </c>
      <c r="AU208" s="63">
        <v>0.53472222222222221</v>
      </c>
      <c r="AV208" s="61">
        <v>1</v>
      </c>
      <c r="AW208" s="61" t="s">
        <v>66</v>
      </c>
      <c r="AX208" s="52"/>
      <c r="AY208" s="52"/>
      <c r="AZ208" s="52"/>
      <c r="BA208" s="52"/>
    </row>
    <row r="209" spans="1:53" x14ac:dyDescent="0.25">
      <c r="A209" s="73">
        <v>83</v>
      </c>
      <c r="B209" s="72">
        <v>44869.409722222219</v>
      </c>
      <c r="C209" s="67">
        <v>0.41666666666666669</v>
      </c>
      <c r="D209" s="67">
        <v>0.43402777777777773</v>
      </c>
      <c r="E209" s="67">
        <v>0.4548611111111111</v>
      </c>
      <c r="F209" s="68" t="s">
        <v>170</v>
      </c>
      <c r="G209" s="68" t="s">
        <v>235</v>
      </c>
      <c r="H209" s="66" t="s">
        <v>228</v>
      </c>
      <c r="I209" s="66" t="s">
        <v>925</v>
      </c>
      <c r="J209" s="66" t="s">
        <v>37</v>
      </c>
      <c r="K209" s="66" t="s">
        <v>63</v>
      </c>
      <c r="L209" s="66" t="s">
        <v>212</v>
      </c>
      <c r="M209" s="68" t="s">
        <v>926</v>
      </c>
      <c r="N209" s="68" t="s">
        <v>44</v>
      </c>
      <c r="O209" s="68" t="s">
        <v>927</v>
      </c>
      <c r="P209" s="68">
        <v>4513594342</v>
      </c>
      <c r="Q209" s="303">
        <f t="shared" si="31"/>
        <v>0</v>
      </c>
      <c r="R209" s="303">
        <f t="shared" si="32"/>
        <v>0</v>
      </c>
      <c r="S209" s="68">
        <v>0</v>
      </c>
      <c r="T209" s="68">
        <v>0</v>
      </c>
      <c r="U209" s="68">
        <v>0</v>
      </c>
      <c r="V209" s="68">
        <v>0</v>
      </c>
      <c r="W209" s="68">
        <v>0</v>
      </c>
      <c r="X209" s="68">
        <v>30</v>
      </c>
      <c r="Y209" s="68">
        <v>30</v>
      </c>
      <c r="Z209" s="68">
        <v>34</v>
      </c>
      <c r="AA209" s="68">
        <v>1</v>
      </c>
      <c r="AB209" s="300">
        <f t="shared" si="33"/>
        <v>5.0999999999999996</v>
      </c>
      <c r="AC209" s="300">
        <f t="shared" si="34"/>
        <v>3.0722891566265058E-2</v>
      </c>
      <c r="AD209" s="68">
        <v>0</v>
      </c>
      <c r="AE209" s="68">
        <v>0</v>
      </c>
      <c r="AF209" s="66" t="s">
        <v>317</v>
      </c>
      <c r="AG209" s="66" t="s">
        <v>317</v>
      </c>
      <c r="AH209" s="68" t="s">
        <v>928</v>
      </c>
      <c r="AI209" s="309"/>
      <c r="AJ209" s="309"/>
      <c r="AK209" s="68" t="s">
        <v>37</v>
      </c>
      <c r="AL209" s="68" t="s">
        <v>39</v>
      </c>
      <c r="AM209" s="299">
        <f t="shared" ca="1" si="30"/>
        <v>1.125</v>
      </c>
      <c r="AN209" s="51"/>
      <c r="AO209" s="61" t="s">
        <v>272</v>
      </c>
      <c r="AP209" s="62" t="s">
        <v>926</v>
      </c>
      <c r="AQ209" s="61" t="s">
        <v>1052</v>
      </c>
      <c r="AR209" s="64">
        <v>44870.534722222219</v>
      </c>
      <c r="AS209" s="57" t="s">
        <v>173</v>
      </c>
      <c r="AT209" s="61" t="s">
        <v>225</v>
      </c>
      <c r="AU209" s="63">
        <v>0.53472222222222221</v>
      </c>
      <c r="AV209" s="61">
        <v>1</v>
      </c>
      <c r="AW209" s="61" t="s">
        <v>66</v>
      </c>
      <c r="AX209" s="52"/>
      <c r="AY209" s="52"/>
      <c r="AZ209" s="52"/>
      <c r="BA209" s="52"/>
    </row>
    <row r="210" spans="1:53" x14ac:dyDescent="0.25">
      <c r="A210" s="73">
        <v>84</v>
      </c>
      <c r="B210" s="72">
        <v>44869.409722222219</v>
      </c>
      <c r="C210" s="67">
        <v>0.41666666666666669</v>
      </c>
      <c r="D210" s="67">
        <v>0.43402777777777773</v>
      </c>
      <c r="E210" s="67">
        <v>0.4548611111111111</v>
      </c>
      <c r="F210" s="68" t="s">
        <v>170</v>
      </c>
      <c r="G210" s="68" t="s">
        <v>235</v>
      </c>
      <c r="H210" s="66" t="s">
        <v>228</v>
      </c>
      <c r="I210" s="66" t="s">
        <v>73</v>
      </c>
      <c r="J210" s="66" t="s">
        <v>37</v>
      </c>
      <c r="K210" s="66" t="s">
        <v>63</v>
      </c>
      <c r="L210" s="66" t="s">
        <v>212</v>
      </c>
      <c r="M210" s="68" t="s">
        <v>929</v>
      </c>
      <c r="N210" s="68" t="s">
        <v>59</v>
      </c>
      <c r="O210" s="68" t="s">
        <v>930</v>
      </c>
      <c r="P210" s="68">
        <v>5051945733</v>
      </c>
      <c r="Q210" s="303">
        <f t="shared" si="31"/>
        <v>3</v>
      </c>
      <c r="R210" s="303">
        <f t="shared" si="32"/>
        <v>135</v>
      </c>
      <c r="S210" s="68">
        <v>0</v>
      </c>
      <c r="T210" s="68">
        <v>0</v>
      </c>
      <c r="U210" s="68">
        <v>3</v>
      </c>
      <c r="V210" s="68">
        <v>135</v>
      </c>
      <c r="W210" s="68">
        <v>134</v>
      </c>
      <c r="X210" s="68">
        <v>44</v>
      </c>
      <c r="Y210" s="68">
        <v>44</v>
      </c>
      <c r="Z210" s="68">
        <v>36</v>
      </c>
      <c r="AA210" s="68">
        <v>1</v>
      </c>
      <c r="AB210" s="300">
        <f t="shared" si="33"/>
        <v>11.616</v>
      </c>
      <c r="AC210" s="300">
        <f t="shared" si="34"/>
        <v>6.9975903614457824E-2</v>
      </c>
      <c r="AD210" s="68">
        <v>1504.06</v>
      </c>
      <c r="AE210" s="68" t="s">
        <v>109</v>
      </c>
      <c r="AF210" s="66" t="s">
        <v>317</v>
      </c>
      <c r="AG210" s="66" t="s">
        <v>317</v>
      </c>
      <c r="AH210" s="68" t="s">
        <v>931</v>
      </c>
      <c r="AI210" s="309"/>
      <c r="AJ210" s="309"/>
      <c r="AK210" s="68" t="s">
        <v>37</v>
      </c>
      <c r="AL210" s="68" t="s">
        <v>39</v>
      </c>
      <c r="AM210" s="299">
        <f t="shared" ca="1" si="30"/>
        <v>1.125</v>
      </c>
      <c r="AN210" s="51"/>
      <c r="AO210" s="61" t="s">
        <v>70</v>
      </c>
      <c r="AP210" s="62" t="s">
        <v>929</v>
      </c>
      <c r="AQ210" s="61" t="s">
        <v>1054</v>
      </c>
      <c r="AR210" s="64">
        <v>44870.534722222219</v>
      </c>
      <c r="AS210" s="57" t="s">
        <v>173</v>
      </c>
      <c r="AT210" s="61" t="s">
        <v>225</v>
      </c>
      <c r="AU210" s="63">
        <v>0.53472222222222221</v>
      </c>
      <c r="AV210" s="61">
        <v>1</v>
      </c>
      <c r="AW210" s="61" t="s">
        <v>66</v>
      </c>
      <c r="AX210" s="52"/>
      <c r="AY210" s="52"/>
      <c r="AZ210" s="52"/>
      <c r="BA210" s="52"/>
    </row>
    <row r="211" spans="1:53" x14ac:dyDescent="0.25">
      <c r="A211" s="73">
        <v>84</v>
      </c>
      <c r="B211" s="72">
        <v>44869.409722222219</v>
      </c>
      <c r="C211" s="67">
        <v>0.41666666666666669</v>
      </c>
      <c r="D211" s="67">
        <v>0.43402777777777773</v>
      </c>
      <c r="E211" s="67">
        <v>0.4548611111111111</v>
      </c>
      <c r="F211" s="68" t="s">
        <v>170</v>
      </c>
      <c r="G211" s="68" t="s">
        <v>235</v>
      </c>
      <c r="H211" s="66" t="s">
        <v>228</v>
      </c>
      <c r="I211" s="66" t="s">
        <v>73</v>
      </c>
      <c r="J211" s="66" t="s">
        <v>37</v>
      </c>
      <c r="K211" s="66" t="s">
        <v>63</v>
      </c>
      <c r="L211" s="66" t="s">
        <v>212</v>
      </c>
      <c r="M211" s="68" t="s">
        <v>929</v>
      </c>
      <c r="N211" s="68" t="s">
        <v>59</v>
      </c>
      <c r="O211" s="68" t="s">
        <v>930</v>
      </c>
      <c r="P211" s="68">
        <v>5051945733</v>
      </c>
      <c r="Q211" s="303">
        <f t="shared" si="31"/>
        <v>0</v>
      </c>
      <c r="R211" s="303">
        <f t="shared" si="32"/>
        <v>0</v>
      </c>
      <c r="S211" s="68">
        <v>0</v>
      </c>
      <c r="T211" s="68">
        <v>0</v>
      </c>
      <c r="U211" s="68">
        <v>0</v>
      </c>
      <c r="V211" s="68">
        <v>0</v>
      </c>
      <c r="W211" s="68">
        <v>0</v>
      </c>
      <c r="X211" s="68">
        <v>28</v>
      </c>
      <c r="Y211" s="68">
        <v>28</v>
      </c>
      <c r="Z211" s="68">
        <v>32</v>
      </c>
      <c r="AA211" s="68">
        <v>1</v>
      </c>
      <c r="AB211" s="300">
        <f t="shared" si="33"/>
        <v>4.1813333333333329</v>
      </c>
      <c r="AC211" s="300">
        <f t="shared" si="34"/>
        <v>2.518875502008032E-2</v>
      </c>
      <c r="AD211" s="68">
        <v>0</v>
      </c>
      <c r="AE211" s="68">
        <v>0</v>
      </c>
      <c r="AF211" s="66" t="s">
        <v>317</v>
      </c>
      <c r="AG211" s="66" t="s">
        <v>317</v>
      </c>
      <c r="AH211" s="68" t="s">
        <v>931</v>
      </c>
      <c r="AI211" s="309"/>
      <c r="AJ211" s="309"/>
      <c r="AK211" s="68" t="s">
        <v>37</v>
      </c>
      <c r="AL211" s="68" t="s">
        <v>39</v>
      </c>
      <c r="AM211" s="299">
        <f t="shared" ca="1" si="30"/>
        <v>1.125</v>
      </c>
      <c r="AN211" s="51"/>
      <c r="AO211" s="61" t="s">
        <v>70</v>
      </c>
      <c r="AP211" s="62" t="s">
        <v>929</v>
      </c>
      <c r="AQ211" s="61" t="s">
        <v>1054</v>
      </c>
      <c r="AR211" s="64">
        <v>44870.534722222219</v>
      </c>
      <c r="AS211" s="57" t="s">
        <v>173</v>
      </c>
      <c r="AT211" s="61" t="s">
        <v>225</v>
      </c>
      <c r="AU211" s="63">
        <v>0.53472222222222221</v>
      </c>
      <c r="AV211" s="61">
        <v>1</v>
      </c>
      <c r="AW211" s="61" t="s">
        <v>66</v>
      </c>
      <c r="AX211" s="52"/>
      <c r="AY211" s="52"/>
      <c r="AZ211" s="52"/>
      <c r="BA211" s="52"/>
    </row>
    <row r="212" spans="1:53" x14ac:dyDescent="0.25">
      <c r="A212" s="73">
        <v>84</v>
      </c>
      <c r="B212" s="72">
        <v>44869.409722222219</v>
      </c>
      <c r="C212" s="67">
        <v>0.41666666666666669</v>
      </c>
      <c r="D212" s="67">
        <v>0.43402777777777773</v>
      </c>
      <c r="E212" s="67">
        <v>0.4548611111111111</v>
      </c>
      <c r="F212" s="68" t="s">
        <v>170</v>
      </c>
      <c r="G212" s="68" t="s">
        <v>235</v>
      </c>
      <c r="H212" s="66" t="s">
        <v>228</v>
      </c>
      <c r="I212" s="66" t="s">
        <v>73</v>
      </c>
      <c r="J212" s="66" t="s">
        <v>37</v>
      </c>
      <c r="K212" s="66" t="s">
        <v>63</v>
      </c>
      <c r="L212" s="66" t="s">
        <v>212</v>
      </c>
      <c r="M212" s="68" t="s">
        <v>929</v>
      </c>
      <c r="N212" s="68" t="s">
        <v>59</v>
      </c>
      <c r="O212" s="68" t="s">
        <v>930</v>
      </c>
      <c r="P212" s="68">
        <v>5051945733</v>
      </c>
      <c r="Q212" s="303">
        <f t="shared" si="31"/>
        <v>0</v>
      </c>
      <c r="R212" s="303">
        <f t="shared" si="32"/>
        <v>0</v>
      </c>
      <c r="S212" s="68">
        <v>0</v>
      </c>
      <c r="T212" s="68">
        <v>0</v>
      </c>
      <c r="U212" s="68">
        <v>0</v>
      </c>
      <c r="V212" s="68">
        <v>0</v>
      </c>
      <c r="W212" s="68">
        <v>0</v>
      </c>
      <c r="X212" s="68">
        <v>44</v>
      </c>
      <c r="Y212" s="68">
        <v>28</v>
      </c>
      <c r="Z212" s="68">
        <v>32</v>
      </c>
      <c r="AA212" s="68">
        <v>1</v>
      </c>
      <c r="AB212" s="300">
        <f t="shared" si="33"/>
        <v>6.5706666666666669</v>
      </c>
      <c r="AC212" s="300">
        <f t="shared" si="34"/>
        <v>3.9582329317269078E-2</v>
      </c>
      <c r="AD212" s="68">
        <v>0</v>
      </c>
      <c r="AE212" s="68">
        <v>0</v>
      </c>
      <c r="AF212" s="66" t="s">
        <v>317</v>
      </c>
      <c r="AG212" s="66" t="s">
        <v>317</v>
      </c>
      <c r="AH212" s="68" t="s">
        <v>931</v>
      </c>
      <c r="AI212" s="309"/>
      <c r="AJ212" s="309"/>
      <c r="AK212" s="68" t="s">
        <v>37</v>
      </c>
      <c r="AL212" s="68" t="s">
        <v>39</v>
      </c>
      <c r="AM212" s="299">
        <f t="shared" ca="1" si="30"/>
        <v>1.125</v>
      </c>
      <c r="AN212" s="51"/>
      <c r="AO212" s="61" t="s">
        <v>70</v>
      </c>
      <c r="AP212" s="62" t="s">
        <v>929</v>
      </c>
      <c r="AQ212" s="61" t="s">
        <v>1054</v>
      </c>
      <c r="AR212" s="64">
        <v>44870.534722222219</v>
      </c>
      <c r="AS212" s="57" t="s">
        <v>173</v>
      </c>
      <c r="AT212" s="61" t="s">
        <v>225</v>
      </c>
      <c r="AU212" s="63">
        <v>0.53472222222222221</v>
      </c>
      <c r="AV212" s="61">
        <v>1</v>
      </c>
      <c r="AW212" s="61" t="s">
        <v>66</v>
      </c>
      <c r="AX212" s="52"/>
      <c r="AY212" s="52"/>
      <c r="AZ212" s="52"/>
      <c r="BA212" s="52"/>
    </row>
    <row r="213" spans="1:53" x14ac:dyDescent="0.25">
      <c r="A213" s="73">
        <v>85</v>
      </c>
      <c r="B213" s="72">
        <v>44869.409722222219</v>
      </c>
      <c r="C213" s="67">
        <v>0.41666666666666669</v>
      </c>
      <c r="D213" s="67">
        <v>0.43402777777777773</v>
      </c>
      <c r="E213" s="67">
        <v>0.4548611111111111</v>
      </c>
      <c r="F213" s="68" t="s">
        <v>170</v>
      </c>
      <c r="G213" s="68" t="s">
        <v>235</v>
      </c>
      <c r="H213" s="66" t="s">
        <v>46</v>
      </c>
      <c r="I213" s="66" t="s">
        <v>110</v>
      </c>
      <c r="J213" s="66" t="s">
        <v>41</v>
      </c>
      <c r="K213" s="66" t="s">
        <v>63</v>
      </c>
      <c r="L213" s="66" t="s">
        <v>214</v>
      </c>
      <c r="M213" s="68" t="s">
        <v>932</v>
      </c>
      <c r="N213" s="68" t="s">
        <v>186</v>
      </c>
      <c r="O213" s="68" t="s">
        <v>933</v>
      </c>
      <c r="P213" s="68">
        <v>5012</v>
      </c>
      <c r="Q213" s="303">
        <f t="shared" si="31"/>
        <v>1</v>
      </c>
      <c r="R213" s="303">
        <f t="shared" si="32"/>
        <v>104</v>
      </c>
      <c r="S213" s="68">
        <v>0</v>
      </c>
      <c r="T213" s="68">
        <v>0</v>
      </c>
      <c r="U213" s="68">
        <v>1</v>
      </c>
      <c r="V213" s="68">
        <v>104</v>
      </c>
      <c r="W213" s="68">
        <v>104.1</v>
      </c>
      <c r="X213" s="68">
        <v>81</v>
      </c>
      <c r="Y213" s="68">
        <v>45</v>
      </c>
      <c r="Z213" s="68">
        <v>49</v>
      </c>
      <c r="AA213" s="68">
        <v>1</v>
      </c>
      <c r="AB213" s="300">
        <f t="shared" si="33"/>
        <v>29.767499999999998</v>
      </c>
      <c r="AC213" s="300">
        <f t="shared" si="34"/>
        <v>0.17932228915662649</v>
      </c>
      <c r="AD213" s="68" t="s">
        <v>48</v>
      </c>
      <c r="AE213" s="68" t="s">
        <v>48</v>
      </c>
      <c r="AF213" s="66" t="s">
        <v>317</v>
      </c>
      <c r="AG213" s="66" t="s">
        <v>317</v>
      </c>
      <c r="AH213" s="68" t="s">
        <v>934</v>
      </c>
      <c r="AI213" s="309"/>
      <c r="AJ213" s="309"/>
      <c r="AK213" s="68" t="s">
        <v>41</v>
      </c>
      <c r="AL213" s="68" t="s">
        <v>39</v>
      </c>
      <c r="AM213" s="299">
        <f t="shared" ca="1" si="30"/>
        <v>1.125</v>
      </c>
      <c r="AN213" s="51"/>
      <c r="AO213" s="61" t="s">
        <v>131</v>
      </c>
      <c r="AP213" s="62" t="s">
        <v>932</v>
      </c>
      <c r="AQ213" s="61" t="s">
        <v>1056</v>
      </c>
      <c r="AR213" s="64">
        <v>44870.534722222219</v>
      </c>
      <c r="AS213" s="57" t="s">
        <v>173</v>
      </c>
      <c r="AT213" s="61" t="s">
        <v>225</v>
      </c>
      <c r="AU213" s="63">
        <v>0.53472222222222221</v>
      </c>
      <c r="AV213" s="61">
        <v>1</v>
      </c>
      <c r="AW213" s="61" t="s">
        <v>66</v>
      </c>
      <c r="AX213" s="52"/>
      <c r="AY213" s="52"/>
      <c r="AZ213" s="52"/>
      <c r="BA213" s="52"/>
    </row>
    <row r="214" spans="1:53" x14ac:dyDescent="0.25">
      <c r="A214" s="73">
        <v>86</v>
      </c>
      <c r="B214" s="72">
        <v>44869.409722222219</v>
      </c>
      <c r="C214" s="67">
        <v>0.41666666666666669</v>
      </c>
      <c r="D214" s="67">
        <v>0.43402777777777773</v>
      </c>
      <c r="E214" s="67">
        <v>0.4548611111111111</v>
      </c>
      <c r="F214" s="68" t="s">
        <v>170</v>
      </c>
      <c r="G214" s="68" t="s">
        <v>235</v>
      </c>
      <c r="H214" s="66" t="s">
        <v>356</v>
      </c>
      <c r="I214" s="66" t="s">
        <v>40</v>
      </c>
      <c r="J214" s="66" t="s">
        <v>41</v>
      </c>
      <c r="K214" s="66" t="s">
        <v>63</v>
      </c>
      <c r="L214" s="66">
        <v>0</v>
      </c>
      <c r="M214" s="68" t="s">
        <v>935</v>
      </c>
      <c r="N214" s="68" t="s">
        <v>42</v>
      </c>
      <c r="O214" s="68">
        <v>8275002220</v>
      </c>
      <c r="P214" s="68">
        <v>4513549077</v>
      </c>
      <c r="Q214" s="303">
        <f t="shared" si="31"/>
        <v>1</v>
      </c>
      <c r="R214" s="303">
        <f t="shared" si="32"/>
        <v>549</v>
      </c>
      <c r="S214" s="68">
        <v>0</v>
      </c>
      <c r="T214" s="68">
        <v>0</v>
      </c>
      <c r="U214" s="68">
        <v>1</v>
      </c>
      <c r="V214" s="68">
        <v>549</v>
      </c>
      <c r="W214" s="68">
        <v>499</v>
      </c>
      <c r="X214" s="68">
        <v>120</v>
      </c>
      <c r="Y214" s="68">
        <v>100</v>
      </c>
      <c r="Z214" s="68">
        <v>80</v>
      </c>
      <c r="AA214" s="68">
        <v>1</v>
      </c>
      <c r="AB214" s="300">
        <f t="shared" si="33"/>
        <v>160</v>
      </c>
      <c r="AC214" s="300">
        <f t="shared" si="34"/>
        <v>0.96385542168674698</v>
      </c>
      <c r="AD214" s="68">
        <v>2655.63</v>
      </c>
      <c r="AE214" s="68" t="s">
        <v>109</v>
      </c>
      <c r="AF214" s="66" t="s">
        <v>317</v>
      </c>
      <c r="AG214" s="66" t="s">
        <v>317</v>
      </c>
      <c r="AH214" s="68" t="s">
        <v>936</v>
      </c>
      <c r="AI214" s="309"/>
      <c r="AJ214" s="309"/>
      <c r="AK214" s="68" t="s">
        <v>37</v>
      </c>
      <c r="AL214" s="68" t="s">
        <v>39</v>
      </c>
      <c r="AM214" s="299">
        <f t="shared" ca="1" si="30"/>
        <v>1.125</v>
      </c>
      <c r="AN214" s="51"/>
      <c r="AO214" s="61" t="s">
        <v>120</v>
      </c>
      <c r="AP214" s="62" t="s">
        <v>935</v>
      </c>
      <c r="AQ214" s="61" t="s">
        <v>1051</v>
      </c>
      <c r="AR214" s="64">
        <v>44870.534722222219</v>
      </c>
      <c r="AS214" s="57" t="s">
        <v>173</v>
      </c>
      <c r="AT214" s="61" t="s">
        <v>225</v>
      </c>
      <c r="AU214" s="63">
        <v>0.53472222222222221</v>
      </c>
      <c r="AV214" s="61">
        <v>1</v>
      </c>
      <c r="AW214" s="61" t="s">
        <v>66</v>
      </c>
      <c r="AX214" s="52"/>
      <c r="AY214" s="52"/>
      <c r="AZ214" s="52"/>
      <c r="BA214" s="52"/>
    </row>
    <row r="215" spans="1:53" x14ac:dyDescent="0.25">
      <c r="A215" s="73">
        <v>87</v>
      </c>
      <c r="B215" s="72">
        <v>44869.409722222219</v>
      </c>
      <c r="C215" s="67">
        <v>0.41666666666666669</v>
      </c>
      <c r="D215" s="67">
        <v>0.43402777777777773</v>
      </c>
      <c r="E215" s="67">
        <v>0.4548611111111111</v>
      </c>
      <c r="F215" s="68" t="s">
        <v>170</v>
      </c>
      <c r="G215" s="68" t="s">
        <v>235</v>
      </c>
      <c r="H215" s="66" t="s">
        <v>356</v>
      </c>
      <c r="I215" s="66" t="s">
        <v>40</v>
      </c>
      <c r="J215" s="66" t="s">
        <v>41</v>
      </c>
      <c r="K215" s="66" t="s">
        <v>63</v>
      </c>
      <c r="L215" s="66">
        <v>0</v>
      </c>
      <c r="M215" s="68" t="s">
        <v>937</v>
      </c>
      <c r="N215" s="68" t="s">
        <v>42</v>
      </c>
      <c r="O215" s="68">
        <v>8275002216</v>
      </c>
      <c r="P215" s="68">
        <v>4513560532</v>
      </c>
      <c r="Q215" s="303">
        <f t="shared" si="31"/>
        <v>1</v>
      </c>
      <c r="R215" s="303">
        <f t="shared" si="32"/>
        <v>320</v>
      </c>
      <c r="S215" s="68">
        <v>0</v>
      </c>
      <c r="T215" s="68">
        <v>0</v>
      </c>
      <c r="U215" s="68">
        <v>1</v>
      </c>
      <c r="V215" s="68">
        <v>320</v>
      </c>
      <c r="W215" s="68">
        <v>348</v>
      </c>
      <c r="X215" s="68">
        <v>88</v>
      </c>
      <c r="Y215" s="68">
        <v>64</v>
      </c>
      <c r="Z215" s="68">
        <v>74</v>
      </c>
      <c r="AA215" s="68">
        <v>1</v>
      </c>
      <c r="AB215" s="300">
        <f t="shared" si="33"/>
        <v>69.461333333333329</v>
      </c>
      <c r="AC215" s="300">
        <f t="shared" si="34"/>
        <v>0.41844176706827307</v>
      </c>
      <c r="AD215" s="68">
        <v>1671.42</v>
      </c>
      <c r="AE215" s="68" t="s">
        <v>109</v>
      </c>
      <c r="AF215" s="66" t="s">
        <v>317</v>
      </c>
      <c r="AG215" s="66" t="s">
        <v>317</v>
      </c>
      <c r="AH215" s="68" t="s">
        <v>938</v>
      </c>
      <c r="AI215" s="309"/>
      <c r="AJ215" s="309"/>
      <c r="AK215" s="68" t="s">
        <v>37</v>
      </c>
      <c r="AL215" s="68" t="s">
        <v>39</v>
      </c>
      <c r="AM215" s="299">
        <f t="shared" ca="1" si="30"/>
        <v>1.125</v>
      </c>
      <c r="AN215" s="51"/>
      <c r="AO215" s="61" t="s">
        <v>120</v>
      </c>
      <c r="AP215" s="62" t="s">
        <v>937</v>
      </c>
      <c r="AQ215" s="61" t="s">
        <v>1051</v>
      </c>
      <c r="AR215" s="64">
        <v>44870.534722222219</v>
      </c>
      <c r="AS215" s="57" t="s">
        <v>173</v>
      </c>
      <c r="AT215" s="61" t="s">
        <v>225</v>
      </c>
      <c r="AU215" s="63">
        <v>0.53472222222222221</v>
      </c>
      <c r="AV215" s="61">
        <v>1</v>
      </c>
      <c r="AW215" s="61" t="s">
        <v>66</v>
      </c>
      <c r="AX215" s="52"/>
      <c r="AY215" s="52"/>
      <c r="AZ215" s="52"/>
      <c r="BA215" s="52"/>
    </row>
    <row r="216" spans="1:53" x14ac:dyDescent="0.25">
      <c r="A216" s="73">
        <v>88</v>
      </c>
      <c r="B216" s="72">
        <v>44869.409722222219</v>
      </c>
      <c r="C216" s="67">
        <v>0.41666666666666669</v>
      </c>
      <c r="D216" s="67">
        <v>0.43402777777777773</v>
      </c>
      <c r="E216" s="67">
        <v>0.4548611111111111</v>
      </c>
      <c r="F216" s="68" t="s">
        <v>170</v>
      </c>
      <c r="G216" s="68" t="s">
        <v>235</v>
      </c>
      <c r="H216" s="66" t="s">
        <v>356</v>
      </c>
      <c r="I216" s="66" t="s">
        <v>40</v>
      </c>
      <c r="J216" s="66" t="s">
        <v>41</v>
      </c>
      <c r="K216" s="66" t="s">
        <v>63</v>
      </c>
      <c r="L216" s="66">
        <v>0</v>
      </c>
      <c r="M216" s="68" t="s">
        <v>939</v>
      </c>
      <c r="N216" s="68" t="s">
        <v>42</v>
      </c>
      <c r="O216" s="68">
        <v>8275002217</v>
      </c>
      <c r="P216" s="68">
        <v>4513604968</v>
      </c>
      <c r="Q216" s="303">
        <f t="shared" si="31"/>
        <v>2</v>
      </c>
      <c r="R216" s="303">
        <f t="shared" si="32"/>
        <v>1041</v>
      </c>
      <c r="S216" s="68">
        <v>0</v>
      </c>
      <c r="T216" s="68">
        <v>0</v>
      </c>
      <c r="U216" s="68">
        <v>2</v>
      </c>
      <c r="V216" s="68">
        <v>1041</v>
      </c>
      <c r="W216" s="68">
        <v>964</v>
      </c>
      <c r="X216" s="68">
        <v>88</v>
      </c>
      <c r="Y216" s="68">
        <v>64</v>
      </c>
      <c r="Z216" s="68">
        <v>72</v>
      </c>
      <c r="AA216" s="68">
        <v>1</v>
      </c>
      <c r="AB216" s="300">
        <f t="shared" si="33"/>
        <v>67.584000000000003</v>
      </c>
      <c r="AC216" s="300">
        <f t="shared" si="34"/>
        <v>0.40713253012048195</v>
      </c>
      <c r="AD216" s="68">
        <v>5550</v>
      </c>
      <c r="AE216" s="68" t="s">
        <v>109</v>
      </c>
      <c r="AF216" s="66" t="s">
        <v>317</v>
      </c>
      <c r="AG216" s="66" t="s">
        <v>317</v>
      </c>
      <c r="AH216" s="68" t="s">
        <v>940</v>
      </c>
      <c r="AI216" s="309"/>
      <c r="AJ216" s="309"/>
      <c r="AK216" s="68" t="s">
        <v>37</v>
      </c>
      <c r="AL216" s="68" t="s">
        <v>39</v>
      </c>
      <c r="AM216" s="299">
        <f t="shared" ca="1" si="30"/>
        <v>1.125</v>
      </c>
      <c r="AN216" s="51"/>
      <c r="AO216" s="61" t="s">
        <v>120</v>
      </c>
      <c r="AP216" s="62" t="s">
        <v>939</v>
      </c>
      <c r="AQ216" s="61" t="s">
        <v>1051</v>
      </c>
      <c r="AR216" s="64">
        <v>44870.534722222219</v>
      </c>
      <c r="AS216" s="57" t="s">
        <v>173</v>
      </c>
      <c r="AT216" s="61" t="s">
        <v>225</v>
      </c>
      <c r="AU216" s="63">
        <v>0.53472222222222221</v>
      </c>
      <c r="AV216" s="61">
        <v>1</v>
      </c>
      <c r="AW216" s="61" t="s">
        <v>66</v>
      </c>
      <c r="AX216" s="52"/>
      <c r="AY216" s="52"/>
      <c r="AZ216" s="52"/>
      <c r="BA216" s="52"/>
    </row>
    <row r="217" spans="1:53" x14ac:dyDescent="0.25">
      <c r="A217" s="73">
        <v>88</v>
      </c>
      <c r="B217" s="72">
        <v>44869.409722222219</v>
      </c>
      <c r="C217" s="67">
        <v>0.41666666666666669</v>
      </c>
      <c r="D217" s="67">
        <v>0.43402777777777773</v>
      </c>
      <c r="E217" s="67">
        <v>0.4548611111111111</v>
      </c>
      <c r="F217" s="68" t="s">
        <v>170</v>
      </c>
      <c r="G217" s="68" t="s">
        <v>235</v>
      </c>
      <c r="H217" s="66" t="s">
        <v>356</v>
      </c>
      <c r="I217" s="66" t="s">
        <v>40</v>
      </c>
      <c r="J217" s="66" t="s">
        <v>41</v>
      </c>
      <c r="K217" s="66" t="s">
        <v>63</v>
      </c>
      <c r="L217" s="66">
        <v>0</v>
      </c>
      <c r="M217" s="68" t="s">
        <v>939</v>
      </c>
      <c r="N217" s="68" t="s">
        <v>42</v>
      </c>
      <c r="O217" s="68">
        <v>8275002217</v>
      </c>
      <c r="P217" s="68">
        <v>4513604968</v>
      </c>
      <c r="Q217" s="303">
        <f t="shared" si="31"/>
        <v>0</v>
      </c>
      <c r="R217" s="303">
        <f t="shared" si="32"/>
        <v>0</v>
      </c>
      <c r="S217" s="68">
        <v>0</v>
      </c>
      <c r="T217" s="68">
        <v>0</v>
      </c>
      <c r="U217" s="68">
        <v>0</v>
      </c>
      <c r="V217" s="68">
        <v>0</v>
      </c>
      <c r="W217" s="68">
        <v>0</v>
      </c>
      <c r="X217" s="68">
        <v>121</v>
      </c>
      <c r="Y217" s="68">
        <v>100</v>
      </c>
      <c r="Z217" s="68">
        <v>80</v>
      </c>
      <c r="AA217" s="68">
        <v>1</v>
      </c>
      <c r="AB217" s="300">
        <f t="shared" si="33"/>
        <v>161.33333333333334</v>
      </c>
      <c r="AC217" s="300">
        <f t="shared" si="34"/>
        <v>0.97188755020080331</v>
      </c>
      <c r="AD217" s="68">
        <v>0</v>
      </c>
      <c r="AE217" s="68">
        <v>0</v>
      </c>
      <c r="AF217" s="66" t="s">
        <v>317</v>
      </c>
      <c r="AG217" s="66" t="s">
        <v>317</v>
      </c>
      <c r="AH217" s="68" t="s">
        <v>940</v>
      </c>
      <c r="AI217" s="309"/>
      <c r="AJ217" s="309"/>
      <c r="AK217" s="68" t="s">
        <v>37</v>
      </c>
      <c r="AL217" s="68" t="s">
        <v>39</v>
      </c>
      <c r="AM217" s="299">
        <f t="shared" ca="1" si="30"/>
        <v>1.125</v>
      </c>
      <c r="AN217" s="51"/>
      <c r="AO217" s="61" t="s">
        <v>120</v>
      </c>
      <c r="AP217" s="62" t="s">
        <v>939</v>
      </c>
      <c r="AQ217" s="61" t="s">
        <v>1051</v>
      </c>
      <c r="AR217" s="64">
        <v>44870.534722222219</v>
      </c>
      <c r="AS217" s="57" t="s">
        <v>173</v>
      </c>
      <c r="AT217" s="61" t="s">
        <v>225</v>
      </c>
      <c r="AU217" s="63">
        <v>0.53472222222222221</v>
      </c>
      <c r="AV217" s="61">
        <v>1</v>
      </c>
      <c r="AW217" s="61" t="s">
        <v>66</v>
      </c>
      <c r="AX217" s="52"/>
      <c r="AY217" s="52"/>
      <c r="AZ217" s="52"/>
      <c r="BA217" s="52"/>
    </row>
    <row r="218" spans="1:53" x14ac:dyDescent="0.25">
      <c r="A218" s="73">
        <v>89</v>
      </c>
      <c r="B218" s="72">
        <v>44869.409722222219</v>
      </c>
      <c r="C218" s="67">
        <v>0.41666666666666669</v>
      </c>
      <c r="D218" s="67">
        <v>0.43402777777777773</v>
      </c>
      <c r="E218" s="67">
        <v>0.4548611111111111</v>
      </c>
      <c r="F218" s="68" t="s">
        <v>170</v>
      </c>
      <c r="G218" s="68" t="s">
        <v>235</v>
      </c>
      <c r="H218" s="66" t="s">
        <v>57</v>
      </c>
      <c r="I218" s="66" t="s">
        <v>92</v>
      </c>
      <c r="J218" s="66" t="s">
        <v>37</v>
      </c>
      <c r="K218" s="66" t="s">
        <v>63</v>
      </c>
      <c r="L218" s="66" t="s">
        <v>209</v>
      </c>
      <c r="M218" s="68" t="s">
        <v>1020</v>
      </c>
      <c r="N218" s="68" t="s">
        <v>42</v>
      </c>
      <c r="O218" s="68" t="s">
        <v>941</v>
      </c>
      <c r="P218" s="68">
        <v>96237167</v>
      </c>
      <c r="Q218" s="303">
        <f t="shared" si="31"/>
        <v>2</v>
      </c>
      <c r="R218" s="303">
        <f t="shared" si="32"/>
        <v>968</v>
      </c>
      <c r="S218" s="68">
        <v>0</v>
      </c>
      <c r="T218" s="68">
        <v>0</v>
      </c>
      <c r="U218" s="68">
        <v>2</v>
      </c>
      <c r="V218" s="68">
        <v>968</v>
      </c>
      <c r="W218" s="68">
        <v>1000</v>
      </c>
      <c r="X218" s="68">
        <v>96</v>
      </c>
      <c r="Y218" s="68">
        <v>68</v>
      </c>
      <c r="Z218" s="68">
        <v>77</v>
      </c>
      <c r="AA218" s="68">
        <v>1</v>
      </c>
      <c r="AB218" s="300">
        <f t="shared" si="33"/>
        <v>83.775999999999996</v>
      </c>
      <c r="AC218" s="300">
        <f t="shared" si="34"/>
        <v>0.50467469879518068</v>
      </c>
      <c r="AD218" s="68">
        <v>8269.25</v>
      </c>
      <c r="AE218" s="68" t="s">
        <v>109</v>
      </c>
      <c r="AF218" s="66" t="s">
        <v>317</v>
      </c>
      <c r="AG218" s="66" t="s">
        <v>317</v>
      </c>
      <c r="AH218" s="68" t="s">
        <v>942</v>
      </c>
      <c r="AI218" s="309"/>
      <c r="AJ218" s="309"/>
      <c r="AK218" s="68" t="s">
        <v>37</v>
      </c>
      <c r="AL218" s="68" t="s">
        <v>39</v>
      </c>
      <c r="AM218" s="299">
        <f t="shared" ca="1" si="30"/>
        <v>1.125</v>
      </c>
      <c r="AN218" s="51"/>
      <c r="AO218" s="61" t="s">
        <v>120</v>
      </c>
      <c r="AP218" s="62" t="s">
        <v>1020</v>
      </c>
      <c r="AQ218" s="61" t="s">
        <v>1051</v>
      </c>
      <c r="AR218" s="64">
        <v>44870.534722222219</v>
      </c>
      <c r="AS218" s="57" t="s">
        <v>173</v>
      </c>
      <c r="AT218" s="61" t="s">
        <v>225</v>
      </c>
      <c r="AU218" s="63">
        <v>0.53472222222222221</v>
      </c>
      <c r="AV218" s="61">
        <v>1</v>
      </c>
      <c r="AW218" s="61" t="s">
        <v>66</v>
      </c>
      <c r="AX218" s="52"/>
      <c r="AY218" s="52"/>
      <c r="AZ218" s="52"/>
      <c r="BA218" s="52"/>
    </row>
    <row r="219" spans="1:53" x14ac:dyDescent="0.25">
      <c r="A219" s="73">
        <v>89</v>
      </c>
      <c r="B219" s="72">
        <v>44869.409722222219</v>
      </c>
      <c r="C219" s="67">
        <v>0.41666666666666669</v>
      </c>
      <c r="D219" s="67">
        <v>0.43402777777777773</v>
      </c>
      <c r="E219" s="67">
        <v>0.4548611111111111</v>
      </c>
      <c r="F219" s="68" t="s">
        <v>170</v>
      </c>
      <c r="G219" s="68" t="s">
        <v>235</v>
      </c>
      <c r="H219" s="66" t="s">
        <v>57</v>
      </c>
      <c r="I219" s="66" t="s">
        <v>92</v>
      </c>
      <c r="J219" s="66" t="s">
        <v>37</v>
      </c>
      <c r="K219" s="66" t="s">
        <v>63</v>
      </c>
      <c r="L219" s="66" t="s">
        <v>209</v>
      </c>
      <c r="M219" s="68" t="s">
        <v>1020</v>
      </c>
      <c r="N219" s="68" t="s">
        <v>42</v>
      </c>
      <c r="O219" s="68" t="s">
        <v>941</v>
      </c>
      <c r="P219" s="68">
        <v>96237167</v>
      </c>
      <c r="Q219" s="303">
        <f t="shared" si="31"/>
        <v>0</v>
      </c>
      <c r="R219" s="303">
        <f t="shared" si="32"/>
        <v>0</v>
      </c>
      <c r="S219" s="68">
        <v>0</v>
      </c>
      <c r="T219" s="68">
        <v>0</v>
      </c>
      <c r="U219" s="68">
        <v>0</v>
      </c>
      <c r="V219" s="68">
        <v>0</v>
      </c>
      <c r="W219" s="68">
        <v>0</v>
      </c>
      <c r="X219" s="68">
        <v>184</v>
      </c>
      <c r="Y219" s="68">
        <v>84</v>
      </c>
      <c r="Z219" s="68">
        <v>92</v>
      </c>
      <c r="AA219" s="68">
        <v>1</v>
      </c>
      <c r="AB219" s="300">
        <f t="shared" si="33"/>
        <v>236.99199999999999</v>
      </c>
      <c r="AC219" s="300">
        <f t="shared" si="34"/>
        <v>1.4276626506024095</v>
      </c>
      <c r="AD219" s="68">
        <v>0</v>
      </c>
      <c r="AE219" s="68">
        <v>0</v>
      </c>
      <c r="AF219" s="66" t="s">
        <v>317</v>
      </c>
      <c r="AG219" s="66" t="s">
        <v>317</v>
      </c>
      <c r="AH219" s="68" t="s">
        <v>942</v>
      </c>
      <c r="AI219" s="309"/>
      <c r="AJ219" s="309"/>
      <c r="AK219" s="68" t="s">
        <v>37</v>
      </c>
      <c r="AL219" s="68" t="s">
        <v>39</v>
      </c>
      <c r="AM219" s="299">
        <f t="shared" ca="1" si="30"/>
        <v>1.125</v>
      </c>
      <c r="AN219" s="51"/>
      <c r="AO219" s="61" t="s">
        <v>120</v>
      </c>
      <c r="AP219" s="62" t="s">
        <v>1020</v>
      </c>
      <c r="AQ219" s="61" t="s">
        <v>1051</v>
      </c>
      <c r="AR219" s="64">
        <v>44870.534722222219</v>
      </c>
      <c r="AS219" s="57" t="s">
        <v>173</v>
      </c>
      <c r="AT219" s="61" t="s">
        <v>225</v>
      </c>
      <c r="AU219" s="63">
        <v>0.53472222222222221</v>
      </c>
      <c r="AV219" s="61">
        <v>1</v>
      </c>
      <c r="AW219" s="61" t="s">
        <v>66</v>
      </c>
      <c r="AX219" s="52"/>
      <c r="AY219" s="52"/>
      <c r="AZ219" s="52"/>
      <c r="BA219" s="52"/>
    </row>
    <row r="220" spans="1:53" x14ac:dyDescent="0.25">
      <c r="A220" s="73">
        <v>90</v>
      </c>
      <c r="B220" s="72">
        <v>44869.409722222219</v>
      </c>
      <c r="C220" s="67">
        <v>0.41666666666666669</v>
      </c>
      <c r="D220" s="67">
        <v>0.43402777777777773</v>
      </c>
      <c r="E220" s="67">
        <v>0.4548611111111111</v>
      </c>
      <c r="F220" s="68" t="s">
        <v>170</v>
      </c>
      <c r="G220" s="68" t="s">
        <v>235</v>
      </c>
      <c r="H220" s="66" t="s">
        <v>45</v>
      </c>
      <c r="I220" s="66" t="s">
        <v>71</v>
      </c>
      <c r="J220" s="66" t="s">
        <v>37</v>
      </c>
      <c r="K220" s="66" t="s">
        <v>63</v>
      </c>
      <c r="L220" s="66" t="s">
        <v>222</v>
      </c>
      <c r="M220" s="68" t="s">
        <v>943</v>
      </c>
      <c r="N220" s="68" t="s">
        <v>139</v>
      </c>
      <c r="O220" s="68">
        <v>3500695</v>
      </c>
      <c r="P220" s="68">
        <v>5051983493</v>
      </c>
      <c r="Q220" s="303">
        <f t="shared" si="31"/>
        <v>1</v>
      </c>
      <c r="R220" s="303">
        <f t="shared" si="32"/>
        <v>176</v>
      </c>
      <c r="S220" s="68">
        <v>0</v>
      </c>
      <c r="T220" s="68">
        <v>0</v>
      </c>
      <c r="U220" s="68">
        <v>1</v>
      </c>
      <c r="V220" s="68">
        <v>176</v>
      </c>
      <c r="W220" s="68">
        <v>178.934</v>
      </c>
      <c r="X220" s="68">
        <v>90</v>
      </c>
      <c r="Y220" s="68">
        <v>80</v>
      </c>
      <c r="Z220" s="68">
        <v>50</v>
      </c>
      <c r="AA220" s="68">
        <v>1</v>
      </c>
      <c r="AB220" s="300">
        <f t="shared" si="33"/>
        <v>60</v>
      </c>
      <c r="AC220" s="300">
        <f t="shared" si="34"/>
        <v>0.36144578313253012</v>
      </c>
      <c r="AD220" s="68">
        <v>3980.7</v>
      </c>
      <c r="AE220" s="68" t="s">
        <v>109</v>
      </c>
      <c r="AF220" s="66" t="s">
        <v>317</v>
      </c>
      <c r="AG220" s="66" t="s">
        <v>317</v>
      </c>
      <c r="AH220" s="68" t="s">
        <v>944</v>
      </c>
      <c r="AI220" s="309"/>
      <c r="AJ220" s="309"/>
      <c r="AK220" s="68" t="s">
        <v>37</v>
      </c>
      <c r="AL220" s="68" t="s">
        <v>39</v>
      </c>
      <c r="AM220" s="299">
        <f t="shared" ca="1" si="30"/>
        <v>1.2326388888905058</v>
      </c>
      <c r="AN220" s="51"/>
      <c r="AO220" s="61" t="s">
        <v>72</v>
      </c>
      <c r="AP220" s="61" t="s">
        <v>943</v>
      </c>
      <c r="AQ220" s="61" t="s">
        <v>1066</v>
      </c>
      <c r="AR220" s="64">
        <v>44870.642361111109</v>
      </c>
      <c r="AS220" s="61" t="s">
        <v>88</v>
      </c>
      <c r="AT220" s="61" t="s">
        <v>65</v>
      </c>
      <c r="AU220" s="59">
        <v>0.64236111111111105</v>
      </c>
      <c r="AV220" s="61">
        <v>1</v>
      </c>
      <c r="AW220" s="61" t="s">
        <v>66</v>
      </c>
      <c r="AX220" s="52"/>
      <c r="AY220" s="52"/>
      <c r="AZ220" s="52"/>
      <c r="BA220" s="52"/>
    </row>
    <row r="221" spans="1:53" x14ac:dyDescent="0.25">
      <c r="A221" s="73">
        <v>91</v>
      </c>
      <c r="B221" s="72">
        <v>44869.604166666664</v>
      </c>
      <c r="C221" s="67">
        <v>0.61111111111111105</v>
      </c>
      <c r="D221" s="67">
        <v>0.63888888888888895</v>
      </c>
      <c r="E221" s="67">
        <v>0.65277777777777779</v>
      </c>
      <c r="F221" s="68" t="s">
        <v>169</v>
      </c>
      <c r="G221" s="68" t="s">
        <v>945</v>
      </c>
      <c r="H221" s="66" t="s">
        <v>282</v>
      </c>
      <c r="I221" s="66" t="s">
        <v>281</v>
      </c>
      <c r="J221" s="66" t="s">
        <v>37</v>
      </c>
      <c r="K221" s="66" t="s">
        <v>233</v>
      </c>
      <c r="L221" s="66" t="s">
        <v>285</v>
      </c>
      <c r="M221" s="62" t="s">
        <v>1389</v>
      </c>
      <c r="N221" s="68" t="s">
        <v>38</v>
      </c>
      <c r="O221" s="68" t="s">
        <v>946</v>
      </c>
      <c r="P221" s="68">
        <v>2000056063</v>
      </c>
      <c r="Q221" s="303">
        <f t="shared" si="31"/>
        <v>137</v>
      </c>
      <c r="R221" s="303">
        <f t="shared" si="32"/>
        <v>1531</v>
      </c>
      <c r="S221" s="68">
        <v>137</v>
      </c>
      <c r="T221" s="68">
        <v>1531</v>
      </c>
      <c r="U221" s="68">
        <v>0</v>
      </c>
      <c r="V221" s="68">
        <v>0</v>
      </c>
      <c r="W221" s="68">
        <v>1452</v>
      </c>
      <c r="X221" s="68">
        <v>56</v>
      </c>
      <c r="Y221" s="68">
        <v>41</v>
      </c>
      <c r="Z221" s="68">
        <v>38</v>
      </c>
      <c r="AA221" s="68">
        <v>56</v>
      </c>
      <c r="AB221" s="300">
        <f t="shared" si="33"/>
        <v>814.31466666666665</v>
      </c>
      <c r="AC221" s="300">
        <f t="shared" si="34"/>
        <v>4.9055100401606424</v>
      </c>
      <c r="AD221" s="68">
        <v>16392.72</v>
      </c>
      <c r="AE221" s="68" t="s">
        <v>109</v>
      </c>
      <c r="AF221" s="66" t="s">
        <v>317</v>
      </c>
      <c r="AG221" s="66" t="s">
        <v>317</v>
      </c>
      <c r="AH221" s="68" t="s">
        <v>947</v>
      </c>
      <c r="AI221" s="309"/>
      <c r="AJ221" s="309"/>
      <c r="AK221" s="68" t="s">
        <v>48</v>
      </c>
      <c r="AL221" s="68" t="s">
        <v>47</v>
      </c>
      <c r="AM221" s="299">
        <f t="shared" ca="1" si="30"/>
        <v>5.9375</v>
      </c>
      <c r="AN221" s="51" t="s">
        <v>1395</v>
      </c>
      <c r="AO221" s="61" t="s">
        <v>67</v>
      </c>
      <c r="AP221" s="62" t="s">
        <v>1389</v>
      </c>
      <c r="AQ221" s="61" t="s">
        <v>1390</v>
      </c>
      <c r="AR221" s="64">
        <v>44875.541666666664</v>
      </c>
      <c r="AS221" s="57" t="s">
        <v>173</v>
      </c>
      <c r="AT221" s="61" t="s">
        <v>225</v>
      </c>
      <c r="AU221" s="63">
        <v>0.54166666666666663</v>
      </c>
      <c r="AV221" s="61">
        <v>2</v>
      </c>
      <c r="AW221" s="61" t="s">
        <v>66</v>
      </c>
      <c r="AX221" s="52"/>
      <c r="AY221" s="52"/>
      <c r="AZ221" s="52"/>
      <c r="BA221" s="52"/>
    </row>
    <row r="222" spans="1:53" x14ac:dyDescent="0.25">
      <c r="A222" s="73">
        <v>91</v>
      </c>
      <c r="B222" s="72">
        <v>44869.604166666664</v>
      </c>
      <c r="C222" s="67">
        <v>0.61111111111111105</v>
      </c>
      <c r="D222" s="67">
        <v>0.63888888888888895</v>
      </c>
      <c r="E222" s="67">
        <v>0.65277777777777779</v>
      </c>
      <c r="F222" s="68" t="s">
        <v>169</v>
      </c>
      <c r="G222" s="68" t="s">
        <v>945</v>
      </c>
      <c r="H222" s="66" t="s">
        <v>282</v>
      </c>
      <c r="I222" s="66" t="s">
        <v>281</v>
      </c>
      <c r="J222" s="66" t="s">
        <v>37</v>
      </c>
      <c r="K222" s="66" t="s">
        <v>233</v>
      </c>
      <c r="L222" s="66" t="s">
        <v>285</v>
      </c>
      <c r="M222" s="62" t="s">
        <v>1389</v>
      </c>
      <c r="N222" s="68" t="s">
        <v>38</v>
      </c>
      <c r="O222" s="68" t="s">
        <v>946</v>
      </c>
      <c r="P222" s="68">
        <v>2000056063</v>
      </c>
      <c r="Q222" s="303">
        <f t="shared" si="31"/>
        <v>0</v>
      </c>
      <c r="R222" s="303">
        <f t="shared" si="32"/>
        <v>0</v>
      </c>
      <c r="S222" s="68">
        <v>0</v>
      </c>
      <c r="T222" s="68">
        <v>0</v>
      </c>
      <c r="U222" s="68">
        <v>0</v>
      </c>
      <c r="V222" s="68">
        <v>0</v>
      </c>
      <c r="W222" s="68">
        <v>0</v>
      </c>
      <c r="X222" s="68">
        <v>52</v>
      </c>
      <c r="Y222" s="68">
        <v>42</v>
      </c>
      <c r="Z222" s="68">
        <v>37</v>
      </c>
      <c r="AA222" s="68">
        <v>63</v>
      </c>
      <c r="AB222" s="300">
        <f t="shared" si="33"/>
        <v>848.48400000000004</v>
      </c>
      <c r="AC222" s="300">
        <f t="shared" si="34"/>
        <v>5.1113493975903621</v>
      </c>
      <c r="AD222" s="68">
        <v>0</v>
      </c>
      <c r="AE222" s="68">
        <v>0</v>
      </c>
      <c r="AF222" s="66" t="s">
        <v>317</v>
      </c>
      <c r="AG222" s="66" t="s">
        <v>317</v>
      </c>
      <c r="AH222" s="68" t="s">
        <v>947</v>
      </c>
      <c r="AI222" s="309"/>
      <c r="AJ222" s="309"/>
      <c r="AK222" s="68" t="s">
        <v>48</v>
      </c>
      <c r="AL222" s="68" t="s">
        <v>47</v>
      </c>
      <c r="AM222" s="299">
        <f t="shared" ca="1" si="30"/>
        <v>5.9375</v>
      </c>
      <c r="AN222" s="51"/>
      <c r="AO222" s="61" t="s">
        <v>67</v>
      </c>
      <c r="AP222" s="62" t="s">
        <v>1389</v>
      </c>
      <c r="AQ222" s="61" t="s">
        <v>1390</v>
      </c>
      <c r="AR222" s="64">
        <v>44875.541666666664</v>
      </c>
      <c r="AS222" s="57" t="s">
        <v>173</v>
      </c>
      <c r="AT222" s="61" t="s">
        <v>225</v>
      </c>
      <c r="AU222" s="63">
        <v>0.54166666666666663</v>
      </c>
      <c r="AV222" s="61">
        <v>2</v>
      </c>
      <c r="AW222" s="61" t="s">
        <v>66</v>
      </c>
      <c r="AX222" s="52"/>
      <c r="AY222" s="52"/>
      <c r="AZ222" s="52"/>
      <c r="BA222" s="52"/>
    </row>
    <row r="223" spans="1:53" x14ac:dyDescent="0.25">
      <c r="A223" s="73">
        <v>91</v>
      </c>
      <c r="B223" s="72">
        <v>44869.604166666664</v>
      </c>
      <c r="C223" s="67">
        <v>0.61111111111111105</v>
      </c>
      <c r="D223" s="67">
        <v>0.63888888888888895</v>
      </c>
      <c r="E223" s="67">
        <v>0.65277777777777779</v>
      </c>
      <c r="F223" s="68" t="s">
        <v>169</v>
      </c>
      <c r="G223" s="68" t="s">
        <v>945</v>
      </c>
      <c r="H223" s="66" t="s">
        <v>282</v>
      </c>
      <c r="I223" s="66" t="s">
        <v>281</v>
      </c>
      <c r="J223" s="66" t="s">
        <v>37</v>
      </c>
      <c r="K223" s="66" t="s">
        <v>233</v>
      </c>
      <c r="L223" s="66" t="s">
        <v>285</v>
      </c>
      <c r="M223" s="62" t="s">
        <v>1389</v>
      </c>
      <c r="N223" s="68" t="s">
        <v>38</v>
      </c>
      <c r="O223" s="68" t="s">
        <v>946</v>
      </c>
      <c r="P223" s="68">
        <v>2000056063</v>
      </c>
      <c r="Q223" s="303">
        <f t="shared" si="31"/>
        <v>0</v>
      </c>
      <c r="R223" s="303">
        <f t="shared" si="32"/>
        <v>0</v>
      </c>
      <c r="S223" s="68">
        <v>0</v>
      </c>
      <c r="T223" s="68">
        <v>0</v>
      </c>
      <c r="U223" s="68">
        <v>0</v>
      </c>
      <c r="V223" s="68">
        <v>0</v>
      </c>
      <c r="W223" s="68">
        <v>0</v>
      </c>
      <c r="X223" s="68">
        <v>56</v>
      </c>
      <c r="Y223" s="68">
        <v>31</v>
      </c>
      <c r="Z223" s="68">
        <v>38</v>
      </c>
      <c r="AA223" s="68">
        <v>1</v>
      </c>
      <c r="AB223" s="300">
        <f t="shared" si="33"/>
        <v>10.994666666666667</v>
      </c>
      <c r="AC223" s="300">
        <f t="shared" si="34"/>
        <v>6.623293172690764E-2</v>
      </c>
      <c r="AD223" s="68">
        <v>0</v>
      </c>
      <c r="AE223" s="68">
        <v>0</v>
      </c>
      <c r="AF223" s="66" t="s">
        <v>317</v>
      </c>
      <c r="AG223" s="66" t="s">
        <v>317</v>
      </c>
      <c r="AH223" s="68" t="s">
        <v>947</v>
      </c>
      <c r="AI223" s="309"/>
      <c r="AJ223" s="309"/>
      <c r="AK223" s="68" t="s">
        <v>48</v>
      </c>
      <c r="AL223" s="68" t="s">
        <v>47</v>
      </c>
      <c r="AM223" s="299">
        <f t="shared" ca="1" si="30"/>
        <v>5.9375</v>
      </c>
      <c r="AN223" s="51"/>
      <c r="AO223" s="61" t="s">
        <v>67</v>
      </c>
      <c r="AP223" s="62" t="s">
        <v>1389</v>
      </c>
      <c r="AQ223" s="61" t="s">
        <v>1390</v>
      </c>
      <c r="AR223" s="64">
        <v>44875.541666666664</v>
      </c>
      <c r="AS223" s="57" t="s">
        <v>173</v>
      </c>
      <c r="AT223" s="61" t="s">
        <v>225</v>
      </c>
      <c r="AU223" s="63">
        <v>0.54166666666666663</v>
      </c>
      <c r="AV223" s="61">
        <v>2</v>
      </c>
      <c r="AW223" s="61" t="s">
        <v>66</v>
      </c>
      <c r="AX223" s="52"/>
      <c r="AY223" s="52"/>
      <c r="AZ223" s="52"/>
      <c r="BA223" s="52"/>
    </row>
    <row r="224" spans="1:53" x14ac:dyDescent="0.25">
      <c r="A224" s="73">
        <v>91</v>
      </c>
      <c r="B224" s="72">
        <v>44869.604166666664</v>
      </c>
      <c r="C224" s="67">
        <v>0.61111111111111105</v>
      </c>
      <c r="D224" s="67">
        <v>0.63888888888888895</v>
      </c>
      <c r="E224" s="67">
        <v>0.65277777777777779</v>
      </c>
      <c r="F224" s="68" t="s">
        <v>169</v>
      </c>
      <c r="G224" s="68" t="s">
        <v>945</v>
      </c>
      <c r="H224" s="66" t="s">
        <v>282</v>
      </c>
      <c r="I224" s="66" t="s">
        <v>281</v>
      </c>
      <c r="J224" s="66" t="s">
        <v>37</v>
      </c>
      <c r="K224" s="66" t="s">
        <v>233</v>
      </c>
      <c r="L224" s="66" t="s">
        <v>285</v>
      </c>
      <c r="M224" s="62" t="s">
        <v>1389</v>
      </c>
      <c r="N224" s="68" t="s">
        <v>38</v>
      </c>
      <c r="O224" s="68" t="s">
        <v>946</v>
      </c>
      <c r="P224" s="68">
        <v>2000056063</v>
      </c>
      <c r="Q224" s="303">
        <f t="shared" si="31"/>
        <v>0</v>
      </c>
      <c r="R224" s="303">
        <f t="shared" si="32"/>
        <v>0</v>
      </c>
      <c r="S224" s="68">
        <v>0</v>
      </c>
      <c r="T224" s="68">
        <v>0</v>
      </c>
      <c r="U224" s="68">
        <v>0</v>
      </c>
      <c r="V224" s="68">
        <v>0</v>
      </c>
      <c r="W224" s="68">
        <v>0</v>
      </c>
      <c r="X224" s="68">
        <v>66</v>
      </c>
      <c r="Y224" s="68">
        <v>42</v>
      </c>
      <c r="Z224" s="68">
        <v>38</v>
      </c>
      <c r="AA224" s="68">
        <v>17</v>
      </c>
      <c r="AB224" s="300">
        <f t="shared" si="33"/>
        <v>298.452</v>
      </c>
      <c r="AC224" s="300">
        <f t="shared" si="34"/>
        <v>1.7979036144578313</v>
      </c>
      <c r="AD224" s="68">
        <v>0</v>
      </c>
      <c r="AE224" s="68">
        <v>0</v>
      </c>
      <c r="AF224" s="66" t="s">
        <v>317</v>
      </c>
      <c r="AG224" s="66" t="s">
        <v>317</v>
      </c>
      <c r="AH224" s="68" t="s">
        <v>947</v>
      </c>
      <c r="AI224" s="309"/>
      <c r="AJ224" s="309"/>
      <c r="AK224" s="68" t="s">
        <v>48</v>
      </c>
      <c r="AL224" s="68" t="s">
        <v>47</v>
      </c>
      <c r="AM224" s="299">
        <f t="shared" ca="1" si="30"/>
        <v>5.9375</v>
      </c>
      <c r="AN224" s="51"/>
      <c r="AO224" s="61" t="s">
        <v>67</v>
      </c>
      <c r="AP224" s="62" t="s">
        <v>1389</v>
      </c>
      <c r="AQ224" s="61" t="s">
        <v>1390</v>
      </c>
      <c r="AR224" s="64">
        <v>44875.541666666664</v>
      </c>
      <c r="AS224" s="57" t="s">
        <v>173</v>
      </c>
      <c r="AT224" s="61" t="s">
        <v>225</v>
      </c>
      <c r="AU224" s="63">
        <v>0.54166666666666663</v>
      </c>
      <c r="AV224" s="61">
        <v>2</v>
      </c>
      <c r="AW224" s="61" t="s">
        <v>66</v>
      </c>
      <c r="AX224" s="52"/>
      <c r="AY224" s="52"/>
      <c r="AZ224" s="52"/>
      <c r="BA224" s="52"/>
    </row>
    <row r="225" spans="1:53" x14ac:dyDescent="0.25">
      <c r="A225" s="73">
        <v>92</v>
      </c>
      <c r="B225" s="72">
        <v>44869.642361111109</v>
      </c>
      <c r="C225" s="67">
        <v>0.64583333333333337</v>
      </c>
      <c r="D225" s="67">
        <v>0.65972222222222221</v>
      </c>
      <c r="E225" s="67">
        <v>0.6875</v>
      </c>
      <c r="F225" s="68" t="s">
        <v>169</v>
      </c>
      <c r="G225" s="68" t="s">
        <v>948</v>
      </c>
      <c r="H225" s="71" t="s">
        <v>197</v>
      </c>
      <c r="I225" s="71" t="s">
        <v>197</v>
      </c>
      <c r="J225" s="71" t="s">
        <v>37</v>
      </c>
      <c r="K225" s="71" t="s">
        <v>233</v>
      </c>
      <c r="L225" s="71" t="s">
        <v>343</v>
      </c>
      <c r="M225" s="68" t="s">
        <v>949</v>
      </c>
      <c r="N225" s="68" t="s">
        <v>264</v>
      </c>
      <c r="O225" s="68" t="s">
        <v>950</v>
      </c>
      <c r="P225" s="68" t="s">
        <v>951</v>
      </c>
      <c r="Q225" s="303">
        <f t="shared" si="31"/>
        <v>5</v>
      </c>
      <c r="R225" s="303">
        <f t="shared" si="32"/>
        <v>139</v>
      </c>
      <c r="S225" s="68">
        <v>3</v>
      </c>
      <c r="T225" s="68">
        <v>63</v>
      </c>
      <c r="U225" s="68">
        <v>2</v>
      </c>
      <c r="V225" s="68">
        <v>76</v>
      </c>
      <c r="W225" s="68">
        <v>134</v>
      </c>
      <c r="X225" s="68">
        <v>98</v>
      </c>
      <c r="Y225" s="68">
        <v>81</v>
      </c>
      <c r="Z225" s="68">
        <v>130</v>
      </c>
      <c r="AA225" s="68">
        <v>1</v>
      </c>
      <c r="AB225" s="300">
        <f t="shared" si="33"/>
        <v>171.99</v>
      </c>
      <c r="AC225" s="300">
        <f t="shared" si="34"/>
        <v>1.0360843373493978</v>
      </c>
      <c r="AD225" s="68" t="s">
        <v>48</v>
      </c>
      <c r="AE225" s="68" t="s">
        <v>48</v>
      </c>
      <c r="AF225" s="66" t="s">
        <v>317</v>
      </c>
      <c r="AG225" s="66" t="s">
        <v>317</v>
      </c>
      <c r="AH225" s="68" t="s">
        <v>952</v>
      </c>
      <c r="AI225" s="309"/>
      <c r="AJ225" s="309"/>
      <c r="AK225" s="68" t="s">
        <v>37</v>
      </c>
      <c r="AL225" s="68" t="s">
        <v>58</v>
      </c>
      <c r="AM225" s="299">
        <f t="shared" ca="1" si="30"/>
        <v>5.0833333333357587</v>
      </c>
      <c r="AN225" s="51"/>
      <c r="AO225" s="61" t="s">
        <v>347</v>
      </c>
      <c r="AP225" s="91" t="s">
        <v>949</v>
      </c>
      <c r="AQ225" s="57" t="s">
        <v>1330</v>
      </c>
      <c r="AR225" s="64">
        <v>44874.725694444445</v>
      </c>
      <c r="AS225" s="57" t="s">
        <v>173</v>
      </c>
      <c r="AT225" s="61" t="s">
        <v>225</v>
      </c>
      <c r="AU225" s="63">
        <v>0.72569444444444453</v>
      </c>
      <c r="AV225" s="61">
        <v>2</v>
      </c>
      <c r="AW225" s="61" t="s">
        <v>66</v>
      </c>
      <c r="AX225" s="52"/>
      <c r="AY225" s="52"/>
      <c r="AZ225" s="52"/>
      <c r="BA225" s="52"/>
    </row>
    <row r="226" spans="1:53" x14ac:dyDescent="0.25">
      <c r="A226" s="73">
        <v>92</v>
      </c>
      <c r="B226" s="72">
        <v>44869.642361111109</v>
      </c>
      <c r="C226" s="67">
        <v>0.64583333333333337</v>
      </c>
      <c r="D226" s="67">
        <v>0.65972222222222221</v>
      </c>
      <c r="E226" s="67">
        <v>0.6875</v>
      </c>
      <c r="F226" s="68" t="s">
        <v>169</v>
      </c>
      <c r="G226" s="68" t="s">
        <v>948</v>
      </c>
      <c r="H226" s="66" t="s">
        <v>197</v>
      </c>
      <c r="I226" s="66" t="s">
        <v>197</v>
      </c>
      <c r="J226" s="66" t="s">
        <v>37</v>
      </c>
      <c r="K226" s="66" t="s">
        <v>233</v>
      </c>
      <c r="L226" s="66" t="s">
        <v>343</v>
      </c>
      <c r="M226" s="68" t="s">
        <v>949</v>
      </c>
      <c r="N226" s="68" t="s">
        <v>264</v>
      </c>
      <c r="O226" s="68" t="s">
        <v>950</v>
      </c>
      <c r="P226" s="68" t="s">
        <v>951</v>
      </c>
      <c r="Q226" s="303">
        <f t="shared" si="31"/>
        <v>0</v>
      </c>
      <c r="R226" s="303">
        <f t="shared" si="32"/>
        <v>0</v>
      </c>
      <c r="S226" s="68">
        <v>0</v>
      </c>
      <c r="T226" s="68">
        <v>0</v>
      </c>
      <c r="U226" s="68">
        <v>0</v>
      </c>
      <c r="V226" s="68">
        <v>0</v>
      </c>
      <c r="W226" s="68">
        <v>0</v>
      </c>
      <c r="X226" s="68">
        <v>92</v>
      </c>
      <c r="Y226" s="68">
        <v>32</v>
      </c>
      <c r="Z226" s="68">
        <v>32</v>
      </c>
      <c r="AA226" s="68">
        <v>1</v>
      </c>
      <c r="AB226" s="300">
        <f t="shared" si="33"/>
        <v>15.701333333333332</v>
      </c>
      <c r="AC226" s="300">
        <f t="shared" si="34"/>
        <v>9.4586345381526105E-2</v>
      </c>
      <c r="AD226" s="68">
        <v>0</v>
      </c>
      <c r="AE226" s="68">
        <v>0</v>
      </c>
      <c r="AF226" s="66" t="s">
        <v>317</v>
      </c>
      <c r="AG226" s="66" t="s">
        <v>317</v>
      </c>
      <c r="AH226" s="68" t="s">
        <v>952</v>
      </c>
      <c r="AI226" s="309"/>
      <c r="AJ226" s="309"/>
      <c r="AK226" s="68" t="s">
        <v>48</v>
      </c>
      <c r="AL226" s="68" t="s">
        <v>58</v>
      </c>
      <c r="AM226" s="299">
        <f t="shared" ca="1" si="30"/>
        <v>5.0833333333357587</v>
      </c>
      <c r="AN226" s="51"/>
      <c r="AO226" s="61" t="s">
        <v>347</v>
      </c>
      <c r="AP226" s="91" t="s">
        <v>949</v>
      </c>
      <c r="AQ226" s="57" t="s">
        <v>1330</v>
      </c>
      <c r="AR226" s="64">
        <v>44874.725694444445</v>
      </c>
      <c r="AS226" s="57" t="s">
        <v>173</v>
      </c>
      <c r="AT226" s="61" t="s">
        <v>225</v>
      </c>
      <c r="AU226" s="63">
        <v>0.72569444444444453</v>
      </c>
      <c r="AV226" s="61">
        <v>2</v>
      </c>
      <c r="AW226" s="61" t="s">
        <v>66</v>
      </c>
      <c r="AX226" s="52"/>
      <c r="AY226" s="52"/>
      <c r="AZ226" s="52"/>
      <c r="BA226" s="52"/>
    </row>
    <row r="227" spans="1:53" x14ac:dyDescent="0.25">
      <c r="A227" s="73">
        <v>92</v>
      </c>
      <c r="B227" s="72">
        <v>44869.642361111109</v>
      </c>
      <c r="C227" s="67">
        <v>0.64583333333333337</v>
      </c>
      <c r="D227" s="67">
        <v>0.65972222222222221</v>
      </c>
      <c r="E227" s="67">
        <v>0.6875</v>
      </c>
      <c r="F227" s="68" t="s">
        <v>169</v>
      </c>
      <c r="G227" s="68" t="s">
        <v>948</v>
      </c>
      <c r="H227" s="66" t="s">
        <v>197</v>
      </c>
      <c r="I227" s="66" t="s">
        <v>197</v>
      </c>
      <c r="J227" s="66" t="s">
        <v>37</v>
      </c>
      <c r="K227" s="66" t="s">
        <v>233</v>
      </c>
      <c r="L227" s="66" t="s">
        <v>343</v>
      </c>
      <c r="M227" s="68" t="s">
        <v>949</v>
      </c>
      <c r="N227" s="68" t="s">
        <v>264</v>
      </c>
      <c r="O227" s="68" t="s">
        <v>950</v>
      </c>
      <c r="P227" s="68" t="s">
        <v>951</v>
      </c>
      <c r="Q227" s="303">
        <f t="shared" si="31"/>
        <v>0</v>
      </c>
      <c r="R227" s="303">
        <f t="shared" si="32"/>
        <v>0</v>
      </c>
      <c r="S227" s="68">
        <v>0</v>
      </c>
      <c r="T227" s="68">
        <v>0</v>
      </c>
      <c r="U227" s="68">
        <v>0</v>
      </c>
      <c r="V227" s="68">
        <v>0</v>
      </c>
      <c r="W227" s="68">
        <v>0</v>
      </c>
      <c r="X227" s="68">
        <v>75</v>
      </c>
      <c r="Y227" s="68">
        <v>67</v>
      </c>
      <c r="Z227" s="68">
        <v>30</v>
      </c>
      <c r="AA227" s="68">
        <v>1</v>
      </c>
      <c r="AB227" s="300">
        <f t="shared" si="33"/>
        <v>25.125</v>
      </c>
      <c r="AC227" s="300">
        <f t="shared" si="34"/>
        <v>0.15135542168674698</v>
      </c>
      <c r="AD227" s="68">
        <v>0</v>
      </c>
      <c r="AE227" s="68">
        <v>0</v>
      </c>
      <c r="AF227" s="66" t="s">
        <v>317</v>
      </c>
      <c r="AG227" s="66" t="s">
        <v>317</v>
      </c>
      <c r="AH227" s="68" t="s">
        <v>952</v>
      </c>
      <c r="AI227" s="309"/>
      <c r="AJ227" s="309"/>
      <c r="AK227" s="68" t="s">
        <v>48</v>
      </c>
      <c r="AL227" s="68" t="s">
        <v>58</v>
      </c>
      <c r="AM227" s="299">
        <f t="shared" ca="1" si="30"/>
        <v>5.0833333333357587</v>
      </c>
      <c r="AN227" s="51"/>
      <c r="AO227" s="61" t="s">
        <v>347</v>
      </c>
      <c r="AP227" s="91" t="s">
        <v>949</v>
      </c>
      <c r="AQ227" s="57" t="s">
        <v>1330</v>
      </c>
      <c r="AR227" s="64">
        <v>44874.725694444445</v>
      </c>
      <c r="AS227" s="57" t="s">
        <v>173</v>
      </c>
      <c r="AT227" s="61" t="s">
        <v>225</v>
      </c>
      <c r="AU227" s="63">
        <v>0.72569444444444453</v>
      </c>
      <c r="AV227" s="61">
        <v>2</v>
      </c>
      <c r="AW227" s="61" t="s">
        <v>66</v>
      </c>
      <c r="AX227" s="52"/>
      <c r="AY227" s="52"/>
      <c r="AZ227" s="52"/>
      <c r="BA227" s="52"/>
    </row>
    <row r="228" spans="1:53" x14ac:dyDescent="0.25">
      <c r="A228" s="73">
        <v>92</v>
      </c>
      <c r="B228" s="72">
        <v>44869.642361111109</v>
      </c>
      <c r="C228" s="67">
        <v>0.64583333333333337</v>
      </c>
      <c r="D228" s="67">
        <v>0.65972222222222221</v>
      </c>
      <c r="E228" s="67">
        <v>0.6875</v>
      </c>
      <c r="F228" s="68" t="s">
        <v>169</v>
      </c>
      <c r="G228" s="68" t="s">
        <v>948</v>
      </c>
      <c r="H228" s="66" t="s">
        <v>197</v>
      </c>
      <c r="I228" s="66" t="s">
        <v>197</v>
      </c>
      <c r="J228" s="66" t="s">
        <v>37</v>
      </c>
      <c r="K228" s="66" t="s">
        <v>233</v>
      </c>
      <c r="L228" s="66" t="s">
        <v>343</v>
      </c>
      <c r="M228" s="68" t="s">
        <v>949</v>
      </c>
      <c r="N228" s="68" t="s">
        <v>264</v>
      </c>
      <c r="O228" s="68" t="s">
        <v>950</v>
      </c>
      <c r="P228" s="68" t="s">
        <v>951</v>
      </c>
      <c r="Q228" s="303">
        <f t="shared" si="31"/>
        <v>0</v>
      </c>
      <c r="R228" s="303">
        <f t="shared" si="32"/>
        <v>0</v>
      </c>
      <c r="S228" s="68">
        <v>0</v>
      </c>
      <c r="T228" s="68">
        <v>0</v>
      </c>
      <c r="U228" s="68">
        <v>0</v>
      </c>
      <c r="V228" s="68">
        <v>0</v>
      </c>
      <c r="W228" s="68">
        <v>0</v>
      </c>
      <c r="X228" s="68">
        <v>76</v>
      </c>
      <c r="Y228" s="68">
        <v>68</v>
      </c>
      <c r="Z228" s="68">
        <v>34</v>
      </c>
      <c r="AA228" s="68">
        <v>1</v>
      </c>
      <c r="AB228" s="300">
        <f t="shared" si="33"/>
        <v>29.285333333333334</v>
      </c>
      <c r="AC228" s="300">
        <f t="shared" si="34"/>
        <v>0.17641767068273093</v>
      </c>
      <c r="AD228" s="68">
        <v>0</v>
      </c>
      <c r="AE228" s="68">
        <v>0</v>
      </c>
      <c r="AF228" s="66" t="s">
        <v>317</v>
      </c>
      <c r="AG228" s="66" t="s">
        <v>317</v>
      </c>
      <c r="AH228" s="68" t="s">
        <v>952</v>
      </c>
      <c r="AI228" s="309"/>
      <c r="AJ228" s="309"/>
      <c r="AK228" s="68" t="s">
        <v>48</v>
      </c>
      <c r="AL228" s="68" t="s">
        <v>58</v>
      </c>
      <c r="AM228" s="299">
        <f t="shared" ca="1" si="30"/>
        <v>5.0833333333357587</v>
      </c>
      <c r="AN228" s="51"/>
      <c r="AO228" s="61" t="s">
        <v>347</v>
      </c>
      <c r="AP228" s="91" t="s">
        <v>949</v>
      </c>
      <c r="AQ228" s="57" t="s">
        <v>1330</v>
      </c>
      <c r="AR228" s="64">
        <v>44874.725694444445</v>
      </c>
      <c r="AS228" s="57" t="s">
        <v>173</v>
      </c>
      <c r="AT228" s="61" t="s">
        <v>225</v>
      </c>
      <c r="AU228" s="63">
        <v>0.72569444444444453</v>
      </c>
      <c r="AV228" s="61">
        <v>2</v>
      </c>
      <c r="AW228" s="61" t="s">
        <v>66</v>
      </c>
      <c r="AX228" s="52"/>
      <c r="AY228" s="52"/>
      <c r="AZ228" s="52"/>
      <c r="BA228" s="52"/>
    </row>
    <row r="229" spans="1:53" x14ac:dyDescent="0.25">
      <c r="A229" s="73">
        <v>92</v>
      </c>
      <c r="B229" s="72">
        <v>44869.642361111109</v>
      </c>
      <c r="C229" s="67">
        <v>0.64583333333333337</v>
      </c>
      <c r="D229" s="67">
        <v>0.65972222222222221</v>
      </c>
      <c r="E229" s="67">
        <v>0.6875</v>
      </c>
      <c r="F229" s="68" t="s">
        <v>169</v>
      </c>
      <c r="G229" s="68" t="s">
        <v>948</v>
      </c>
      <c r="H229" s="66" t="s">
        <v>197</v>
      </c>
      <c r="I229" s="66" t="s">
        <v>197</v>
      </c>
      <c r="J229" s="66" t="s">
        <v>37</v>
      </c>
      <c r="K229" s="66" t="s">
        <v>233</v>
      </c>
      <c r="L229" s="66" t="s">
        <v>343</v>
      </c>
      <c r="M229" s="68" t="s">
        <v>949</v>
      </c>
      <c r="N229" s="68" t="s">
        <v>264</v>
      </c>
      <c r="O229" s="68" t="s">
        <v>950</v>
      </c>
      <c r="P229" s="68" t="s">
        <v>951</v>
      </c>
      <c r="Q229" s="303">
        <f t="shared" si="31"/>
        <v>0</v>
      </c>
      <c r="R229" s="303">
        <f t="shared" si="32"/>
        <v>0</v>
      </c>
      <c r="S229" s="68">
        <v>0</v>
      </c>
      <c r="T229" s="68">
        <v>0</v>
      </c>
      <c r="U229" s="68">
        <v>0</v>
      </c>
      <c r="V229" s="68">
        <v>0</v>
      </c>
      <c r="W229" s="68">
        <v>0</v>
      </c>
      <c r="X229" s="68">
        <v>76</v>
      </c>
      <c r="Y229" s="68">
        <v>60</v>
      </c>
      <c r="Z229" s="68">
        <v>59</v>
      </c>
      <c r="AA229" s="68">
        <v>1</v>
      </c>
      <c r="AB229" s="300">
        <f t="shared" si="33"/>
        <v>44.84</v>
      </c>
      <c r="AC229" s="300">
        <f t="shared" si="34"/>
        <v>0.27012048192771088</v>
      </c>
      <c r="AD229" s="68">
        <v>0</v>
      </c>
      <c r="AE229" s="68">
        <v>0</v>
      </c>
      <c r="AF229" s="66" t="s">
        <v>317</v>
      </c>
      <c r="AG229" s="66" t="s">
        <v>317</v>
      </c>
      <c r="AH229" s="68" t="s">
        <v>952</v>
      </c>
      <c r="AI229" s="309"/>
      <c r="AJ229" s="309"/>
      <c r="AK229" s="68" t="s">
        <v>48</v>
      </c>
      <c r="AL229" s="68" t="s">
        <v>58</v>
      </c>
      <c r="AM229" s="299">
        <f t="shared" ca="1" si="30"/>
        <v>5.0833333333357587</v>
      </c>
      <c r="AN229" s="51"/>
      <c r="AO229" s="61" t="s">
        <v>347</v>
      </c>
      <c r="AP229" s="91" t="s">
        <v>949</v>
      </c>
      <c r="AQ229" s="57" t="s">
        <v>1330</v>
      </c>
      <c r="AR229" s="64">
        <v>44874.725694444445</v>
      </c>
      <c r="AS229" s="57" t="s">
        <v>173</v>
      </c>
      <c r="AT229" s="61" t="s">
        <v>225</v>
      </c>
      <c r="AU229" s="63">
        <v>0.72569444444444453</v>
      </c>
      <c r="AV229" s="61">
        <v>2</v>
      </c>
      <c r="AW229" s="61" t="s">
        <v>66</v>
      </c>
      <c r="AX229" s="52"/>
      <c r="AY229" s="52"/>
      <c r="AZ229" s="52"/>
      <c r="BA229" s="52"/>
    </row>
    <row r="230" spans="1:53" x14ac:dyDescent="0.25">
      <c r="A230" s="73">
        <v>93</v>
      </c>
      <c r="B230" s="72">
        <v>44869.642361111109</v>
      </c>
      <c r="C230" s="67">
        <v>0.64583333333333337</v>
      </c>
      <c r="D230" s="67">
        <v>0.65972222222222221</v>
      </c>
      <c r="E230" s="67">
        <v>0.6875</v>
      </c>
      <c r="F230" s="68" t="s">
        <v>169</v>
      </c>
      <c r="G230" s="68" t="s">
        <v>948</v>
      </c>
      <c r="H230" s="66" t="s">
        <v>197</v>
      </c>
      <c r="I230" s="66" t="s">
        <v>197</v>
      </c>
      <c r="J230" s="66" t="s">
        <v>37</v>
      </c>
      <c r="K230" s="66" t="s">
        <v>233</v>
      </c>
      <c r="L230" s="66" t="s">
        <v>343</v>
      </c>
      <c r="M230" s="68" t="s">
        <v>949</v>
      </c>
      <c r="N230" s="68" t="s">
        <v>264</v>
      </c>
      <c r="O230" s="68" t="s">
        <v>953</v>
      </c>
      <c r="P230" s="68" t="s">
        <v>954</v>
      </c>
      <c r="Q230" s="303">
        <f t="shared" si="31"/>
        <v>5</v>
      </c>
      <c r="R230" s="303">
        <f t="shared" si="32"/>
        <v>304</v>
      </c>
      <c r="S230" s="68">
        <v>2</v>
      </c>
      <c r="T230" s="68">
        <v>33</v>
      </c>
      <c r="U230" s="68">
        <v>3</v>
      </c>
      <c r="V230" s="68">
        <v>271</v>
      </c>
      <c r="W230" s="68">
        <v>310</v>
      </c>
      <c r="X230" s="68">
        <v>76</v>
      </c>
      <c r="Y230" s="68">
        <v>60</v>
      </c>
      <c r="Z230" s="68">
        <v>60</v>
      </c>
      <c r="AA230" s="68">
        <v>1</v>
      </c>
      <c r="AB230" s="300">
        <f t="shared" si="33"/>
        <v>45.6</v>
      </c>
      <c r="AC230" s="300">
        <f t="shared" si="34"/>
        <v>0.27469879518072288</v>
      </c>
      <c r="AD230" s="68" t="s">
        <v>48</v>
      </c>
      <c r="AE230" s="68" t="s">
        <v>48</v>
      </c>
      <c r="AF230" s="66" t="s">
        <v>317</v>
      </c>
      <c r="AG230" s="66" t="s">
        <v>317</v>
      </c>
      <c r="AH230" s="68" t="s">
        <v>955</v>
      </c>
      <c r="AI230" s="309"/>
      <c r="AJ230" s="309"/>
      <c r="AK230" s="68" t="s">
        <v>48</v>
      </c>
      <c r="AL230" s="68" t="s">
        <v>58</v>
      </c>
      <c r="AM230" s="299">
        <f t="shared" ca="1" si="30"/>
        <v>5.0833333333357587</v>
      </c>
      <c r="AN230" s="51"/>
      <c r="AO230" s="61" t="s">
        <v>347</v>
      </c>
      <c r="AP230" s="91" t="s">
        <v>949</v>
      </c>
      <c r="AQ230" s="57" t="s">
        <v>1330</v>
      </c>
      <c r="AR230" s="64">
        <v>44874.725694444445</v>
      </c>
      <c r="AS230" s="57" t="s">
        <v>173</v>
      </c>
      <c r="AT230" s="61" t="s">
        <v>225</v>
      </c>
      <c r="AU230" s="63">
        <v>0.72569444444444453</v>
      </c>
      <c r="AV230" s="61">
        <v>2</v>
      </c>
      <c r="AW230" s="61" t="s">
        <v>66</v>
      </c>
      <c r="AX230" s="52"/>
      <c r="AY230" s="52"/>
      <c r="AZ230" s="52"/>
      <c r="BA230" s="52"/>
    </row>
    <row r="231" spans="1:53" x14ac:dyDescent="0.25">
      <c r="A231" s="73">
        <v>93</v>
      </c>
      <c r="B231" s="72">
        <v>44869.642361111109</v>
      </c>
      <c r="C231" s="67">
        <v>0.64583333333333337</v>
      </c>
      <c r="D231" s="67">
        <v>0.65972222222222221</v>
      </c>
      <c r="E231" s="67">
        <v>0.6875</v>
      </c>
      <c r="F231" s="68" t="s">
        <v>169</v>
      </c>
      <c r="G231" s="68" t="s">
        <v>948</v>
      </c>
      <c r="H231" s="66" t="s">
        <v>197</v>
      </c>
      <c r="I231" s="66" t="s">
        <v>197</v>
      </c>
      <c r="J231" s="66" t="s">
        <v>37</v>
      </c>
      <c r="K231" s="66" t="s">
        <v>233</v>
      </c>
      <c r="L231" s="66" t="s">
        <v>343</v>
      </c>
      <c r="M231" s="68" t="s">
        <v>949</v>
      </c>
      <c r="N231" s="68" t="s">
        <v>264</v>
      </c>
      <c r="O231" s="68" t="s">
        <v>953</v>
      </c>
      <c r="P231" s="68" t="s">
        <v>954</v>
      </c>
      <c r="Q231" s="303">
        <f t="shared" si="31"/>
        <v>0</v>
      </c>
      <c r="R231" s="303">
        <f t="shared" si="32"/>
        <v>0</v>
      </c>
      <c r="S231" s="68">
        <v>0</v>
      </c>
      <c r="T231" s="68">
        <v>0</v>
      </c>
      <c r="U231" s="68">
        <v>0</v>
      </c>
      <c r="V231" s="68">
        <v>0</v>
      </c>
      <c r="W231" s="68">
        <v>0</v>
      </c>
      <c r="X231" s="68">
        <v>82</v>
      </c>
      <c r="Y231" s="68">
        <v>64</v>
      </c>
      <c r="Z231" s="68">
        <v>32</v>
      </c>
      <c r="AA231" s="68">
        <v>1</v>
      </c>
      <c r="AB231" s="300">
        <f t="shared" si="33"/>
        <v>27.989333333333335</v>
      </c>
      <c r="AC231" s="300">
        <f t="shared" si="34"/>
        <v>0.16861044176706827</v>
      </c>
      <c r="AD231" s="68">
        <v>0</v>
      </c>
      <c r="AE231" s="68">
        <v>0</v>
      </c>
      <c r="AF231" s="66" t="s">
        <v>317</v>
      </c>
      <c r="AG231" s="66" t="s">
        <v>317</v>
      </c>
      <c r="AH231" s="68" t="s">
        <v>955</v>
      </c>
      <c r="AI231" s="309"/>
      <c r="AJ231" s="309"/>
      <c r="AK231" s="68" t="s">
        <v>48</v>
      </c>
      <c r="AL231" s="68" t="s">
        <v>58</v>
      </c>
      <c r="AM231" s="299">
        <f t="shared" ca="1" si="30"/>
        <v>5.0833333333357587</v>
      </c>
      <c r="AN231" s="51"/>
      <c r="AO231" s="61" t="s">
        <v>347</v>
      </c>
      <c r="AP231" s="91" t="s">
        <v>949</v>
      </c>
      <c r="AQ231" s="57" t="s">
        <v>1330</v>
      </c>
      <c r="AR231" s="64">
        <v>44874.725694444445</v>
      </c>
      <c r="AS231" s="57" t="s">
        <v>173</v>
      </c>
      <c r="AT231" s="61" t="s">
        <v>225</v>
      </c>
      <c r="AU231" s="63">
        <v>0.72569444444444453</v>
      </c>
      <c r="AV231" s="61">
        <v>2</v>
      </c>
      <c r="AW231" s="61" t="s">
        <v>66</v>
      </c>
      <c r="AX231" s="52"/>
      <c r="AY231" s="52"/>
      <c r="AZ231" s="52"/>
      <c r="BA231" s="52"/>
    </row>
    <row r="232" spans="1:53" x14ac:dyDescent="0.25">
      <c r="A232" s="73">
        <v>93</v>
      </c>
      <c r="B232" s="72">
        <v>44869.642361111109</v>
      </c>
      <c r="C232" s="67">
        <v>0.64583333333333337</v>
      </c>
      <c r="D232" s="67">
        <v>0.65972222222222221</v>
      </c>
      <c r="E232" s="67">
        <v>0.6875</v>
      </c>
      <c r="F232" s="68" t="s">
        <v>169</v>
      </c>
      <c r="G232" s="68" t="s">
        <v>948</v>
      </c>
      <c r="H232" s="66" t="s">
        <v>197</v>
      </c>
      <c r="I232" s="66" t="s">
        <v>197</v>
      </c>
      <c r="J232" s="66" t="s">
        <v>37</v>
      </c>
      <c r="K232" s="66" t="s">
        <v>233</v>
      </c>
      <c r="L232" s="66" t="s">
        <v>343</v>
      </c>
      <c r="M232" s="68" t="s">
        <v>949</v>
      </c>
      <c r="N232" s="68" t="s">
        <v>264</v>
      </c>
      <c r="O232" s="68" t="s">
        <v>953</v>
      </c>
      <c r="P232" s="68" t="s">
        <v>954</v>
      </c>
      <c r="Q232" s="303">
        <f t="shared" si="31"/>
        <v>0</v>
      </c>
      <c r="R232" s="303">
        <f t="shared" si="32"/>
        <v>0</v>
      </c>
      <c r="S232" s="68">
        <v>0</v>
      </c>
      <c r="T232" s="68">
        <v>0</v>
      </c>
      <c r="U232" s="68">
        <v>0</v>
      </c>
      <c r="V232" s="68">
        <v>0</v>
      </c>
      <c r="W232" s="68">
        <v>0</v>
      </c>
      <c r="X232" s="68">
        <v>89</v>
      </c>
      <c r="Y232" s="68">
        <v>66</v>
      </c>
      <c r="Z232" s="68">
        <v>93</v>
      </c>
      <c r="AA232" s="68">
        <v>1</v>
      </c>
      <c r="AB232" s="300">
        <f t="shared" si="33"/>
        <v>91.046999999999997</v>
      </c>
      <c r="AC232" s="300">
        <f t="shared" si="34"/>
        <v>0.54847590361445786</v>
      </c>
      <c r="AD232" s="68">
        <v>0</v>
      </c>
      <c r="AE232" s="68">
        <v>0</v>
      </c>
      <c r="AF232" s="66" t="s">
        <v>317</v>
      </c>
      <c r="AG232" s="66" t="s">
        <v>317</v>
      </c>
      <c r="AH232" s="68" t="s">
        <v>955</v>
      </c>
      <c r="AI232" s="309"/>
      <c r="AJ232" s="309"/>
      <c r="AK232" s="68" t="s">
        <v>37</v>
      </c>
      <c r="AL232" s="68" t="s">
        <v>58</v>
      </c>
      <c r="AM232" s="299">
        <f t="shared" ref="AM232:AM295" ca="1" si="35">IF(AP232="",NOW()-B232,AR232-B232)</f>
        <v>5.0833333333357587</v>
      </c>
      <c r="AN232" s="51"/>
      <c r="AO232" s="61" t="s">
        <v>347</v>
      </c>
      <c r="AP232" s="91" t="s">
        <v>949</v>
      </c>
      <c r="AQ232" s="57" t="s">
        <v>1330</v>
      </c>
      <c r="AR232" s="64">
        <v>44874.725694444445</v>
      </c>
      <c r="AS232" s="57" t="s">
        <v>173</v>
      </c>
      <c r="AT232" s="61" t="s">
        <v>225</v>
      </c>
      <c r="AU232" s="63">
        <v>0.72569444444444453</v>
      </c>
      <c r="AV232" s="61">
        <v>2</v>
      </c>
      <c r="AW232" s="61" t="s">
        <v>66</v>
      </c>
      <c r="AX232" s="52"/>
      <c r="AY232" s="52"/>
      <c r="AZ232" s="52"/>
      <c r="BA232" s="52"/>
    </row>
    <row r="233" spans="1:53" x14ac:dyDescent="0.25">
      <c r="A233" s="73">
        <v>93</v>
      </c>
      <c r="B233" s="72">
        <v>44869.642361111109</v>
      </c>
      <c r="C233" s="67">
        <v>0.64583333333333337</v>
      </c>
      <c r="D233" s="67">
        <v>0.65972222222222221</v>
      </c>
      <c r="E233" s="67">
        <v>0.6875</v>
      </c>
      <c r="F233" s="68" t="s">
        <v>169</v>
      </c>
      <c r="G233" s="68" t="s">
        <v>948</v>
      </c>
      <c r="H233" s="66" t="s">
        <v>197</v>
      </c>
      <c r="I233" s="66" t="s">
        <v>197</v>
      </c>
      <c r="J233" s="66" t="s">
        <v>37</v>
      </c>
      <c r="K233" s="66" t="s">
        <v>233</v>
      </c>
      <c r="L233" s="66" t="s">
        <v>343</v>
      </c>
      <c r="M233" s="68" t="s">
        <v>949</v>
      </c>
      <c r="N233" s="68" t="s">
        <v>264</v>
      </c>
      <c r="O233" s="68" t="s">
        <v>953</v>
      </c>
      <c r="P233" s="68" t="s">
        <v>954</v>
      </c>
      <c r="Q233" s="303">
        <f t="shared" ref="Q233:Q296" si="36">S233+U233</f>
        <v>0</v>
      </c>
      <c r="R233" s="303">
        <f t="shared" ref="R233:R296" si="37">T233+V233</f>
        <v>0</v>
      </c>
      <c r="S233" s="68">
        <v>0</v>
      </c>
      <c r="T233" s="68">
        <v>0</v>
      </c>
      <c r="U233" s="68">
        <v>0</v>
      </c>
      <c r="V233" s="68">
        <v>0</v>
      </c>
      <c r="W233" s="68">
        <v>0</v>
      </c>
      <c r="X233" s="68">
        <v>85</v>
      </c>
      <c r="Y233" s="68">
        <v>64</v>
      </c>
      <c r="Z233" s="68">
        <v>85</v>
      </c>
      <c r="AA233" s="68">
        <v>1</v>
      </c>
      <c r="AB233" s="300">
        <f t="shared" ref="AB233:AB296" si="38">X233*Y233*Z233*AA233/6000</f>
        <v>77.066666666666663</v>
      </c>
      <c r="AC233" s="300">
        <f t="shared" ref="AC233:AC296" si="39">AB233/166</f>
        <v>0.46425702811244979</v>
      </c>
      <c r="AD233" s="68">
        <v>0</v>
      </c>
      <c r="AE233" s="68">
        <v>0</v>
      </c>
      <c r="AF233" s="66" t="s">
        <v>317</v>
      </c>
      <c r="AG233" s="66" t="s">
        <v>317</v>
      </c>
      <c r="AH233" s="68" t="s">
        <v>955</v>
      </c>
      <c r="AI233" s="309"/>
      <c r="AJ233" s="309"/>
      <c r="AK233" s="68" t="s">
        <v>41</v>
      </c>
      <c r="AL233" s="68" t="s">
        <v>58</v>
      </c>
      <c r="AM233" s="299">
        <f t="shared" ca="1" si="35"/>
        <v>5.0833333333357587</v>
      </c>
      <c r="AN233" s="51"/>
      <c r="AO233" s="61" t="s">
        <v>347</v>
      </c>
      <c r="AP233" s="91" t="s">
        <v>949</v>
      </c>
      <c r="AQ233" s="57" t="s">
        <v>1330</v>
      </c>
      <c r="AR233" s="64">
        <v>44874.725694444445</v>
      </c>
      <c r="AS233" s="57" t="s">
        <v>173</v>
      </c>
      <c r="AT233" s="61" t="s">
        <v>225</v>
      </c>
      <c r="AU233" s="63">
        <v>0.72569444444444453</v>
      </c>
      <c r="AV233" s="61">
        <v>2</v>
      </c>
      <c r="AW233" s="61" t="s">
        <v>66</v>
      </c>
      <c r="AX233" s="52"/>
      <c r="AY233" s="52"/>
      <c r="AZ233" s="52"/>
      <c r="BA233" s="52"/>
    </row>
    <row r="234" spans="1:53" x14ac:dyDescent="0.25">
      <c r="A234" s="73">
        <v>93</v>
      </c>
      <c r="B234" s="72">
        <v>44869.642361111109</v>
      </c>
      <c r="C234" s="67">
        <v>0.64583333333333337</v>
      </c>
      <c r="D234" s="67">
        <v>0.65972222222222221</v>
      </c>
      <c r="E234" s="67">
        <v>0.6875</v>
      </c>
      <c r="F234" s="68" t="s">
        <v>169</v>
      </c>
      <c r="G234" s="68" t="s">
        <v>948</v>
      </c>
      <c r="H234" s="66" t="s">
        <v>197</v>
      </c>
      <c r="I234" s="66" t="s">
        <v>197</v>
      </c>
      <c r="J234" s="66" t="s">
        <v>37</v>
      </c>
      <c r="K234" s="66" t="s">
        <v>233</v>
      </c>
      <c r="L234" s="66" t="s">
        <v>343</v>
      </c>
      <c r="M234" s="68" t="s">
        <v>949</v>
      </c>
      <c r="N234" s="68" t="s">
        <v>264</v>
      </c>
      <c r="O234" s="68" t="s">
        <v>953</v>
      </c>
      <c r="P234" s="68" t="s">
        <v>954</v>
      </c>
      <c r="Q234" s="303">
        <f t="shared" si="36"/>
        <v>0</v>
      </c>
      <c r="R234" s="303">
        <f t="shared" si="37"/>
        <v>0</v>
      </c>
      <c r="S234" s="68">
        <v>0</v>
      </c>
      <c r="T234" s="68">
        <v>0</v>
      </c>
      <c r="U234" s="68">
        <v>0</v>
      </c>
      <c r="V234" s="68">
        <v>0</v>
      </c>
      <c r="W234" s="68">
        <v>0</v>
      </c>
      <c r="X234" s="68">
        <v>71</v>
      </c>
      <c r="Y234" s="68">
        <v>66</v>
      </c>
      <c r="Z234" s="68">
        <v>32</v>
      </c>
      <c r="AA234" s="68">
        <v>1</v>
      </c>
      <c r="AB234" s="300">
        <f t="shared" si="38"/>
        <v>24.992000000000001</v>
      </c>
      <c r="AC234" s="300">
        <f t="shared" si="39"/>
        <v>0.15055421686746989</v>
      </c>
      <c r="AD234" s="68">
        <v>0</v>
      </c>
      <c r="AE234" s="68">
        <v>0</v>
      </c>
      <c r="AF234" s="66" t="s">
        <v>317</v>
      </c>
      <c r="AG234" s="66" t="s">
        <v>317</v>
      </c>
      <c r="AH234" s="68" t="s">
        <v>955</v>
      </c>
      <c r="AI234" s="309"/>
      <c r="AJ234" s="309"/>
      <c r="AK234" s="68" t="s">
        <v>48</v>
      </c>
      <c r="AL234" s="68" t="s">
        <v>58</v>
      </c>
      <c r="AM234" s="299">
        <f t="shared" ca="1" si="35"/>
        <v>5.0833333333357587</v>
      </c>
      <c r="AN234" s="51"/>
      <c r="AO234" s="61" t="s">
        <v>347</v>
      </c>
      <c r="AP234" s="91" t="s">
        <v>949</v>
      </c>
      <c r="AQ234" s="57" t="s">
        <v>1330</v>
      </c>
      <c r="AR234" s="64">
        <v>44874.725694444445</v>
      </c>
      <c r="AS234" s="57" t="s">
        <v>173</v>
      </c>
      <c r="AT234" s="61" t="s">
        <v>225</v>
      </c>
      <c r="AU234" s="63">
        <v>0.72569444444444453</v>
      </c>
      <c r="AV234" s="61">
        <v>2</v>
      </c>
      <c r="AW234" s="61" t="s">
        <v>66</v>
      </c>
      <c r="AX234" s="52"/>
      <c r="AY234" s="52"/>
      <c r="AZ234" s="52"/>
      <c r="BA234" s="52"/>
    </row>
    <row r="235" spans="1:53" x14ac:dyDescent="0.25">
      <c r="A235" s="73">
        <v>94</v>
      </c>
      <c r="B235" s="72">
        <v>44869.642361111109</v>
      </c>
      <c r="C235" s="67">
        <v>0.64583333333333337</v>
      </c>
      <c r="D235" s="67">
        <v>0.65972222222222221</v>
      </c>
      <c r="E235" s="67">
        <v>0.6875</v>
      </c>
      <c r="F235" s="68" t="s">
        <v>169</v>
      </c>
      <c r="G235" s="68" t="s">
        <v>948</v>
      </c>
      <c r="H235" s="66" t="s">
        <v>197</v>
      </c>
      <c r="I235" s="66" t="s">
        <v>197</v>
      </c>
      <c r="J235" s="66" t="s">
        <v>37</v>
      </c>
      <c r="K235" s="66" t="s">
        <v>233</v>
      </c>
      <c r="L235" s="66" t="s">
        <v>343</v>
      </c>
      <c r="M235" s="68" t="s">
        <v>949</v>
      </c>
      <c r="N235" s="68" t="s">
        <v>264</v>
      </c>
      <c r="O235" s="68" t="s">
        <v>956</v>
      </c>
      <c r="P235" s="68" t="s">
        <v>957</v>
      </c>
      <c r="Q235" s="303">
        <f t="shared" si="36"/>
        <v>2</v>
      </c>
      <c r="R235" s="303">
        <f t="shared" si="37"/>
        <v>63</v>
      </c>
      <c r="S235" s="68">
        <v>0</v>
      </c>
      <c r="T235" s="68">
        <v>0</v>
      </c>
      <c r="U235" s="68">
        <v>2</v>
      </c>
      <c r="V235" s="68">
        <v>63</v>
      </c>
      <c r="W235" s="68">
        <v>67</v>
      </c>
      <c r="X235" s="68">
        <v>75</v>
      </c>
      <c r="Y235" s="68">
        <v>61</v>
      </c>
      <c r="Z235" s="68">
        <v>61</v>
      </c>
      <c r="AA235" s="68">
        <v>1</v>
      </c>
      <c r="AB235" s="300">
        <f t="shared" si="38"/>
        <v>46.512500000000003</v>
      </c>
      <c r="AC235" s="300">
        <f t="shared" si="39"/>
        <v>0.28019578313253013</v>
      </c>
      <c r="AD235" s="68" t="s">
        <v>48</v>
      </c>
      <c r="AE235" s="68" t="s">
        <v>48</v>
      </c>
      <c r="AF235" s="66" t="s">
        <v>317</v>
      </c>
      <c r="AG235" s="66" t="s">
        <v>317</v>
      </c>
      <c r="AH235" s="68" t="s">
        <v>958</v>
      </c>
      <c r="AI235" s="309"/>
      <c r="AJ235" s="309"/>
      <c r="AK235" s="68" t="s">
        <v>48</v>
      </c>
      <c r="AL235" s="68" t="s">
        <v>58</v>
      </c>
      <c r="AM235" s="299">
        <f t="shared" ca="1" si="35"/>
        <v>5.0833333333357587</v>
      </c>
      <c r="AN235" s="51"/>
      <c r="AO235" s="61" t="s">
        <v>347</v>
      </c>
      <c r="AP235" s="91" t="s">
        <v>949</v>
      </c>
      <c r="AQ235" s="57" t="s">
        <v>1330</v>
      </c>
      <c r="AR235" s="64">
        <v>44874.725694444445</v>
      </c>
      <c r="AS235" s="57" t="s">
        <v>173</v>
      </c>
      <c r="AT235" s="61" t="s">
        <v>225</v>
      </c>
      <c r="AU235" s="63">
        <v>0.72569444444444453</v>
      </c>
      <c r="AV235" s="61">
        <v>2</v>
      </c>
      <c r="AW235" s="61" t="s">
        <v>66</v>
      </c>
      <c r="AX235" s="52"/>
      <c r="AY235" s="52"/>
      <c r="AZ235" s="52"/>
      <c r="BA235" s="52"/>
    </row>
    <row r="236" spans="1:53" x14ac:dyDescent="0.25">
      <c r="A236" s="73">
        <v>94</v>
      </c>
      <c r="B236" s="72">
        <v>44869.642361111109</v>
      </c>
      <c r="C236" s="67">
        <v>0.64583333333333337</v>
      </c>
      <c r="D236" s="67">
        <v>0.65972222222222221</v>
      </c>
      <c r="E236" s="67">
        <v>0.6875</v>
      </c>
      <c r="F236" s="68" t="s">
        <v>169</v>
      </c>
      <c r="G236" s="68" t="s">
        <v>948</v>
      </c>
      <c r="H236" s="66" t="s">
        <v>197</v>
      </c>
      <c r="I236" s="66" t="s">
        <v>197</v>
      </c>
      <c r="J236" s="66" t="s">
        <v>37</v>
      </c>
      <c r="K236" s="66" t="s">
        <v>233</v>
      </c>
      <c r="L236" s="66" t="s">
        <v>343</v>
      </c>
      <c r="M236" s="68" t="s">
        <v>949</v>
      </c>
      <c r="N236" s="68" t="s">
        <v>264</v>
      </c>
      <c r="O236" s="68" t="s">
        <v>956</v>
      </c>
      <c r="P236" s="68" t="s">
        <v>957</v>
      </c>
      <c r="Q236" s="303">
        <f t="shared" si="36"/>
        <v>0</v>
      </c>
      <c r="R236" s="303">
        <f t="shared" si="37"/>
        <v>0</v>
      </c>
      <c r="S236" s="68">
        <v>0</v>
      </c>
      <c r="T236" s="68">
        <v>0</v>
      </c>
      <c r="U236" s="68">
        <v>0</v>
      </c>
      <c r="V236" s="68">
        <v>0</v>
      </c>
      <c r="W236" s="68">
        <v>0</v>
      </c>
      <c r="X236" s="68">
        <v>73</v>
      </c>
      <c r="Y236" s="68">
        <v>63</v>
      </c>
      <c r="Z236" s="68">
        <v>48</v>
      </c>
      <c r="AA236" s="68">
        <v>1</v>
      </c>
      <c r="AB236" s="300">
        <f t="shared" si="38"/>
        <v>36.792000000000002</v>
      </c>
      <c r="AC236" s="300">
        <f t="shared" si="39"/>
        <v>0.22163855421686748</v>
      </c>
      <c r="AD236" s="68">
        <v>0</v>
      </c>
      <c r="AE236" s="68">
        <v>0</v>
      </c>
      <c r="AF236" s="66" t="s">
        <v>317</v>
      </c>
      <c r="AG236" s="66" t="s">
        <v>317</v>
      </c>
      <c r="AH236" s="68" t="s">
        <v>958</v>
      </c>
      <c r="AI236" s="309"/>
      <c r="AJ236" s="309"/>
      <c r="AK236" s="68" t="s">
        <v>41</v>
      </c>
      <c r="AL236" s="68" t="s">
        <v>58</v>
      </c>
      <c r="AM236" s="299">
        <f t="shared" ca="1" si="35"/>
        <v>5.0833333333357587</v>
      </c>
      <c r="AN236" s="51"/>
      <c r="AO236" s="61" t="s">
        <v>347</v>
      </c>
      <c r="AP236" s="91" t="s">
        <v>949</v>
      </c>
      <c r="AQ236" s="57" t="s">
        <v>1330</v>
      </c>
      <c r="AR236" s="64">
        <v>44874.725694444445</v>
      </c>
      <c r="AS236" s="57" t="s">
        <v>173</v>
      </c>
      <c r="AT236" s="61" t="s">
        <v>225</v>
      </c>
      <c r="AU236" s="63">
        <v>0.72569444444444453</v>
      </c>
      <c r="AV236" s="61">
        <v>2</v>
      </c>
      <c r="AW236" s="61" t="s">
        <v>66</v>
      </c>
      <c r="AX236" s="52"/>
      <c r="AY236" s="52"/>
      <c r="AZ236" s="52"/>
      <c r="BA236" s="52"/>
    </row>
    <row r="237" spans="1:53" x14ac:dyDescent="0.25">
      <c r="A237" s="73">
        <v>95</v>
      </c>
      <c r="B237" s="72">
        <v>44869.642361111109</v>
      </c>
      <c r="C237" s="67">
        <v>0.64583333333333337</v>
      </c>
      <c r="D237" s="67">
        <v>0.65972222222222221</v>
      </c>
      <c r="E237" s="67">
        <v>0.6875</v>
      </c>
      <c r="F237" s="68" t="s">
        <v>169</v>
      </c>
      <c r="G237" s="68" t="s">
        <v>948</v>
      </c>
      <c r="H237" s="66" t="s">
        <v>197</v>
      </c>
      <c r="I237" s="66" t="s">
        <v>197</v>
      </c>
      <c r="J237" s="66" t="s">
        <v>37</v>
      </c>
      <c r="K237" s="66" t="s">
        <v>233</v>
      </c>
      <c r="L237" s="66" t="s">
        <v>343</v>
      </c>
      <c r="M237" s="68" t="s">
        <v>949</v>
      </c>
      <c r="N237" s="68" t="s">
        <v>264</v>
      </c>
      <c r="O237" s="68" t="s">
        <v>959</v>
      </c>
      <c r="P237" s="68" t="s">
        <v>960</v>
      </c>
      <c r="Q237" s="303">
        <f t="shared" si="36"/>
        <v>5</v>
      </c>
      <c r="R237" s="303">
        <f t="shared" si="37"/>
        <v>466</v>
      </c>
      <c r="S237" s="68">
        <v>0</v>
      </c>
      <c r="T237" s="68">
        <v>0</v>
      </c>
      <c r="U237" s="68">
        <v>5</v>
      </c>
      <c r="V237" s="68">
        <v>466</v>
      </c>
      <c r="W237" s="68">
        <v>464</v>
      </c>
      <c r="X237" s="68">
        <v>110</v>
      </c>
      <c r="Y237" s="68">
        <v>110</v>
      </c>
      <c r="Z237" s="68">
        <v>80</v>
      </c>
      <c r="AA237" s="68">
        <v>1</v>
      </c>
      <c r="AB237" s="300">
        <f t="shared" si="38"/>
        <v>161.33333333333334</v>
      </c>
      <c r="AC237" s="300">
        <f t="shared" si="39"/>
        <v>0.97188755020080331</v>
      </c>
      <c r="AD237" s="68" t="s">
        <v>48</v>
      </c>
      <c r="AE237" s="68" t="s">
        <v>48</v>
      </c>
      <c r="AF237" s="66" t="s">
        <v>317</v>
      </c>
      <c r="AG237" s="66" t="s">
        <v>317</v>
      </c>
      <c r="AH237" s="68" t="s">
        <v>961</v>
      </c>
      <c r="AI237" s="309"/>
      <c r="AJ237" s="309"/>
      <c r="AK237" s="68" t="s">
        <v>37</v>
      </c>
      <c r="AL237" s="68" t="s">
        <v>58</v>
      </c>
      <c r="AM237" s="299">
        <f t="shared" ca="1" si="35"/>
        <v>5.0833333333357587</v>
      </c>
      <c r="AN237" s="51"/>
      <c r="AO237" s="61" t="s">
        <v>347</v>
      </c>
      <c r="AP237" s="91" t="s">
        <v>949</v>
      </c>
      <c r="AQ237" s="57" t="s">
        <v>1330</v>
      </c>
      <c r="AR237" s="64">
        <v>44874.725694444445</v>
      </c>
      <c r="AS237" s="57" t="s">
        <v>173</v>
      </c>
      <c r="AT237" s="61" t="s">
        <v>225</v>
      </c>
      <c r="AU237" s="63">
        <v>0.72569444444444453</v>
      </c>
      <c r="AV237" s="61">
        <v>2</v>
      </c>
      <c r="AW237" s="61" t="s">
        <v>66</v>
      </c>
      <c r="AX237" s="52"/>
      <c r="AY237" s="52"/>
      <c r="AZ237" s="52"/>
      <c r="BA237" s="52"/>
    </row>
    <row r="238" spans="1:53" x14ac:dyDescent="0.25">
      <c r="A238" s="73">
        <v>95</v>
      </c>
      <c r="B238" s="72">
        <v>44869.642361111109</v>
      </c>
      <c r="C238" s="67">
        <v>0.64583333333333337</v>
      </c>
      <c r="D238" s="67">
        <v>0.65972222222222221</v>
      </c>
      <c r="E238" s="67">
        <v>0.6875</v>
      </c>
      <c r="F238" s="68" t="s">
        <v>169</v>
      </c>
      <c r="G238" s="68" t="s">
        <v>948</v>
      </c>
      <c r="H238" s="66" t="s">
        <v>197</v>
      </c>
      <c r="I238" s="66" t="s">
        <v>197</v>
      </c>
      <c r="J238" s="66" t="s">
        <v>37</v>
      </c>
      <c r="K238" s="66" t="s">
        <v>233</v>
      </c>
      <c r="L238" s="66" t="s">
        <v>343</v>
      </c>
      <c r="M238" s="68" t="s">
        <v>949</v>
      </c>
      <c r="N238" s="68" t="s">
        <v>264</v>
      </c>
      <c r="O238" s="68" t="s">
        <v>959</v>
      </c>
      <c r="P238" s="68" t="s">
        <v>960</v>
      </c>
      <c r="Q238" s="303">
        <f t="shared" si="36"/>
        <v>0</v>
      </c>
      <c r="R238" s="303">
        <f t="shared" si="37"/>
        <v>0</v>
      </c>
      <c r="S238" s="68">
        <v>0</v>
      </c>
      <c r="T238" s="68">
        <v>0</v>
      </c>
      <c r="U238" s="68">
        <v>0</v>
      </c>
      <c r="V238" s="68">
        <v>0</v>
      </c>
      <c r="W238" s="68">
        <v>0</v>
      </c>
      <c r="X238" s="68">
        <v>90</v>
      </c>
      <c r="Y238" s="68">
        <v>66</v>
      </c>
      <c r="Z238" s="68">
        <v>92</v>
      </c>
      <c r="AA238" s="68">
        <v>1</v>
      </c>
      <c r="AB238" s="300">
        <f t="shared" si="38"/>
        <v>91.08</v>
      </c>
      <c r="AC238" s="300">
        <f t="shared" si="39"/>
        <v>0.54867469879518072</v>
      </c>
      <c r="AD238" s="68">
        <v>0</v>
      </c>
      <c r="AE238" s="68">
        <v>0</v>
      </c>
      <c r="AF238" s="66" t="s">
        <v>317</v>
      </c>
      <c r="AG238" s="66" t="s">
        <v>317</v>
      </c>
      <c r="AH238" s="68" t="s">
        <v>961</v>
      </c>
      <c r="AI238" s="309"/>
      <c r="AJ238" s="309"/>
      <c r="AK238" s="68" t="s">
        <v>37</v>
      </c>
      <c r="AL238" s="68" t="s">
        <v>58</v>
      </c>
      <c r="AM238" s="299">
        <f t="shared" ca="1" si="35"/>
        <v>5.0833333333357587</v>
      </c>
      <c r="AN238" s="51"/>
      <c r="AO238" s="61" t="s">
        <v>347</v>
      </c>
      <c r="AP238" s="91" t="s">
        <v>949</v>
      </c>
      <c r="AQ238" s="57" t="s">
        <v>1330</v>
      </c>
      <c r="AR238" s="64">
        <v>44874.725694444445</v>
      </c>
      <c r="AS238" s="57" t="s">
        <v>173</v>
      </c>
      <c r="AT238" s="61" t="s">
        <v>225</v>
      </c>
      <c r="AU238" s="63">
        <v>0.72569444444444453</v>
      </c>
      <c r="AV238" s="61">
        <v>2</v>
      </c>
      <c r="AW238" s="61" t="s">
        <v>66</v>
      </c>
      <c r="AX238" s="52"/>
      <c r="AY238" s="52"/>
      <c r="AZ238" s="52"/>
      <c r="BA238" s="52"/>
    </row>
    <row r="239" spans="1:53" x14ac:dyDescent="0.25">
      <c r="A239" s="73">
        <v>95</v>
      </c>
      <c r="B239" s="72">
        <v>44869.642361111109</v>
      </c>
      <c r="C239" s="67">
        <v>0.64583333333333337</v>
      </c>
      <c r="D239" s="67">
        <v>0.65972222222222221</v>
      </c>
      <c r="E239" s="67">
        <v>0.6875</v>
      </c>
      <c r="F239" s="68" t="s">
        <v>169</v>
      </c>
      <c r="G239" s="68" t="s">
        <v>948</v>
      </c>
      <c r="H239" s="66" t="s">
        <v>197</v>
      </c>
      <c r="I239" s="66" t="s">
        <v>197</v>
      </c>
      <c r="J239" s="66" t="s">
        <v>37</v>
      </c>
      <c r="K239" s="66" t="s">
        <v>233</v>
      </c>
      <c r="L239" s="66" t="s">
        <v>343</v>
      </c>
      <c r="M239" s="68" t="s">
        <v>949</v>
      </c>
      <c r="N239" s="68" t="s">
        <v>264</v>
      </c>
      <c r="O239" s="68" t="s">
        <v>959</v>
      </c>
      <c r="P239" s="68" t="s">
        <v>960</v>
      </c>
      <c r="Q239" s="303">
        <f t="shared" si="36"/>
        <v>0</v>
      </c>
      <c r="R239" s="303">
        <f t="shared" si="37"/>
        <v>0</v>
      </c>
      <c r="S239" s="68">
        <v>0</v>
      </c>
      <c r="T239" s="68">
        <v>0</v>
      </c>
      <c r="U239" s="68">
        <v>0</v>
      </c>
      <c r="V239" s="68">
        <v>0</v>
      </c>
      <c r="W239" s="68">
        <v>0</v>
      </c>
      <c r="X239" s="68">
        <v>102</v>
      </c>
      <c r="Y239" s="68">
        <v>65</v>
      </c>
      <c r="Z239" s="68">
        <v>104</v>
      </c>
      <c r="AA239" s="68">
        <v>1</v>
      </c>
      <c r="AB239" s="300">
        <f t="shared" si="38"/>
        <v>114.92</v>
      </c>
      <c r="AC239" s="300">
        <f t="shared" si="39"/>
        <v>0.69228915662650603</v>
      </c>
      <c r="AD239" s="68">
        <v>0</v>
      </c>
      <c r="AE239" s="68">
        <v>0</v>
      </c>
      <c r="AF239" s="66" t="s">
        <v>317</v>
      </c>
      <c r="AG239" s="66" t="s">
        <v>317</v>
      </c>
      <c r="AH239" s="68" t="s">
        <v>961</v>
      </c>
      <c r="AI239" s="309"/>
      <c r="AJ239" s="309"/>
      <c r="AK239" s="68" t="s">
        <v>41</v>
      </c>
      <c r="AL239" s="68" t="s">
        <v>58</v>
      </c>
      <c r="AM239" s="299">
        <f t="shared" ca="1" si="35"/>
        <v>5.0833333333357587</v>
      </c>
      <c r="AN239" s="51"/>
      <c r="AO239" s="61" t="s">
        <v>347</v>
      </c>
      <c r="AP239" s="91" t="s">
        <v>949</v>
      </c>
      <c r="AQ239" s="57" t="s">
        <v>1330</v>
      </c>
      <c r="AR239" s="64">
        <v>44874.725694444445</v>
      </c>
      <c r="AS239" s="57" t="s">
        <v>173</v>
      </c>
      <c r="AT239" s="61" t="s">
        <v>225</v>
      </c>
      <c r="AU239" s="63">
        <v>0.72569444444444453</v>
      </c>
      <c r="AV239" s="61">
        <v>2</v>
      </c>
      <c r="AW239" s="61" t="s">
        <v>66</v>
      </c>
      <c r="AX239" s="52"/>
      <c r="AY239" s="52"/>
      <c r="AZ239" s="52"/>
      <c r="BA239" s="52"/>
    </row>
    <row r="240" spans="1:53" x14ac:dyDescent="0.25">
      <c r="A240" s="73">
        <v>95</v>
      </c>
      <c r="B240" s="72">
        <v>44869.642361111109</v>
      </c>
      <c r="C240" s="67">
        <v>0.64583333333333337</v>
      </c>
      <c r="D240" s="67">
        <v>0.65972222222222221</v>
      </c>
      <c r="E240" s="67">
        <v>0.6875</v>
      </c>
      <c r="F240" s="68" t="s">
        <v>169</v>
      </c>
      <c r="G240" s="68" t="s">
        <v>948</v>
      </c>
      <c r="H240" s="66" t="s">
        <v>197</v>
      </c>
      <c r="I240" s="66" t="s">
        <v>197</v>
      </c>
      <c r="J240" s="66" t="s">
        <v>37</v>
      </c>
      <c r="K240" s="66" t="s">
        <v>233</v>
      </c>
      <c r="L240" s="66" t="s">
        <v>343</v>
      </c>
      <c r="M240" s="68" t="s">
        <v>949</v>
      </c>
      <c r="N240" s="68" t="s">
        <v>264</v>
      </c>
      <c r="O240" s="68" t="s">
        <v>959</v>
      </c>
      <c r="P240" s="68" t="s">
        <v>960</v>
      </c>
      <c r="Q240" s="303">
        <f t="shared" si="36"/>
        <v>0</v>
      </c>
      <c r="R240" s="303">
        <f t="shared" si="37"/>
        <v>0</v>
      </c>
      <c r="S240" s="68">
        <v>0</v>
      </c>
      <c r="T240" s="68">
        <v>0</v>
      </c>
      <c r="U240" s="68">
        <v>0</v>
      </c>
      <c r="V240" s="68">
        <v>0</v>
      </c>
      <c r="W240" s="68">
        <v>0</v>
      </c>
      <c r="X240" s="68">
        <v>49</v>
      </c>
      <c r="Y240" s="68">
        <v>36</v>
      </c>
      <c r="Z240" s="68">
        <v>37</v>
      </c>
      <c r="AA240" s="68">
        <v>1</v>
      </c>
      <c r="AB240" s="300">
        <f t="shared" si="38"/>
        <v>10.878</v>
      </c>
      <c r="AC240" s="300">
        <f t="shared" si="39"/>
        <v>6.5530120481927717E-2</v>
      </c>
      <c r="AD240" s="68">
        <v>0</v>
      </c>
      <c r="AE240" s="68">
        <v>0</v>
      </c>
      <c r="AF240" s="66" t="s">
        <v>317</v>
      </c>
      <c r="AG240" s="66" t="s">
        <v>317</v>
      </c>
      <c r="AH240" s="68" t="s">
        <v>961</v>
      </c>
      <c r="AI240" s="309"/>
      <c r="AJ240" s="309"/>
      <c r="AK240" s="68" t="s">
        <v>48</v>
      </c>
      <c r="AL240" s="68" t="s">
        <v>58</v>
      </c>
      <c r="AM240" s="299">
        <f t="shared" ca="1" si="35"/>
        <v>5.0833333333357587</v>
      </c>
      <c r="AN240" s="51"/>
      <c r="AO240" s="61" t="s">
        <v>347</v>
      </c>
      <c r="AP240" s="91" t="s">
        <v>949</v>
      </c>
      <c r="AQ240" s="57" t="s">
        <v>1330</v>
      </c>
      <c r="AR240" s="64">
        <v>44874.725694444445</v>
      </c>
      <c r="AS240" s="57" t="s">
        <v>173</v>
      </c>
      <c r="AT240" s="61" t="s">
        <v>225</v>
      </c>
      <c r="AU240" s="63">
        <v>0.72569444444444453</v>
      </c>
      <c r="AV240" s="61">
        <v>2</v>
      </c>
      <c r="AW240" s="61" t="s">
        <v>66</v>
      </c>
      <c r="AX240" s="52"/>
      <c r="AY240" s="52"/>
      <c r="AZ240" s="52"/>
      <c r="BA240" s="52"/>
    </row>
    <row r="241" spans="1:53" x14ac:dyDescent="0.25">
      <c r="A241" s="73">
        <v>95</v>
      </c>
      <c r="B241" s="72">
        <v>44869.642361111109</v>
      </c>
      <c r="C241" s="67">
        <v>0.64583333333333337</v>
      </c>
      <c r="D241" s="67">
        <v>0.65972222222222221</v>
      </c>
      <c r="E241" s="67">
        <v>0.6875</v>
      </c>
      <c r="F241" s="68" t="s">
        <v>169</v>
      </c>
      <c r="G241" s="68" t="s">
        <v>948</v>
      </c>
      <c r="H241" s="66" t="s">
        <v>197</v>
      </c>
      <c r="I241" s="66" t="s">
        <v>197</v>
      </c>
      <c r="J241" s="66" t="s">
        <v>37</v>
      </c>
      <c r="K241" s="66" t="s">
        <v>233</v>
      </c>
      <c r="L241" s="66" t="s">
        <v>343</v>
      </c>
      <c r="M241" s="68" t="s">
        <v>949</v>
      </c>
      <c r="N241" s="68" t="s">
        <v>264</v>
      </c>
      <c r="O241" s="68" t="s">
        <v>959</v>
      </c>
      <c r="P241" s="68" t="s">
        <v>960</v>
      </c>
      <c r="Q241" s="303">
        <f t="shared" si="36"/>
        <v>0</v>
      </c>
      <c r="R241" s="303">
        <f t="shared" si="37"/>
        <v>0</v>
      </c>
      <c r="S241" s="68">
        <v>0</v>
      </c>
      <c r="T241" s="68">
        <v>0</v>
      </c>
      <c r="U241" s="68">
        <v>0</v>
      </c>
      <c r="V241" s="68">
        <v>0</v>
      </c>
      <c r="W241" s="68">
        <v>0</v>
      </c>
      <c r="X241" s="68">
        <v>70</v>
      </c>
      <c r="Y241" s="68">
        <v>69</v>
      </c>
      <c r="Z241" s="68">
        <v>38</v>
      </c>
      <c r="AA241" s="68">
        <v>1</v>
      </c>
      <c r="AB241" s="300">
        <f t="shared" si="38"/>
        <v>30.59</v>
      </c>
      <c r="AC241" s="300">
        <f t="shared" si="39"/>
        <v>0.18427710843373493</v>
      </c>
      <c r="AD241" s="68">
        <v>0</v>
      </c>
      <c r="AE241" s="68">
        <v>0</v>
      </c>
      <c r="AF241" s="66" t="s">
        <v>317</v>
      </c>
      <c r="AG241" s="66" t="s">
        <v>317</v>
      </c>
      <c r="AH241" s="68" t="s">
        <v>961</v>
      </c>
      <c r="AI241" s="309"/>
      <c r="AJ241" s="309"/>
      <c r="AK241" s="68" t="s">
        <v>48</v>
      </c>
      <c r="AL241" s="68" t="s">
        <v>58</v>
      </c>
      <c r="AM241" s="299">
        <f t="shared" ca="1" si="35"/>
        <v>5.0833333333357587</v>
      </c>
      <c r="AN241" s="51"/>
      <c r="AO241" s="61" t="s">
        <v>347</v>
      </c>
      <c r="AP241" s="91" t="s">
        <v>949</v>
      </c>
      <c r="AQ241" s="57" t="s">
        <v>1330</v>
      </c>
      <c r="AR241" s="64">
        <v>44874.725694444445</v>
      </c>
      <c r="AS241" s="57" t="s">
        <v>173</v>
      </c>
      <c r="AT241" s="61" t="s">
        <v>225</v>
      </c>
      <c r="AU241" s="63">
        <v>0.72569444444444453</v>
      </c>
      <c r="AV241" s="61">
        <v>2</v>
      </c>
      <c r="AW241" s="61" t="s">
        <v>66</v>
      </c>
      <c r="AX241" s="52"/>
      <c r="AY241" s="52"/>
      <c r="AZ241" s="52"/>
      <c r="BA241" s="52"/>
    </row>
    <row r="242" spans="1:53" x14ac:dyDescent="0.25">
      <c r="A242" s="73">
        <v>96</v>
      </c>
      <c r="B242" s="72">
        <v>44869.642361111109</v>
      </c>
      <c r="C242" s="67">
        <v>0.64583333333333337</v>
      </c>
      <c r="D242" s="67">
        <v>0.65972222222222221</v>
      </c>
      <c r="E242" s="67">
        <v>0.6875</v>
      </c>
      <c r="F242" s="68" t="s">
        <v>169</v>
      </c>
      <c r="G242" s="68" t="s">
        <v>948</v>
      </c>
      <c r="H242" s="66" t="s">
        <v>197</v>
      </c>
      <c r="I242" s="66" t="s">
        <v>197</v>
      </c>
      <c r="J242" s="66" t="s">
        <v>37</v>
      </c>
      <c r="K242" s="66" t="s">
        <v>233</v>
      </c>
      <c r="L242" s="66" t="s">
        <v>343</v>
      </c>
      <c r="M242" s="68" t="s">
        <v>949</v>
      </c>
      <c r="N242" s="68" t="s">
        <v>264</v>
      </c>
      <c r="O242" s="68" t="s">
        <v>962</v>
      </c>
      <c r="P242" s="68" t="s">
        <v>963</v>
      </c>
      <c r="Q242" s="303">
        <f t="shared" si="36"/>
        <v>4</v>
      </c>
      <c r="R242" s="303">
        <f t="shared" si="37"/>
        <v>88</v>
      </c>
      <c r="S242" s="68">
        <v>4</v>
      </c>
      <c r="T242" s="68">
        <v>88</v>
      </c>
      <c r="U242" s="68">
        <v>0</v>
      </c>
      <c r="V242" s="68">
        <v>0</v>
      </c>
      <c r="W242" s="68">
        <v>89</v>
      </c>
      <c r="X242" s="68">
        <v>85</v>
      </c>
      <c r="Y242" s="68">
        <v>75</v>
      </c>
      <c r="Z242" s="68">
        <v>23</v>
      </c>
      <c r="AA242" s="68">
        <v>1</v>
      </c>
      <c r="AB242" s="300">
        <f t="shared" si="38"/>
        <v>24.4375</v>
      </c>
      <c r="AC242" s="300">
        <f t="shared" si="39"/>
        <v>0.14721385542168675</v>
      </c>
      <c r="AD242" s="68" t="s">
        <v>48</v>
      </c>
      <c r="AE242" s="68" t="s">
        <v>48</v>
      </c>
      <c r="AF242" s="66" t="s">
        <v>317</v>
      </c>
      <c r="AG242" s="66" t="s">
        <v>317</v>
      </c>
      <c r="AH242" s="68" t="s">
        <v>964</v>
      </c>
      <c r="AI242" s="309"/>
      <c r="AJ242" s="309"/>
      <c r="AK242" s="68" t="s">
        <v>48</v>
      </c>
      <c r="AL242" s="68" t="s">
        <v>58</v>
      </c>
      <c r="AM242" s="299">
        <f t="shared" ca="1" si="35"/>
        <v>5.0833333333357587</v>
      </c>
      <c r="AN242" s="51"/>
      <c r="AO242" s="61" t="s">
        <v>347</v>
      </c>
      <c r="AP242" s="91" t="s">
        <v>949</v>
      </c>
      <c r="AQ242" s="57" t="s">
        <v>1330</v>
      </c>
      <c r="AR242" s="64">
        <v>44874.725694444445</v>
      </c>
      <c r="AS242" s="57" t="s">
        <v>173</v>
      </c>
      <c r="AT242" s="61" t="s">
        <v>225</v>
      </c>
      <c r="AU242" s="63">
        <v>0.72569444444444453</v>
      </c>
      <c r="AV242" s="61">
        <v>2</v>
      </c>
      <c r="AW242" s="61" t="s">
        <v>66</v>
      </c>
      <c r="AX242" s="52"/>
      <c r="AY242" s="52"/>
      <c r="AZ242" s="52"/>
      <c r="BA242" s="52"/>
    </row>
    <row r="243" spans="1:53" x14ac:dyDescent="0.25">
      <c r="A243" s="73">
        <v>96</v>
      </c>
      <c r="B243" s="72">
        <v>44869.642361111109</v>
      </c>
      <c r="C243" s="67">
        <v>0.64583333333333337</v>
      </c>
      <c r="D243" s="67">
        <v>0.65972222222222221</v>
      </c>
      <c r="E243" s="67">
        <v>0.6875</v>
      </c>
      <c r="F243" s="68" t="s">
        <v>169</v>
      </c>
      <c r="G243" s="68" t="s">
        <v>948</v>
      </c>
      <c r="H243" s="66" t="s">
        <v>197</v>
      </c>
      <c r="I243" s="66" t="s">
        <v>197</v>
      </c>
      <c r="J243" s="66" t="s">
        <v>37</v>
      </c>
      <c r="K243" s="66" t="s">
        <v>233</v>
      </c>
      <c r="L243" s="66" t="s">
        <v>343</v>
      </c>
      <c r="M243" s="68" t="s">
        <v>949</v>
      </c>
      <c r="N243" s="68" t="s">
        <v>264</v>
      </c>
      <c r="O243" s="68" t="s">
        <v>962</v>
      </c>
      <c r="P243" s="68" t="s">
        <v>963</v>
      </c>
      <c r="Q243" s="303">
        <f t="shared" si="36"/>
        <v>0</v>
      </c>
      <c r="R243" s="303">
        <f t="shared" si="37"/>
        <v>0</v>
      </c>
      <c r="S243" s="68">
        <v>0</v>
      </c>
      <c r="T243" s="68">
        <v>0</v>
      </c>
      <c r="U243" s="68">
        <v>0</v>
      </c>
      <c r="V243" s="68">
        <v>0</v>
      </c>
      <c r="W243" s="68">
        <v>0</v>
      </c>
      <c r="X243" s="68">
        <v>149</v>
      </c>
      <c r="Y243" s="68">
        <v>66</v>
      </c>
      <c r="Z243" s="68">
        <v>20</v>
      </c>
      <c r="AA243" s="68">
        <v>1</v>
      </c>
      <c r="AB243" s="300">
        <f t="shared" si="38"/>
        <v>32.78</v>
      </c>
      <c r="AC243" s="300">
        <f t="shared" si="39"/>
        <v>0.19746987951807229</v>
      </c>
      <c r="AD243" s="68">
        <v>0</v>
      </c>
      <c r="AE243" s="68">
        <v>0</v>
      </c>
      <c r="AF243" s="66" t="s">
        <v>317</v>
      </c>
      <c r="AG243" s="66" t="s">
        <v>317</v>
      </c>
      <c r="AH243" s="68" t="s">
        <v>964</v>
      </c>
      <c r="AI243" s="309"/>
      <c r="AJ243" s="309"/>
      <c r="AK243" s="68" t="s">
        <v>48</v>
      </c>
      <c r="AL243" s="68" t="s">
        <v>58</v>
      </c>
      <c r="AM243" s="299">
        <f t="shared" ca="1" si="35"/>
        <v>5.0833333333357587</v>
      </c>
      <c r="AN243" s="51"/>
      <c r="AO243" s="61" t="s">
        <v>347</v>
      </c>
      <c r="AP243" s="91" t="s">
        <v>949</v>
      </c>
      <c r="AQ243" s="57" t="s">
        <v>1330</v>
      </c>
      <c r="AR243" s="64">
        <v>44874.725694444445</v>
      </c>
      <c r="AS243" s="57" t="s">
        <v>173</v>
      </c>
      <c r="AT243" s="61" t="s">
        <v>225</v>
      </c>
      <c r="AU243" s="63">
        <v>0.72569444444444453</v>
      </c>
      <c r="AV243" s="61">
        <v>2</v>
      </c>
      <c r="AW243" s="61" t="s">
        <v>66</v>
      </c>
      <c r="AX243" s="52"/>
      <c r="AY243" s="52"/>
      <c r="AZ243" s="52"/>
      <c r="BA243" s="52"/>
    </row>
    <row r="244" spans="1:53" x14ac:dyDescent="0.25">
      <c r="A244" s="73">
        <v>96</v>
      </c>
      <c r="B244" s="72">
        <v>44869.642361111109</v>
      </c>
      <c r="C244" s="67">
        <v>0.64583333333333337</v>
      </c>
      <c r="D244" s="67">
        <v>0.65972222222222221</v>
      </c>
      <c r="E244" s="67">
        <v>0.6875</v>
      </c>
      <c r="F244" s="68" t="s">
        <v>169</v>
      </c>
      <c r="G244" s="68" t="s">
        <v>948</v>
      </c>
      <c r="H244" s="66" t="s">
        <v>197</v>
      </c>
      <c r="I244" s="66" t="s">
        <v>197</v>
      </c>
      <c r="J244" s="66" t="s">
        <v>37</v>
      </c>
      <c r="K244" s="66" t="s">
        <v>233</v>
      </c>
      <c r="L244" s="66" t="s">
        <v>343</v>
      </c>
      <c r="M244" s="68" t="s">
        <v>949</v>
      </c>
      <c r="N244" s="68" t="s">
        <v>264</v>
      </c>
      <c r="O244" s="68" t="s">
        <v>962</v>
      </c>
      <c r="P244" s="68" t="s">
        <v>963</v>
      </c>
      <c r="Q244" s="303">
        <f t="shared" si="36"/>
        <v>0</v>
      </c>
      <c r="R244" s="303">
        <f t="shared" si="37"/>
        <v>0</v>
      </c>
      <c r="S244" s="68">
        <v>0</v>
      </c>
      <c r="T244" s="68">
        <v>0</v>
      </c>
      <c r="U244" s="68">
        <v>0</v>
      </c>
      <c r="V244" s="68">
        <v>0</v>
      </c>
      <c r="W244" s="68">
        <v>0</v>
      </c>
      <c r="X244" s="68">
        <v>77</v>
      </c>
      <c r="Y244" s="68">
        <v>61</v>
      </c>
      <c r="Z244" s="68">
        <v>61</v>
      </c>
      <c r="AA244" s="68">
        <v>1</v>
      </c>
      <c r="AB244" s="300">
        <f t="shared" si="38"/>
        <v>47.752833333333335</v>
      </c>
      <c r="AC244" s="300">
        <f t="shared" si="39"/>
        <v>0.28766767068273091</v>
      </c>
      <c r="AD244" s="68">
        <v>0</v>
      </c>
      <c r="AE244" s="68">
        <v>0</v>
      </c>
      <c r="AF244" s="66" t="s">
        <v>317</v>
      </c>
      <c r="AG244" s="66" t="s">
        <v>317</v>
      </c>
      <c r="AH244" s="68" t="s">
        <v>964</v>
      </c>
      <c r="AI244" s="309"/>
      <c r="AJ244" s="309"/>
      <c r="AK244" s="68" t="s">
        <v>48</v>
      </c>
      <c r="AL244" s="68" t="s">
        <v>58</v>
      </c>
      <c r="AM244" s="299">
        <f t="shared" ca="1" si="35"/>
        <v>5.0833333333357587</v>
      </c>
      <c r="AN244" s="51"/>
      <c r="AO244" s="61" t="s">
        <v>347</v>
      </c>
      <c r="AP244" s="91" t="s">
        <v>949</v>
      </c>
      <c r="AQ244" s="57" t="s">
        <v>1330</v>
      </c>
      <c r="AR244" s="64">
        <v>44874.725694444445</v>
      </c>
      <c r="AS244" s="57" t="s">
        <v>173</v>
      </c>
      <c r="AT244" s="61" t="s">
        <v>225</v>
      </c>
      <c r="AU244" s="63">
        <v>0.72569444444444453</v>
      </c>
      <c r="AV244" s="61">
        <v>2</v>
      </c>
      <c r="AW244" s="61" t="s">
        <v>66</v>
      </c>
      <c r="AX244" s="52"/>
      <c r="AY244" s="52"/>
      <c r="AZ244" s="52"/>
      <c r="BA244" s="52"/>
    </row>
    <row r="245" spans="1:53" x14ac:dyDescent="0.25">
      <c r="A245" s="73">
        <v>96</v>
      </c>
      <c r="B245" s="72">
        <v>44869.642361111109</v>
      </c>
      <c r="C245" s="67">
        <v>0.64583333333333337</v>
      </c>
      <c r="D245" s="67">
        <v>0.65972222222222221</v>
      </c>
      <c r="E245" s="67">
        <v>0.6875</v>
      </c>
      <c r="F245" s="68" t="s">
        <v>169</v>
      </c>
      <c r="G245" s="68" t="s">
        <v>948</v>
      </c>
      <c r="H245" s="66" t="s">
        <v>197</v>
      </c>
      <c r="I245" s="66" t="s">
        <v>197</v>
      </c>
      <c r="J245" s="66" t="s">
        <v>37</v>
      </c>
      <c r="K245" s="66" t="s">
        <v>233</v>
      </c>
      <c r="L245" s="66" t="s">
        <v>343</v>
      </c>
      <c r="M245" s="68" t="s">
        <v>949</v>
      </c>
      <c r="N245" s="68" t="s">
        <v>264</v>
      </c>
      <c r="O245" s="68" t="s">
        <v>962</v>
      </c>
      <c r="P245" s="68" t="s">
        <v>963</v>
      </c>
      <c r="Q245" s="303">
        <f t="shared" si="36"/>
        <v>0</v>
      </c>
      <c r="R245" s="303">
        <f t="shared" si="37"/>
        <v>0</v>
      </c>
      <c r="S245" s="68">
        <v>0</v>
      </c>
      <c r="T245" s="68">
        <v>0</v>
      </c>
      <c r="U245" s="68">
        <v>0</v>
      </c>
      <c r="V245" s="68">
        <v>0</v>
      </c>
      <c r="W245" s="68">
        <v>0</v>
      </c>
      <c r="X245" s="68">
        <v>77</v>
      </c>
      <c r="Y245" s="68">
        <v>60</v>
      </c>
      <c r="Z245" s="68">
        <v>63</v>
      </c>
      <c r="AA245" s="68">
        <v>1</v>
      </c>
      <c r="AB245" s="300">
        <f t="shared" si="38"/>
        <v>48.51</v>
      </c>
      <c r="AC245" s="300">
        <f t="shared" si="39"/>
        <v>0.29222891566265058</v>
      </c>
      <c r="AD245" s="68">
        <v>0</v>
      </c>
      <c r="AE245" s="68">
        <v>0</v>
      </c>
      <c r="AF245" s="66" t="s">
        <v>317</v>
      </c>
      <c r="AG245" s="66" t="s">
        <v>317</v>
      </c>
      <c r="AH245" s="68" t="s">
        <v>964</v>
      </c>
      <c r="AI245" s="309"/>
      <c r="AJ245" s="309"/>
      <c r="AK245" s="68" t="s">
        <v>48</v>
      </c>
      <c r="AL245" s="68" t="s">
        <v>58</v>
      </c>
      <c r="AM245" s="299">
        <f t="shared" ca="1" si="35"/>
        <v>5.0833333333357587</v>
      </c>
      <c r="AN245" s="51"/>
      <c r="AO245" s="61" t="s">
        <v>347</v>
      </c>
      <c r="AP245" s="91" t="s">
        <v>949</v>
      </c>
      <c r="AQ245" s="57" t="s">
        <v>1330</v>
      </c>
      <c r="AR245" s="64">
        <v>44874.725694444445</v>
      </c>
      <c r="AS245" s="57" t="s">
        <v>173</v>
      </c>
      <c r="AT245" s="61" t="s">
        <v>225</v>
      </c>
      <c r="AU245" s="63">
        <v>0.72569444444444453</v>
      </c>
      <c r="AV245" s="61">
        <v>2</v>
      </c>
      <c r="AW245" s="61" t="s">
        <v>66</v>
      </c>
      <c r="AX245" s="52"/>
      <c r="AY245" s="52"/>
      <c r="AZ245" s="52"/>
      <c r="BA245" s="52"/>
    </row>
    <row r="246" spans="1:53" x14ac:dyDescent="0.25">
      <c r="A246" s="73">
        <v>97</v>
      </c>
      <c r="B246" s="72">
        <v>44869.642361111109</v>
      </c>
      <c r="C246" s="67">
        <v>0.64583333333333337</v>
      </c>
      <c r="D246" s="67">
        <v>0.65972222222222221</v>
      </c>
      <c r="E246" s="67">
        <v>0.6875</v>
      </c>
      <c r="F246" s="68" t="s">
        <v>169</v>
      </c>
      <c r="G246" s="68" t="s">
        <v>948</v>
      </c>
      <c r="H246" s="66" t="s">
        <v>197</v>
      </c>
      <c r="I246" s="66" t="s">
        <v>197</v>
      </c>
      <c r="J246" s="66" t="s">
        <v>37</v>
      </c>
      <c r="K246" s="66" t="s">
        <v>233</v>
      </c>
      <c r="L246" s="66" t="s">
        <v>343</v>
      </c>
      <c r="M246" s="68" t="s">
        <v>949</v>
      </c>
      <c r="N246" s="68" t="s">
        <v>264</v>
      </c>
      <c r="O246" s="68" t="s">
        <v>965</v>
      </c>
      <c r="P246" s="68" t="s">
        <v>966</v>
      </c>
      <c r="Q246" s="303">
        <f t="shared" si="36"/>
        <v>2</v>
      </c>
      <c r="R246" s="303">
        <f t="shared" si="37"/>
        <v>69</v>
      </c>
      <c r="S246" s="68">
        <v>2</v>
      </c>
      <c r="T246" s="68">
        <v>69</v>
      </c>
      <c r="U246" s="68">
        <v>0</v>
      </c>
      <c r="V246" s="68">
        <v>0</v>
      </c>
      <c r="W246" s="68">
        <v>68</v>
      </c>
      <c r="X246" s="68">
        <v>76</v>
      </c>
      <c r="Y246" s="68">
        <v>61</v>
      </c>
      <c r="Z246" s="68">
        <v>61</v>
      </c>
      <c r="AA246" s="68">
        <v>2</v>
      </c>
      <c r="AB246" s="300">
        <f t="shared" si="38"/>
        <v>94.265333333333331</v>
      </c>
      <c r="AC246" s="300">
        <f t="shared" si="39"/>
        <v>0.56786345381526104</v>
      </c>
      <c r="AD246" s="68" t="s">
        <v>48</v>
      </c>
      <c r="AE246" s="68" t="s">
        <v>48</v>
      </c>
      <c r="AF246" s="66" t="s">
        <v>317</v>
      </c>
      <c r="AG246" s="66" t="s">
        <v>317</v>
      </c>
      <c r="AH246" s="68" t="s">
        <v>967</v>
      </c>
      <c r="AI246" s="309"/>
      <c r="AJ246" s="309"/>
      <c r="AK246" s="68" t="s">
        <v>48</v>
      </c>
      <c r="AL246" s="68" t="s">
        <v>58</v>
      </c>
      <c r="AM246" s="299">
        <f t="shared" ca="1" si="35"/>
        <v>5.0833333333357587</v>
      </c>
      <c r="AN246" s="51"/>
      <c r="AO246" s="61" t="s">
        <v>347</v>
      </c>
      <c r="AP246" s="91" t="s">
        <v>949</v>
      </c>
      <c r="AQ246" s="57" t="s">
        <v>1330</v>
      </c>
      <c r="AR246" s="64">
        <v>44874.725694444445</v>
      </c>
      <c r="AS246" s="57" t="s">
        <v>173</v>
      </c>
      <c r="AT246" s="61" t="s">
        <v>225</v>
      </c>
      <c r="AU246" s="63">
        <v>0.72569444444444453</v>
      </c>
      <c r="AV246" s="61">
        <v>2</v>
      </c>
      <c r="AW246" s="61" t="s">
        <v>66</v>
      </c>
      <c r="AX246" s="52"/>
      <c r="AY246" s="52"/>
      <c r="AZ246" s="52"/>
      <c r="BA246" s="52"/>
    </row>
    <row r="247" spans="1:53" x14ac:dyDescent="0.25">
      <c r="A247" s="73">
        <v>98</v>
      </c>
      <c r="B247" s="72">
        <v>44869.666666666664</v>
      </c>
      <c r="C247" s="67">
        <v>0.66666666666666663</v>
      </c>
      <c r="D247" s="67">
        <v>0.67013888888888884</v>
      </c>
      <c r="E247" s="67">
        <v>0.69444444444444453</v>
      </c>
      <c r="F247" s="68" t="s">
        <v>169</v>
      </c>
      <c r="G247" s="68" t="s">
        <v>968</v>
      </c>
      <c r="H247" s="66" t="s">
        <v>541</v>
      </c>
      <c r="I247" s="66" t="s">
        <v>969</v>
      </c>
      <c r="J247" s="66" t="s">
        <v>41</v>
      </c>
      <c r="K247" s="66" t="s">
        <v>233</v>
      </c>
      <c r="L247" s="66">
        <v>0</v>
      </c>
      <c r="M247" s="68" t="s">
        <v>970</v>
      </c>
      <c r="N247" s="68" t="s">
        <v>453</v>
      </c>
      <c r="O247" s="68" t="s">
        <v>971</v>
      </c>
      <c r="P247" s="77">
        <v>230523062307</v>
      </c>
      <c r="Q247" s="303">
        <f t="shared" si="36"/>
        <v>2</v>
      </c>
      <c r="R247" s="303">
        <f t="shared" si="37"/>
        <v>20</v>
      </c>
      <c r="S247" s="68">
        <v>2</v>
      </c>
      <c r="T247" s="68">
        <v>20</v>
      </c>
      <c r="U247" s="68">
        <v>0</v>
      </c>
      <c r="V247" s="68">
        <v>0</v>
      </c>
      <c r="W247" s="68">
        <v>20.2</v>
      </c>
      <c r="X247" s="68">
        <v>58</v>
      </c>
      <c r="Y247" s="68">
        <v>39</v>
      </c>
      <c r="Z247" s="68">
        <v>30</v>
      </c>
      <c r="AA247" s="68">
        <v>2</v>
      </c>
      <c r="AB247" s="300">
        <f t="shared" si="38"/>
        <v>22.62</v>
      </c>
      <c r="AC247" s="300">
        <f t="shared" si="39"/>
        <v>0.13626506024096385</v>
      </c>
      <c r="AD247" s="68">
        <v>450</v>
      </c>
      <c r="AE247" s="68" t="s">
        <v>111</v>
      </c>
      <c r="AF247" s="66">
        <v>5239192</v>
      </c>
      <c r="AG247" s="66" t="s">
        <v>972</v>
      </c>
      <c r="AH247" s="68">
        <v>0</v>
      </c>
      <c r="AI247" s="309"/>
      <c r="AJ247" s="309"/>
      <c r="AK247" s="68" t="s">
        <v>48</v>
      </c>
      <c r="AL247" s="68" t="s">
        <v>47</v>
      </c>
      <c r="AM247" s="299">
        <f t="shared" ca="1" si="35"/>
        <v>0.86805555555474712</v>
      </c>
      <c r="AN247" s="51"/>
      <c r="AO247" s="61" t="s">
        <v>68</v>
      </c>
      <c r="AP247" s="62" t="s">
        <v>970</v>
      </c>
      <c r="AQ247" s="61" t="s">
        <v>1054</v>
      </c>
      <c r="AR247" s="64">
        <v>44870.534722222219</v>
      </c>
      <c r="AS247" s="57" t="s">
        <v>173</v>
      </c>
      <c r="AT247" s="61" t="s">
        <v>225</v>
      </c>
      <c r="AU247" s="63">
        <v>0.53472222222222221</v>
      </c>
      <c r="AV247" s="61">
        <v>1</v>
      </c>
      <c r="AW247" s="61" t="s">
        <v>66</v>
      </c>
      <c r="AX247" s="52"/>
      <c r="AY247" s="52"/>
      <c r="AZ247" s="52"/>
      <c r="BA247" s="52"/>
    </row>
    <row r="248" spans="1:53" x14ac:dyDescent="0.25">
      <c r="A248" s="73">
        <v>99</v>
      </c>
      <c r="B248" s="72">
        <v>44869.684027777781</v>
      </c>
      <c r="C248" s="67">
        <v>0.6875</v>
      </c>
      <c r="D248" s="67">
        <v>0.71527777777777779</v>
      </c>
      <c r="E248" s="67">
        <v>0.73611111111111116</v>
      </c>
      <c r="F248" s="68" t="s">
        <v>169</v>
      </c>
      <c r="G248" s="68" t="s">
        <v>973</v>
      </c>
      <c r="H248" s="71" t="s">
        <v>974</v>
      </c>
      <c r="I248" s="71" t="s">
        <v>80</v>
      </c>
      <c r="J248" s="71" t="s">
        <v>37</v>
      </c>
      <c r="K248" s="71" t="s">
        <v>61</v>
      </c>
      <c r="L248" s="71">
        <v>0</v>
      </c>
      <c r="M248" s="68" t="s">
        <v>975</v>
      </c>
      <c r="N248" s="68" t="s">
        <v>74</v>
      </c>
      <c r="O248" s="68" t="s">
        <v>976</v>
      </c>
      <c r="P248" s="68" t="s">
        <v>977</v>
      </c>
      <c r="Q248" s="303">
        <f t="shared" si="36"/>
        <v>76</v>
      </c>
      <c r="R248" s="303">
        <f t="shared" si="37"/>
        <v>635</v>
      </c>
      <c r="S248" s="68">
        <v>76</v>
      </c>
      <c r="T248" s="68">
        <v>635</v>
      </c>
      <c r="U248" s="68">
        <v>0</v>
      </c>
      <c r="V248" s="68">
        <v>0</v>
      </c>
      <c r="W248" s="68">
        <v>622.6</v>
      </c>
      <c r="X248" s="68">
        <v>61</v>
      </c>
      <c r="Y248" s="68">
        <v>47</v>
      </c>
      <c r="Z248" s="68">
        <v>27</v>
      </c>
      <c r="AA248" s="68">
        <v>73</v>
      </c>
      <c r="AB248" s="300">
        <f t="shared" si="38"/>
        <v>941.80949999999996</v>
      </c>
      <c r="AC248" s="300">
        <f t="shared" si="39"/>
        <v>5.6735512048192769</v>
      </c>
      <c r="AD248" s="68">
        <v>18110</v>
      </c>
      <c r="AE248" s="68" t="s">
        <v>109</v>
      </c>
      <c r="AF248" s="68" t="s">
        <v>317</v>
      </c>
      <c r="AG248" s="68" t="s">
        <v>317</v>
      </c>
      <c r="AH248" s="68" t="s">
        <v>978</v>
      </c>
      <c r="AI248" s="309"/>
      <c r="AJ248" s="309"/>
      <c r="AK248" s="68" t="s">
        <v>48</v>
      </c>
      <c r="AL248" s="68" t="s">
        <v>56</v>
      </c>
      <c r="AM248" s="299">
        <f t="shared" ca="1" si="35"/>
        <v>9.9201388888832298</v>
      </c>
      <c r="AN248" s="51"/>
      <c r="AO248" s="61" t="s">
        <v>121</v>
      </c>
      <c r="AP248" s="62" t="s">
        <v>975</v>
      </c>
      <c r="AQ248" s="61" t="s">
        <v>1618</v>
      </c>
      <c r="AR248" s="64">
        <v>44879.604166666664</v>
      </c>
      <c r="AS248" s="61" t="s">
        <v>136</v>
      </c>
      <c r="AT248" s="61" t="s">
        <v>225</v>
      </c>
      <c r="AU248" s="63">
        <v>0.60416666666666663</v>
      </c>
      <c r="AV248" s="61">
        <v>1</v>
      </c>
      <c r="AW248" s="61" t="s">
        <v>66</v>
      </c>
      <c r="AX248" s="52"/>
      <c r="AY248" s="52"/>
      <c r="AZ248" s="52"/>
      <c r="BA248" s="52"/>
    </row>
    <row r="249" spans="1:53" x14ac:dyDescent="0.25">
      <c r="A249" s="73">
        <v>99</v>
      </c>
      <c r="B249" s="72">
        <v>44869.684027777781</v>
      </c>
      <c r="C249" s="67">
        <v>0.6875</v>
      </c>
      <c r="D249" s="67">
        <v>0.71527777777777779</v>
      </c>
      <c r="E249" s="67">
        <v>0.73611111111111116</v>
      </c>
      <c r="F249" s="68" t="s">
        <v>169</v>
      </c>
      <c r="G249" s="68" t="s">
        <v>973</v>
      </c>
      <c r="H249" s="66" t="s">
        <v>974</v>
      </c>
      <c r="I249" s="66" t="s">
        <v>80</v>
      </c>
      <c r="J249" s="66" t="s">
        <v>37</v>
      </c>
      <c r="K249" s="66" t="s">
        <v>61</v>
      </c>
      <c r="L249" s="66">
        <v>0</v>
      </c>
      <c r="M249" s="68" t="s">
        <v>975</v>
      </c>
      <c r="N249" s="68" t="s">
        <v>74</v>
      </c>
      <c r="O249" s="68" t="s">
        <v>976</v>
      </c>
      <c r="P249" s="68" t="s">
        <v>977</v>
      </c>
      <c r="Q249" s="303">
        <f t="shared" si="36"/>
        <v>0</v>
      </c>
      <c r="R249" s="303">
        <f t="shared" si="37"/>
        <v>0</v>
      </c>
      <c r="S249" s="68">
        <v>0</v>
      </c>
      <c r="T249" s="68">
        <v>0</v>
      </c>
      <c r="U249" s="68">
        <v>0</v>
      </c>
      <c r="V249" s="68">
        <v>0</v>
      </c>
      <c r="W249" s="68">
        <v>0</v>
      </c>
      <c r="X249" s="68">
        <v>58</v>
      </c>
      <c r="Y249" s="68">
        <v>38</v>
      </c>
      <c r="Z249" s="68">
        <v>29</v>
      </c>
      <c r="AA249" s="68">
        <v>1</v>
      </c>
      <c r="AB249" s="300">
        <f t="shared" si="38"/>
        <v>10.652666666666667</v>
      </c>
      <c r="AC249" s="300">
        <f t="shared" si="39"/>
        <v>6.4172690763052209E-2</v>
      </c>
      <c r="AD249" s="68">
        <v>0</v>
      </c>
      <c r="AE249" s="68">
        <v>0</v>
      </c>
      <c r="AF249" s="68" t="s">
        <v>317</v>
      </c>
      <c r="AG249" s="68" t="s">
        <v>317</v>
      </c>
      <c r="AH249" s="68" t="s">
        <v>978</v>
      </c>
      <c r="AI249" s="309"/>
      <c r="AJ249" s="309"/>
      <c r="AK249" s="68" t="s">
        <v>48</v>
      </c>
      <c r="AL249" s="68" t="s">
        <v>56</v>
      </c>
      <c r="AM249" s="299">
        <f t="shared" ca="1" si="35"/>
        <v>9.9201388888832298</v>
      </c>
      <c r="AN249" s="51"/>
      <c r="AO249" s="61" t="s">
        <v>121</v>
      </c>
      <c r="AP249" s="62" t="s">
        <v>975</v>
      </c>
      <c r="AQ249" s="61" t="s">
        <v>1618</v>
      </c>
      <c r="AR249" s="64">
        <v>44879.604166666664</v>
      </c>
      <c r="AS249" s="61" t="s">
        <v>136</v>
      </c>
      <c r="AT249" s="61" t="s">
        <v>225</v>
      </c>
      <c r="AU249" s="63">
        <v>0.60416666666666663</v>
      </c>
      <c r="AV249" s="61">
        <v>1</v>
      </c>
      <c r="AW249" s="61" t="s">
        <v>66</v>
      </c>
      <c r="AX249" s="52"/>
      <c r="AY249" s="52"/>
      <c r="AZ249" s="52"/>
      <c r="BA249" s="52"/>
    </row>
    <row r="250" spans="1:53" x14ac:dyDescent="0.25">
      <c r="A250" s="73">
        <v>99</v>
      </c>
      <c r="B250" s="72">
        <v>44869.684027777781</v>
      </c>
      <c r="C250" s="67">
        <v>0.6875</v>
      </c>
      <c r="D250" s="67">
        <v>0.71527777777777779</v>
      </c>
      <c r="E250" s="67">
        <v>0.73611111111111116</v>
      </c>
      <c r="F250" s="68" t="s">
        <v>169</v>
      </c>
      <c r="G250" s="68" t="s">
        <v>973</v>
      </c>
      <c r="H250" s="66" t="s">
        <v>974</v>
      </c>
      <c r="I250" s="66" t="s">
        <v>80</v>
      </c>
      <c r="J250" s="66" t="s">
        <v>37</v>
      </c>
      <c r="K250" s="66" t="s">
        <v>61</v>
      </c>
      <c r="L250" s="66">
        <v>0</v>
      </c>
      <c r="M250" s="68" t="s">
        <v>975</v>
      </c>
      <c r="N250" s="68" t="s">
        <v>74</v>
      </c>
      <c r="O250" s="68" t="s">
        <v>976</v>
      </c>
      <c r="P250" s="68" t="s">
        <v>977</v>
      </c>
      <c r="Q250" s="303">
        <f t="shared" si="36"/>
        <v>0</v>
      </c>
      <c r="R250" s="303">
        <f t="shared" si="37"/>
        <v>0</v>
      </c>
      <c r="S250" s="68">
        <v>0</v>
      </c>
      <c r="T250" s="68">
        <v>0</v>
      </c>
      <c r="U250" s="68">
        <v>0</v>
      </c>
      <c r="V250" s="68">
        <v>0</v>
      </c>
      <c r="W250" s="68">
        <v>0</v>
      </c>
      <c r="X250" s="68">
        <v>58</v>
      </c>
      <c r="Y250" s="68">
        <v>38</v>
      </c>
      <c r="Z250" s="68">
        <v>20</v>
      </c>
      <c r="AA250" s="68">
        <v>2</v>
      </c>
      <c r="AB250" s="300">
        <f t="shared" si="38"/>
        <v>14.693333333333333</v>
      </c>
      <c r="AC250" s="300">
        <f t="shared" si="39"/>
        <v>8.8514056224899593E-2</v>
      </c>
      <c r="AD250" s="68">
        <v>0</v>
      </c>
      <c r="AE250" s="68">
        <v>0</v>
      </c>
      <c r="AF250" s="68" t="s">
        <v>317</v>
      </c>
      <c r="AG250" s="68" t="s">
        <v>317</v>
      </c>
      <c r="AH250" s="68" t="s">
        <v>978</v>
      </c>
      <c r="AI250" s="309"/>
      <c r="AJ250" s="309"/>
      <c r="AK250" s="68" t="s">
        <v>48</v>
      </c>
      <c r="AL250" s="68" t="s">
        <v>56</v>
      </c>
      <c r="AM250" s="299">
        <f t="shared" ca="1" si="35"/>
        <v>9.9201388888832298</v>
      </c>
      <c r="AN250" s="51"/>
      <c r="AO250" s="61" t="s">
        <v>121</v>
      </c>
      <c r="AP250" s="62" t="s">
        <v>975</v>
      </c>
      <c r="AQ250" s="61" t="s">
        <v>1618</v>
      </c>
      <c r="AR250" s="64">
        <v>44879.604166666664</v>
      </c>
      <c r="AS250" s="61" t="s">
        <v>136</v>
      </c>
      <c r="AT250" s="61" t="s">
        <v>225</v>
      </c>
      <c r="AU250" s="63">
        <v>0.60416666666666663</v>
      </c>
      <c r="AV250" s="61">
        <v>1</v>
      </c>
      <c r="AW250" s="61" t="s">
        <v>66</v>
      </c>
      <c r="AX250" s="52"/>
      <c r="AY250" s="52"/>
      <c r="AZ250" s="52"/>
      <c r="BA250" s="52"/>
    </row>
    <row r="251" spans="1:53" x14ac:dyDescent="0.25">
      <c r="A251" s="73">
        <v>100</v>
      </c>
      <c r="B251" s="72">
        <v>44869.684027777781</v>
      </c>
      <c r="C251" s="67">
        <v>0.6875</v>
      </c>
      <c r="D251" s="67">
        <v>0.71527777777777779</v>
      </c>
      <c r="E251" s="67">
        <v>0.73611111111111116</v>
      </c>
      <c r="F251" s="68" t="s">
        <v>169</v>
      </c>
      <c r="G251" s="68" t="s">
        <v>973</v>
      </c>
      <c r="H251" s="66" t="s">
        <v>974</v>
      </c>
      <c r="I251" s="66" t="s">
        <v>80</v>
      </c>
      <c r="J251" s="66" t="s">
        <v>37</v>
      </c>
      <c r="K251" s="66" t="s">
        <v>61</v>
      </c>
      <c r="L251" s="66">
        <v>0</v>
      </c>
      <c r="M251" s="68" t="s">
        <v>979</v>
      </c>
      <c r="N251" s="68" t="s">
        <v>42</v>
      </c>
      <c r="O251" s="68" t="s">
        <v>980</v>
      </c>
      <c r="P251" s="68" t="s">
        <v>981</v>
      </c>
      <c r="Q251" s="303">
        <f t="shared" si="36"/>
        <v>40</v>
      </c>
      <c r="R251" s="303">
        <f t="shared" si="37"/>
        <v>317</v>
      </c>
      <c r="S251" s="68">
        <v>40</v>
      </c>
      <c r="T251" s="68">
        <v>317</v>
      </c>
      <c r="U251" s="68">
        <v>0</v>
      </c>
      <c r="V251" s="68">
        <v>0</v>
      </c>
      <c r="W251" s="68">
        <v>312.60000000000002</v>
      </c>
      <c r="X251" s="68">
        <v>58</v>
      </c>
      <c r="Y251" s="68">
        <v>38</v>
      </c>
      <c r="Z251" s="68">
        <v>29</v>
      </c>
      <c r="AA251" s="68">
        <v>39</v>
      </c>
      <c r="AB251" s="300">
        <f t="shared" si="38"/>
        <v>415.45400000000001</v>
      </c>
      <c r="AC251" s="300">
        <f t="shared" si="39"/>
        <v>2.5027349397590362</v>
      </c>
      <c r="AD251" s="68">
        <v>10775.25</v>
      </c>
      <c r="AE251" s="68" t="s">
        <v>109</v>
      </c>
      <c r="AF251" s="68" t="s">
        <v>317</v>
      </c>
      <c r="AG251" s="68" t="s">
        <v>317</v>
      </c>
      <c r="AH251" s="68" t="s">
        <v>982</v>
      </c>
      <c r="AI251" s="309"/>
      <c r="AJ251" s="309"/>
      <c r="AK251" s="68" t="s">
        <v>48</v>
      </c>
      <c r="AL251" s="68" t="s">
        <v>56</v>
      </c>
      <c r="AM251" s="299">
        <f t="shared" ca="1" si="35"/>
        <v>12.84375</v>
      </c>
      <c r="AN251" s="51"/>
      <c r="AO251" s="78" t="s">
        <v>93</v>
      </c>
      <c r="AP251" s="62" t="s">
        <v>979</v>
      </c>
      <c r="AQ251" s="61" t="s">
        <v>1889</v>
      </c>
      <c r="AR251" s="64">
        <v>44882.527777777781</v>
      </c>
      <c r="AS251" s="57" t="s">
        <v>173</v>
      </c>
      <c r="AT251" s="61" t="s">
        <v>225</v>
      </c>
      <c r="AU251" s="63">
        <v>0.52777777777777779</v>
      </c>
      <c r="AV251" s="61">
        <v>1</v>
      </c>
      <c r="AW251" s="61" t="s">
        <v>66</v>
      </c>
      <c r="AX251" s="52"/>
      <c r="AY251" s="52"/>
      <c r="AZ251" s="52"/>
      <c r="BA251" s="52"/>
    </row>
    <row r="252" spans="1:53" x14ac:dyDescent="0.25">
      <c r="A252" s="73">
        <v>100</v>
      </c>
      <c r="B252" s="72">
        <v>44869.684027777781</v>
      </c>
      <c r="C252" s="67">
        <v>0.6875</v>
      </c>
      <c r="D252" s="67">
        <v>0.71527777777777779</v>
      </c>
      <c r="E252" s="67">
        <v>0.73611111111111116</v>
      </c>
      <c r="F252" s="68" t="s">
        <v>169</v>
      </c>
      <c r="G252" s="68" t="s">
        <v>973</v>
      </c>
      <c r="H252" s="66" t="s">
        <v>974</v>
      </c>
      <c r="I252" s="66" t="s">
        <v>80</v>
      </c>
      <c r="J252" s="66" t="s">
        <v>37</v>
      </c>
      <c r="K252" s="66" t="s">
        <v>61</v>
      </c>
      <c r="L252" s="66">
        <v>0</v>
      </c>
      <c r="M252" s="68" t="s">
        <v>979</v>
      </c>
      <c r="N252" s="68" t="s">
        <v>42</v>
      </c>
      <c r="O252" s="68" t="s">
        <v>980</v>
      </c>
      <c r="P252" s="68" t="s">
        <v>981</v>
      </c>
      <c r="Q252" s="303">
        <f t="shared" si="36"/>
        <v>0</v>
      </c>
      <c r="R252" s="303">
        <f t="shared" si="37"/>
        <v>0</v>
      </c>
      <c r="S252" s="68">
        <v>0</v>
      </c>
      <c r="T252" s="68">
        <v>0</v>
      </c>
      <c r="U252" s="68">
        <v>0</v>
      </c>
      <c r="V252" s="68">
        <v>0</v>
      </c>
      <c r="W252" s="68">
        <v>0</v>
      </c>
      <c r="X252" s="68">
        <v>58</v>
      </c>
      <c r="Y252" s="68">
        <v>38</v>
      </c>
      <c r="Z252" s="68">
        <v>22</v>
      </c>
      <c r="AA252" s="68">
        <v>1</v>
      </c>
      <c r="AB252" s="300">
        <f t="shared" si="38"/>
        <v>8.0813333333333333</v>
      </c>
      <c r="AC252" s="300">
        <f t="shared" si="39"/>
        <v>4.8682730923694781E-2</v>
      </c>
      <c r="AD252" s="68">
        <v>0</v>
      </c>
      <c r="AE252" s="68">
        <v>0</v>
      </c>
      <c r="AF252" s="68" t="s">
        <v>317</v>
      </c>
      <c r="AG252" s="68" t="s">
        <v>317</v>
      </c>
      <c r="AH252" s="68" t="s">
        <v>982</v>
      </c>
      <c r="AI252" s="309"/>
      <c r="AJ252" s="309"/>
      <c r="AK252" s="68" t="s">
        <v>48</v>
      </c>
      <c r="AL252" s="68" t="s">
        <v>56</v>
      </c>
      <c r="AM252" s="299">
        <f t="shared" ca="1" si="35"/>
        <v>12.84375</v>
      </c>
      <c r="AN252" s="51"/>
      <c r="AO252" s="78" t="s">
        <v>93</v>
      </c>
      <c r="AP252" s="62" t="s">
        <v>979</v>
      </c>
      <c r="AQ252" s="61" t="s">
        <v>1889</v>
      </c>
      <c r="AR252" s="64">
        <v>44882.527777777781</v>
      </c>
      <c r="AS252" s="57" t="s">
        <v>173</v>
      </c>
      <c r="AT252" s="61" t="s">
        <v>225</v>
      </c>
      <c r="AU252" s="63">
        <v>0.52777777777777779</v>
      </c>
      <c r="AV252" s="61">
        <v>1</v>
      </c>
      <c r="AW252" s="61" t="s">
        <v>66</v>
      </c>
      <c r="AX252" s="52"/>
      <c r="AY252" s="52"/>
      <c r="AZ252" s="52"/>
      <c r="BA252" s="52"/>
    </row>
    <row r="253" spans="1:53" x14ac:dyDescent="0.25">
      <c r="A253" s="73">
        <v>101</v>
      </c>
      <c r="B253" s="72">
        <v>44869.684027777781</v>
      </c>
      <c r="C253" s="67">
        <v>0.6875</v>
      </c>
      <c r="D253" s="67">
        <v>0.71527777777777779</v>
      </c>
      <c r="E253" s="67">
        <v>0.73611111111111116</v>
      </c>
      <c r="F253" s="68" t="s">
        <v>169</v>
      </c>
      <c r="G253" s="68" t="s">
        <v>973</v>
      </c>
      <c r="H253" s="66" t="s">
        <v>538</v>
      </c>
      <c r="I253" s="66" t="s">
        <v>969</v>
      </c>
      <c r="J253" s="66" t="s">
        <v>37</v>
      </c>
      <c r="K253" s="66" t="s">
        <v>233</v>
      </c>
      <c r="L253" s="66">
        <v>0</v>
      </c>
      <c r="M253" s="68" t="s">
        <v>983</v>
      </c>
      <c r="N253" s="68" t="s">
        <v>453</v>
      </c>
      <c r="O253" s="68">
        <v>75</v>
      </c>
      <c r="P253" s="68">
        <v>230501</v>
      </c>
      <c r="Q253" s="303">
        <f t="shared" si="36"/>
        <v>2</v>
      </c>
      <c r="R253" s="303">
        <f t="shared" si="37"/>
        <v>28</v>
      </c>
      <c r="S253" s="68">
        <v>2</v>
      </c>
      <c r="T253" s="68">
        <v>28</v>
      </c>
      <c r="U253" s="68">
        <v>0</v>
      </c>
      <c r="V253" s="68">
        <v>0</v>
      </c>
      <c r="W253" s="68">
        <v>27.7</v>
      </c>
      <c r="X253" s="68">
        <v>58</v>
      </c>
      <c r="Y253" s="68">
        <v>39</v>
      </c>
      <c r="Z253" s="68">
        <v>30</v>
      </c>
      <c r="AA253" s="68">
        <v>2</v>
      </c>
      <c r="AB253" s="300">
        <f t="shared" si="38"/>
        <v>22.62</v>
      </c>
      <c r="AC253" s="300">
        <f t="shared" si="39"/>
        <v>0.13626506024096385</v>
      </c>
      <c r="AD253" s="68">
        <v>595.79999999999995</v>
      </c>
      <c r="AE253" s="68" t="s">
        <v>111</v>
      </c>
      <c r="AF253" s="68" t="s">
        <v>317</v>
      </c>
      <c r="AG253" s="68" t="s">
        <v>317</v>
      </c>
      <c r="AH253" s="68">
        <v>0</v>
      </c>
      <c r="AI253" s="309"/>
      <c r="AJ253" s="309"/>
      <c r="AK253" s="68" t="s">
        <v>48</v>
      </c>
      <c r="AL253" s="68" t="s">
        <v>47</v>
      </c>
      <c r="AM253" s="299">
        <f t="shared" ca="1" si="35"/>
        <v>0.85069444443797693</v>
      </c>
      <c r="AN253" s="51"/>
      <c r="AO253" s="61" t="s">
        <v>68</v>
      </c>
      <c r="AP253" s="62" t="s">
        <v>983</v>
      </c>
      <c r="AQ253" s="61" t="s">
        <v>1054</v>
      </c>
      <c r="AR253" s="64">
        <v>44870.534722222219</v>
      </c>
      <c r="AS253" s="57" t="s">
        <v>173</v>
      </c>
      <c r="AT253" s="61" t="s">
        <v>225</v>
      </c>
      <c r="AU253" s="63">
        <v>0.53472222222222221</v>
      </c>
      <c r="AV253" s="61">
        <v>1</v>
      </c>
      <c r="AW253" s="61" t="s">
        <v>66</v>
      </c>
      <c r="AX253" s="52"/>
      <c r="AY253" s="52"/>
      <c r="AZ253" s="52"/>
      <c r="BA253" s="52"/>
    </row>
    <row r="254" spans="1:53" x14ac:dyDescent="0.25">
      <c r="A254" s="73">
        <v>102</v>
      </c>
      <c r="B254" s="72">
        <v>44869.684027777781</v>
      </c>
      <c r="C254" s="67">
        <v>0.6875</v>
      </c>
      <c r="D254" s="67">
        <v>0.71527777777777779</v>
      </c>
      <c r="E254" s="67">
        <v>0.73611111111111116</v>
      </c>
      <c r="F254" s="68" t="s">
        <v>169</v>
      </c>
      <c r="G254" s="68" t="s">
        <v>973</v>
      </c>
      <c r="H254" s="66" t="s">
        <v>537</v>
      </c>
      <c r="I254" s="66" t="s">
        <v>969</v>
      </c>
      <c r="J254" s="66" t="s">
        <v>37</v>
      </c>
      <c r="K254" s="66" t="s">
        <v>233</v>
      </c>
      <c r="L254" s="66">
        <v>0</v>
      </c>
      <c r="M254" s="68" t="s">
        <v>984</v>
      </c>
      <c r="N254" s="68" t="s">
        <v>453</v>
      </c>
      <c r="O254" s="68" t="s">
        <v>985</v>
      </c>
      <c r="P254" s="68">
        <v>1100677</v>
      </c>
      <c r="Q254" s="303">
        <f t="shared" si="36"/>
        <v>5</v>
      </c>
      <c r="R254" s="303">
        <f t="shared" si="37"/>
        <v>61</v>
      </c>
      <c r="S254" s="68">
        <v>5</v>
      </c>
      <c r="T254" s="68">
        <v>61</v>
      </c>
      <c r="U254" s="68">
        <v>0</v>
      </c>
      <c r="V254" s="68">
        <v>0</v>
      </c>
      <c r="W254" s="68">
        <v>73</v>
      </c>
      <c r="X254" s="68">
        <v>58</v>
      </c>
      <c r="Y254" s="68">
        <v>39</v>
      </c>
      <c r="Z254" s="68">
        <v>30</v>
      </c>
      <c r="AA254" s="68">
        <v>5</v>
      </c>
      <c r="AB254" s="300">
        <f t="shared" si="38"/>
        <v>56.55</v>
      </c>
      <c r="AC254" s="300">
        <f t="shared" si="39"/>
        <v>0.34066265060240963</v>
      </c>
      <c r="AD254" s="68">
        <v>1326.3</v>
      </c>
      <c r="AE254" s="68" t="s">
        <v>111</v>
      </c>
      <c r="AF254" s="68" t="s">
        <v>317</v>
      </c>
      <c r="AG254" s="68" t="s">
        <v>317</v>
      </c>
      <c r="AH254" s="68" t="s">
        <v>986</v>
      </c>
      <c r="AI254" s="309"/>
      <c r="AJ254" s="309"/>
      <c r="AK254" s="68" t="s">
        <v>48</v>
      </c>
      <c r="AL254" s="68" t="s">
        <v>47</v>
      </c>
      <c r="AM254" s="299">
        <f t="shared" ca="1" si="35"/>
        <v>0.85069444443797693</v>
      </c>
      <c r="AN254" s="51"/>
      <c r="AO254" s="61" t="s">
        <v>68</v>
      </c>
      <c r="AP254" s="62" t="s">
        <v>984</v>
      </c>
      <c r="AQ254" s="61" t="s">
        <v>1054</v>
      </c>
      <c r="AR254" s="64">
        <v>44870.534722222219</v>
      </c>
      <c r="AS254" s="57" t="s">
        <v>173</v>
      </c>
      <c r="AT254" s="61" t="s">
        <v>225</v>
      </c>
      <c r="AU254" s="63">
        <v>0.53472222222222221</v>
      </c>
      <c r="AV254" s="61">
        <v>1</v>
      </c>
      <c r="AW254" s="61" t="s">
        <v>66</v>
      </c>
      <c r="AX254" s="52"/>
      <c r="AY254" s="52"/>
      <c r="AZ254" s="52"/>
      <c r="BA254" s="52"/>
    </row>
    <row r="255" spans="1:53" x14ac:dyDescent="0.25">
      <c r="A255" s="73">
        <v>103</v>
      </c>
      <c r="B255" s="72">
        <v>44869.722222222219</v>
      </c>
      <c r="C255" s="67">
        <v>0.72222222222222221</v>
      </c>
      <c r="D255" s="67">
        <v>0.72916666666666663</v>
      </c>
      <c r="E255" s="67">
        <v>0.74305555555555547</v>
      </c>
      <c r="F255" s="68" t="s">
        <v>169</v>
      </c>
      <c r="G255" s="68" t="s">
        <v>987</v>
      </c>
      <c r="H255" s="66" t="s">
        <v>539</v>
      </c>
      <c r="I255" s="66" t="s">
        <v>969</v>
      </c>
      <c r="J255" s="66" t="s">
        <v>37</v>
      </c>
      <c r="K255" s="66" t="s">
        <v>233</v>
      </c>
      <c r="L255" s="66">
        <v>0</v>
      </c>
      <c r="M255" s="68" t="s">
        <v>988</v>
      </c>
      <c r="N255" s="68" t="s">
        <v>453</v>
      </c>
      <c r="O255" s="68" t="s">
        <v>989</v>
      </c>
      <c r="P255" s="68">
        <v>11104544</v>
      </c>
      <c r="Q255" s="303">
        <f t="shared" si="36"/>
        <v>2</v>
      </c>
      <c r="R255" s="303">
        <f t="shared" si="37"/>
        <v>12</v>
      </c>
      <c r="S255" s="68">
        <v>2</v>
      </c>
      <c r="T255" s="68">
        <v>12</v>
      </c>
      <c r="U255" s="68">
        <v>0</v>
      </c>
      <c r="V255" s="68">
        <v>0</v>
      </c>
      <c r="W255" s="68">
        <v>11.85</v>
      </c>
      <c r="X255" s="68">
        <v>59</v>
      </c>
      <c r="Y255" s="68">
        <v>39</v>
      </c>
      <c r="Z255" s="68">
        <v>21</v>
      </c>
      <c r="AA255" s="68">
        <v>2</v>
      </c>
      <c r="AB255" s="300">
        <f t="shared" si="38"/>
        <v>16.106999999999999</v>
      </c>
      <c r="AC255" s="300">
        <f t="shared" si="39"/>
        <v>9.7030120481927704E-2</v>
      </c>
      <c r="AD255" s="68">
        <v>369.9</v>
      </c>
      <c r="AE255" s="68" t="s">
        <v>111</v>
      </c>
      <c r="AF255" s="68" t="s">
        <v>317</v>
      </c>
      <c r="AG255" s="68" t="s">
        <v>317</v>
      </c>
      <c r="AH255" s="68" t="s">
        <v>990</v>
      </c>
      <c r="AI255" s="309"/>
      <c r="AJ255" s="309"/>
      <c r="AK255" s="68" t="s">
        <v>48</v>
      </c>
      <c r="AL255" s="68" t="s">
        <v>56</v>
      </c>
      <c r="AM255" s="299">
        <f t="shared" ca="1" si="35"/>
        <v>0.8125</v>
      </c>
      <c r="AN255" s="51"/>
      <c r="AO255" s="61" t="s">
        <v>68</v>
      </c>
      <c r="AP255" s="62" t="s">
        <v>988</v>
      </c>
      <c r="AQ255" s="61" t="s">
        <v>1054</v>
      </c>
      <c r="AR255" s="64">
        <v>44870.534722222219</v>
      </c>
      <c r="AS255" s="57" t="s">
        <v>173</v>
      </c>
      <c r="AT255" s="61" t="s">
        <v>225</v>
      </c>
      <c r="AU255" s="63">
        <v>0.53472222222222221</v>
      </c>
      <c r="AV255" s="61">
        <v>1</v>
      </c>
      <c r="AW255" s="61" t="s">
        <v>66</v>
      </c>
      <c r="AX255" s="52"/>
      <c r="AY255" s="52"/>
      <c r="AZ255" s="52"/>
      <c r="BA255" s="52"/>
    </row>
    <row r="256" spans="1:53" x14ac:dyDescent="0.25">
      <c r="A256" s="73">
        <v>104</v>
      </c>
      <c r="B256" s="72">
        <v>44869.722222222219</v>
      </c>
      <c r="C256" s="67">
        <v>0.72222222222222221</v>
      </c>
      <c r="D256" s="67">
        <v>0.72916666666666663</v>
      </c>
      <c r="E256" s="67">
        <v>0.74305555555555547</v>
      </c>
      <c r="F256" s="68" t="s">
        <v>169</v>
      </c>
      <c r="G256" s="68" t="s">
        <v>987</v>
      </c>
      <c r="H256" s="66" t="s">
        <v>540</v>
      </c>
      <c r="I256" s="66" t="s">
        <v>969</v>
      </c>
      <c r="J256" s="66" t="s">
        <v>41</v>
      </c>
      <c r="K256" s="66" t="s">
        <v>233</v>
      </c>
      <c r="L256" s="66">
        <v>0</v>
      </c>
      <c r="M256" s="68" t="s">
        <v>991</v>
      </c>
      <c r="N256" s="68" t="s">
        <v>453</v>
      </c>
      <c r="O256" s="68" t="s">
        <v>992</v>
      </c>
      <c r="P256" s="68" t="s">
        <v>993</v>
      </c>
      <c r="Q256" s="303">
        <f t="shared" si="36"/>
        <v>5</v>
      </c>
      <c r="R256" s="303">
        <f t="shared" si="37"/>
        <v>62</v>
      </c>
      <c r="S256" s="68">
        <v>5</v>
      </c>
      <c r="T256" s="68">
        <v>62</v>
      </c>
      <c r="U256" s="68">
        <v>0</v>
      </c>
      <c r="V256" s="68">
        <v>0</v>
      </c>
      <c r="W256" s="68">
        <v>59.8</v>
      </c>
      <c r="X256" s="68">
        <v>58</v>
      </c>
      <c r="Y256" s="68">
        <v>38</v>
      </c>
      <c r="Z256" s="68">
        <v>30</v>
      </c>
      <c r="AA256" s="68">
        <v>5</v>
      </c>
      <c r="AB256" s="300">
        <f t="shared" si="38"/>
        <v>55.1</v>
      </c>
      <c r="AC256" s="300">
        <f t="shared" si="39"/>
        <v>0.33192771084337352</v>
      </c>
      <c r="AD256" s="68">
        <v>1681.2</v>
      </c>
      <c r="AE256" s="68" t="s">
        <v>111</v>
      </c>
      <c r="AF256" s="68" t="s">
        <v>317</v>
      </c>
      <c r="AG256" s="68" t="s">
        <v>317</v>
      </c>
      <c r="AH256" s="68" t="s">
        <v>994</v>
      </c>
      <c r="AI256" s="309"/>
      <c r="AJ256" s="309"/>
      <c r="AK256" s="68" t="s">
        <v>48</v>
      </c>
      <c r="AL256" s="68" t="s">
        <v>56</v>
      </c>
      <c r="AM256" s="299">
        <f t="shared" ca="1" si="35"/>
        <v>0.8125</v>
      </c>
      <c r="AN256" s="51"/>
      <c r="AO256" s="61" t="s">
        <v>68</v>
      </c>
      <c r="AP256" s="62" t="s">
        <v>991</v>
      </c>
      <c r="AQ256" s="61" t="s">
        <v>1054</v>
      </c>
      <c r="AR256" s="64">
        <v>44870.534722222219</v>
      </c>
      <c r="AS256" s="57" t="s">
        <v>173</v>
      </c>
      <c r="AT256" s="61" t="s">
        <v>225</v>
      </c>
      <c r="AU256" s="63">
        <v>0.53472222222222221</v>
      </c>
      <c r="AV256" s="61">
        <v>1</v>
      </c>
      <c r="AW256" s="61" t="s">
        <v>66</v>
      </c>
      <c r="AX256" s="52"/>
      <c r="AY256" s="52"/>
      <c r="AZ256" s="52"/>
      <c r="BA256" s="52"/>
    </row>
    <row r="257" spans="1:54" x14ac:dyDescent="0.25">
      <c r="A257" s="48">
        <v>105</v>
      </c>
      <c r="B257" s="46">
        <v>44869.763888888891</v>
      </c>
      <c r="C257" s="36">
        <v>0.76736111111111116</v>
      </c>
      <c r="D257" s="36">
        <v>0.77083333333333337</v>
      </c>
      <c r="E257" s="36">
        <v>0.77777777777777779</v>
      </c>
      <c r="F257" s="37" t="s">
        <v>171</v>
      </c>
      <c r="G257" s="37" t="s">
        <v>279</v>
      </c>
      <c r="H257" s="26" t="s">
        <v>144</v>
      </c>
      <c r="I257" s="26" t="s">
        <v>256</v>
      </c>
      <c r="J257" s="26" t="s">
        <v>37</v>
      </c>
      <c r="K257" s="60" t="s">
        <v>180</v>
      </c>
      <c r="L257" s="65" t="s">
        <v>206</v>
      </c>
      <c r="M257" s="37" t="s">
        <v>996</v>
      </c>
      <c r="N257" s="37" t="s">
        <v>42</v>
      </c>
      <c r="O257" s="37">
        <v>75045518</v>
      </c>
      <c r="P257" s="37">
        <v>332643</v>
      </c>
      <c r="Q257" s="303">
        <f t="shared" si="36"/>
        <v>1</v>
      </c>
      <c r="R257" s="303">
        <f t="shared" si="37"/>
        <v>164</v>
      </c>
      <c r="S257" s="37">
        <v>0</v>
      </c>
      <c r="T257" s="37">
        <v>0</v>
      </c>
      <c r="U257" s="37">
        <v>1</v>
      </c>
      <c r="V257" s="37">
        <v>164</v>
      </c>
      <c r="W257" s="37">
        <v>160</v>
      </c>
      <c r="X257" s="37">
        <v>114</v>
      </c>
      <c r="Y257" s="37">
        <v>97</v>
      </c>
      <c r="Z257" s="37">
        <v>114</v>
      </c>
      <c r="AA257" s="37">
        <v>1</v>
      </c>
      <c r="AB257" s="300">
        <f t="shared" si="38"/>
        <v>210.102</v>
      </c>
      <c r="AC257" s="300">
        <f t="shared" si="39"/>
        <v>1.2656746987951808</v>
      </c>
      <c r="AD257" s="68">
        <v>999.04</v>
      </c>
      <c r="AE257" s="37" t="s">
        <v>109</v>
      </c>
      <c r="AF257" s="68" t="s">
        <v>317</v>
      </c>
      <c r="AG257" s="68" t="s">
        <v>317</v>
      </c>
      <c r="AH257" s="37" t="s">
        <v>995</v>
      </c>
      <c r="AI257" s="309"/>
      <c r="AJ257" s="309"/>
      <c r="AK257" s="37" t="s">
        <v>37</v>
      </c>
      <c r="AL257" s="37" t="s">
        <v>39</v>
      </c>
      <c r="AM257" s="299">
        <f t="shared" ca="1" si="35"/>
        <v>0.78819444444525288</v>
      </c>
      <c r="AN257" s="51"/>
      <c r="AO257" s="61" t="s">
        <v>107</v>
      </c>
      <c r="AP257" s="62" t="s">
        <v>1060</v>
      </c>
      <c r="AQ257" s="61" t="s">
        <v>1059</v>
      </c>
      <c r="AR257" s="64">
        <v>44870.552083333336</v>
      </c>
      <c r="AS257" s="61" t="s">
        <v>136</v>
      </c>
      <c r="AT257" s="61" t="s">
        <v>225</v>
      </c>
      <c r="AU257" s="63">
        <v>0.55208333333333337</v>
      </c>
      <c r="AV257" s="61">
        <v>1</v>
      </c>
      <c r="AW257" s="61" t="s">
        <v>66</v>
      </c>
      <c r="AX257" s="52"/>
      <c r="AY257" s="52"/>
      <c r="AZ257" s="52"/>
      <c r="BA257" s="52"/>
    </row>
    <row r="258" spans="1:54" x14ac:dyDescent="0.25">
      <c r="A258" s="48">
        <v>106</v>
      </c>
      <c r="B258" s="72">
        <v>44869.763888888891</v>
      </c>
      <c r="C258" s="67">
        <v>0.76736111111111116</v>
      </c>
      <c r="D258" s="67">
        <v>0.77083333333333337</v>
      </c>
      <c r="E258" s="67">
        <v>0.77777777777777779</v>
      </c>
      <c r="F258" s="68" t="s">
        <v>171</v>
      </c>
      <c r="G258" s="68" t="s">
        <v>279</v>
      </c>
      <c r="H258" s="60" t="s">
        <v>144</v>
      </c>
      <c r="I258" s="60" t="s">
        <v>256</v>
      </c>
      <c r="J258" s="60" t="s">
        <v>37</v>
      </c>
      <c r="K258" s="60" t="s">
        <v>180</v>
      </c>
      <c r="L258" s="65" t="s">
        <v>206</v>
      </c>
      <c r="M258" s="37" t="s">
        <v>997</v>
      </c>
      <c r="N258" s="68" t="s">
        <v>42</v>
      </c>
      <c r="O258" s="68">
        <v>75045517</v>
      </c>
      <c r="P258" s="37">
        <v>332266</v>
      </c>
      <c r="Q258" s="303">
        <f t="shared" si="36"/>
        <v>1</v>
      </c>
      <c r="R258" s="303">
        <f t="shared" si="37"/>
        <v>165</v>
      </c>
      <c r="S258" s="37">
        <v>0</v>
      </c>
      <c r="T258" s="37">
        <v>0</v>
      </c>
      <c r="U258" s="37">
        <v>1</v>
      </c>
      <c r="V258" s="37">
        <v>165</v>
      </c>
      <c r="W258" s="37">
        <v>160</v>
      </c>
      <c r="X258" s="68">
        <v>114</v>
      </c>
      <c r="Y258" s="68">
        <v>97</v>
      </c>
      <c r="Z258" s="68">
        <v>114</v>
      </c>
      <c r="AA258" s="68">
        <v>1</v>
      </c>
      <c r="AB258" s="300">
        <f t="shared" si="38"/>
        <v>210.102</v>
      </c>
      <c r="AC258" s="300">
        <f t="shared" si="39"/>
        <v>1.2656746987951808</v>
      </c>
      <c r="AD258" s="68">
        <v>999.04</v>
      </c>
      <c r="AE258" s="68" t="s">
        <v>109</v>
      </c>
      <c r="AF258" s="68" t="s">
        <v>317</v>
      </c>
      <c r="AG258" s="68" t="s">
        <v>317</v>
      </c>
      <c r="AH258" s="37" t="s">
        <v>998</v>
      </c>
      <c r="AI258" s="309"/>
      <c r="AJ258" s="309"/>
      <c r="AK258" s="68" t="s">
        <v>37</v>
      </c>
      <c r="AL258" s="68" t="s">
        <v>39</v>
      </c>
      <c r="AM258" s="299">
        <f t="shared" ca="1" si="35"/>
        <v>0.78819444444525288</v>
      </c>
      <c r="AN258" s="51"/>
      <c r="AO258" s="61" t="s">
        <v>107</v>
      </c>
      <c r="AP258" s="62" t="s">
        <v>997</v>
      </c>
      <c r="AQ258" s="61" t="s">
        <v>1059</v>
      </c>
      <c r="AR258" s="64">
        <v>44870.552083333336</v>
      </c>
      <c r="AS258" s="61" t="s">
        <v>136</v>
      </c>
      <c r="AT258" s="61" t="s">
        <v>225</v>
      </c>
      <c r="AU258" s="63">
        <v>0.55208333333333337</v>
      </c>
      <c r="AV258" s="61">
        <v>1</v>
      </c>
      <c r="AW258" s="61" t="s">
        <v>66</v>
      </c>
      <c r="AX258" s="52"/>
      <c r="AY258" s="52"/>
      <c r="AZ258" s="52"/>
      <c r="BA258" s="52"/>
    </row>
    <row r="259" spans="1:54" x14ac:dyDescent="0.25">
      <c r="A259" s="48">
        <v>107</v>
      </c>
      <c r="B259" s="46">
        <v>44869.770833333336</v>
      </c>
      <c r="C259" s="36">
        <v>0.77083333333333337</v>
      </c>
      <c r="D259" s="67">
        <v>0.77777777777777779</v>
      </c>
      <c r="E259" s="36">
        <v>0.79166666666666663</v>
      </c>
      <c r="F259" s="68" t="s">
        <v>171</v>
      </c>
      <c r="G259" s="37" t="s">
        <v>173</v>
      </c>
      <c r="H259" s="26" t="s">
        <v>195</v>
      </c>
      <c r="I259" s="26" t="s">
        <v>195</v>
      </c>
      <c r="J259" s="60" t="s">
        <v>37</v>
      </c>
      <c r="K259" s="60" t="s">
        <v>180</v>
      </c>
      <c r="L259" s="60" t="s">
        <v>209</v>
      </c>
      <c r="M259" s="37" t="s">
        <v>1003</v>
      </c>
      <c r="N259" s="68" t="s">
        <v>42</v>
      </c>
      <c r="O259" s="37" t="s">
        <v>999</v>
      </c>
      <c r="P259" s="37">
        <v>2101067526</v>
      </c>
      <c r="Q259" s="303">
        <f t="shared" si="36"/>
        <v>5</v>
      </c>
      <c r="R259" s="303">
        <f t="shared" si="37"/>
        <v>1071</v>
      </c>
      <c r="S259" s="37">
        <v>0</v>
      </c>
      <c r="T259" s="37">
        <v>0</v>
      </c>
      <c r="U259" s="37">
        <v>5</v>
      </c>
      <c r="V259" s="37">
        <f>171+204+189+237+270</f>
        <v>1071</v>
      </c>
      <c r="W259" s="37">
        <v>1114</v>
      </c>
      <c r="X259" s="37">
        <v>115</v>
      </c>
      <c r="Y259" s="37">
        <v>80</v>
      </c>
      <c r="Z259" s="37">
        <v>82</v>
      </c>
      <c r="AA259" s="37">
        <v>1</v>
      </c>
      <c r="AB259" s="300">
        <f t="shared" si="38"/>
        <v>125.73333333333333</v>
      </c>
      <c r="AC259" s="300">
        <f t="shared" si="39"/>
        <v>0.75742971887550203</v>
      </c>
      <c r="AD259" s="37">
        <v>40323.839999999997</v>
      </c>
      <c r="AE259" s="68" t="s">
        <v>109</v>
      </c>
      <c r="AF259" s="68" t="s">
        <v>317</v>
      </c>
      <c r="AG259" s="68" t="s">
        <v>317</v>
      </c>
      <c r="AH259" s="37" t="s">
        <v>1000</v>
      </c>
      <c r="AI259" s="309"/>
      <c r="AJ259" s="309"/>
      <c r="AK259" s="37" t="s">
        <v>41</v>
      </c>
      <c r="AL259" s="68" t="s">
        <v>39</v>
      </c>
      <c r="AM259" s="299">
        <f t="shared" ca="1" si="35"/>
        <v>0.65277777777373558</v>
      </c>
      <c r="AN259" s="51"/>
      <c r="AO259" s="61" t="s">
        <v>132</v>
      </c>
      <c r="AP259" s="62" t="s">
        <v>1003</v>
      </c>
      <c r="AQ259" s="61" t="s">
        <v>1048</v>
      </c>
      <c r="AR259" s="64">
        <v>44870.423611111109</v>
      </c>
      <c r="AS259" s="61" t="s">
        <v>117</v>
      </c>
      <c r="AT259" s="61" t="s">
        <v>225</v>
      </c>
      <c r="AU259" s="59">
        <v>0.4236111111111111</v>
      </c>
      <c r="AV259" s="61">
        <v>1</v>
      </c>
      <c r="AW259" s="61" t="s">
        <v>66</v>
      </c>
      <c r="AX259" s="52"/>
      <c r="AY259" s="52"/>
      <c r="AZ259" s="52"/>
      <c r="BA259" s="52"/>
    </row>
    <row r="260" spans="1:54" x14ac:dyDescent="0.25">
      <c r="A260" s="73">
        <v>107</v>
      </c>
      <c r="B260" s="72">
        <v>44869.770833333336</v>
      </c>
      <c r="C260" s="67">
        <v>0.77083333333333337</v>
      </c>
      <c r="D260" s="67">
        <v>0.77777777777777779</v>
      </c>
      <c r="E260" s="67">
        <v>0.79166666666666663</v>
      </c>
      <c r="F260" s="68" t="s">
        <v>171</v>
      </c>
      <c r="G260" s="68" t="s">
        <v>173</v>
      </c>
      <c r="H260" s="60" t="s">
        <v>195</v>
      </c>
      <c r="I260" s="60" t="s">
        <v>195</v>
      </c>
      <c r="J260" s="60" t="s">
        <v>37</v>
      </c>
      <c r="K260" s="60" t="s">
        <v>180</v>
      </c>
      <c r="L260" s="60" t="s">
        <v>209</v>
      </c>
      <c r="M260" s="68" t="s">
        <v>1003</v>
      </c>
      <c r="N260" s="68" t="s">
        <v>42</v>
      </c>
      <c r="O260" s="68" t="s">
        <v>999</v>
      </c>
      <c r="P260" s="68">
        <v>2101067526</v>
      </c>
      <c r="Q260" s="303">
        <f t="shared" si="36"/>
        <v>0</v>
      </c>
      <c r="R260" s="303">
        <f t="shared" si="37"/>
        <v>0</v>
      </c>
      <c r="S260" s="68">
        <v>0</v>
      </c>
      <c r="T260" s="68">
        <v>0</v>
      </c>
      <c r="U260" s="68">
        <v>0</v>
      </c>
      <c r="V260" s="68">
        <v>0</v>
      </c>
      <c r="W260" s="68">
        <v>0</v>
      </c>
      <c r="X260" s="37">
        <v>115</v>
      </c>
      <c r="Y260" s="37">
        <v>80</v>
      </c>
      <c r="Z260" s="37">
        <v>100</v>
      </c>
      <c r="AA260" s="37">
        <v>1</v>
      </c>
      <c r="AB260" s="300">
        <f t="shared" si="38"/>
        <v>153.33333333333334</v>
      </c>
      <c r="AC260" s="300">
        <f t="shared" si="39"/>
        <v>0.92369477911646591</v>
      </c>
      <c r="AD260" s="37">
        <v>0</v>
      </c>
      <c r="AE260" s="68">
        <v>0</v>
      </c>
      <c r="AF260" s="68" t="s">
        <v>317</v>
      </c>
      <c r="AG260" s="68" t="s">
        <v>317</v>
      </c>
      <c r="AH260" s="68" t="s">
        <v>1000</v>
      </c>
      <c r="AI260" s="309"/>
      <c r="AJ260" s="309"/>
      <c r="AK260" s="68" t="s">
        <v>41</v>
      </c>
      <c r="AL260" s="68" t="s">
        <v>39</v>
      </c>
      <c r="AM260" s="299">
        <f t="shared" ca="1" si="35"/>
        <v>0.65277777777373558</v>
      </c>
      <c r="AN260" s="51"/>
      <c r="AO260" s="61" t="s">
        <v>132</v>
      </c>
      <c r="AP260" s="62" t="s">
        <v>1003</v>
      </c>
      <c r="AQ260" s="61" t="s">
        <v>1048</v>
      </c>
      <c r="AR260" s="64">
        <v>44870.423611111109</v>
      </c>
      <c r="AS260" s="61" t="s">
        <v>117</v>
      </c>
      <c r="AT260" s="61" t="s">
        <v>225</v>
      </c>
      <c r="AU260" s="59">
        <v>0.4236111111111111</v>
      </c>
      <c r="AV260" s="61">
        <v>1</v>
      </c>
      <c r="AW260" s="61" t="s">
        <v>66</v>
      </c>
      <c r="AX260" s="52"/>
      <c r="AY260" s="52"/>
      <c r="AZ260" s="52"/>
      <c r="BA260" s="52"/>
    </row>
    <row r="261" spans="1:54" x14ac:dyDescent="0.25">
      <c r="A261" s="73">
        <v>107</v>
      </c>
      <c r="B261" s="72">
        <v>44869.770833333336</v>
      </c>
      <c r="C261" s="67">
        <v>0.77083333333333337</v>
      </c>
      <c r="D261" s="67">
        <v>0.77777777777777779</v>
      </c>
      <c r="E261" s="67">
        <v>0.79166666666666663</v>
      </c>
      <c r="F261" s="68" t="s">
        <v>171</v>
      </c>
      <c r="G261" s="68" t="s">
        <v>173</v>
      </c>
      <c r="H261" s="60" t="s">
        <v>195</v>
      </c>
      <c r="I261" s="60" t="s">
        <v>195</v>
      </c>
      <c r="J261" s="60" t="s">
        <v>37</v>
      </c>
      <c r="K261" s="60" t="s">
        <v>180</v>
      </c>
      <c r="L261" s="60" t="s">
        <v>209</v>
      </c>
      <c r="M261" s="68" t="s">
        <v>1003</v>
      </c>
      <c r="N261" s="68" t="s">
        <v>42</v>
      </c>
      <c r="O261" s="68" t="s">
        <v>999</v>
      </c>
      <c r="P261" s="68">
        <v>2101067526</v>
      </c>
      <c r="Q261" s="303">
        <f t="shared" si="36"/>
        <v>0</v>
      </c>
      <c r="R261" s="303">
        <f t="shared" si="37"/>
        <v>0</v>
      </c>
      <c r="S261" s="68">
        <v>0</v>
      </c>
      <c r="T261" s="68">
        <v>0</v>
      </c>
      <c r="U261" s="68">
        <v>0</v>
      </c>
      <c r="V261" s="68">
        <v>0</v>
      </c>
      <c r="W261" s="68">
        <v>0</v>
      </c>
      <c r="X261" s="37">
        <v>115</v>
      </c>
      <c r="Y261" s="37">
        <v>80</v>
      </c>
      <c r="Z261" s="37">
        <v>112</v>
      </c>
      <c r="AA261" s="37">
        <v>2</v>
      </c>
      <c r="AB261" s="300">
        <f t="shared" si="38"/>
        <v>343.46666666666664</v>
      </c>
      <c r="AC261" s="300">
        <f t="shared" si="39"/>
        <v>2.0690763052208836</v>
      </c>
      <c r="AD261" s="37">
        <v>0</v>
      </c>
      <c r="AE261" s="68">
        <v>0</v>
      </c>
      <c r="AF261" s="68" t="s">
        <v>317</v>
      </c>
      <c r="AG261" s="68" t="s">
        <v>317</v>
      </c>
      <c r="AH261" s="68" t="s">
        <v>1000</v>
      </c>
      <c r="AI261" s="309"/>
      <c r="AJ261" s="309"/>
      <c r="AK261" s="68" t="s">
        <v>41</v>
      </c>
      <c r="AL261" s="68" t="s">
        <v>39</v>
      </c>
      <c r="AM261" s="299">
        <f t="shared" ca="1" si="35"/>
        <v>0.65277777777373558</v>
      </c>
      <c r="AN261" s="51"/>
      <c r="AO261" s="61" t="s">
        <v>132</v>
      </c>
      <c r="AP261" s="62" t="s">
        <v>1003</v>
      </c>
      <c r="AQ261" s="61" t="s">
        <v>1048</v>
      </c>
      <c r="AR261" s="64">
        <v>44870.423611111109</v>
      </c>
      <c r="AS261" s="61" t="s">
        <v>117</v>
      </c>
      <c r="AT261" s="61" t="s">
        <v>225</v>
      </c>
      <c r="AU261" s="59">
        <v>0.4236111111111111</v>
      </c>
      <c r="AV261" s="61">
        <v>1</v>
      </c>
      <c r="AW261" s="61" t="s">
        <v>66</v>
      </c>
      <c r="AX261" s="52"/>
      <c r="AY261" s="52"/>
      <c r="AZ261" s="52"/>
      <c r="BA261" s="52"/>
    </row>
    <row r="262" spans="1:54" x14ac:dyDescent="0.25">
      <c r="A262" s="73">
        <v>107</v>
      </c>
      <c r="B262" s="72">
        <v>44869.770833333336</v>
      </c>
      <c r="C262" s="67">
        <v>0.77083333333333337</v>
      </c>
      <c r="D262" s="67">
        <v>0.77777777777777779</v>
      </c>
      <c r="E262" s="67">
        <v>0.79166666666666663</v>
      </c>
      <c r="F262" s="68" t="s">
        <v>171</v>
      </c>
      <c r="G262" s="68" t="s">
        <v>173</v>
      </c>
      <c r="H262" s="60" t="s">
        <v>195</v>
      </c>
      <c r="I262" s="60" t="s">
        <v>195</v>
      </c>
      <c r="J262" s="60" t="s">
        <v>37</v>
      </c>
      <c r="K262" s="60" t="s">
        <v>180</v>
      </c>
      <c r="L262" s="60" t="s">
        <v>209</v>
      </c>
      <c r="M262" s="68" t="s">
        <v>1003</v>
      </c>
      <c r="N262" s="68" t="s">
        <v>42</v>
      </c>
      <c r="O262" s="68" t="s">
        <v>999</v>
      </c>
      <c r="P262" s="68">
        <v>2101067526</v>
      </c>
      <c r="Q262" s="303">
        <f t="shared" si="36"/>
        <v>0</v>
      </c>
      <c r="R262" s="303">
        <f t="shared" si="37"/>
        <v>0</v>
      </c>
      <c r="S262" s="68">
        <v>0</v>
      </c>
      <c r="T262" s="68">
        <v>0</v>
      </c>
      <c r="U262" s="68">
        <v>0</v>
      </c>
      <c r="V262" s="68">
        <v>0</v>
      </c>
      <c r="W262" s="68">
        <v>0</v>
      </c>
      <c r="X262" s="37">
        <v>115</v>
      </c>
      <c r="Y262" s="37">
        <v>80</v>
      </c>
      <c r="Z262" s="37">
        <v>131</v>
      </c>
      <c r="AA262" s="37">
        <v>1</v>
      </c>
      <c r="AB262" s="300">
        <f t="shared" si="38"/>
        <v>200.86666666666667</v>
      </c>
      <c r="AC262" s="300">
        <f t="shared" si="39"/>
        <v>1.2100401606425704</v>
      </c>
      <c r="AD262" s="37">
        <v>0</v>
      </c>
      <c r="AE262" s="68">
        <v>0</v>
      </c>
      <c r="AF262" s="68" t="s">
        <v>317</v>
      </c>
      <c r="AG262" s="68" t="s">
        <v>317</v>
      </c>
      <c r="AH262" s="68" t="s">
        <v>1000</v>
      </c>
      <c r="AI262" s="309"/>
      <c r="AJ262" s="309"/>
      <c r="AK262" s="68" t="s">
        <v>41</v>
      </c>
      <c r="AL262" s="68" t="s">
        <v>39</v>
      </c>
      <c r="AM262" s="299">
        <f t="shared" ca="1" si="35"/>
        <v>0.65277777777373558</v>
      </c>
      <c r="AN262" s="51"/>
      <c r="AO262" s="61" t="s">
        <v>132</v>
      </c>
      <c r="AP262" s="62" t="s">
        <v>1003</v>
      </c>
      <c r="AQ262" s="61" t="s">
        <v>1048</v>
      </c>
      <c r="AR262" s="64">
        <v>44870.423611111109</v>
      </c>
      <c r="AS262" s="61" t="s">
        <v>117</v>
      </c>
      <c r="AT262" s="61" t="s">
        <v>225</v>
      </c>
      <c r="AU262" s="59">
        <v>0.4236111111111111</v>
      </c>
      <c r="AV262" s="61">
        <v>1</v>
      </c>
      <c r="AW262" s="61" t="s">
        <v>66</v>
      </c>
      <c r="AX262" s="52"/>
      <c r="AY262" s="52"/>
      <c r="AZ262" s="52"/>
      <c r="BA262" s="52"/>
    </row>
    <row r="263" spans="1:54" x14ac:dyDescent="0.25">
      <c r="A263" s="48">
        <v>108</v>
      </c>
      <c r="B263" s="46">
        <v>44869.777777777781</v>
      </c>
      <c r="C263" s="36">
        <v>0.77777777777777779</v>
      </c>
      <c r="D263" s="36">
        <v>0.78472222222222221</v>
      </c>
      <c r="E263" s="67">
        <v>0.79166666666666663</v>
      </c>
      <c r="F263" s="68" t="s">
        <v>171</v>
      </c>
      <c r="G263" s="37" t="s">
        <v>136</v>
      </c>
      <c r="H263" s="60" t="s">
        <v>195</v>
      </c>
      <c r="I263" s="60" t="s">
        <v>195</v>
      </c>
      <c r="J263" s="60" t="s">
        <v>37</v>
      </c>
      <c r="K263" s="60" t="s">
        <v>180</v>
      </c>
      <c r="L263" s="60" t="s">
        <v>209</v>
      </c>
      <c r="M263" s="37" t="s">
        <v>1004</v>
      </c>
      <c r="N263" s="68" t="s">
        <v>42</v>
      </c>
      <c r="O263" s="37" t="s">
        <v>1001</v>
      </c>
      <c r="P263" s="37">
        <v>2101067529</v>
      </c>
      <c r="Q263" s="303">
        <f t="shared" si="36"/>
        <v>9</v>
      </c>
      <c r="R263" s="303">
        <f t="shared" si="37"/>
        <v>2239</v>
      </c>
      <c r="S263" s="37">
        <v>0</v>
      </c>
      <c r="T263" s="37">
        <v>0</v>
      </c>
      <c r="U263" s="37">
        <v>9</v>
      </c>
      <c r="V263" s="37">
        <f>275+276+276+209+264+263+190+221+265</f>
        <v>2239</v>
      </c>
      <c r="W263" s="37">
        <v>2272</v>
      </c>
      <c r="X263" s="37">
        <v>115</v>
      </c>
      <c r="Y263" s="37">
        <v>80</v>
      </c>
      <c r="Z263" s="37">
        <v>116</v>
      </c>
      <c r="AA263" s="37">
        <v>2</v>
      </c>
      <c r="AB263" s="300">
        <f t="shared" si="38"/>
        <v>355.73333333333335</v>
      </c>
      <c r="AC263" s="300">
        <f t="shared" si="39"/>
        <v>2.1429718875502011</v>
      </c>
      <c r="AD263" s="37" t="s">
        <v>48</v>
      </c>
      <c r="AE263" s="37" t="s">
        <v>48</v>
      </c>
      <c r="AF263" s="68" t="s">
        <v>317</v>
      </c>
      <c r="AG263" s="68" t="s">
        <v>317</v>
      </c>
      <c r="AH263" s="37" t="s">
        <v>1002</v>
      </c>
      <c r="AI263" s="309"/>
      <c r="AJ263" s="309"/>
      <c r="AK263" s="68" t="s">
        <v>41</v>
      </c>
      <c r="AL263" s="68" t="s">
        <v>39</v>
      </c>
      <c r="AM263" s="299">
        <f t="shared" ca="1" si="35"/>
        <v>0.64583333332848269</v>
      </c>
      <c r="AN263" s="51"/>
      <c r="AO263" s="61" t="s">
        <v>128</v>
      </c>
      <c r="AP263" s="62" t="s">
        <v>1004</v>
      </c>
      <c r="AQ263" s="61" t="s">
        <v>1049</v>
      </c>
      <c r="AR263" s="64">
        <v>44870.423611111109</v>
      </c>
      <c r="AS263" s="61" t="s">
        <v>117</v>
      </c>
      <c r="AT263" s="61" t="s">
        <v>225</v>
      </c>
      <c r="AU263" s="59">
        <v>0.4236111111111111</v>
      </c>
      <c r="AV263" s="61">
        <v>1</v>
      </c>
      <c r="AW263" s="61" t="s">
        <v>66</v>
      </c>
      <c r="AX263" s="52"/>
      <c r="AY263" s="52"/>
      <c r="AZ263" s="52"/>
      <c r="BA263" s="52"/>
    </row>
    <row r="264" spans="1:54" x14ac:dyDescent="0.25">
      <c r="A264" s="73">
        <v>108</v>
      </c>
      <c r="B264" s="72">
        <v>44869.777777777781</v>
      </c>
      <c r="C264" s="67">
        <v>0.77777777777777779</v>
      </c>
      <c r="D264" s="67">
        <v>0.78472222222222221</v>
      </c>
      <c r="E264" s="67">
        <v>0.79166666666666663</v>
      </c>
      <c r="F264" s="68" t="s">
        <v>171</v>
      </c>
      <c r="G264" s="68" t="s">
        <v>136</v>
      </c>
      <c r="H264" s="60" t="s">
        <v>195</v>
      </c>
      <c r="I264" s="60" t="s">
        <v>195</v>
      </c>
      <c r="J264" s="60" t="s">
        <v>37</v>
      </c>
      <c r="K264" s="60" t="s">
        <v>180</v>
      </c>
      <c r="L264" s="60" t="s">
        <v>209</v>
      </c>
      <c r="M264" s="68" t="s">
        <v>1004</v>
      </c>
      <c r="N264" s="68" t="s">
        <v>42</v>
      </c>
      <c r="O264" s="68" t="s">
        <v>1001</v>
      </c>
      <c r="P264" s="68">
        <v>2101067529</v>
      </c>
      <c r="Q264" s="303">
        <f t="shared" si="36"/>
        <v>0</v>
      </c>
      <c r="R264" s="303">
        <f t="shared" si="37"/>
        <v>0</v>
      </c>
      <c r="S264" s="68">
        <v>0</v>
      </c>
      <c r="T264" s="68">
        <v>0</v>
      </c>
      <c r="U264" s="68">
        <v>0</v>
      </c>
      <c r="V264" s="68">
        <v>0</v>
      </c>
      <c r="W264" s="68">
        <v>0</v>
      </c>
      <c r="X264" s="37">
        <v>115</v>
      </c>
      <c r="Y264" s="37">
        <v>80</v>
      </c>
      <c r="Z264" s="37">
        <v>130</v>
      </c>
      <c r="AA264" s="37">
        <v>4</v>
      </c>
      <c r="AB264" s="300">
        <f t="shared" si="38"/>
        <v>797.33333333333337</v>
      </c>
      <c r="AC264" s="300">
        <f t="shared" si="39"/>
        <v>4.8032128514056227</v>
      </c>
      <c r="AD264" s="37">
        <v>0</v>
      </c>
      <c r="AE264" s="68">
        <v>0</v>
      </c>
      <c r="AF264" s="68" t="s">
        <v>317</v>
      </c>
      <c r="AG264" s="68" t="s">
        <v>317</v>
      </c>
      <c r="AH264" s="68" t="s">
        <v>1002</v>
      </c>
      <c r="AI264" s="309"/>
      <c r="AJ264" s="309"/>
      <c r="AK264" s="68" t="s">
        <v>41</v>
      </c>
      <c r="AL264" s="68" t="s">
        <v>39</v>
      </c>
      <c r="AM264" s="299">
        <f t="shared" ca="1" si="35"/>
        <v>0.64583333332848269</v>
      </c>
      <c r="AN264" s="51"/>
      <c r="AO264" s="61" t="s">
        <v>128</v>
      </c>
      <c r="AP264" s="62" t="s">
        <v>1004</v>
      </c>
      <c r="AQ264" s="61" t="s">
        <v>1049</v>
      </c>
      <c r="AR264" s="64">
        <v>44870.423611111109</v>
      </c>
      <c r="AS264" s="61" t="s">
        <v>117</v>
      </c>
      <c r="AT264" s="61" t="s">
        <v>225</v>
      </c>
      <c r="AU264" s="59">
        <v>0.4236111111111111</v>
      </c>
      <c r="AV264" s="61">
        <v>1</v>
      </c>
      <c r="AW264" s="61" t="s">
        <v>66</v>
      </c>
      <c r="AX264" s="52"/>
      <c r="AY264" s="52"/>
      <c r="AZ264" s="52"/>
      <c r="BA264" s="52"/>
    </row>
    <row r="265" spans="1:54" x14ac:dyDescent="0.25">
      <c r="A265" s="73">
        <v>108</v>
      </c>
      <c r="B265" s="72">
        <v>44869.777777777781</v>
      </c>
      <c r="C265" s="67">
        <v>0.77777777777777779</v>
      </c>
      <c r="D265" s="67">
        <v>0.78472222222222221</v>
      </c>
      <c r="E265" s="67">
        <v>0.79166666666666663</v>
      </c>
      <c r="F265" s="68" t="s">
        <v>171</v>
      </c>
      <c r="G265" s="68" t="s">
        <v>136</v>
      </c>
      <c r="H265" s="60" t="s">
        <v>195</v>
      </c>
      <c r="I265" s="60" t="s">
        <v>195</v>
      </c>
      <c r="J265" s="60" t="s">
        <v>37</v>
      </c>
      <c r="K265" s="60" t="s">
        <v>180</v>
      </c>
      <c r="L265" s="60" t="s">
        <v>209</v>
      </c>
      <c r="M265" s="68" t="s">
        <v>1004</v>
      </c>
      <c r="N265" s="68" t="s">
        <v>42</v>
      </c>
      <c r="O265" s="68" t="s">
        <v>1001</v>
      </c>
      <c r="P265" s="68">
        <v>2101067529</v>
      </c>
      <c r="Q265" s="303">
        <f t="shared" si="36"/>
        <v>0</v>
      </c>
      <c r="R265" s="303">
        <f t="shared" si="37"/>
        <v>0</v>
      </c>
      <c r="S265" s="68">
        <v>0</v>
      </c>
      <c r="T265" s="68">
        <v>0</v>
      </c>
      <c r="U265" s="68">
        <v>0</v>
      </c>
      <c r="V265" s="68">
        <v>0</v>
      </c>
      <c r="W265" s="68">
        <v>0</v>
      </c>
      <c r="X265" s="37">
        <v>115</v>
      </c>
      <c r="Y265" s="37">
        <v>80</v>
      </c>
      <c r="Z265" s="37">
        <v>112</v>
      </c>
      <c r="AA265" s="37">
        <v>2</v>
      </c>
      <c r="AB265" s="300">
        <f t="shared" si="38"/>
        <v>343.46666666666664</v>
      </c>
      <c r="AC265" s="300">
        <f t="shared" si="39"/>
        <v>2.0690763052208836</v>
      </c>
      <c r="AD265" s="37">
        <v>0</v>
      </c>
      <c r="AE265" s="68">
        <v>0</v>
      </c>
      <c r="AF265" s="68" t="s">
        <v>317</v>
      </c>
      <c r="AG265" s="68" t="s">
        <v>317</v>
      </c>
      <c r="AH265" s="68" t="s">
        <v>1002</v>
      </c>
      <c r="AI265" s="309"/>
      <c r="AJ265" s="309"/>
      <c r="AK265" s="68" t="s">
        <v>41</v>
      </c>
      <c r="AL265" s="68" t="s">
        <v>39</v>
      </c>
      <c r="AM265" s="299">
        <f t="shared" ca="1" si="35"/>
        <v>0.64583333332848269</v>
      </c>
      <c r="AN265" s="51"/>
      <c r="AO265" s="61" t="s">
        <v>128</v>
      </c>
      <c r="AP265" s="62" t="s">
        <v>1004</v>
      </c>
      <c r="AQ265" s="61" t="s">
        <v>1049</v>
      </c>
      <c r="AR265" s="64">
        <v>44870.423611111109</v>
      </c>
      <c r="AS265" s="61" t="s">
        <v>117</v>
      </c>
      <c r="AT265" s="61" t="s">
        <v>225</v>
      </c>
      <c r="AU265" s="59">
        <v>0.4236111111111111</v>
      </c>
      <c r="AV265" s="61">
        <v>1</v>
      </c>
      <c r="AW265" s="61" t="s">
        <v>66</v>
      </c>
      <c r="AX265" s="52"/>
      <c r="AY265" s="52"/>
      <c r="AZ265" s="52"/>
      <c r="BA265" s="52"/>
    </row>
    <row r="266" spans="1:54" x14ac:dyDescent="0.25">
      <c r="A266" s="73">
        <v>108</v>
      </c>
      <c r="B266" s="72">
        <v>44869.777777777781</v>
      </c>
      <c r="C266" s="67">
        <v>0.77777777777777779</v>
      </c>
      <c r="D266" s="67">
        <v>0.78472222222222221</v>
      </c>
      <c r="E266" s="67">
        <v>0.79166666666666663</v>
      </c>
      <c r="F266" s="68" t="s">
        <v>171</v>
      </c>
      <c r="G266" s="68" t="s">
        <v>136</v>
      </c>
      <c r="H266" s="60" t="s">
        <v>195</v>
      </c>
      <c r="I266" s="60" t="s">
        <v>195</v>
      </c>
      <c r="J266" s="60" t="s">
        <v>37</v>
      </c>
      <c r="K266" s="60" t="s">
        <v>180</v>
      </c>
      <c r="L266" s="60" t="s">
        <v>209</v>
      </c>
      <c r="M266" s="68" t="s">
        <v>1004</v>
      </c>
      <c r="N266" s="68" t="s">
        <v>42</v>
      </c>
      <c r="O266" s="68" t="s">
        <v>1001</v>
      </c>
      <c r="P266" s="68">
        <v>2101067529</v>
      </c>
      <c r="Q266" s="303">
        <f t="shared" si="36"/>
        <v>0</v>
      </c>
      <c r="R266" s="303">
        <f t="shared" si="37"/>
        <v>0</v>
      </c>
      <c r="S266" s="68">
        <v>0</v>
      </c>
      <c r="T266" s="68">
        <v>0</v>
      </c>
      <c r="U266" s="68">
        <v>0</v>
      </c>
      <c r="V266" s="68">
        <v>0</v>
      </c>
      <c r="W266" s="68">
        <v>0</v>
      </c>
      <c r="X266" s="37">
        <v>115</v>
      </c>
      <c r="Y266" s="37">
        <v>80</v>
      </c>
      <c r="Z266" s="37">
        <v>126</v>
      </c>
      <c r="AA266" s="37">
        <v>1</v>
      </c>
      <c r="AB266" s="300">
        <f t="shared" si="38"/>
        <v>193.2</v>
      </c>
      <c r="AC266" s="300">
        <f t="shared" si="39"/>
        <v>1.1638554216867469</v>
      </c>
      <c r="AD266" s="37">
        <v>0</v>
      </c>
      <c r="AE266" s="68">
        <v>0</v>
      </c>
      <c r="AF266" s="68" t="s">
        <v>317</v>
      </c>
      <c r="AG266" s="68" t="s">
        <v>317</v>
      </c>
      <c r="AH266" s="68" t="s">
        <v>1002</v>
      </c>
      <c r="AI266" s="309"/>
      <c r="AJ266" s="309"/>
      <c r="AK266" s="68" t="s">
        <v>41</v>
      </c>
      <c r="AL266" s="68" t="s">
        <v>39</v>
      </c>
      <c r="AM266" s="299">
        <f t="shared" ca="1" si="35"/>
        <v>0.64583333332848269</v>
      </c>
      <c r="AN266" s="51"/>
      <c r="AO266" s="61" t="s">
        <v>128</v>
      </c>
      <c r="AP266" s="62" t="s">
        <v>1004</v>
      </c>
      <c r="AQ266" s="61" t="s">
        <v>1049</v>
      </c>
      <c r="AR266" s="64">
        <v>44870.423611111109</v>
      </c>
      <c r="AS266" s="61" t="s">
        <v>117</v>
      </c>
      <c r="AT266" s="61" t="s">
        <v>225</v>
      </c>
      <c r="AU266" s="59">
        <v>0.4236111111111111</v>
      </c>
      <c r="AV266" s="61">
        <v>1</v>
      </c>
      <c r="AW266" s="61" t="s">
        <v>66</v>
      </c>
      <c r="AX266" s="52"/>
      <c r="AY266" s="52"/>
      <c r="AZ266" s="52"/>
      <c r="BA266" s="52"/>
    </row>
    <row r="267" spans="1:54" x14ac:dyDescent="0.25">
      <c r="A267" s="73">
        <v>109</v>
      </c>
      <c r="B267" s="72">
        <v>44870.381944444445</v>
      </c>
      <c r="C267" s="67">
        <v>0.3888888888888889</v>
      </c>
      <c r="D267" s="67">
        <v>0.39583333333333331</v>
      </c>
      <c r="E267" s="67">
        <v>0.41666666666666669</v>
      </c>
      <c r="F267" s="68" t="s">
        <v>171</v>
      </c>
      <c r="G267" s="68" t="s">
        <v>1005</v>
      </c>
      <c r="H267" s="71" t="s">
        <v>199</v>
      </c>
      <c r="I267" s="71" t="s">
        <v>174</v>
      </c>
      <c r="J267" s="71" t="s">
        <v>37</v>
      </c>
      <c r="K267" s="71" t="s">
        <v>180</v>
      </c>
      <c r="L267" s="47" t="s">
        <v>206</v>
      </c>
      <c r="M267" s="68" t="s">
        <v>1006</v>
      </c>
      <c r="N267" s="68" t="s">
        <v>42</v>
      </c>
      <c r="O267" s="68">
        <v>274010677</v>
      </c>
      <c r="P267" s="68" t="s">
        <v>1007</v>
      </c>
      <c r="Q267" s="303">
        <f t="shared" si="36"/>
        <v>9</v>
      </c>
      <c r="R267" s="303">
        <f t="shared" si="37"/>
        <v>1552</v>
      </c>
      <c r="S267" s="68">
        <v>0</v>
      </c>
      <c r="T267" s="68">
        <v>0</v>
      </c>
      <c r="U267" s="68">
        <v>9</v>
      </c>
      <c r="V267" s="68">
        <v>1552</v>
      </c>
      <c r="W267" s="68">
        <v>1562.02</v>
      </c>
      <c r="X267" s="68">
        <v>123</v>
      </c>
      <c r="Y267" s="68">
        <v>83</v>
      </c>
      <c r="Z267" s="68">
        <v>75</v>
      </c>
      <c r="AA267" s="68">
        <v>9</v>
      </c>
      <c r="AB267" s="300">
        <f t="shared" si="38"/>
        <v>1148.5125</v>
      </c>
      <c r="AC267" s="300">
        <f t="shared" si="39"/>
        <v>6.9187500000000002</v>
      </c>
      <c r="AD267" s="68">
        <v>38571.120000000003</v>
      </c>
      <c r="AE267" s="68" t="s">
        <v>109</v>
      </c>
      <c r="AF267" s="68" t="s">
        <v>317</v>
      </c>
      <c r="AG267" s="68" t="s">
        <v>317</v>
      </c>
      <c r="AH267" s="68" t="s">
        <v>1008</v>
      </c>
      <c r="AI267" s="309"/>
      <c r="AJ267" s="309"/>
      <c r="AK267" s="68" t="s">
        <v>37</v>
      </c>
      <c r="AL267" s="68" t="s">
        <v>49</v>
      </c>
      <c r="AM267" s="299">
        <f t="shared" ca="1" si="35"/>
        <v>0.24652777777373558</v>
      </c>
      <c r="AN267" s="51"/>
      <c r="AO267" s="61" t="s">
        <v>232</v>
      </c>
      <c r="AP267" s="62" t="s">
        <v>1006</v>
      </c>
      <c r="AQ267" s="61" t="s">
        <v>1063</v>
      </c>
      <c r="AR267" s="64">
        <v>44870.628472222219</v>
      </c>
      <c r="AS267" s="61" t="s">
        <v>1064</v>
      </c>
      <c r="AT267" s="61" t="s">
        <v>65</v>
      </c>
      <c r="AU267" s="59">
        <v>0.62847222222222221</v>
      </c>
      <c r="AV267" s="61">
        <v>1</v>
      </c>
      <c r="AW267" s="61" t="s">
        <v>66</v>
      </c>
      <c r="AX267" s="52"/>
      <c r="AY267" s="52"/>
      <c r="AZ267" s="52"/>
      <c r="BA267" s="52"/>
    </row>
    <row r="268" spans="1:54" x14ac:dyDescent="0.25">
      <c r="A268" s="73">
        <v>110</v>
      </c>
      <c r="B268" s="72">
        <v>44870.395833333336</v>
      </c>
      <c r="C268" s="67">
        <v>0.39583333333333331</v>
      </c>
      <c r="D268" s="67">
        <v>0.40625</v>
      </c>
      <c r="E268" s="67">
        <v>0.41666666666666669</v>
      </c>
      <c r="F268" s="68" t="s">
        <v>171</v>
      </c>
      <c r="G268" s="68" t="s">
        <v>1009</v>
      </c>
      <c r="H268" s="66" t="s">
        <v>199</v>
      </c>
      <c r="I268" s="66" t="s">
        <v>174</v>
      </c>
      <c r="J268" s="66" t="s">
        <v>37</v>
      </c>
      <c r="K268" s="66" t="s">
        <v>180</v>
      </c>
      <c r="L268" s="70" t="s">
        <v>206</v>
      </c>
      <c r="M268" s="68" t="s">
        <v>1006</v>
      </c>
      <c r="N268" s="68" t="s">
        <v>42</v>
      </c>
      <c r="O268" s="68">
        <v>274010676</v>
      </c>
      <c r="P268" s="68" t="s">
        <v>1010</v>
      </c>
      <c r="Q268" s="303">
        <f t="shared" si="36"/>
        <v>3</v>
      </c>
      <c r="R268" s="303">
        <f t="shared" si="37"/>
        <v>459</v>
      </c>
      <c r="S268" s="68">
        <v>0</v>
      </c>
      <c r="T268" s="68">
        <v>0</v>
      </c>
      <c r="U268" s="68">
        <v>3</v>
      </c>
      <c r="V268" s="68">
        <v>459</v>
      </c>
      <c r="W268" s="68">
        <v>468.54</v>
      </c>
      <c r="X268" s="68">
        <v>123</v>
      </c>
      <c r="Y268" s="68">
        <v>83</v>
      </c>
      <c r="Z268" s="68">
        <v>75</v>
      </c>
      <c r="AA268" s="68">
        <v>3</v>
      </c>
      <c r="AB268" s="300">
        <f t="shared" si="38"/>
        <v>382.83749999999998</v>
      </c>
      <c r="AC268" s="300">
        <f t="shared" si="39"/>
        <v>2.3062499999999999</v>
      </c>
      <c r="AD268" s="68">
        <v>12044.64</v>
      </c>
      <c r="AE268" s="68" t="s">
        <v>109</v>
      </c>
      <c r="AF268" s="68" t="s">
        <v>317</v>
      </c>
      <c r="AG268" s="68" t="s">
        <v>317</v>
      </c>
      <c r="AH268" s="68" t="s">
        <v>1011</v>
      </c>
      <c r="AI268" s="309"/>
      <c r="AJ268" s="309"/>
      <c r="AK268" s="68" t="s">
        <v>37</v>
      </c>
      <c r="AL268" s="68" t="s">
        <v>54</v>
      </c>
      <c r="AM268" s="299">
        <f t="shared" ca="1" si="35"/>
        <v>0.23263888888322981</v>
      </c>
      <c r="AN268" s="51"/>
      <c r="AO268" s="61" t="s">
        <v>232</v>
      </c>
      <c r="AP268" s="62" t="s">
        <v>1006</v>
      </c>
      <c r="AQ268" s="61" t="s">
        <v>1063</v>
      </c>
      <c r="AR268" s="64">
        <v>44870.628472222219</v>
      </c>
      <c r="AS268" s="61" t="s">
        <v>1064</v>
      </c>
      <c r="AT268" s="61" t="s">
        <v>65</v>
      </c>
      <c r="AU268" s="59">
        <v>0.62847222222222221</v>
      </c>
      <c r="AV268" s="61">
        <v>1</v>
      </c>
      <c r="AW268" s="61" t="s">
        <v>66</v>
      </c>
      <c r="AX268" s="52"/>
      <c r="AY268" s="52"/>
      <c r="AZ268" s="52"/>
      <c r="BA268" s="52"/>
    </row>
    <row r="269" spans="1:54" x14ac:dyDescent="0.25">
      <c r="A269" s="73">
        <v>111</v>
      </c>
      <c r="B269" s="72">
        <v>44870.395833333336</v>
      </c>
      <c r="C269" s="67">
        <v>0.39583333333333331</v>
      </c>
      <c r="D269" s="67">
        <v>0.40625</v>
      </c>
      <c r="E269" s="67">
        <v>0.41666666666666669</v>
      </c>
      <c r="F269" s="68" t="s">
        <v>171</v>
      </c>
      <c r="G269" s="68" t="s">
        <v>1009</v>
      </c>
      <c r="H269" s="66" t="s">
        <v>199</v>
      </c>
      <c r="I269" s="66" t="s">
        <v>174</v>
      </c>
      <c r="J269" s="66" t="s">
        <v>37</v>
      </c>
      <c r="K269" s="66" t="s">
        <v>180</v>
      </c>
      <c r="L269" s="70" t="s">
        <v>206</v>
      </c>
      <c r="M269" s="68" t="s">
        <v>1006</v>
      </c>
      <c r="N269" s="68" t="s">
        <v>42</v>
      </c>
      <c r="O269" s="68">
        <v>274010675</v>
      </c>
      <c r="P269" s="68" t="s">
        <v>1012</v>
      </c>
      <c r="Q269" s="303">
        <f t="shared" si="36"/>
        <v>6</v>
      </c>
      <c r="R269" s="303">
        <f t="shared" si="37"/>
        <v>1040</v>
      </c>
      <c r="S269" s="68">
        <v>0</v>
      </c>
      <c r="T269" s="68">
        <v>0</v>
      </c>
      <c r="U269" s="68">
        <v>6</v>
      </c>
      <c r="V269" s="68">
        <v>1040</v>
      </c>
      <c r="W269" s="68">
        <v>1055.28</v>
      </c>
      <c r="X269" s="68">
        <v>123</v>
      </c>
      <c r="Y269" s="68">
        <v>83</v>
      </c>
      <c r="Z269" s="68">
        <v>75</v>
      </c>
      <c r="AA269" s="68">
        <v>6</v>
      </c>
      <c r="AB269" s="300">
        <f t="shared" si="38"/>
        <v>765.67499999999995</v>
      </c>
      <c r="AC269" s="300">
        <f t="shared" si="39"/>
        <v>4.6124999999999998</v>
      </c>
      <c r="AD269" s="68">
        <v>23921.52</v>
      </c>
      <c r="AE269" s="68" t="s">
        <v>109</v>
      </c>
      <c r="AF269" s="68" t="s">
        <v>317</v>
      </c>
      <c r="AG269" s="68" t="s">
        <v>317</v>
      </c>
      <c r="AH269" s="68" t="s">
        <v>1013</v>
      </c>
      <c r="AI269" s="309"/>
      <c r="AJ269" s="309"/>
      <c r="AK269" s="68" t="s">
        <v>37</v>
      </c>
      <c r="AL269" s="68" t="s">
        <v>54</v>
      </c>
      <c r="AM269" s="299">
        <f t="shared" ca="1" si="35"/>
        <v>0.23263888888322981</v>
      </c>
      <c r="AN269" s="51"/>
      <c r="AO269" s="61" t="s">
        <v>232</v>
      </c>
      <c r="AP269" s="62" t="s">
        <v>1006</v>
      </c>
      <c r="AQ269" s="61" t="s">
        <v>1063</v>
      </c>
      <c r="AR269" s="64">
        <v>44870.628472222219</v>
      </c>
      <c r="AS269" s="61" t="s">
        <v>1064</v>
      </c>
      <c r="AT269" s="61" t="s">
        <v>65</v>
      </c>
      <c r="AU269" s="59">
        <v>0.62847222222222221</v>
      </c>
      <c r="AV269" s="61">
        <v>1</v>
      </c>
      <c r="AW269" s="61" t="s">
        <v>66</v>
      </c>
      <c r="AX269" s="52"/>
      <c r="AY269" s="52"/>
      <c r="AZ269" s="52"/>
      <c r="BA269" s="52"/>
    </row>
    <row r="270" spans="1:54" x14ac:dyDescent="0.25">
      <c r="A270" s="73">
        <v>112</v>
      </c>
      <c r="B270" s="72">
        <v>44870.399305555555</v>
      </c>
      <c r="C270" s="67">
        <v>0.40277777777777773</v>
      </c>
      <c r="D270" s="67">
        <v>0.40972222222222227</v>
      </c>
      <c r="E270" s="67">
        <v>0.4236111111111111</v>
      </c>
      <c r="F270" s="68" t="s">
        <v>171</v>
      </c>
      <c r="G270" s="68" t="s">
        <v>117</v>
      </c>
      <c r="H270" s="66" t="s">
        <v>342</v>
      </c>
      <c r="I270" s="66" t="s">
        <v>342</v>
      </c>
      <c r="J270" s="66" t="s">
        <v>37</v>
      </c>
      <c r="K270" s="66" t="s">
        <v>180</v>
      </c>
      <c r="L270" s="66">
        <v>0</v>
      </c>
      <c r="M270" s="68" t="s">
        <v>1014</v>
      </c>
      <c r="N270" s="68" t="s">
        <v>42</v>
      </c>
      <c r="O270" s="68" t="s">
        <v>1015</v>
      </c>
      <c r="P270" s="68">
        <v>29545926</v>
      </c>
      <c r="Q270" s="303">
        <f t="shared" si="36"/>
        <v>3</v>
      </c>
      <c r="R270" s="303">
        <f t="shared" si="37"/>
        <v>1114</v>
      </c>
      <c r="S270" s="68">
        <v>0</v>
      </c>
      <c r="T270" s="68">
        <v>0</v>
      </c>
      <c r="U270" s="68">
        <v>3</v>
      </c>
      <c r="V270" s="68">
        <v>1114</v>
      </c>
      <c r="W270" s="68">
        <v>1200</v>
      </c>
      <c r="X270" s="68">
        <v>99</v>
      </c>
      <c r="Y270" s="68">
        <v>99</v>
      </c>
      <c r="Z270" s="68">
        <v>76</v>
      </c>
      <c r="AA270" s="68">
        <v>3</v>
      </c>
      <c r="AB270" s="300">
        <f t="shared" si="38"/>
        <v>372.43799999999999</v>
      </c>
      <c r="AC270" s="300">
        <f t="shared" si="39"/>
        <v>2.2436024096385543</v>
      </c>
      <c r="AD270" s="68">
        <v>7466.04</v>
      </c>
      <c r="AE270" s="68" t="s">
        <v>109</v>
      </c>
      <c r="AF270" s="68" t="s">
        <v>317</v>
      </c>
      <c r="AG270" s="68" t="s">
        <v>317</v>
      </c>
      <c r="AH270" s="68" t="s">
        <v>1016</v>
      </c>
      <c r="AI270" s="309"/>
      <c r="AJ270" s="309"/>
      <c r="AK270" s="68" t="s">
        <v>37</v>
      </c>
      <c r="AL270" s="68" t="s">
        <v>39</v>
      </c>
      <c r="AM270" s="299">
        <f t="shared" ca="1" si="35"/>
        <v>0.15277777778101154</v>
      </c>
      <c r="AN270" s="51"/>
      <c r="AO270" s="61" t="s">
        <v>107</v>
      </c>
      <c r="AP270" s="62" t="s">
        <v>1014</v>
      </c>
      <c r="AQ270" s="61" t="s">
        <v>1058</v>
      </c>
      <c r="AR270" s="64">
        <v>44870.552083333336</v>
      </c>
      <c r="AS270" s="61" t="s">
        <v>136</v>
      </c>
      <c r="AT270" s="61" t="s">
        <v>225</v>
      </c>
      <c r="AU270" s="63">
        <v>0.55208333333333337</v>
      </c>
      <c r="AV270" s="61">
        <v>1</v>
      </c>
      <c r="AW270" s="61" t="s">
        <v>66</v>
      </c>
      <c r="AX270" s="52"/>
      <c r="AY270" s="52"/>
      <c r="AZ270" s="52"/>
      <c r="BA270" s="52"/>
    </row>
    <row r="271" spans="1:54" ht="15.75" thickBot="1" x14ac:dyDescent="0.3">
      <c r="A271" s="73">
        <v>113</v>
      </c>
      <c r="B271" s="72">
        <v>44870.399305555555</v>
      </c>
      <c r="C271" s="67">
        <v>0.40277777777777773</v>
      </c>
      <c r="D271" s="67">
        <v>0.40972222222222227</v>
      </c>
      <c r="E271" s="67">
        <v>0.4236111111111111</v>
      </c>
      <c r="F271" s="68" t="s">
        <v>171</v>
      </c>
      <c r="G271" s="68" t="s">
        <v>117</v>
      </c>
      <c r="H271" s="66" t="s">
        <v>342</v>
      </c>
      <c r="I271" s="66" t="s">
        <v>342</v>
      </c>
      <c r="J271" s="66" t="s">
        <v>37</v>
      </c>
      <c r="K271" s="66" t="s">
        <v>180</v>
      </c>
      <c r="L271" s="66">
        <v>0</v>
      </c>
      <c r="M271" s="68" t="s">
        <v>1017</v>
      </c>
      <c r="N271" s="68" t="s">
        <v>42</v>
      </c>
      <c r="O271" s="68" t="s">
        <v>1018</v>
      </c>
      <c r="P271" s="68">
        <v>29545469</v>
      </c>
      <c r="Q271" s="303">
        <f t="shared" si="36"/>
        <v>1</v>
      </c>
      <c r="R271" s="303">
        <f t="shared" si="37"/>
        <v>657</v>
      </c>
      <c r="S271" s="68">
        <v>0</v>
      </c>
      <c r="T271" s="68">
        <v>0</v>
      </c>
      <c r="U271" s="68">
        <v>1</v>
      </c>
      <c r="V271" s="68">
        <v>657</v>
      </c>
      <c r="W271" s="68">
        <v>600</v>
      </c>
      <c r="X271" s="68">
        <v>99</v>
      </c>
      <c r="Y271" s="68">
        <v>99</v>
      </c>
      <c r="Z271" s="68">
        <v>76</v>
      </c>
      <c r="AA271" s="68">
        <v>1</v>
      </c>
      <c r="AB271" s="300">
        <f t="shared" si="38"/>
        <v>124.146</v>
      </c>
      <c r="AC271" s="300">
        <f t="shared" si="39"/>
        <v>0.74786746987951813</v>
      </c>
      <c r="AD271" s="68">
        <v>6624.96</v>
      </c>
      <c r="AE271" s="68" t="s">
        <v>109</v>
      </c>
      <c r="AF271" s="68" t="s">
        <v>317</v>
      </c>
      <c r="AG271" s="68" t="s">
        <v>317</v>
      </c>
      <c r="AH271" s="68" t="s">
        <v>1019</v>
      </c>
      <c r="AI271" s="309"/>
      <c r="AJ271" s="309"/>
      <c r="AK271" s="68" t="s">
        <v>37</v>
      </c>
      <c r="AL271" s="68" t="s">
        <v>39</v>
      </c>
      <c r="AM271" s="299">
        <f t="shared" ca="1" si="35"/>
        <v>0.15277777778101154</v>
      </c>
      <c r="AN271" s="51"/>
      <c r="AO271" s="61" t="s">
        <v>107</v>
      </c>
      <c r="AP271" s="62" t="s">
        <v>1017</v>
      </c>
      <c r="AQ271" s="61" t="s">
        <v>1059</v>
      </c>
      <c r="AR271" s="64">
        <v>44870.552083333336</v>
      </c>
      <c r="AS271" s="61" t="s">
        <v>136</v>
      </c>
      <c r="AT271" s="61" t="s">
        <v>225</v>
      </c>
      <c r="AU271" s="63">
        <v>0.55208333333333337</v>
      </c>
      <c r="AV271" s="61">
        <v>1</v>
      </c>
      <c r="AW271" s="61" t="s">
        <v>66</v>
      </c>
      <c r="AX271" s="52"/>
      <c r="AY271" s="52"/>
      <c r="AZ271" s="52"/>
      <c r="BA271" s="52"/>
    </row>
    <row r="272" spans="1:54" ht="15.75" thickBot="1" x14ac:dyDescent="0.3">
      <c r="A272" s="73">
        <v>114</v>
      </c>
      <c r="B272" s="72">
        <v>44870.416666666664</v>
      </c>
      <c r="C272" s="67">
        <v>0.41666666666666669</v>
      </c>
      <c r="D272" s="67">
        <v>0.4236111111111111</v>
      </c>
      <c r="E272" s="67">
        <v>0.43055555555555558</v>
      </c>
      <c r="F272" s="68" t="s">
        <v>170</v>
      </c>
      <c r="G272" s="68" t="s">
        <v>435</v>
      </c>
      <c r="H272" s="66" t="s">
        <v>227</v>
      </c>
      <c r="I272" s="66" t="s">
        <v>189</v>
      </c>
      <c r="J272" s="66" t="s">
        <v>37</v>
      </c>
      <c r="K272" s="66" t="s">
        <v>63</v>
      </c>
      <c r="L272" s="70" t="s">
        <v>206</v>
      </c>
      <c r="M272" s="68" t="s">
        <v>1021</v>
      </c>
      <c r="N272" s="68" t="s">
        <v>42</v>
      </c>
      <c r="O272" s="77">
        <v>853858</v>
      </c>
      <c r="P272" s="68">
        <v>3729</v>
      </c>
      <c r="Q272" s="303">
        <f t="shared" si="36"/>
        <v>3</v>
      </c>
      <c r="R272" s="303">
        <f t="shared" si="37"/>
        <v>580</v>
      </c>
      <c r="S272" s="68">
        <v>0</v>
      </c>
      <c r="T272" s="68">
        <v>0</v>
      </c>
      <c r="U272" s="68">
        <v>3</v>
      </c>
      <c r="V272" s="38">
        <v>580</v>
      </c>
      <c r="W272" s="38">
        <v>661.05</v>
      </c>
      <c r="X272" s="68">
        <v>161</v>
      </c>
      <c r="Y272" s="68">
        <v>138</v>
      </c>
      <c r="Z272" s="68">
        <v>79</v>
      </c>
      <c r="AA272" s="68">
        <v>3</v>
      </c>
      <c r="AB272" s="300">
        <f t="shared" si="38"/>
        <v>877.61099999999999</v>
      </c>
      <c r="AC272" s="300">
        <f t="shared" si="39"/>
        <v>5.2868132530120482</v>
      </c>
      <c r="AD272" s="68" t="s">
        <v>48</v>
      </c>
      <c r="AE272" s="68" t="s">
        <v>48</v>
      </c>
      <c r="AF272" s="68" t="s">
        <v>317</v>
      </c>
      <c r="AG272" s="68" t="s">
        <v>317</v>
      </c>
      <c r="AH272" s="68" t="s">
        <v>1022</v>
      </c>
      <c r="AI272" s="309"/>
      <c r="AJ272" s="309"/>
      <c r="AK272" s="68" t="s">
        <v>37</v>
      </c>
      <c r="AL272" s="68" t="s">
        <v>54</v>
      </c>
      <c r="AM272" s="299">
        <f t="shared" ca="1" si="35"/>
        <v>0.13541666667151731</v>
      </c>
      <c r="AN272" s="75"/>
      <c r="AO272" s="61" t="s">
        <v>89</v>
      </c>
      <c r="AP272" s="62" t="s">
        <v>1021</v>
      </c>
      <c r="AQ272" s="61" t="s">
        <v>1057</v>
      </c>
      <c r="AR272" s="64">
        <v>44870.552083333336</v>
      </c>
      <c r="AS272" s="61" t="s">
        <v>136</v>
      </c>
      <c r="AT272" s="61" t="s">
        <v>225</v>
      </c>
      <c r="AU272" s="63">
        <v>0.55208333333333337</v>
      </c>
      <c r="AV272" s="61">
        <v>1</v>
      </c>
      <c r="AW272" s="61" t="s">
        <v>66</v>
      </c>
      <c r="AX272" s="76"/>
      <c r="AY272" s="76"/>
      <c r="AZ272" s="76"/>
      <c r="BA272" s="76"/>
      <c r="BB272" s="74"/>
    </row>
    <row r="273" spans="1:54" ht="15.75" thickBot="1" x14ac:dyDescent="0.3">
      <c r="A273" s="73">
        <v>115</v>
      </c>
      <c r="B273" s="72">
        <v>44870.416666666664</v>
      </c>
      <c r="C273" s="67">
        <v>0.4236111111111111</v>
      </c>
      <c r="D273" s="67">
        <v>0.43402777777777773</v>
      </c>
      <c r="E273" s="67">
        <v>0.44097222222222227</v>
      </c>
      <c r="F273" s="68" t="s">
        <v>171</v>
      </c>
      <c r="G273" s="68" t="s">
        <v>95</v>
      </c>
      <c r="H273" s="66" t="s">
        <v>91</v>
      </c>
      <c r="I273" s="66" t="s">
        <v>91</v>
      </c>
      <c r="J273" s="66" t="s">
        <v>41</v>
      </c>
      <c r="K273" s="66" t="s">
        <v>180</v>
      </c>
      <c r="L273" s="70" t="s">
        <v>206</v>
      </c>
      <c r="M273" s="68" t="s">
        <v>1023</v>
      </c>
      <c r="N273" s="68" t="s">
        <v>44</v>
      </c>
      <c r="O273" s="68" t="s">
        <v>1024</v>
      </c>
      <c r="P273" s="68">
        <v>475922</v>
      </c>
      <c r="Q273" s="303">
        <f t="shared" si="36"/>
        <v>2</v>
      </c>
      <c r="R273" s="303">
        <f t="shared" si="37"/>
        <v>135</v>
      </c>
      <c r="S273" s="68">
        <v>0</v>
      </c>
      <c r="T273" s="68">
        <v>0</v>
      </c>
      <c r="U273" s="68">
        <v>2</v>
      </c>
      <c r="V273" s="68">
        <v>135</v>
      </c>
      <c r="W273" s="68">
        <v>150</v>
      </c>
      <c r="X273" s="68">
        <v>131</v>
      </c>
      <c r="Y273" s="68">
        <v>76</v>
      </c>
      <c r="Z273" s="68">
        <v>72</v>
      </c>
      <c r="AA273" s="68">
        <v>2</v>
      </c>
      <c r="AB273" s="300">
        <f t="shared" si="38"/>
        <v>238.94399999999999</v>
      </c>
      <c r="AC273" s="300">
        <f t="shared" si="39"/>
        <v>1.4394216867469878</v>
      </c>
      <c r="AD273" s="68">
        <v>10110.4</v>
      </c>
      <c r="AE273" s="68" t="s">
        <v>109</v>
      </c>
      <c r="AF273" s="68" t="s">
        <v>317</v>
      </c>
      <c r="AG273" s="68" t="s">
        <v>317</v>
      </c>
      <c r="AH273" s="68" t="s">
        <v>1025</v>
      </c>
      <c r="AI273" s="309"/>
      <c r="AJ273" s="309"/>
      <c r="AK273" s="68" t="s">
        <v>37</v>
      </c>
      <c r="AL273" s="68" t="s">
        <v>49</v>
      </c>
      <c r="AM273" s="299">
        <f t="shared" ca="1" si="35"/>
        <v>0.11805555555474712</v>
      </c>
      <c r="AN273" s="75"/>
      <c r="AO273" s="61" t="s">
        <v>53</v>
      </c>
      <c r="AP273" s="62" t="s">
        <v>1023</v>
      </c>
      <c r="AQ273" s="61" t="s">
        <v>1055</v>
      </c>
      <c r="AR273" s="64">
        <v>44870.534722222219</v>
      </c>
      <c r="AS273" s="57" t="s">
        <v>173</v>
      </c>
      <c r="AT273" s="61" t="s">
        <v>225</v>
      </c>
      <c r="AU273" s="63">
        <v>0.53472222222222221</v>
      </c>
      <c r="AV273" s="61">
        <v>1</v>
      </c>
      <c r="AW273" s="61" t="s">
        <v>66</v>
      </c>
      <c r="AX273" s="76"/>
      <c r="AY273" s="76"/>
      <c r="AZ273" s="76"/>
      <c r="BA273" s="76"/>
      <c r="BB273" s="74"/>
    </row>
    <row r="274" spans="1:54" ht="15.75" thickBot="1" x14ac:dyDescent="0.3">
      <c r="A274" s="73">
        <v>116</v>
      </c>
      <c r="B274" s="72">
        <v>44870.434027777781</v>
      </c>
      <c r="C274" s="67">
        <v>0.4375</v>
      </c>
      <c r="D274" s="67">
        <v>0.44444444444444442</v>
      </c>
      <c r="E274" s="67">
        <v>0.45833333333333331</v>
      </c>
      <c r="F274" s="68" t="s">
        <v>171</v>
      </c>
      <c r="G274" s="68" t="s">
        <v>1026</v>
      </c>
      <c r="H274" s="66" t="s">
        <v>370</v>
      </c>
      <c r="I274" s="66" t="s">
        <v>371</v>
      </c>
      <c r="J274" s="66" t="s">
        <v>37</v>
      </c>
      <c r="K274" s="66" t="s">
        <v>241</v>
      </c>
      <c r="L274" s="66">
        <v>0</v>
      </c>
      <c r="M274" s="68" t="s">
        <v>1027</v>
      </c>
      <c r="N274" s="68" t="s">
        <v>42</v>
      </c>
      <c r="O274" s="68" t="s">
        <v>1028</v>
      </c>
      <c r="P274" s="68" t="s">
        <v>1029</v>
      </c>
      <c r="Q274" s="303">
        <f t="shared" si="36"/>
        <v>2</v>
      </c>
      <c r="R274" s="303">
        <f t="shared" si="37"/>
        <v>25</v>
      </c>
      <c r="S274" s="68">
        <v>2</v>
      </c>
      <c r="T274" s="68">
        <v>25</v>
      </c>
      <c r="U274" s="68">
        <v>0</v>
      </c>
      <c r="V274" s="68">
        <v>0</v>
      </c>
      <c r="W274" s="68">
        <v>24</v>
      </c>
      <c r="X274" s="68">
        <v>60</v>
      </c>
      <c r="Y274" s="68">
        <v>50</v>
      </c>
      <c r="Z274" s="68">
        <v>50</v>
      </c>
      <c r="AA274" s="68">
        <v>2</v>
      </c>
      <c r="AB274" s="300">
        <f t="shared" si="38"/>
        <v>50</v>
      </c>
      <c r="AC274" s="300">
        <f t="shared" si="39"/>
        <v>0.30120481927710846</v>
      </c>
      <c r="AD274" s="68">
        <v>1435.5</v>
      </c>
      <c r="AE274" s="68" t="s">
        <v>111</v>
      </c>
      <c r="AF274" s="68" t="s">
        <v>317</v>
      </c>
      <c r="AG274" s="68" t="s">
        <v>317</v>
      </c>
      <c r="AH274" s="68" t="s">
        <v>1030</v>
      </c>
      <c r="AI274" s="309"/>
      <c r="AJ274" s="309"/>
      <c r="AK274" s="68" t="s">
        <v>48</v>
      </c>
      <c r="AL274" s="68" t="s">
        <v>56</v>
      </c>
      <c r="AM274" s="299">
        <f t="shared" ca="1" si="35"/>
        <v>5.0416666666642413</v>
      </c>
      <c r="AN274" s="75"/>
      <c r="AO274" s="61" t="s">
        <v>137</v>
      </c>
      <c r="AP274" s="62" t="s">
        <v>1027</v>
      </c>
      <c r="AQ274" s="61" t="s">
        <v>1387</v>
      </c>
      <c r="AR274" s="64">
        <v>44875.475694444445</v>
      </c>
      <c r="AS274" s="61" t="s">
        <v>126</v>
      </c>
      <c r="AT274" s="61" t="s">
        <v>225</v>
      </c>
      <c r="AU274" s="63">
        <v>0.47569444444444442</v>
      </c>
      <c r="AV274" s="61">
        <v>1</v>
      </c>
      <c r="AW274" s="61" t="s">
        <v>66</v>
      </c>
      <c r="AX274" s="76"/>
      <c r="AY274" s="76"/>
      <c r="AZ274" s="76"/>
      <c r="BA274" s="76"/>
      <c r="BB274" s="74"/>
    </row>
    <row r="275" spans="1:54" ht="15.75" thickBot="1" x14ac:dyDescent="0.3">
      <c r="A275" s="73">
        <v>117</v>
      </c>
      <c r="B275" s="72">
        <v>44870.434027777781</v>
      </c>
      <c r="C275" s="67">
        <v>0.4375</v>
      </c>
      <c r="D275" s="67">
        <v>0.44444444444444442</v>
      </c>
      <c r="E275" s="67">
        <v>0.45833333333333331</v>
      </c>
      <c r="F275" s="68" t="s">
        <v>171</v>
      </c>
      <c r="G275" s="68" t="s">
        <v>1026</v>
      </c>
      <c r="H275" s="66" t="s">
        <v>370</v>
      </c>
      <c r="I275" s="66" t="s">
        <v>371</v>
      </c>
      <c r="J275" s="66" t="s">
        <v>37</v>
      </c>
      <c r="K275" s="66" t="s">
        <v>241</v>
      </c>
      <c r="L275" s="66">
        <v>0</v>
      </c>
      <c r="M275" s="68" t="s">
        <v>1031</v>
      </c>
      <c r="N275" s="68" t="s">
        <v>42</v>
      </c>
      <c r="O275" s="68" t="s">
        <v>1032</v>
      </c>
      <c r="P275" s="68" t="s">
        <v>1033</v>
      </c>
      <c r="Q275" s="303">
        <f t="shared" si="36"/>
        <v>8</v>
      </c>
      <c r="R275" s="303">
        <f t="shared" si="37"/>
        <v>77</v>
      </c>
      <c r="S275" s="68">
        <v>8</v>
      </c>
      <c r="T275" s="68">
        <v>77</v>
      </c>
      <c r="U275" s="68">
        <v>0</v>
      </c>
      <c r="V275" s="68">
        <v>0</v>
      </c>
      <c r="W275" s="68">
        <v>86</v>
      </c>
      <c r="X275" s="68">
        <v>60</v>
      </c>
      <c r="Y275" s="68">
        <v>50</v>
      </c>
      <c r="Z275" s="68">
        <v>50</v>
      </c>
      <c r="AA275" s="68">
        <v>6</v>
      </c>
      <c r="AB275" s="300">
        <f t="shared" si="38"/>
        <v>150</v>
      </c>
      <c r="AC275" s="300">
        <f t="shared" si="39"/>
        <v>0.90361445783132532</v>
      </c>
      <c r="AD275" s="68">
        <v>3879.29</v>
      </c>
      <c r="AE275" s="68" t="s">
        <v>111</v>
      </c>
      <c r="AF275" s="68" t="s">
        <v>317</v>
      </c>
      <c r="AG275" s="68" t="s">
        <v>317</v>
      </c>
      <c r="AH275" s="68" t="s">
        <v>1034</v>
      </c>
      <c r="AI275" s="309"/>
      <c r="AJ275" s="309"/>
      <c r="AK275" s="68" t="s">
        <v>48</v>
      </c>
      <c r="AL275" s="68" t="s">
        <v>56</v>
      </c>
      <c r="AM275" s="299">
        <f t="shared" ca="1" si="35"/>
        <v>5.1805555555547471</v>
      </c>
      <c r="AN275" s="75"/>
      <c r="AO275" s="61" t="s">
        <v>135</v>
      </c>
      <c r="AP275" s="62" t="s">
        <v>1031</v>
      </c>
      <c r="AQ275" s="61" t="s">
        <v>1394</v>
      </c>
      <c r="AR275" s="64">
        <v>44875.614583333336</v>
      </c>
      <c r="AS275" s="61" t="s">
        <v>126</v>
      </c>
      <c r="AT275" s="61" t="s">
        <v>225</v>
      </c>
      <c r="AU275" s="63">
        <v>0.61458333333333337</v>
      </c>
      <c r="AV275" s="61">
        <v>2</v>
      </c>
      <c r="AW275" s="61" t="s">
        <v>66</v>
      </c>
      <c r="AX275" s="76"/>
      <c r="AY275" s="76"/>
      <c r="AZ275" s="76"/>
      <c r="BA275" s="76"/>
      <c r="BB275" s="74"/>
    </row>
    <row r="276" spans="1:54" ht="15.75" thickBot="1" x14ac:dyDescent="0.3">
      <c r="A276" s="73">
        <v>117</v>
      </c>
      <c r="B276" s="72">
        <v>44870.434027777781</v>
      </c>
      <c r="C276" s="67">
        <v>0.4375</v>
      </c>
      <c r="D276" s="67">
        <v>0.44444444444444442</v>
      </c>
      <c r="E276" s="67">
        <v>0.45833333333333331</v>
      </c>
      <c r="F276" s="68" t="s">
        <v>171</v>
      </c>
      <c r="G276" s="68" t="s">
        <v>1026</v>
      </c>
      <c r="H276" s="66" t="s">
        <v>370</v>
      </c>
      <c r="I276" s="66" t="s">
        <v>371</v>
      </c>
      <c r="J276" s="66" t="s">
        <v>37</v>
      </c>
      <c r="K276" s="66" t="s">
        <v>241</v>
      </c>
      <c r="L276" s="66">
        <v>0</v>
      </c>
      <c r="M276" s="68" t="s">
        <v>1031</v>
      </c>
      <c r="N276" s="68" t="s">
        <v>42</v>
      </c>
      <c r="O276" s="68" t="s">
        <v>1032</v>
      </c>
      <c r="P276" s="68" t="s">
        <v>1033</v>
      </c>
      <c r="Q276" s="303">
        <f t="shared" si="36"/>
        <v>0</v>
      </c>
      <c r="R276" s="303">
        <f t="shared" si="37"/>
        <v>0</v>
      </c>
      <c r="S276" s="68">
        <v>0</v>
      </c>
      <c r="T276" s="68">
        <v>0</v>
      </c>
      <c r="U276" s="68">
        <v>0</v>
      </c>
      <c r="V276" s="68">
        <v>0</v>
      </c>
      <c r="W276" s="68">
        <v>0</v>
      </c>
      <c r="X276" s="68">
        <v>60</v>
      </c>
      <c r="Y276" s="68">
        <v>50</v>
      </c>
      <c r="Z276" s="68">
        <v>30</v>
      </c>
      <c r="AA276" s="68">
        <v>2</v>
      </c>
      <c r="AB276" s="300">
        <f t="shared" si="38"/>
        <v>30</v>
      </c>
      <c r="AC276" s="300">
        <f t="shared" si="39"/>
        <v>0.18072289156626506</v>
      </c>
      <c r="AD276" s="68">
        <v>0</v>
      </c>
      <c r="AE276" s="68">
        <v>0</v>
      </c>
      <c r="AF276" s="68" t="s">
        <v>317</v>
      </c>
      <c r="AG276" s="68" t="s">
        <v>317</v>
      </c>
      <c r="AH276" s="68" t="s">
        <v>1034</v>
      </c>
      <c r="AI276" s="309"/>
      <c r="AJ276" s="309"/>
      <c r="AK276" s="68" t="s">
        <v>48</v>
      </c>
      <c r="AL276" s="68" t="s">
        <v>56</v>
      </c>
      <c r="AM276" s="299">
        <f t="shared" ca="1" si="35"/>
        <v>5.1805555555547471</v>
      </c>
      <c r="AN276" s="75"/>
      <c r="AO276" s="61" t="s">
        <v>135</v>
      </c>
      <c r="AP276" s="62" t="s">
        <v>1031</v>
      </c>
      <c r="AQ276" s="61" t="s">
        <v>1394</v>
      </c>
      <c r="AR276" s="64">
        <v>44875.614583333336</v>
      </c>
      <c r="AS276" s="61" t="s">
        <v>126</v>
      </c>
      <c r="AT276" s="61" t="s">
        <v>225</v>
      </c>
      <c r="AU276" s="63">
        <v>0.61458333333333337</v>
      </c>
      <c r="AV276" s="61">
        <v>2</v>
      </c>
      <c r="AW276" s="61" t="s">
        <v>66</v>
      </c>
      <c r="AX276" s="76"/>
      <c r="AY276" s="76"/>
      <c r="AZ276" s="76"/>
      <c r="BA276" s="76"/>
      <c r="BB276" s="74"/>
    </row>
    <row r="277" spans="1:54" ht="15.75" thickBot="1" x14ac:dyDescent="0.3">
      <c r="A277" s="73">
        <v>118</v>
      </c>
      <c r="B277" s="72">
        <v>44870.434027777781</v>
      </c>
      <c r="C277" s="67">
        <v>0.4375</v>
      </c>
      <c r="D277" s="67">
        <v>0.44444444444444442</v>
      </c>
      <c r="E277" s="67">
        <v>0.45833333333333331</v>
      </c>
      <c r="F277" s="68" t="s">
        <v>171</v>
      </c>
      <c r="G277" s="68" t="s">
        <v>1026</v>
      </c>
      <c r="H277" s="66" t="s">
        <v>370</v>
      </c>
      <c r="I277" s="66" t="s">
        <v>371</v>
      </c>
      <c r="J277" s="66" t="s">
        <v>37</v>
      </c>
      <c r="K277" s="66" t="s">
        <v>241</v>
      </c>
      <c r="L277" s="66">
        <v>0</v>
      </c>
      <c r="M277" s="68" t="s">
        <v>1035</v>
      </c>
      <c r="N277" s="68" t="s">
        <v>42</v>
      </c>
      <c r="O277" s="68" t="s">
        <v>1036</v>
      </c>
      <c r="P277" s="68" t="s">
        <v>1037</v>
      </c>
      <c r="Q277" s="303">
        <f t="shared" si="36"/>
        <v>22</v>
      </c>
      <c r="R277" s="303">
        <f t="shared" si="37"/>
        <v>257</v>
      </c>
      <c r="S277" s="68">
        <v>22</v>
      </c>
      <c r="T277" s="68">
        <v>257</v>
      </c>
      <c r="U277" s="68">
        <v>0</v>
      </c>
      <c r="V277" s="68">
        <v>0</v>
      </c>
      <c r="W277" s="68">
        <v>261</v>
      </c>
      <c r="X277" s="68">
        <v>60</v>
      </c>
      <c r="Y277" s="68">
        <v>50</v>
      </c>
      <c r="Z277" s="68">
        <v>50</v>
      </c>
      <c r="AA277" s="68">
        <v>21</v>
      </c>
      <c r="AB277" s="300">
        <f t="shared" si="38"/>
        <v>525</v>
      </c>
      <c r="AC277" s="300">
        <f t="shared" si="39"/>
        <v>3.1626506024096384</v>
      </c>
      <c r="AD277" s="68">
        <v>13960.79</v>
      </c>
      <c r="AE277" s="68" t="s">
        <v>111</v>
      </c>
      <c r="AF277" s="68" t="s">
        <v>317</v>
      </c>
      <c r="AG277" s="68" t="s">
        <v>317</v>
      </c>
      <c r="AH277" s="68" t="s">
        <v>1038</v>
      </c>
      <c r="AI277" s="309"/>
      <c r="AJ277" s="309"/>
      <c r="AK277" s="68" t="s">
        <v>48</v>
      </c>
      <c r="AL277" s="68" t="s">
        <v>56</v>
      </c>
      <c r="AM277" s="299">
        <f t="shared" ca="1" si="35"/>
        <v>6.2916666666642413</v>
      </c>
      <c r="AN277" s="75"/>
      <c r="AO277" s="61" t="s">
        <v>127</v>
      </c>
      <c r="AP277" s="62" t="s">
        <v>1035</v>
      </c>
      <c r="AQ277" s="61" t="s">
        <v>1515</v>
      </c>
      <c r="AR277" s="64">
        <v>44876.725694444445</v>
      </c>
      <c r="AS277" s="61" t="s">
        <v>126</v>
      </c>
      <c r="AT277" s="61" t="s">
        <v>225</v>
      </c>
      <c r="AU277" s="59">
        <v>0.72569444444444453</v>
      </c>
      <c r="AV277" s="61">
        <v>1</v>
      </c>
      <c r="AW277" s="61" t="s">
        <v>66</v>
      </c>
      <c r="AX277" s="76"/>
      <c r="AY277" s="76"/>
      <c r="AZ277" s="76"/>
      <c r="BA277" s="76"/>
      <c r="BB277" s="74"/>
    </row>
    <row r="278" spans="1:54" ht="15.75" thickBot="1" x14ac:dyDescent="0.3">
      <c r="A278" s="73">
        <v>118</v>
      </c>
      <c r="B278" s="72">
        <v>44870.434027777781</v>
      </c>
      <c r="C278" s="67">
        <v>0.4375</v>
      </c>
      <c r="D278" s="67">
        <v>0.44444444444444442</v>
      </c>
      <c r="E278" s="67">
        <v>0.45833333333333331</v>
      </c>
      <c r="F278" s="68" t="s">
        <v>171</v>
      </c>
      <c r="G278" s="68" t="s">
        <v>1026</v>
      </c>
      <c r="H278" s="66" t="s">
        <v>370</v>
      </c>
      <c r="I278" s="66" t="s">
        <v>371</v>
      </c>
      <c r="J278" s="66" t="s">
        <v>37</v>
      </c>
      <c r="K278" s="66" t="s">
        <v>241</v>
      </c>
      <c r="L278" s="66">
        <v>0</v>
      </c>
      <c r="M278" s="68" t="s">
        <v>1035</v>
      </c>
      <c r="N278" s="68" t="s">
        <v>42</v>
      </c>
      <c r="O278" s="68" t="s">
        <v>1036</v>
      </c>
      <c r="P278" s="68" t="s">
        <v>1037</v>
      </c>
      <c r="Q278" s="303">
        <f t="shared" si="36"/>
        <v>0</v>
      </c>
      <c r="R278" s="303">
        <f t="shared" si="37"/>
        <v>0</v>
      </c>
      <c r="S278" s="68">
        <v>0</v>
      </c>
      <c r="T278" s="68">
        <v>0</v>
      </c>
      <c r="U278" s="68">
        <v>0</v>
      </c>
      <c r="V278" s="68">
        <v>0</v>
      </c>
      <c r="W278" s="68">
        <v>0</v>
      </c>
      <c r="X278" s="68">
        <v>60</v>
      </c>
      <c r="Y278" s="68">
        <v>50</v>
      </c>
      <c r="Z278" s="68">
        <v>30</v>
      </c>
      <c r="AA278" s="68">
        <v>1</v>
      </c>
      <c r="AB278" s="300">
        <f t="shared" si="38"/>
        <v>15</v>
      </c>
      <c r="AC278" s="300">
        <f t="shared" si="39"/>
        <v>9.036144578313253E-2</v>
      </c>
      <c r="AD278" s="68">
        <v>0</v>
      </c>
      <c r="AE278" s="68">
        <v>0</v>
      </c>
      <c r="AF278" s="68" t="s">
        <v>317</v>
      </c>
      <c r="AG278" s="68" t="s">
        <v>317</v>
      </c>
      <c r="AH278" s="68" t="s">
        <v>1038</v>
      </c>
      <c r="AI278" s="309"/>
      <c r="AJ278" s="309"/>
      <c r="AK278" s="68" t="s">
        <v>48</v>
      </c>
      <c r="AL278" s="68" t="s">
        <v>56</v>
      </c>
      <c r="AM278" s="299">
        <f t="shared" ca="1" si="35"/>
        <v>6.2916666666642413</v>
      </c>
      <c r="AN278" s="75"/>
      <c r="AO278" s="61" t="s">
        <v>127</v>
      </c>
      <c r="AP278" s="62" t="s">
        <v>1035</v>
      </c>
      <c r="AQ278" s="61" t="s">
        <v>1515</v>
      </c>
      <c r="AR278" s="64">
        <v>44876.725694444445</v>
      </c>
      <c r="AS278" s="61" t="s">
        <v>126</v>
      </c>
      <c r="AT278" s="61" t="s">
        <v>225</v>
      </c>
      <c r="AU278" s="59">
        <v>0.72569444444444453</v>
      </c>
      <c r="AV278" s="61">
        <v>1</v>
      </c>
      <c r="AW278" s="61" t="s">
        <v>66</v>
      </c>
      <c r="AX278" s="76"/>
      <c r="AY278" s="76"/>
      <c r="AZ278" s="76"/>
      <c r="BA278" s="76"/>
      <c r="BB278" s="74"/>
    </row>
    <row r="279" spans="1:54" ht="15.75" thickBot="1" x14ac:dyDescent="0.3">
      <c r="A279" s="73">
        <v>119</v>
      </c>
      <c r="B279" s="72">
        <v>44870.479166666664</v>
      </c>
      <c r="C279" s="67">
        <v>0.47916666666666669</v>
      </c>
      <c r="D279" s="67">
        <v>0.4861111111111111</v>
      </c>
      <c r="E279" s="67">
        <v>0.49305555555555558</v>
      </c>
      <c r="F279" s="68" t="s">
        <v>170</v>
      </c>
      <c r="G279" s="68" t="s">
        <v>1039</v>
      </c>
      <c r="H279" s="71" t="s">
        <v>227</v>
      </c>
      <c r="I279" s="71" t="s">
        <v>189</v>
      </c>
      <c r="J279" s="71" t="s">
        <v>37</v>
      </c>
      <c r="K279" s="71" t="s">
        <v>63</v>
      </c>
      <c r="L279" s="47" t="s">
        <v>206</v>
      </c>
      <c r="M279" s="68" t="s">
        <v>1040</v>
      </c>
      <c r="N279" s="68" t="s">
        <v>43</v>
      </c>
      <c r="O279" s="77">
        <v>854855857858</v>
      </c>
      <c r="P279" s="68" t="s">
        <v>1041</v>
      </c>
      <c r="Q279" s="303">
        <f t="shared" si="36"/>
        <v>7</v>
      </c>
      <c r="R279" s="303">
        <f t="shared" si="37"/>
        <v>1567</v>
      </c>
      <c r="S279" s="68">
        <v>0</v>
      </c>
      <c r="T279" s="68">
        <v>0</v>
      </c>
      <c r="U279" s="68">
        <v>7</v>
      </c>
      <c r="V279" s="68">
        <v>1567</v>
      </c>
      <c r="W279" s="68">
        <v>1598.68</v>
      </c>
      <c r="X279" s="68">
        <v>160</v>
      </c>
      <c r="Y279" s="68">
        <v>137</v>
      </c>
      <c r="Z279" s="68">
        <v>79</v>
      </c>
      <c r="AA279" s="68">
        <v>4</v>
      </c>
      <c r="AB279" s="300">
        <f t="shared" si="38"/>
        <v>1154.4533333333334</v>
      </c>
      <c r="AC279" s="300">
        <f t="shared" si="39"/>
        <v>6.9545381526104419</v>
      </c>
      <c r="AD279" s="68" t="s">
        <v>48</v>
      </c>
      <c r="AE279" s="68" t="s">
        <v>48</v>
      </c>
      <c r="AF279" s="68" t="s">
        <v>317</v>
      </c>
      <c r="AG279" s="68" t="s">
        <v>317</v>
      </c>
      <c r="AH279" s="68" t="s">
        <v>1042</v>
      </c>
      <c r="AI279" s="309"/>
      <c r="AJ279" s="309"/>
      <c r="AK279" s="68" t="s">
        <v>37</v>
      </c>
      <c r="AL279" s="68" t="s">
        <v>49</v>
      </c>
      <c r="AM279" s="299">
        <f t="shared" ca="1" si="35"/>
        <v>8.3333333335758653E-2</v>
      </c>
      <c r="AN279" s="75"/>
      <c r="AO279" s="61" t="s">
        <v>179</v>
      </c>
      <c r="AP279" s="62" t="s">
        <v>1040</v>
      </c>
      <c r="AQ279" s="61" t="s">
        <v>1062</v>
      </c>
      <c r="AR279" s="64">
        <v>44870.5625</v>
      </c>
      <c r="AS279" s="61" t="s">
        <v>95</v>
      </c>
      <c r="AT279" s="61" t="s">
        <v>225</v>
      </c>
      <c r="AU279" s="59">
        <v>0.5625</v>
      </c>
      <c r="AV279" s="61">
        <v>1</v>
      </c>
      <c r="AW279" s="61" t="s">
        <v>66</v>
      </c>
      <c r="AX279" s="76"/>
      <c r="AY279" s="76"/>
      <c r="AZ279" s="76"/>
      <c r="BA279" s="76"/>
      <c r="BB279" s="74"/>
    </row>
    <row r="280" spans="1:54" ht="15.75" thickBot="1" x14ac:dyDescent="0.3">
      <c r="A280" s="73">
        <v>119</v>
      </c>
      <c r="B280" s="72">
        <v>44870.479166666664</v>
      </c>
      <c r="C280" s="67">
        <v>0.47916666666666669</v>
      </c>
      <c r="D280" s="67">
        <v>0.4861111111111111</v>
      </c>
      <c r="E280" s="67">
        <v>0.49305555555555558</v>
      </c>
      <c r="F280" s="68" t="s">
        <v>170</v>
      </c>
      <c r="G280" s="68" t="s">
        <v>1039</v>
      </c>
      <c r="H280" s="66" t="s">
        <v>227</v>
      </c>
      <c r="I280" s="66" t="s">
        <v>189</v>
      </c>
      <c r="J280" s="66" t="s">
        <v>37</v>
      </c>
      <c r="K280" s="66" t="s">
        <v>63</v>
      </c>
      <c r="L280" s="70" t="s">
        <v>206</v>
      </c>
      <c r="M280" s="68" t="s">
        <v>1040</v>
      </c>
      <c r="N280" s="68" t="s">
        <v>43</v>
      </c>
      <c r="O280" s="77">
        <v>854855857858</v>
      </c>
      <c r="P280" s="68" t="s">
        <v>1041</v>
      </c>
      <c r="Q280" s="303">
        <f t="shared" si="36"/>
        <v>0</v>
      </c>
      <c r="R280" s="303">
        <f t="shared" si="37"/>
        <v>0</v>
      </c>
      <c r="S280" s="68">
        <v>0</v>
      </c>
      <c r="T280" s="68">
        <v>0</v>
      </c>
      <c r="U280" s="68">
        <v>0</v>
      </c>
      <c r="V280" s="68">
        <v>0</v>
      </c>
      <c r="W280" s="68">
        <v>0</v>
      </c>
      <c r="X280" s="68">
        <v>170</v>
      </c>
      <c r="Y280" s="68">
        <v>97</v>
      </c>
      <c r="Z280" s="68">
        <v>95</v>
      </c>
      <c r="AA280" s="68">
        <v>3</v>
      </c>
      <c r="AB280" s="300">
        <f t="shared" si="38"/>
        <v>783.27499999999998</v>
      </c>
      <c r="AC280" s="300">
        <f t="shared" si="39"/>
        <v>4.7185240963855417</v>
      </c>
      <c r="AD280" s="68">
        <v>0</v>
      </c>
      <c r="AE280" s="68">
        <v>0</v>
      </c>
      <c r="AF280" s="68" t="s">
        <v>317</v>
      </c>
      <c r="AG280" s="68" t="s">
        <v>317</v>
      </c>
      <c r="AH280" s="68" t="s">
        <v>1042</v>
      </c>
      <c r="AI280" s="309"/>
      <c r="AJ280" s="309"/>
      <c r="AK280" s="68" t="s">
        <v>37</v>
      </c>
      <c r="AL280" s="68" t="s">
        <v>49</v>
      </c>
      <c r="AM280" s="299">
        <f t="shared" ca="1" si="35"/>
        <v>8.3333333335758653E-2</v>
      </c>
      <c r="AN280" s="75"/>
      <c r="AO280" s="61" t="s">
        <v>179</v>
      </c>
      <c r="AP280" s="62" t="s">
        <v>1040</v>
      </c>
      <c r="AQ280" s="61" t="s">
        <v>1062</v>
      </c>
      <c r="AR280" s="64">
        <v>44870.5625</v>
      </c>
      <c r="AS280" s="61" t="s">
        <v>95</v>
      </c>
      <c r="AT280" s="61" t="s">
        <v>225</v>
      </c>
      <c r="AU280" s="59">
        <v>0.5625</v>
      </c>
      <c r="AV280" s="61">
        <v>1</v>
      </c>
      <c r="AW280" s="61" t="s">
        <v>66</v>
      </c>
      <c r="AX280" s="76"/>
      <c r="AY280" s="76"/>
      <c r="AZ280" s="76"/>
      <c r="BA280" s="76"/>
      <c r="BB280" s="74"/>
    </row>
    <row r="281" spans="1:54" ht="15.75" thickBot="1" x14ac:dyDescent="0.3">
      <c r="A281" s="73">
        <v>120</v>
      </c>
      <c r="B281" s="72">
        <v>44870.611111111109</v>
      </c>
      <c r="C281" s="67">
        <v>0.61458333333333337</v>
      </c>
      <c r="D281" s="67">
        <v>0.61805555555555558</v>
      </c>
      <c r="E281" s="67">
        <v>0.625</v>
      </c>
      <c r="F281" s="68" t="s">
        <v>170</v>
      </c>
      <c r="G281" s="68" t="s">
        <v>373</v>
      </c>
      <c r="H281" s="66" t="s">
        <v>1043</v>
      </c>
      <c r="I281" s="66" t="s">
        <v>1044</v>
      </c>
      <c r="J281" s="66" t="s">
        <v>37</v>
      </c>
      <c r="K281" s="66" t="s">
        <v>63</v>
      </c>
      <c r="L281" s="66">
        <v>0</v>
      </c>
      <c r="M281" s="68" t="s">
        <v>1045</v>
      </c>
      <c r="N281" s="68" t="s">
        <v>1046</v>
      </c>
      <c r="O281" s="68">
        <v>251800388</v>
      </c>
      <c r="P281" s="68">
        <v>121</v>
      </c>
      <c r="Q281" s="303">
        <f t="shared" si="36"/>
        <v>1</v>
      </c>
      <c r="R281" s="303">
        <f t="shared" si="37"/>
        <v>186</v>
      </c>
      <c r="S281" s="68">
        <v>0</v>
      </c>
      <c r="T281" s="68">
        <v>0</v>
      </c>
      <c r="U281" s="68">
        <v>1</v>
      </c>
      <c r="V281" s="68">
        <v>186</v>
      </c>
      <c r="W281" s="68">
        <v>184</v>
      </c>
      <c r="X281" s="68">
        <v>58</v>
      </c>
      <c r="Y281" s="68">
        <v>49</v>
      </c>
      <c r="Z281" s="68">
        <v>61</v>
      </c>
      <c r="AA281" s="68">
        <v>1</v>
      </c>
      <c r="AB281" s="300">
        <f t="shared" si="38"/>
        <v>28.893666666666668</v>
      </c>
      <c r="AC281" s="300">
        <f t="shared" si="39"/>
        <v>0.17405823293172693</v>
      </c>
      <c r="AD281" s="68">
        <v>1144.5</v>
      </c>
      <c r="AE281" s="68" t="s">
        <v>111</v>
      </c>
      <c r="AF281" s="68" t="s">
        <v>317</v>
      </c>
      <c r="AG281" s="68" t="s">
        <v>317</v>
      </c>
      <c r="AH281" s="68" t="s">
        <v>1047</v>
      </c>
      <c r="AI281" s="309"/>
      <c r="AJ281" s="309"/>
      <c r="AK281" s="68" t="s">
        <v>37</v>
      </c>
      <c r="AL281" s="68" t="s">
        <v>58</v>
      </c>
      <c r="AM281" s="299">
        <f t="shared" ca="1" si="35"/>
        <v>3.125E-2</v>
      </c>
      <c r="AN281" s="75"/>
      <c r="AO281" s="61" t="s">
        <v>286</v>
      </c>
      <c r="AP281" s="61" t="s">
        <v>1045</v>
      </c>
      <c r="AQ281" s="61" t="s">
        <v>1066</v>
      </c>
      <c r="AR281" s="64">
        <v>44870.642361111109</v>
      </c>
      <c r="AS281" s="61" t="s">
        <v>88</v>
      </c>
      <c r="AT281" s="61" t="s">
        <v>65</v>
      </c>
      <c r="AU281" s="59">
        <v>0.64236111111111105</v>
      </c>
      <c r="AV281" s="61">
        <v>1</v>
      </c>
      <c r="AW281" s="61" t="s">
        <v>66</v>
      </c>
      <c r="AX281" s="76"/>
      <c r="AY281" s="76"/>
      <c r="AZ281" s="76"/>
      <c r="BA281" s="76"/>
      <c r="BB281" s="74"/>
    </row>
    <row r="282" spans="1:54" ht="15.75" thickBot="1" x14ac:dyDescent="0.3">
      <c r="A282" s="73">
        <v>121</v>
      </c>
      <c r="B282" s="72">
        <v>44870.611111111109</v>
      </c>
      <c r="C282" s="67">
        <v>0.61458333333333337</v>
      </c>
      <c r="D282" s="67">
        <v>0.61805555555555558</v>
      </c>
      <c r="E282" s="67">
        <v>0.65277777777777779</v>
      </c>
      <c r="F282" s="68" t="s">
        <v>170</v>
      </c>
      <c r="G282" s="68" t="s">
        <v>373</v>
      </c>
      <c r="H282" s="66" t="s">
        <v>46</v>
      </c>
      <c r="I282" s="66" t="s">
        <v>73</v>
      </c>
      <c r="J282" s="66" t="s">
        <v>41</v>
      </c>
      <c r="K282" s="66" t="s">
        <v>63</v>
      </c>
      <c r="L282" s="66" t="s">
        <v>214</v>
      </c>
      <c r="M282" s="68" t="s">
        <v>1067</v>
      </c>
      <c r="N282" s="68" t="s">
        <v>59</v>
      </c>
      <c r="O282" s="68" t="s">
        <v>1068</v>
      </c>
      <c r="P282" s="68">
        <v>5051959504</v>
      </c>
      <c r="Q282" s="303">
        <f t="shared" si="36"/>
        <v>2</v>
      </c>
      <c r="R282" s="303">
        <f t="shared" si="37"/>
        <v>434</v>
      </c>
      <c r="S282" s="68">
        <v>0</v>
      </c>
      <c r="T282" s="68">
        <v>0</v>
      </c>
      <c r="U282" s="68">
        <v>2</v>
      </c>
      <c r="V282" s="68">
        <v>434</v>
      </c>
      <c r="W282" s="68">
        <v>428</v>
      </c>
      <c r="X282" s="68">
        <v>95</v>
      </c>
      <c r="Y282" s="68">
        <v>94</v>
      </c>
      <c r="Z282" s="68">
        <v>52</v>
      </c>
      <c r="AA282" s="68">
        <v>1</v>
      </c>
      <c r="AB282" s="300">
        <f t="shared" si="38"/>
        <v>77.393333333333331</v>
      </c>
      <c r="AC282" s="300">
        <f t="shared" si="39"/>
        <v>0.46622489959839358</v>
      </c>
      <c r="AD282" s="68" t="s">
        <v>48</v>
      </c>
      <c r="AE282" s="68" t="s">
        <v>48</v>
      </c>
      <c r="AF282" s="68" t="s">
        <v>317</v>
      </c>
      <c r="AG282" s="68" t="s">
        <v>317</v>
      </c>
      <c r="AH282" s="68" t="s">
        <v>1069</v>
      </c>
      <c r="AI282" s="309"/>
      <c r="AJ282" s="309"/>
      <c r="AK282" s="68" t="s">
        <v>41</v>
      </c>
      <c r="AL282" s="68" t="s">
        <v>49</v>
      </c>
      <c r="AM282" s="299">
        <f t="shared" ca="1" si="35"/>
        <v>2.9618055555547471</v>
      </c>
      <c r="AN282" s="75"/>
      <c r="AO282" s="61" t="s">
        <v>70</v>
      </c>
      <c r="AP282" s="62" t="s">
        <v>1067</v>
      </c>
      <c r="AQ282" s="61" t="s">
        <v>1242</v>
      </c>
      <c r="AR282" s="64">
        <v>44873.572916666664</v>
      </c>
      <c r="AS282" s="61" t="s">
        <v>95</v>
      </c>
      <c r="AT282" s="61" t="s">
        <v>225</v>
      </c>
      <c r="AU282" s="59">
        <v>0.57291666666666663</v>
      </c>
      <c r="AV282" s="61">
        <v>1</v>
      </c>
      <c r="AW282" s="61" t="s">
        <v>66</v>
      </c>
      <c r="AX282" s="76"/>
      <c r="AY282" s="76"/>
      <c r="AZ282" s="76"/>
      <c r="BA282" s="76"/>
      <c r="BB282" s="74"/>
    </row>
    <row r="283" spans="1:54" ht="15.75" thickBot="1" x14ac:dyDescent="0.3">
      <c r="A283" s="73">
        <v>121</v>
      </c>
      <c r="B283" s="72">
        <v>44870.611111111109</v>
      </c>
      <c r="C283" s="67">
        <v>0.61458333333333337</v>
      </c>
      <c r="D283" s="67">
        <v>0.61805555555555558</v>
      </c>
      <c r="E283" s="67">
        <v>0.65277777777777779</v>
      </c>
      <c r="F283" s="68" t="s">
        <v>170</v>
      </c>
      <c r="G283" s="68" t="s">
        <v>373</v>
      </c>
      <c r="H283" s="66" t="s">
        <v>46</v>
      </c>
      <c r="I283" s="66" t="s">
        <v>73</v>
      </c>
      <c r="J283" s="66" t="s">
        <v>41</v>
      </c>
      <c r="K283" s="66" t="s">
        <v>63</v>
      </c>
      <c r="L283" s="66" t="s">
        <v>214</v>
      </c>
      <c r="M283" s="68" t="s">
        <v>1067</v>
      </c>
      <c r="N283" s="68" t="s">
        <v>59</v>
      </c>
      <c r="O283" s="68" t="s">
        <v>1068</v>
      </c>
      <c r="P283" s="68">
        <v>5051959504</v>
      </c>
      <c r="Q283" s="303">
        <f t="shared" si="36"/>
        <v>0</v>
      </c>
      <c r="R283" s="303">
        <f t="shared" si="37"/>
        <v>0</v>
      </c>
      <c r="S283" s="68">
        <v>0</v>
      </c>
      <c r="T283" s="68">
        <v>0</v>
      </c>
      <c r="U283" s="68">
        <v>0</v>
      </c>
      <c r="V283" s="68">
        <v>0</v>
      </c>
      <c r="W283" s="68">
        <v>0</v>
      </c>
      <c r="X283" s="68">
        <v>93</v>
      </c>
      <c r="Y283" s="68">
        <v>50</v>
      </c>
      <c r="Z283" s="68">
        <v>51</v>
      </c>
      <c r="AA283" s="68">
        <v>1</v>
      </c>
      <c r="AB283" s="300">
        <f t="shared" si="38"/>
        <v>39.524999999999999</v>
      </c>
      <c r="AC283" s="300">
        <f t="shared" si="39"/>
        <v>0.2381024096385542</v>
      </c>
      <c r="AD283" s="68">
        <v>0</v>
      </c>
      <c r="AE283" s="68">
        <v>0</v>
      </c>
      <c r="AF283" s="68" t="s">
        <v>317</v>
      </c>
      <c r="AG283" s="68" t="s">
        <v>317</v>
      </c>
      <c r="AH283" s="68" t="s">
        <v>1069</v>
      </c>
      <c r="AI283" s="309"/>
      <c r="AJ283" s="309"/>
      <c r="AK283" s="68" t="s">
        <v>41</v>
      </c>
      <c r="AL283" s="68" t="s">
        <v>49</v>
      </c>
      <c r="AM283" s="299">
        <f t="shared" ca="1" si="35"/>
        <v>2.9618055555547471</v>
      </c>
      <c r="AN283" s="75"/>
      <c r="AO283" s="61" t="s">
        <v>70</v>
      </c>
      <c r="AP283" s="62" t="s">
        <v>1067</v>
      </c>
      <c r="AQ283" s="61" t="s">
        <v>1242</v>
      </c>
      <c r="AR283" s="64">
        <v>44873.572916666664</v>
      </c>
      <c r="AS283" s="61" t="s">
        <v>95</v>
      </c>
      <c r="AT283" s="61" t="s">
        <v>225</v>
      </c>
      <c r="AU283" s="59">
        <v>0.57291666666666663</v>
      </c>
      <c r="AV283" s="61">
        <v>1</v>
      </c>
      <c r="AW283" s="61" t="s">
        <v>66</v>
      </c>
      <c r="AX283" s="76"/>
      <c r="AY283" s="76"/>
      <c r="AZ283" s="76"/>
      <c r="BA283" s="76"/>
      <c r="BB283" s="74"/>
    </row>
    <row r="284" spans="1:54" ht="15.75" thickBot="1" x14ac:dyDescent="0.3">
      <c r="A284" s="73">
        <v>122</v>
      </c>
      <c r="B284" s="72">
        <v>44870.611111111109</v>
      </c>
      <c r="C284" s="67">
        <v>0.61458333333333337</v>
      </c>
      <c r="D284" s="67">
        <v>0.61805555555555558</v>
      </c>
      <c r="E284" s="67">
        <v>0.65277777777777779</v>
      </c>
      <c r="F284" s="68" t="s">
        <v>170</v>
      </c>
      <c r="G284" s="68" t="s">
        <v>373</v>
      </c>
      <c r="H284" s="66" t="s">
        <v>57</v>
      </c>
      <c r="I284" s="66" t="s">
        <v>110</v>
      </c>
      <c r="J284" s="66" t="s">
        <v>37</v>
      </c>
      <c r="K284" s="66" t="s">
        <v>63</v>
      </c>
      <c r="L284" s="66" t="s">
        <v>209</v>
      </c>
      <c r="M284" s="68" t="s">
        <v>1073</v>
      </c>
      <c r="N284" s="68" t="s">
        <v>186</v>
      </c>
      <c r="O284" s="68" t="s">
        <v>1071</v>
      </c>
      <c r="P284" s="68">
        <v>81951919</v>
      </c>
      <c r="Q284" s="303">
        <f t="shared" si="36"/>
        <v>2</v>
      </c>
      <c r="R284" s="303">
        <f t="shared" si="37"/>
        <v>337</v>
      </c>
      <c r="S284" s="68">
        <v>0</v>
      </c>
      <c r="T284" s="68">
        <v>0</v>
      </c>
      <c r="U284" s="68">
        <v>2</v>
      </c>
      <c r="V284" s="68">
        <v>337</v>
      </c>
      <c r="W284" s="68">
        <v>332</v>
      </c>
      <c r="X284" s="68">
        <v>109</v>
      </c>
      <c r="Y284" s="68">
        <v>84</v>
      </c>
      <c r="Z284" s="68">
        <v>76</v>
      </c>
      <c r="AA284" s="68">
        <v>2</v>
      </c>
      <c r="AB284" s="300">
        <f t="shared" si="38"/>
        <v>231.952</v>
      </c>
      <c r="AC284" s="300">
        <f t="shared" si="39"/>
        <v>1.397301204819277</v>
      </c>
      <c r="AD284" s="68">
        <v>2818.2</v>
      </c>
      <c r="AE284" s="68" t="s">
        <v>109</v>
      </c>
      <c r="AF284" s="68" t="s">
        <v>317</v>
      </c>
      <c r="AG284" s="68" t="s">
        <v>317</v>
      </c>
      <c r="AH284" s="68" t="s">
        <v>1072</v>
      </c>
      <c r="AI284" s="309"/>
      <c r="AJ284" s="309"/>
      <c r="AK284" s="68" t="s">
        <v>37</v>
      </c>
      <c r="AL284" s="68" t="s">
        <v>49</v>
      </c>
      <c r="AM284" s="299">
        <f t="shared" ca="1" si="35"/>
        <v>4.1284722222262644</v>
      </c>
      <c r="AN284" s="75"/>
      <c r="AO284" s="78" t="s">
        <v>131</v>
      </c>
      <c r="AP284" s="62" t="s">
        <v>1073</v>
      </c>
      <c r="AQ284" s="61" t="s">
        <v>1331</v>
      </c>
      <c r="AR284" s="64">
        <v>44874.739583333336</v>
      </c>
      <c r="AS284" s="61" t="s">
        <v>117</v>
      </c>
      <c r="AT284" s="61" t="s">
        <v>225</v>
      </c>
      <c r="AU284" s="59">
        <v>0.73958333333333337</v>
      </c>
      <c r="AV284" s="61">
        <v>2</v>
      </c>
      <c r="AW284" s="61" t="s">
        <v>66</v>
      </c>
      <c r="AX284" s="76"/>
      <c r="AY284" s="76"/>
      <c r="AZ284" s="76"/>
      <c r="BA284" s="76"/>
      <c r="BB284" s="74"/>
    </row>
    <row r="285" spans="1:54" ht="15.75" thickBot="1" x14ac:dyDescent="0.3">
      <c r="A285" s="73">
        <v>123</v>
      </c>
      <c r="B285" s="72">
        <v>44870.611111111109</v>
      </c>
      <c r="C285" s="67">
        <v>0.61458333333333337</v>
      </c>
      <c r="D285" s="67">
        <v>0.61805555555555558</v>
      </c>
      <c r="E285" s="67">
        <v>0.65277777777777779</v>
      </c>
      <c r="F285" s="68" t="s">
        <v>170</v>
      </c>
      <c r="G285" s="68" t="s">
        <v>373</v>
      </c>
      <c r="H285" s="66" t="s">
        <v>57</v>
      </c>
      <c r="I285" s="66" t="s">
        <v>162</v>
      </c>
      <c r="J285" s="66" t="s">
        <v>37</v>
      </c>
      <c r="K285" s="66" t="s">
        <v>63</v>
      </c>
      <c r="L285" s="66" t="s">
        <v>209</v>
      </c>
      <c r="M285" s="68" t="s">
        <v>1070</v>
      </c>
      <c r="N285" s="68" t="s">
        <v>158</v>
      </c>
      <c r="O285" s="68" t="s">
        <v>1074</v>
      </c>
      <c r="P285" s="68">
        <v>81951945</v>
      </c>
      <c r="Q285" s="303">
        <f t="shared" si="36"/>
        <v>1</v>
      </c>
      <c r="R285" s="303">
        <f t="shared" si="37"/>
        <v>477</v>
      </c>
      <c r="S285" s="68">
        <v>0</v>
      </c>
      <c r="T285" s="68">
        <v>0</v>
      </c>
      <c r="U285" s="68">
        <v>1</v>
      </c>
      <c r="V285" s="68">
        <v>477</v>
      </c>
      <c r="W285" s="68">
        <v>472</v>
      </c>
      <c r="X285" s="68">
        <v>144</v>
      </c>
      <c r="Y285" s="68">
        <v>86</v>
      </c>
      <c r="Z285" s="68">
        <v>76</v>
      </c>
      <c r="AA285" s="68">
        <v>1</v>
      </c>
      <c r="AB285" s="300">
        <f t="shared" si="38"/>
        <v>156.864</v>
      </c>
      <c r="AC285" s="300">
        <f t="shared" si="39"/>
        <v>0.94496385542168682</v>
      </c>
      <c r="AD285" s="68">
        <v>4336.5</v>
      </c>
      <c r="AE285" s="68" t="s">
        <v>109</v>
      </c>
      <c r="AF285" s="68" t="s">
        <v>317</v>
      </c>
      <c r="AG285" s="68" t="s">
        <v>317</v>
      </c>
      <c r="AH285" s="68" t="s">
        <v>1075</v>
      </c>
      <c r="AI285" s="309"/>
      <c r="AJ285" s="309"/>
      <c r="AK285" s="68" t="s">
        <v>37</v>
      </c>
      <c r="AL285" s="68" t="s">
        <v>49</v>
      </c>
      <c r="AM285" s="299">
        <f t="shared" ca="1" si="35"/>
        <v>2.8506944444452529</v>
      </c>
      <c r="AN285" s="75"/>
      <c r="AO285" s="61" t="s">
        <v>159</v>
      </c>
      <c r="AP285" s="62" t="s">
        <v>1070</v>
      </c>
      <c r="AQ285" s="62" t="s">
        <v>1234</v>
      </c>
      <c r="AR285" s="64">
        <v>44873.461805555555</v>
      </c>
      <c r="AS285" s="63" t="s">
        <v>203</v>
      </c>
      <c r="AT285" s="61">
        <v>407</v>
      </c>
      <c r="AU285" s="63">
        <v>0.46180555555555558</v>
      </c>
      <c r="AV285" s="61">
        <v>1</v>
      </c>
      <c r="AW285" s="61" t="s">
        <v>66</v>
      </c>
      <c r="AX285" s="76"/>
      <c r="AY285" s="76"/>
      <c r="AZ285" s="76"/>
      <c r="BA285" s="76"/>
      <c r="BB285" s="74"/>
    </row>
    <row r="286" spans="1:54" ht="15.75" thickBot="1" x14ac:dyDescent="0.3">
      <c r="A286" s="73">
        <v>124</v>
      </c>
      <c r="B286" s="72">
        <v>44870.611111111109</v>
      </c>
      <c r="C286" s="67">
        <v>0.61458333333333337</v>
      </c>
      <c r="D286" s="67">
        <v>0.61805555555555558</v>
      </c>
      <c r="E286" s="67">
        <v>0.65277777777777779</v>
      </c>
      <c r="F286" s="68" t="s">
        <v>170</v>
      </c>
      <c r="G286" s="68" t="s">
        <v>373</v>
      </c>
      <c r="H286" s="66" t="s">
        <v>55</v>
      </c>
      <c r="I286" s="66" t="s">
        <v>92</v>
      </c>
      <c r="J286" s="66" t="s">
        <v>37</v>
      </c>
      <c r="K286" s="66" t="s">
        <v>63</v>
      </c>
      <c r="L286" s="66" t="s">
        <v>216</v>
      </c>
      <c r="M286" s="68" t="s">
        <v>1076</v>
      </c>
      <c r="N286" s="68" t="s">
        <v>42</v>
      </c>
      <c r="O286" s="68">
        <v>92200715</v>
      </c>
      <c r="P286" s="68" t="s">
        <v>1077</v>
      </c>
      <c r="Q286" s="303">
        <f t="shared" si="36"/>
        <v>1</v>
      </c>
      <c r="R286" s="303">
        <f t="shared" si="37"/>
        <v>277</v>
      </c>
      <c r="S286" s="68">
        <v>0</v>
      </c>
      <c r="T286" s="68">
        <v>0</v>
      </c>
      <c r="U286" s="68">
        <v>1</v>
      </c>
      <c r="V286" s="68">
        <v>277</v>
      </c>
      <c r="W286" s="68">
        <v>272.60000000000002</v>
      </c>
      <c r="X286" s="68">
        <v>106</v>
      </c>
      <c r="Y286" s="68">
        <v>72</v>
      </c>
      <c r="Z286" s="68">
        <v>54</v>
      </c>
      <c r="AA286" s="68">
        <v>1</v>
      </c>
      <c r="AB286" s="300">
        <f t="shared" si="38"/>
        <v>68.688000000000002</v>
      </c>
      <c r="AC286" s="300">
        <f t="shared" si="39"/>
        <v>0.4137831325301205</v>
      </c>
      <c r="AD286" s="68">
        <v>2255.79</v>
      </c>
      <c r="AE286" s="68" t="s">
        <v>109</v>
      </c>
      <c r="AF286" s="68" t="s">
        <v>317</v>
      </c>
      <c r="AG286" s="68" t="s">
        <v>317</v>
      </c>
      <c r="AH286" s="68" t="s">
        <v>1078</v>
      </c>
      <c r="AI286" s="309"/>
      <c r="AJ286" s="309"/>
      <c r="AK286" s="68" t="s">
        <v>37</v>
      </c>
      <c r="AL286" s="68" t="s">
        <v>49</v>
      </c>
      <c r="AM286" s="299">
        <f t="shared" ca="1" si="35"/>
        <v>2.9513888888905058</v>
      </c>
      <c r="AN286" s="75"/>
      <c r="AO286" s="61" t="s">
        <v>120</v>
      </c>
      <c r="AP286" s="62" t="s">
        <v>1076</v>
      </c>
      <c r="AQ286" s="61" t="s">
        <v>1241</v>
      </c>
      <c r="AR286" s="64">
        <v>44873.5625</v>
      </c>
      <c r="AS286" s="61" t="s">
        <v>136</v>
      </c>
      <c r="AT286" s="61" t="s">
        <v>225</v>
      </c>
      <c r="AU286" s="63">
        <v>0.5625</v>
      </c>
      <c r="AV286" s="61">
        <v>1</v>
      </c>
      <c r="AW286" s="61" t="s">
        <v>66</v>
      </c>
      <c r="AX286" s="76"/>
      <c r="AY286" s="76"/>
      <c r="AZ286" s="76"/>
      <c r="BA286" s="76"/>
      <c r="BB286" s="74"/>
    </row>
    <row r="287" spans="1:54" ht="15.75" thickBot="1" x14ac:dyDescent="0.3">
      <c r="A287" s="73">
        <v>125</v>
      </c>
      <c r="B287" s="72">
        <v>44870.611111111109</v>
      </c>
      <c r="C287" s="67">
        <v>0.61458333333333337</v>
      </c>
      <c r="D287" s="67">
        <v>0.61805555555555558</v>
      </c>
      <c r="E287" s="67">
        <v>0.65277777777777779</v>
      </c>
      <c r="F287" s="68" t="s">
        <v>170</v>
      </c>
      <c r="G287" s="68" t="s">
        <v>373</v>
      </c>
      <c r="H287" s="66" t="s">
        <v>55</v>
      </c>
      <c r="I287" s="66" t="s">
        <v>73</v>
      </c>
      <c r="J287" s="66" t="s">
        <v>37</v>
      </c>
      <c r="K287" s="66" t="s">
        <v>63</v>
      </c>
      <c r="L287" s="66" t="s">
        <v>216</v>
      </c>
      <c r="M287" s="68" t="s">
        <v>1079</v>
      </c>
      <c r="N287" s="68" t="s">
        <v>59</v>
      </c>
      <c r="O287" s="68">
        <v>92200714</v>
      </c>
      <c r="P287" s="68" t="s">
        <v>1080</v>
      </c>
      <c r="Q287" s="303">
        <f t="shared" si="36"/>
        <v>1</v>
      </c>
      <c r="R287" s="303">
        <f t="shared" si="37"/>
        <v>106</v>
      </c>
      <c r="S287" s="68">
        <v>0</v>
      </c>
      <c r="T287" s="68">
        <v>0</v>
      </c>
      <c r="U287" s="68">
        <v>1</v>
      </c>
      <c r="V287" s="68">
        <v>106</v>
      </c>
      <c r="W287" s="68">
        <v>105.4</v>
      </c>
      <c r="X287" s="68">
        <v>55</v>
      </c>
      <c r="Y287" s="68">
        <v>55</v>
      </c>
      <c r="Z287" s="68">
        <v>41</v>
      </c>
      <c r="AA287" s="68">
        <v>1</v>
      </c>
      <c r="AB287" s="300">
        <f t="shared" si="38"/>
        <v>20.670833333333334</v>
      </c>
      <c r="AC287" s="300">
        <f t="shared" si="39"/>
        <v>0.12452309236947792</v>
      </c>
      <c r="AD287" s="68">
        <v>1291.2</v>
      </c>
      <c r="AE287" s="68" t="s">
        <v>109</v>
      </c>
      <c r="AF287" s="68" t="s">
        <v>317</v>
      </c>
      <c r="AG287" s="68" t="s">
        <v>317</v>
      </c>
      <c r="AH287" s="68" t="s">
        <v>1081</v>
      </c>
      <c r="AI287" s="309"/>
      <c r="AJ287" s="309"/>
      <c r="AK287" s="68" t="s">
        <v>37</v>
      </c>
      <c r="AL287" s="68" t="s">
        <v>49</v>
      </c>
      <c r="AM287" s="299">
        <f t="shared" ca="1" si="35"/>
        <v>2.9618055555547471</v>
      </c>
      <c r="AN287" s="75"/>
      <c r="AO287" s="61" t="s">
        <v>70</v>
      </c>
      <c r="AP287" s="62" t="s">
        <v>1079</v>
      </c>
      <c r="AQ287" s="61" t="s">
        <v>1242</v>
      </c>
      <c r="AR287" s="64">
        <v>44873.572916666664</v>
      </c>
      <c r="AS287" s="61" t="s">
        <v>95</v>
      </c>
      <c r="AT287" s="61" t="s">
        <v>225</v>
      </c>
      <c r="AU287" s="59">
        <v>0.57291666666666663</v>
      </c>
      <c r="AV287" s="61">
        <v>1</v>
      </c>
      <c r="AW287" s="61" t="s">
        <v>66</v>
      </c>
      <c r="AX287" s="76"/>
      <c r="AY287" s="76"/>
      <c r="AZ287" s="76"/>
      <c r="BA287" s="76"/>
      <c r="BB287" s="74"/>
    </row>
    <row r="288" spans="1:54" ht="15.75" thickBot="1" x14ac:dyDescent="0.3">
      <c r="A288" s="73">
        <v>126</v>
      </c>
      <c r="B288" s="72">
        <v>44870.611111111109</v>
      </c>
      <c r="C288" s="67">
        <v>0.61458333333333337</v>
      </c>
      <c r="D288" s="67">
        <v>0.61805555555555558</v>
      </c>
      <c r="E288" s="67">
        <v>0.65277777777777779</v>
      </c>
      <c r="F288" s="68" t="s">
        <v>170</v>
      </c>
      <c r="G288" s="68" t="s">
        <v>373</v>
      </c>
      <c r="H288" s="66" t="s">
        <v>129</v>
      </c>
      <c r="I288" s="66" t="s">
        <v>71</v>
      </c>
      <c r="J288" s="66" t="s">
        <v>37</v>
      </c>
      <c r="K288" s="66" t="s">
        <v>63</v>
      </c>
      <c r="L288" s="66" t="s">
        <v>221</v>
      </c>
      <c r="M288" s="68" t="s">
        <v>1082</v>
      </c>
      <c r="N288" s="68" t="s">
        <v>139</v>
      </c>
      <c r="O288" s="68" t="s">
        <v>1083</v>
      </c>
      <c r="P288" s="68">
        <v>5051946825</v>
      </c>
      <c r="Q288" s="303">
        <f t="shared" si="36"/>
        <v>2</v>
      </c>
      <c r="R288" s="303">
        <f t="shared" si="37"/>
        <v>491</v>
      </c>
      <c r="S288" s="68">
        <v>0</v>
      </c>
      <c r="T288" s="68">
        <v>0</v>
      </c>
      <c r="U288" s="68">
        <v>2</v>
      </c>
      <c r="V288" s="68">
        <v>491</v>
      </c>
      <c r="W288" s="68">
        <v>485</v>
      </c>
      <c r="X288" s="68">
        <v>100</v>
      </c>
      <c r="Y288" s="68">
        <v>72</v>
      </c>
      <c r="Z288" s="68">
        <v>66</v>
      </c>
      <c r="AA288" s="68">
        <v>1</v>
      </c>
      <c r="AB288" s="300">
        <f t="shared" si="38"/>
        <v>79.2</v>
      </c>
      <c r="AC288" s="300">
        <f t="shared" si="39"/>
        <v>0.47710843373493977</v>
      </c>
      <c r="AD288" s="68" t="s">
        <v>48</v>
      </c>
      <c r="AE288" s="68" t="s">
        <v>48</v>
      </c>
      <c r="AF288" s="68" t="s">
        <v>317</v>
      </c>
      <c r="AG288" s="68" t="s">
        <v>317</v>
      </c>
      <c r="AH288" s="68" t="s">
        <v>1084</v>
      </c>
      <c r="AI288" s="309"/>
      <c r="AJ288" s="309"/>
      <c r="AK288" s="68" t="s">
        <v>37</v>
      </c>
      <c r="AL288" s="68" t="s">
        <v>49</v>
      </c>
      <c r="AM288" s="299">
        <f t="shared" ca="1" si="35"/>
        <v>2.9618055555547471</v>
      </c>
      <c r="AN288" s="75"/>
      <c r="AO288" s="61" t="s">
        <v>72</v>
      </c>
      <c r="AP288" s="90" t="s">
        <v>1082</v>
      </c>
      <c r="AQ288" s="63" t="s">
        <v>1243</v>
      </c>
      <c r="AR288" s="64">
        <v>44873.572916666664</v>
      </c>
      <c r="AS288" s="61" t="s">
        <v>95</v>
      </c>
      <c r="AT288" s="61" t="s">
        <v>225</v>
      </c>
      <c r="AU288" s="59">
        <v>0.57291666666666663</v>
      </c>
      <c r="AV288" s="61">
        <v>1</v>
      </c>
      <c r="AW288" s="61" t="s">
        <v>66</v>
      </c>
      <c r="AX288" s="76"/>
      <c r="AY288" s="76"/>
      <c r="AZ288" s="76"/>
      <c r="BA288" s="76"/>
      <c r="BB288" s="74"/>
    </row>
    <row r="289" spans="1:54" ht="15.75" thickBot="1" x14ac:dyDescent="0.3">
      <c r="A289" s="73">
        <v>126</v>
      </c>
      <c r="B289" s="72">
        <v>44870.611111111109</v>
      </c>
      <c r="C289" s="67">
        <v>0.61458333333333337</v>
      </c>
      <c r="D289" s="67">
        <v>0.61805555555555558</v>
      </c>
      <c r="E289" s="67">
        <v>0.65277777777777779</v>
      </c>
      <c r="F289" s="68" t="s">
        <v>170</v>
      </c>
      <c r="G289" s="68" t="s">
        <v>373</v>
      </c>
      <c r="H289" s="66" t="s">
        <v>129</v>
      </c>
      <c r="I289" s="66" t="s">
        <v>71</v>
      </c>
      <c r="J289" s="66" t="s">
        <v>37</v>
      </c>
      <c r="K289" s="66" t="s">
        <v>63</v>
      </c>
      <c r="L289" s="66" t="s">
        <v>221</v>
      </c>
      <c r="M289" s="68" t="s">
        <v>1082</v>
      </c>
      <c r="N289" s="68" t="s">
        <v>139</v>
      </c>
      <c r="O289" s="68" t="s">
        <v>1083</v>
      </c>
      <c r="P289" s="68">
        <v>5051946825</v>
      </c>
      <c r="Q289" s="303">
        <f t="shared" si="36"/>
        <v>0</v>
      </c>
      <c r="R289" s="303">
        <f t="shared" si="37"/>
        <v>0</v>
      </c>
      <c r="S289" s="68">
        <v>0</v>
      </c>
      <c r="T289" s="68">
        <v>0</v>
      </c>
      <c r="U289" s="68">
        <v>0</v>
      </c>
      <c r="V289" s="68">
        <v>0</v>
      </c>
      <c r="W289" s="68">
        <v>0</v>
      </c>
      <c r="X289" s="68">
        <v>61</v>
      </c>
      <c r="Y289" s="68">
        <v>61</v>
      </c>
      <c r="Z289" s="68">
        <v>54</v>
      </c>
      <c r="AA289" s="68">
        <v>1</v>
      </c>
      <c r="AB289" s="300">
        <f t="shared" si="38"/>
        <v>33.488999999999997</v>
      </c>
      <c r="AC289" s="300">
        <f t="shared" si="39"/>
        <v>0.20174096385542167</v>
      </c>
      <c r="AD289" s="68">
        <v>0</v>
      </c>
      <c r="AE289" s="68">
        <v>0</v>
      </c>
      <c r="AF289" s="68" t="s">
        <v>317</v>
      </c>
      <c r="AG289" s="68" t="s">
        <v>317</v>
      </c>
      <c r="AH289" s="68" t="s">
        <v>1084</v>
      </c>
      <c r="AI289" s="309"/>
      <c r="AJ289" s="309"/>
      <c r="AK289" s="68" t="s">
        <v>37</v>
      </c>
      <c r="AL289" s="68" t="s">
        <v>49</v>
      </c>
      <c r="AM289" s="299">
        <f t="shared" ca="1" si="35"/>
        <v>2.9618055555547471</v>
      </c>
      <c r="AN289" s="75"/>
      <c r="AO289" s="61" t="s">
        <v>72</v>
      </c>
      <c r="AP289" s="90" t="s">
        <v>1082</v>
      </c>
      <c r="AQ289" s="63" t="s">
        <v>1243</v>
      </c>
      <c r="AR289" s="64">
        <v>44873.572916666664</v>
      </c>
      <c r="AS289" s="61" t="s">
        <v>95</v>
      </c>
      <c r="AT289" s="61" t="s">
        <v>225</v>
      </c>
      <c r="AU289" s="59">
        <v>0.57291666666666663</v>
      </c>
      <c r="AV289" s="61">
        <v>1</v>
      </c>
      <c r="AW289" s="61" t="s">
        <v>66</v>
      </c>
      <c r="AX289" s="76"/>
      <c r="AY289" s="76"/>
      <c r="AZ289" s="76"/>
      <c r="BA289" s="76"/>
      <c r="BB289" s="74"/>
    </row>
    <row r="290" spans="1:54" ht="15.75" thickBot="1" x14ac:dyDescent="0.3">
      <c r="A290" s="73">
        <v>127</v>
      </c>
      <c r="B290" s="72">
        <v>44870.611111111109</v>
      </c>
      <c r="C290" s="67">
        <v>0.61458333333333337</v>
      </c>
      <c r="D290" s="67">
        <v>0.61805555555555558</v>
      </c>
      <c r="E290" s="67">
        <v>0.65277777777777779</v>
      </c>
      <c r="F290" s="68" t="s">
        <v>170</v>
      </c>
      <c r="G290" s="68" t="s">
        <v>373</v>
      </c>
      <c r="H290" s="66" t="s">
        <v>45</v>
      </c>
      <c r="I290" s="66" t="s">
        <v>162</v>
      </c>
      <c r="J290" s="66" t="s">
        <v>37</v>
      </c>
      <c r="K290" s="66" t="s">
        <v>63</v>
      </c>
      <c r="L290" s="66" t="s">
        <v>222</v>
      </c>
      <c r="M290" s="68" t="s">
        <v>1085</v>
      </c>
      <c r="N290" s="68" t="s">
        <v>158</v>
      </c>
      <c r="O290" s="68">
        <v>3500699</v>
      </c>
      <c r="P290" s="68">
        <v>5051993099</v>
      </c>
      <c r="Q290" s="303">
        <f t="shared" si="36"/>
        <v>1</v>
      </c>
      <c r="R290" s="303">
        <f t="shared" si="37"/>
        <v>132</v>
      </c>
      <c r="S290" s="68">
        <v>0</v>
      </c>
      <c r="T290" s="68">
        <v>0</v>
      </c>
      <c r="U290" s="68">
        <v>1</v>
      </c>
      <c r="V290" s="68">
        <v>132</v>
      </c>
      <c r="W290" s="68">
        <v>128.85300000000001</v>
      </c>
      <c r="X290" s="68">
        <v>80</v>
      </c>
      <c r="Y290" s="68">
        <v>68</v>
      </c>
      <c r="Z290" s="68">
        <v>49</v>
      </c>
      <c r="AA290" s="68">
        <v>1</v>
      </c>
      <c r="AB290" s="300">
        <f t="shared" si="38"/>
        <v>44.426666666666669</v>
      </c>
      <c r="AC290" s="300">
        <f t="shared" si="39"/>
        <v>0.26763052208835342</v>
      </c>
      <c r="AD290" s="68">
        <v>6329.1</v>
      </c>
      <c r="AE290" s="68" t="s">
        <v>109</v>
      </c>
      <c r="AF290" s="68" t="s">
        <v>317</v>
      </c>
      <c r="AG290" s="68" t="s">
        <v>317</v>
      </c>
      <c r="AH290" s="68" t="s">
        <v>1086</v>
      </c>
      <c r="AI290" s="309"/>
      <c r="AJ290" s="309"/>
      <c r="AK290" s="68" t="s">
        <v>37</v>
      </c>
      <c r="AL290" s="68" t="s">
        <v>49</v>
      </c>
      <c r="AM290" s="299">
        <f t="shared" ca="1" si="35"/>
        <v>2.8506944444452529</v>
      </c>
      <c r="AN290" s="75"/>
      <c r="AO290" s="61" t="s">
        <v>159</v>
      </c>
      <c r="AP290" s="62" t="s">
        <v>1085</v>
      </c>
      <c r="AQ290" s="62" t="s">
        <v>1234</v>
      </c>
      <c r="AR290" s="64">
        <v>44873.461805555555</v>
      </c>
      <c r="AS290" s="63" t="s">
        <v>203</v>
      </c>
      <c r="AT290" s="61">
        <v>407</v>
      </c>
      <c r="AU290" s="63">
        <v>0.46180555555555558</v>
      </c>
      <c r="AV290" s="61">
        <v>1</v>
      </c>
      <c r="AW290" s="61" t="s">
        <v>66</v>
      </c>
      <c r="AX290" s="76"/>
      <c r="AY290" s="76"/>
      <c r="AZ290" s="76"/>
      <c r="BA290" s="76"/>
      <c r="BB290" s="74"/>
    </row>
    <row r="291" spans="1:54" ht="15.75" thickBot="1" x14ac:dyDescent="0.3">
      <c r="A291" s="73">
        <v>128</v>
      </c>
      <c r="B291" s="72">
        <v>44870.611111111109</v>
      </c>
      <c r="C291" s="67">
        <v>0.61458333333333337</v>
      </c>
      <c r="D291" s="67">
        <v>0.61805555555555558</v>
      </c>
      <c r="E291" s="67">
        <v>0.65277777777777779</v>
      </c>
      <c r="F291" s="68" t="s">
        <v>170</v>
      </c>
      <c r="G291" s="68" t="s">
        <v>373</v>
      </c>
      <c r="H291" s="66" t="s">
        <v>45</v>
      </c>
      <c r="I291" s="66" t="s">
        <v>110</v>
      </c>
      <c r="J291" s="66" t="s">
        <v>37</v>
      </c>
      <c r="K291" s="66" t="s">
        <v>63</v>
      </c>
      <c r="L291" s="66" t="s">
        <v>222</v>
      </c>
      <c r="M291" s="68" t="s">
        <v>1087</v>
      </c>
      <c r="N291" s="68" t="s">
        <v>186</v>
      </c>
      <c r="O291" s="68">
        <v>3500696</v>
      </c>
      <c r="P291" s="68">
        <v>5051983239</v>
      </c>
      <c r="Q291" s="303">
        <f t="shared" si="36"/>
        <v>3</v>
      </c>
      <c r="R291" s="303">
        <f t="shared" si="37"/>
        <v>171</v>
      </c>
      <c r="S291" s="68">
        <v>0</v>
      </c>
      <c r="T291" s="68">
        <v>0</v>
      </c>
      <c r="U291" s="68">
        <v>3</v>
      </c>
      <c r="V291" s="68">
        <v>171</v>
      </c>
      <c r="W291" s="68">
        <v>173.78</v>
      </c>
      <c r="X291" s="68">
        <v>90</v>
      </c>
      <c r="Y291" s="68">
        <v>80</v>
      </c>
      <c r="Z291" s="68">
        <v>31</v>
      </c>
      <c r="AA291" s="68">
        <v>1</v>
      </c>
      <c r="AB291" s="300">
        <f t="shared" si="38"/>
        <v>37.200000000000003</v>
      </c>
      <c r="AC291" s="300">
        <f t="shared" si="39"/>
        <v>0.22409638554216868</v>
      </c>
      <c r="AD291" s="68">
        <v>5521.2</v>
      </c>
      <c r="AE291" s="68" t="s">
        <v>109</v>
      </c>
      <c r="AF291" s="68" t="s">
        <v>317</v>
      </c>
      <c r="AG291" s="68" t="s">
        <v>317</v>
      </c>
      <c r="AH291" s="68" t="s">
        <v>1088</v>
      </c>
      <c r="AI291" s="309"/>
      <c r="AJ291" s="309"/>
      <c r="AK291" s="68" t="s">
        <v>37</v>
      </c>
      <c r="AL291" s="68" t="s">
        <v>49</v>
      </c>
      <c r="AM291" s="299">
        <f t="shared" ca="1" si="35"/>
        <v>4.1284722222262644</v>
      </c>
      <c r="AN291" s="75"/>
      <c r="AO291" s="78" t="s">
        <v>131</v>
      </c>
      <c r="AP291" s="62" t="s">
        <v>1087</v>
      </c>
      <c r="AQ291" s="61" t="s">
        <v>1331</v>
      </c>
      <c r="AR291" s="64">
        <v>44874.739583333336</v>
      </c>
      <c r="AS291" s="61" t="s">
        <v>117</v>
      </c>
      <c r="AT291" s="61" t="s">
        <v>225</v>
      </c>
      <c r="AU291" s="59">
        <v>0.73958333333333337</v>
      </c>
      <c r="AV291" s="61">
        <v>2</v>
      </c>
      <c r="AW291" s="61" t="s">
        <v>66</v>
      </c>
      <c r="AX291" s="76"/>
      <c r="AY291" s="76"/>
      <c r="AZ291" s="76"/>
      <c r="BA291" s="76"/>
      <c r="BB291" s="74"/>
    </row>
    <row r="292" spans="1:54" ht="15.75" thickBot="1" x14ac:dyDescent="0.3">
      <c r="A292" s="73">
        <v>128</v>
      </c>
      <c r="B292" s="72">
        <v>44870.611111111109</v>
      </c>
      <c r="C292" s="67">
        <v>0.61458333333333337</v>
      </c>
      <c r="D292" s="67">
        <v>0.61805555555555558</v>
      </c>
      <c r="E292" s="67">
        <v>0.65277777777777779</v>
      </c>
      <c r="F292" s="68" t="s">
        <v>170</v>
      </c>
      <c r="G292" s="68" t="s">
        <v>373</v>
      </c>
      <c r="H292" s="66" t="s">
        <v>45</v>
      </c>
      <c r="I292" s="66" t="s">
        <v>110</v>
      </c>
      <c r="J292" s="66" t="s">
        <v>37</v>
      </c>
      <c r="K292" s="66" t="s">
        <v>63</v>
      </c>
      <c r="L292" s="66" t="s">
        <v>222</v>
      </c>
      <c r="M292" s="68" t="s">
        <v>1087</v>
      </c>
      <c r="N292" s="68" t="s">
        <v>186</v>
      </c>
      <c r="O292" s="68">
        <v>3500696</v>
      </c>
      <c r="P292" s="68">
        <v>5051983239</v>
      </c>
      <c r="Q292" s="303">
        <f t="shared" si="36"/>
        <v>0</v>
      </c>
      <c r="R292" s="303">
        <f t="shared" si="37"/>
        <v>0</v>
      </c>
      <c r="S292" s="68">
        <v>0</v>
      </c>
      <c r="T292" s="68">
        <v>0</v>
      </c>
      <c r="U292" s="68">
        <v>0</v>
      </c>
      <c r="V292" s="68">
        <v>0</v>
      </c>
      <c r="W292" s="68">
        <v>0</v>
      </c>
      <c r="X292" s="68">
        <v>132</v>
      </c>
      <c r="Y292" s="68">
        <v>16</v>
      </c>
      <c r="Z292" s="68">
        <v>24</v>
      </c>
      <c r="AA292" s="68">
        <v>2</v>
      </c>
      <c r="AB292" s="300">
        <f t="shared" si="38"/>
        <v>16.896000000000001</v>
      </c>
      <c r="AC292" s="300">
        <f t="shared" si="39"/>
        <v>0.10178313253012049</v>
      </c>
      <c r="AD292" s="68">
        <v>0</v>
      </c>
      <c r="AE292" s="68">
        <v>0</v>
      </c>
      <c r="AF292" s="68" t="s">
        <v>317</v>
      </c>
      <c r="AG292" s="68" t="s">
        <v>317</v>
      </c>
      <c r="AH292" s="68" t="s">
        <v>1088</v>
      </c>
      <c r="AI292" s="309"/>
      <c r="AJ292" s="309"/>
      <c r="AK292" s="68" t="s">
        <v>37</v>
      </c>
      <c r="AL292" s="68" t="s">
        <v>49</v>
      </c>
      <c r="AM292" s="299">
        <f t="shared" ca="1" si="35"/>
        <v>4.1284722222262644</v>
      </c>
      <c r="AN292" s="75"/>
      <c r="AO292" s="78" t="s">
        <v>131</v>
      </c>
      <c r="AP292" s="62" t="s">
        <v>1087</v>
      </c>
      <c r="AQ292" s="61" t="s">
        <v>1331</v>
      </c>
      <c r="AR292" s="64">
        <v>44874.739583333336</v>
      </c>
      <c r="AS292" s="61" t="s">
        <v>117</v>
      </c>
      <c r="AT292" s="61" t="s">
        <v>225</v>
      </c>
      <c r="AU292" s="59">
        <v>0.73958333333333337</v>
      </c>
      <c r="AV292" s="61">
        <v>2</v>
      </c>
      <c r="AW292" s="61" t="s">
        <v>66</v>
      </c>
      <c r="AX292" s="76"/>
      <c r="AY292" s="76"/>
      <c r="AZ292" s="76"/>
      <c r="BA292" s="76"/>
      <c r="BB292" s="74"/>
    </row>
    <row r="293" spans="1:54" ht="15.75" thickBot="1" x14ac:dyDescent="0.3">
      <c r="A293" s="73">
        <v>129</v>
      </c>
      <c r="B293" s="72">
        <v>44870.642361111109</v>
      </c>
      <c r="C293" s="67">
        <v>0.64583333333333337</v>
      </c>
      <c r="D293" s="67">
        <v>0.65277777777777779</v>
      </c>
      <c r="E293" s="67">
        <v>0.65972222222222221</v>
      </c>
      <c r="F293" s="68" t="s">
        <v>170</v>
      </c>
      <c r="G293" s="68" t="s">
        <v>1089</v>
      </c>
      <c r="H293" s="66" t="s">
        <v>302</v>
      </c>
      <c r="I293" s="66" t="s">
        <v>118</v>
      </c>
      <c r="J293" s="66" t="s">
        <v>37</v>
      </c>
      <c r="K293" s="66" t="s">
        <v>63</v>
      </c>
      <c r="L293" s="70" t="s">
        <v>206</v>
      </c>
      <c r="M293" s="68" t="s">
        <v>1090</v>
      </c>
      <c r="N293" s="68" t="s">
        <v>44</v>
      </c>
      <c r="O293" s="68">
        <v>666</v>
      </c>
      <c r="P293" s="68">
        <v>22015</v>
      </c>
      <c r="Q293" s="303">
        <f t="shared" si="36"/>
        <v>18</v>
      </c>
      <c r="R293" s="303">
        <f t="shared" si="37"/>
        <v>296</v>
      </c>
      <c r="S293" s="68">
        <v>18</v>
      </c>
      <c r="T293" s="68">
        <v>296</v>
      </c>
      <c r="U293" s="68">
        <v>0</v>
      </c>
      <c r="V293" s="68">
        <v>0</v>
      </c>
      <c r="W293" s="68">
        <v>293.39999999999998</v>
      </c>
      <c r="X293" s="68">
        <v>40</v>
      </c>
      <c r="Y293" s="68">
        <v>31</v>
      </c>
      <c r="Z293" s="68">
        <v>23</v>
      </c>
      <c r="AA293" s="68">
        <v>18</v>
      </c>
      <c r="AB293" s="300">
        <f t="shared" si="38"/>
        <v>85.56</v>
      </c>
      <c r="AC293" s="300">
        <f t="shared" si="39"/>
        <v>0.51542168674698796</v>
      </c>
      <c r="AD293" s="68">
        <v>7660.8</v>
      </c>
      <c r="AE293" s="68" t="s">
        <v>109</v>
      </c>
      <c r="AF293" s="68" t="s">
        <v>317</v>
      </c>
      <c r="AG293" s="68" t="s">
        <v>317</v>
      </c>
      <c r="AH293" s="68" t="s">
        <v>1091</v>
      </c>
      <c r="AI293" s="309"/>
      <c r="AJ293" s="309"/>
      <c r="AK293" s="68" t="s">
        <v>48</v>
      </c>
      <c r="AL293" s="68" t="s">
        <v>47</v>
      </c>
      <c r="AM293" s="299">
        <f t="shared" ca="1" si="35"/>
        <v>4.7986111111094942</v>
      </c>
      <c r="AN293" s="75"/>
      <c r="AO293" s="61" t="s">
        <v>53</v>
      </c>
      <c r="AP293" s="62" t="s">
        <v>1383</v>
      </c>
      <c r="AQ293" s="61" t="s">
        <v>1384</v>
      </c>
      <c r="AR293" s="64">
        <v>44875.440972222219</v>
      </c>
      <c r="AS293" s="57" t="s">
        <v>173</v>
      </c>
      <c r="AT293" s="61" t="s">
        <v>225</v>
      </c>
      <c r="AU293" s="63">
        <v>0.44097222222222227</v>
      </c>
      <c r="AV293" s="61">
        <v>1</v>
      </c>
      <c r="AW293" s="61" t="s">
        <v>66</v>
      </c>
      <c r="AX293" s="76"/>
      <c r="AY293" s="76"/>
      <c r="AZ293" s="76"/>
      <c r="BA293" s="76"/>
      <c r="BB293" s="74"/>
    </row>
    <row r="294" spans="1:54" ht="15.75" thickBot="1" x14ac:dyDescent="0.3">
      <c r="A294" s="73">
        <v>130</v>
      </c>
      <c r="B294" s="72">
        <v>44870.652777777781</v>
      </c>
      <c r="C294" s="67">
        <v>0.65625</v>
      </c>
      <c r="D294" s="67">
        <v>0.66666666666666663</v>
      </c>
      <c r="E294" s="67">
        <v>0.67013888888888884</v>
      </c>
      <c r="F294" s="68" t="s">
        <v>169</v>
      </c>
      <c r="G294" s="68" t="s">
        <v>1092</v>
      </c>
      <c r="H294" s="66" t="s">
        <v>129</v>
      </c>
      <c r="I294" s="66" t="s">
        <v>40</v>
      </c>
      <c r="J294" s="66" t="s">
        <v>37</v>
      </c>
      <c r="K294" s="66" t="s">
        <v>63</v>
      </c>
      <c r="L294" s="66" t="s">
        <v>221</v>
      </c>
      <c r="M294" s="68" t="s">
        <v>1093</v>
      </c>
      <c r="N294" s="68" t="s">
        <v>42</v>
      </c>
      <c r="O294" s="68" t="s">
        <v>1094</v>
      </c>
      <c r="P294" s="68">
        <v>4513497570</v>
      </c>
      <c r="Q294" s="303">
        <f t="shared" si="36"/>
        <v>9</v>
      </c>
      <c r="R294" s="303">
        <f t="shared" si="37"/>
        <v>5157</v>
      </c>
      <c r="S294" s="68">
        <v>0</v>
      </c>
      <c r="T294" s="68">
        <v>0</v>
      </c>
      <c r="U294" s="68">
        <v>9</v>
      </c>
      <c r="V294" s="68">
        <v>5157</v>
      </c>
      <c r="W294" s="68">
        <v>5132</v>
      </c>
      <c r="X294" s="68">
        <v>95</v>
      </c>
      <c r="Y294" s="68">
        <v>73</v>
      </c>
      <c r="Z294" s="68">
        <v>76</v>
      </c>
      <c r="AA294" s="68">
        <v>9</v>
      </c>
      <c r="AB294" s="300">
        <f t="shared" si="38"/>
        <v>790.59</v>
      </c>
      <c r="AC294" s="300">
        <f t="shared" si="39"/>
        <v>4.762590361445783</v>
      </c>
      <c r="AD294" s="68">
        <v>5132</v>
      </c>
      <c r="AE294" s="68" t="s">
        <v>109</v>
      </c>
      <c r="AF294" s="68" t="s">
        <v>317</v>
      </c>
      <c r="AG294" s="68" t="s">
        <v>317</v>
      </c>
      <c r="AH294" s="68" t="s">
        <v>1095</v>
      </c>
      <c r="AI294" s="309"/>
      <c r="AJ294" s="309"/>
      <c r="AK294" s="68" t="s">
        <v>37</v>
      </c>
      <c r="AL294" s="68" t="s">
        <v>39</v>
      </c>
      <c r="AM294" s="299">
        <f t="shared" ca="1" si="35"/>
        <v>2.9097222222189885</v>
      </c>
      <c r="AN294" s="75"/>
      <c r="AO294" s="61" t="s">
        <v>120</v>
      </c>
      <c r="AP294" s="62" t="s">
        <v>1093</v>
      </c>
      <c r="AQ294" s="61" t="s">
        <v>1241</v>
      </c>
      <c r="AR294" s="64">
        <v>44873.5625</v>
      </c>
      <c r="AS294" s="61" t="s">
        <v>136</v>
      </c>
      <c r="AT294" s="61" t="s">
        <v>225</v>
      </c>
      <c r="AU294" s="63">
        <v>0.5625</v>
      </c>
      <c r="AV294" s="61">
        <v>1</v>
      </c>
      <c r="AW294" s="61" t="s">
        <v>66</v>
      </c>
      <c r="AX294" s="76"/>
      <c r="AY294" s="76"/>
      <c r="AZ294" s="76"/>
      <c r="BA294" s="76"/>
      <c r="BB294" s="74"/>
    </row>
    <row r="295" spans="1:54" ht="15.75" thickBot="1" x14ac:dyDescent="0.3">
      <c r="A295" s="73">
        <v>131</v>
      </c>
      <c r="B295" s="72">
        <v>44870.670138888891</v>
      </c>
      <c r="C295" s="67">
        <v>0.67361111111111116</v>
      </c>
      <c r="D295" s="67">
        <v>0.68055555555555547</v>
      </c>
      <c r="E295" s="67">
        <v>0.6875</v>
      </c>
      <c r="F295" s="68" t="s">
        <v>170</v>
      </c>
      <c r="G295" s="68" t="s">
        <v>1096</v>
      </c>
      <c r="H295" s="71" t="s">
        <v>227</v>
      </c>
      <c r="I295" s="71" t="s">
        <v>189</v>
      </c>
      <c r="J295" s="71" t="s">
        <v>37</v>
      </c>
      <c r="K295" s="71" t="s">
        <v>63</v>
      </c>
      <c r="L295" s="47" t="s">
        <v>206</v>
      </c>
      <c r="M295" s="68" t="s">
        <v>1097</v>
      </c>
      <c r="N295" s="68" t="s">
        <v>42</v>
      </c>
      <c r="O295" s="77">
        <v>860863</v>
      </c>
      <c r="P295" s="68" t="s">
        <v>477</v>
      </c>
      <c r="Q295" s="303">
        <f t="shared" si="36"/>
        <v>5</v>
      </c>
      <c r="R295" s="303">
        <f t="shared" si="37"/>
        <v>1060</v>
      </c>
      <c r="S295" s="68">
        <v>0</v>
      </c>
      <c r="T295" s="68">
        <v>0</v>
      </c>
      <c r="U295" s="68">
        <v>5</v>
      </c>
      <c r="V295" s="68">
        <v>1060</v>
      </c>
      <c r="W295" s="68">
        <v>1122</v>
      </c>
      <c r="X295" s="68">
        <v>160</v>
      </c>
      <c r="Y295" s="68">
        <v>138</v>
      </c>
      <c r="Z295" s="68">
        <v>78</v>
      </c>
      <c r="AA295" s="68">
        <v>5</v>
      </c>
      <c r="AB295" s="300">
        <f t="shared" si="38"/>
        <v>1435.2</v>
      </c>
      <c r="AC295" s="300">
        <f t="shared" si="39"/>
        <v>8.64578313253012</v>
      </c>
      <c r="AD295" s="68" t="s">
        <v>48</v>
      </c>
      <c r="AE295" s="68" t="s">
        <v>48</v>
      </c>
      <c r="AF295" s="68" t="s">
        <v>317</v>
      </c>
      <c r="AG295" s="68" t="s">
        <v>317</v>
      </c>
      <c r="AH295" s="68" t="s">
        <v>1098</v>
      </c>
      <c r="AI295" s="309"/>
      <c r="AJ295" s="309"/>
      <c r="AK295" s="68" t="s">
        <v>37</v>
      </c>
      <c r="AL295" s="68" t="s">
        <v>54</v>
      </c>
      <c r="AM295" s="299">
        <f t="shared" ca="1" si="35"/>
        <v>2.0763888888905058</v>
      </c>
      <c r="AN295" s="75"/>
      <c r="AO295" s="61" t="s">
        <v>89</v>
      </c>
      <c r="AP295" s="62" t="s">
        <v>1131</v>
      </c>
      <c r="AQ295" s="61" t="s">
        <v>1132</v>
      </c>
      <c r="AR295" s="64">
        <v>44872.746527777781</v>
      </c>
      <c r="AS295" s="57" t="s">
        <v>304</v>
      </c>
      <c r="AT295" s="61" t="s">
        <v>65</v>
      </c>
      <c r="AU295" s="63">
        <v>0.74652777777777779</v>
      </c>
      <c r="AV295" s="61">
        <v>1</v>
      </c>
      <c r="AW295" s="61" t="s">
        <v>66</v>
      </c>
      <c r="AX295" s="76"/>
      <c r="AY295" s="76"/>
      <c r="AZ295" s="76"/>
      <c r="BA295" s="76"/>
      <c r="BB295" s="74"/>
    </row>
    <row r="296" spans="1:54" ht="15.75" thickBot="1" x14ac:dyDescent="0.3">
      <c r="A296" s="73">
        <v>132</v>
      </c>
      <c r="B296" s="72">
        <v>44870.670138888891</v>
      </c>
      <c r="C296" s="67">
        <v>0.67361111111111116</v>
      </c>
      <c r="D296" s="67">
        <v>0.68055555555555547</v>
      </c>
      <c r="E296" s="67">
        <v>0.6875</v>
      </c>
      <c r="F296" s="68" t="s">
        <v>170</v>
      </c>
      <c r="G296" s="68" t="s">
        <v>1096</v>
      </c>
      <c r="H296" s="66" t="s">
        <v>227</v>
      </c>
      <c r="I296" s="66" t="s">
        <v>189</v>
      </c>
      <c r="J296" s="66" t="s">
        <v>37</v>
      </c>
      <c r="K296" s="66" t="s">
        <v>63</v>
      </c>
      <c r="L296" s="70" t="s">
        <v>206</v>
      </c>
      <c r="M296" s="68" t="s">
        <v>1099</v>
      </c>
      <c r="N296" s="68" t="s">
        <v>43</v>
      </c>
      <c r="O296" s="77">
        <v>859861862</v>
      </c>
      <c r="P296" s="68" t="s">
        <v>1100</v>
      </c>
      <c r="Q296" s="303">
        <f t="shared" si="36"/>
        <v>3</v>
      </c>
      <c r="R296" s="303">
        <f t="shared" si="37"/>
        <v>799</v>
      </c>
      <c r="S296" s="68">
        <v>0</v>
      </c>
      <c r="T296" s="68">
        <v>0</v>
      </c>
      <c r="U296" s="68">
        <v>3</v>
      </c>
      <c r="V296" s="68">
        <v>799</v>
      </c>
      <c r="W296" s="68">
        <v>747.44</v>
      </c>
      <c r="X296" s="68">
        <v>160</v>
      </c>
      <c r="Y296" s="68">
        <v>138</v>
      </c>
      <c r="Z296" s="68">
        <v>78</v>
      </c>
      <c r="AA296" s="68">
        <v>3</v>
      </c>
      <c r="AB296" s="300">
        <f t="shared" si="38"/>
        <v>861.12</v>
      </c>
      <c r="AC296" s="300">
        <f t="shared" si="39"/>
        <v>5.1874698795180727</v>
      </c>
      <c r="AD296" s="68" t="s">
        <v>48</v>
      </c>
      <c r="AE296" s="68" t="s">
        <v>48</v>
      </c>
      <c r="AF296" s="68" t="s">
        <v>317</v>
      </c>
      <c r="AG296" s="68" t="s">
        <v>317</v>
      </c>
      <c r="AH296" s="68" t="s">
        <v>1101</v>
      </c>
      <c r="AI296" s="309"/>
      <c r="AJ296" s="309"/>
      <c r="AK296" s="68" t="s">
        <v>37</v>
      </c>
      <c r="AL296" s="68" t="s">
        <v>54</v>
      </c>
      <c r="AM296" s="299">
        <f t="shared" ref="AM296:AM359" ca="1" si="40">IF(AP296="",NOW()-B296,AR296-B296)</f>
        <v>1.8333333333284827</v>
      </c>
      <c r="AN296" s="75"/>
      <c r="AO296" s="61" t="s">
        <v>179</v>
      </c>
      <c r="AP296" s="62" t="s">
        <v>1099</v>
      </c>
      <c r="AQ296" s="61" t="s">
        <v>1130</v>
      </c>
      <c r="AR296" s="64">
        <v>44872.503472222219</v>
      </c>
      <c r="AS296" s="57" t="s">
        <v>173</v>
      </c>
      <c r="AT296" s="61" t="s">
        <v>225</v>
      </c>
      <c r="AU296" s="63">
        <v>0.50347222222222221</v>
      </c>
      <c r="AV296" s="61">
        <v>1</v>
      </c>
      <c r="AW296" s="61" t="s">
        <v>66</v>
      </c>
      <c r="AX296" s="76"/>
      <c r="AY296" s="76"/>
      <c r="AZ296" s="76"/>
      <c r="BA296" s="76"/>
      <c r="BB296" s="74"/>
    </row>
    <row r="297" spans="1:54" ht="15.75" thickBot="1" x14ac:dyDescent="0.3">
      <c r="A297" s="73">
        <v>133</v>
      </c>
      <c r="B297" s="72">
        <v>44870.701388888891</v>
      </c>
      <c r="C297" s="67">
        <v>0.70486111111111116</v>
      </c>
      <c r="D297" s="67">
        <v>0.70833333333333337</v>
      </c>
      <c r="E297" s="67">
        <v>0.72222222222222221</v>
      </c>
      <c r="F297" s="68" t="s">
        <v>171</v>
      </c>
      <c r="G297" s="68" t="s">
        <v>244</v>
      </c>
      <c r="H297" s="71" t="s">
        <v>1102</v>
      </c>
      <c r="I297" s="71" t="s">
        <v>1103</v>
      </c>
      <c r="J297" s="71" t="s">
        <v>37</v>
      </c>
      <c r="K297" s="71" t="s">
        <v>180</v>
      </c>
      <c r="L297" s="71">
        <v>0</v>
      </c>
      <c r="M297" s="68" t="s">
        <v>1104</v>
      </c>
      <c r="N297" s="68" t="s">
        <v>1105</v>
      </c>
      <c r="O297" s="68" t="s">
        <v>1106</v>
      </c>
      <c r="P297" s="68" t="s">
        <v>1107</v>
      </c>
      <c r="Q297" s="303">
        <f t="shared" ref="Q297:Q360" si="41">S297+U297</f>
        <v>54</v>
      </c>
      <c r="R297" s="303">
        <f t="shared" ref="R297:R360" si="42">T297+V297</f>
        <v>550</v>
      </c>
      <c r="S297" s="68">
        <v>54</v>
      </c>
      <c r="T297" s="68">
        <v>550</v>
      </c>
      <c r="U297" s="68">
        <v>0</v>
      </c>
      <c r="V297" s="68">
        <v>0</v>
      </c>
      <c r="W297" s="68">
        <v>533.47</v>
      </c>
      <c r="X297" s="68">
        <v>45</v>
      </c>
      <c r="Y297" s="68">
        <v>40</v>
      </c>
      <c r="Z297" s="68">
        <v>32</v>
      </c>
      <c r="AA297" s="68">
        <v>51</v>
      </c>
      <c r="AB297" s="300">
        <f t="shared" ref="AB297:AB360" si="43">X297*Y297*Z297*AA297/6000</f>
        <v>489.6</v>
      </c>
      <c r="AC297" s="300">
        <f t="shared" ref="AC297:AC360" si="44">AB297/166</f>
        <v>2.9493975903614458</v>
      </c>
      <c r="AD297" s="68" t="s">
        <v>48</v>
      </c>
      <c r="AE297" s="68" t="s">
        <v>48</v>
      </c>
      <c r="AF297" s="68" t="s">
        <v>317</v>
      </c>
      <c r="AG297" s="68" t="s">
        <v>317</v>
      </c>
      <c r="AH297" s="68" t="s">
        <v>1108</v>
      </c>
      <c r="AI297" s="309"/>
      <c r="AJ297" s="309"/>
      <c r="AK297" s="68" t="s">
        <v>48</v>
      </c>
      <c r="AL297" s="68" t="s">
        <v>56</v>
      </c>
      <c r="AM297" s="299">
        <f t="shared" ca="1" si="40"/>
        <v>2.8715277777737356</v>
      </c>
      <c r="AN297" s="75"/>
      <c r="AO297" s="61" t="s">
        <v>469</v>
      </c>
      <c r="AP297" s="62" t="s">
        <v>1104</v>
      </c>
      <c r="AQ297" s="61" t="s">
        <v>1245</v>
      </c>
      <c r="AR297" s="64">
        <v>44873.572916666664</v>
      </c>
      <c r="AS297" s="61" t="s">
        <v>95</v>
      </c>
      <c r="AT297" s="61" t="s">
        <v>225</v>
      </c>
      <c r="AU297" s="59">
        <v>0.57291666666666663</v>
      </c>
      <c r="AV297" s="61">
        <v>1</v>
      </c>
      <c r="AW297" s="61" t="s">
        <v>66</v>
      </c>
      <c r="AX297" s="76"/>
      <c r="AY297" s="76"/>
      <c r="AZ297" s="76"/>
      <c r="BA297" s="76"/>
      <c r="BB297" s="74"/>
    </row>
    <row r="298" spans="1:54" ht="15.75" thickBot="1" x14ac:dyDescent="0.3">
      <c r="A298" s="73">
        <v>133</v>
      </c>
      <c r="B298" s="72">
        <v>44870.701388888891</v>
      </c>
      <c r="C298" s="67">
        <v>0.70486111111111116</v>
      </c>
      <c r="D298" s="67">
        <v>0.70833333333333337</v>
      </c>
      <c r="E298" s="67">
        <v>0.72222222222222221</v>
      </c>
      <c r="F298" s="68" t="s">
        <v>171</v>
      </c>
      <c r="G298" s="68" t="s">
        <v>244</v>
      </c>
      <c r="H298" s="66" t="s">
        <v>1102</v>
      </c>
      <c r="I298" s="66" t="s">
        <v>1103</v>
      </c>
      <c r="J298" s="66" t="s">
        <v>37</v>
      </c>
      <c r="K298" s="66" t="s">
        <v>180</v>
      </c>
      <c r="L298" s="66">
        <v>0</v>
      </c>
      <c r="M298" s="68" t="s">
        <v>1104</v>
      </c>
      <c r="N298" s="68" t="s">
        <v>1105</v>
      </c>
      <c r="O298" s="68" t="s">
        <v>1106</v>
      </c>
      <c r="P298" s="68" t="s">
        <v>1107</v>
      </c>
      <c r="Q298" s="303">
        <f t="shared" si="41"/>
        <v>0</v>
      </c>
      <c r="R298" s="303">
        <f t="shared" si="42"/>
        <v>0</v>
      </c>
      <c r="S298" s="68">
        <v>0</v>
      </c>
      <c r="T298" s="68">
        <v>0</v>
      </c>
      <c r="U298" s="68">
        <v>0</v>
      </c>
      <c r="V298" s="68">
        <v>0</v>
      </c>
      <c r="W298" s="68">
        <v>0</v>
      </c>
      <c r="X298" s="68">
        <v>108</v>
      </c>
      <c r="Y298" s="68">
        <v>22</v>
      </c>
      <c r="Z298" s="68">
        <v>18</v>
      </c>
      <c r="AA298" s="68">
        <v>1</v>
      </c>
      <c r="AB298" s="300">
        <f t="shared" si="43"/>
        <v>7.1280000000000001</v>
      </c>
      <c r="AC298" s="300">
        <f t="shared" si="44"/>
        <v>4.2939759036144581E-2</v>
      </c>
      <c r="AD298" s="68">
        <v>0</v>
      </c>
      <c r="AE298" s="68">
        <v>0</v>
      </c>
      <c r="AF298" s="68" t="s">
        <v>317</v>
      </c>
      <c r="AG298" s="68" t="s">
        <v>317</v>
      </c>
      <c r="AH298" s="68" t="s">
        <v>1108</v>
      </c>
      <c r="AI298" s="309"/>
      <c r="AJ298" s="309"/>
      <c r="AK298" s="68" t="s">
        <v>48</v>
      </c>
      <c r="AL298" s="68" t="s">
        <v>56</v>
      </c>
      <c r="AM298" s="299">
        <f t="shared" ca="1" si="40"/>
        <v>2.8715277777737356</v>
      </c>
      <c r="AN298" s="75"/>
      <c r="AO298" s="61" t="s">
        <v>469</v>
      </c>
      <c r="AP298" s="62" t="s">
        <v>1104</v>
      </c>
      <c r="AQ298" s="61" t="s">
        <v>1245</v>
      </c>
      <c r="AR298" s="64">
        <v>44873.572916666664</v>
      </c>
      <c r="AS298" s="61" t="s">
        <v>95</v>
      </c>
      <c r="AT298" s="61" t="s">
        <v>225</v>
      </c>
      <c r="AU298" s="59">
        <v>0.57291666666666663</v>
      </c>
      <c r="AV298" s="61">
        <v>1</v>
      </c>
      <c r="AW298" s="61" t="s">
        <v>66</v>
      </c>
      <c r="AX298" s="76"/>
      <c r="AY298" s="76"/>
      <c r="AZ298" s="76"/>
      <c r="BA298" s="76"/>
      <c r="BB298" s="74"/>
    </row>
    <row r="299" spans="1:54" ht="15.75" thickBot="1" x14ac:dyDescent="0.3">
      <c r="A299" s="73">
        <v>133</v>
      </c>
      <c r="B299" s="72">
        <v>44870.701388888891</v>
      </c>
      <c r="C299" s="67">
        <v>0.70486111111111116</v>
      </c>
      <c r="D299" s="67">
        <v>0.70833333333333337</v>
      </c>
      <c r="E299" s="67">
        <v>0.72222222222222221</v>
      </c>
      <c r="F299" s="68" t="s">
        <v>171</v>
      </c>
      <c r="G299" s="68" t="s">
        <v>244</v>
      </c>
      <c r="H299" s="66" t="s">
        <v>1102</v>
      </c>
      <c r="I299" s="66" t="s">
        <v>1103</v>
      </c>
      <c r="J299" s="66" t="s">
        <v>37</v>
      </c>
      <c r="K299" s="66" t="s">
        <v>180</v>
      </c>
      <c r="L299" s="66">
        <v>0</v>
      </c>
      <c r="M299" s="68" t="s">
        <v>1104</v>
      </c>
      <c r="N299" s="68" t="s">
        <v>1105</v>
      </c>
      <c r="O299" s="68" t="s">
        <v>1106</v>
      </c>
      <c r="P299" s="68" t="s">
        <v>1107</v>
      </c>
      <c r="Q299" s="303">
        <f t="shared" si="41"/>
        <v>0</v>
      </c>
      <c r="R299" s="303">
        <f t="shared" si="42"/>
        <v>0</v>
      </c>
      <c r="S299" s="68">
        <v>0</v>
      </c>
      <c r="T299" s="68">
        <v>0</v>
      </c>
      <c r="U299" s="68">
        <v>0</v>
      </c>
      <c r="V299" s="68">
        <v>0</v>
      </c>
      <c r="W299" s="68">
        <v>0</v>
      </c>
      <c r="X299" s="68">
        <v>100</v>
      </c>
      <c r="Y299" s="68">
        <v>19</v>
      </c>
      <c r="Z299" s="68">
        <v>22</v>
      </c>
      <c r="AA299" s="68">
        <v>1</v>
      </c>
      <c r="AB299" s="300">
        <f t="shared" si="43"/>
        <v>6.9666666666666668</v>
      </c>
      <c r="AC299" s="300">
        <f t="shared" si="44"/>
        <v>4.1967871485943775E-2</v>
      </c>
      <c r="AD299" s="68">
        <v>0</v>
      </c>
      <c r="AE299" s="68">
        <v>0</v>
      </c>
      <c r="AF299" s="68" t="s">
        <v>317</v>
      </c>
      <c r="AG299" s="68" t="s">
        <v>317</v>
      </c>
      <c r="AH299" s="68" t="s">
        <v>1108</v>
      </c>
      <c r="AI299" s="309"/>
      <c r="AJ299" s="309"/>
      <c r="AK299" s="68" t="s">
        <v>48</v>
      </c>
      <c r="AL299" s="68" t="s">
        <v>56</v>
      </c>
      <c r="AM299" s="299">
        <f t="shared" ca="1" si="40"/>
        <v>2.8715277777737356</v>
      </c>
      <c r="AN299" s="75"/>
      <c r="AO299" s="61" t="s">
        <v>469</v>
      </c>
      <c r="AP299" s="62" t="s">
        <v>1104</v>
      </c>
      <c r="AQ299" s="61" t="s">
        <v>1245</v>
      </c>
      <c r="AR299" s="64">
        <v>44873.572916666664</v>
      </c>
      <c r="AS299" s="61" t="s">
        <v>95</v>
      </c>
      <c r="AT299" s="61" t="s">
        <v>225</v>
      </c>
      <c r="AU299" s="59">
        <v>0.57291666666666663</v>
      </c>
      <c r="AV299" s="61">
        <v>1</v>
      </c>
      <c r="AW299" s="61" t="s">
        <v>66</v>
      </c>
      <c r="AX299" s="76"/>
      <c r="AY299" s="76"/>
      <c r="AZ299" s="76"/>
      <c r="BA299" s="76"/>
      <c r="BB299" s="74"/>
    </row>
    <row r="300" spans="1:54" ht="15.75" thickBot="1" x14ac:dyDescent="0.3">
      <c r="A300" s="73">
        <v>133</v>
      </c>
      <c r="B300" s="72">
        <v>44870.701388888891</v>
      </c>
      <c r="C300" s="67">
        <v>0.70486111111111116</v>
      </c>
      <c r="D300" s="67">
        <v>0.70833333333333337</v>
      </c>
      <c r="E300" s="67">
        <v>0.72222222222222221</v>
      </c>
      <c r="F300" s="68" t="s">
        <v>171</v>
      </c>
      <c r="G300" s="68" t="s">
        <v>244</v>
      </c>
      <c r="H300" s="66" t="s">
        <v>1102</v>
      </c>
      <c r="I300" s="66" t="s">
        <v>1103</v>
      </c>
      <c r="J300" s="66" t="s">
        <v>37</v>
      </c>
      <c r="K300" s="66" t="s">
        <v>180</v>
      </c>
      <c r="L300" s="66">
        <v>0</v>
      </c>
      <c r="M300" s="68" t="s">
        <v>1104</v>
      </c>
      <c r="N300" s="68" t="s">
        <v>1105</v>
      </c>
      <c r="O300" s="68" t="s">
        <v>1106</v>
      </c>
      <c r="P300" s="68" t="s">
        <v>1107</v>
      </c>
      <c r="Q300" s="303">
        <f t="shared" si="41"/>
        <v>0</v>
      </c>
      <c r="R300" s="303">
        <f t="shared" si="42"/>
        <v>0</v>
      </c>
      <c r="S300" s="68">
        <v>0</v>
      </c>
      <c r="T300" s="68">
        <v>0</v>
      </c>
      <c r="U300" s="68">
        <v>0</v>
      </c>
      <c r="V300" s="68">
        <v>0</v>
      </c>
      <c r="W300" s="68">
        <v>0</v>
      </c>
      <c r="X300" s="68">
        <v>41</v>
      </c>
      <c r="Y300" s="68">
        <v>36</v>
      </c>
      <c r="Z300" s="68">
        <v>25</v>
      </c>
      <c r="AA300" s="68">
        <v>1</v>
      </c>
      <c r="AB300" s="300">
        <f t="shared" si="43"/>
        <v>6.15</v>
      </c>
      <c r="AC300" s="300">
        <f t="shared" si="44"/>
        <v>3.7048192771084343E-2</v>
      </c>
      <c r="AD300" s="68">
        <v>0</v>
      </c>
      <c r="AE300" s="68">
        <v>0</v>
      </c>
      <c r="AF300" s="68" t="s">
        <v>317</v>
      </c>
      <c r="AG300" s="68" t="s">
        <v>317</v>
      </c>
      <c r="AH300" s="68" t="s">
        <v>1108</v>
      </c>
      <c r="AI300" s="309"/>
      <c r="AJ300" s="309"/>
      <c r="AK300" s="68" t="s">
        <v>48</v>
      </c>
      <c r="AL300" s="68" t="s">
        <v>56</v>
      </c>
      <c r="AM300" s="299">
        <f t="shared" ca="1" si="40"/>
        <v>2.8715277777737356</v>
      </c>
      <c r="AN300" s="75"/>
      <c r="AO300" s="61" t="s">
        <v>469</v>
      </c>
      <c r="AP300" s="62" t="s">
        <v>1104</v>
      </c>
      <c r="AQ300" s="61" t="s">
        <v>1245</v>
      </c>
      <c r="AR300" s="64">
        <v>44873.572916666664</v>
      </c>
      <c r="AS300" s="61" t="s">
        <v>95</v>
      </c>
      <c r="AT300" s="61" t="s">
        <v>225</v>
      </c>
      <c r="AU300" s="59">
        <v>0.57291666666666663</v>
      </c>
      <c r="AV300" s="61">
        <v>1</v>
      </c>
      <c r="AW300" s="61" t="s">
        <v>66</v>
      </c>
      <c r="AX300" s="76"/>
      <c r="AY300" s="76"/>
      <c r="AZ300" s="76"/>
      <c r="BA300" s="76"/>
      <c r="BB300" s="74"/>
    </row>
    <row r="301" spans="1:54" ht="15.75" thickBot="1" x14ac:dyDescent="0.3">
      <c r="A301" s="73">
        <v>134</v>
      </c>
      <c r="B301" s="72">
        <v>44870.708333333336</v>
      </c>
      <c r="C301" s="67">
        <v>0.71527777777777779</v>
      </c>
      <c r="D301" s="67">
        <v>0.71875</v>
      </c>
      <c r="E301" s="67">
        <v>0.72916666666666663</v>
      </c>
      <c r="F301" s="68" t="s">
        <v>171</v>
      </c>
      <c r="G301" s="68" t="s">
        <v>1109</v>
      </c>
      <c r="H301" s="66" t="s">
        <v>199</v>
      </c>
      <c r="I301" s="66" t="s">
        <v>69</v>
      </c>
      <c r="J301" s="66" t="s">
        <v>37</v>
      </c>
      <c r="K301" s="66" t="s">
        <v>180</v>
      </c>
      <c r="L301" s="70" t="s">
        <v>206</v>
      </c>
      <c r="M301" s="68" t="s">
        <v>1110</v>
      </c>
      <c r="N301" s="68" t="s">
        <v>42</v>
      </c>
      <c r="O301" s="68">
        <v>270000484</v>
      </c>
      <c r="P301" s="68" t="s">
        <v>1111</v>
      </c>
      <c r="Q301" s="303">
        <f t="shared" si="41"/>
        <v>2</v>
      </c>
      <c r="R301" s="303">
        <f t="shared" si="42"/>
        <v>31</v>
      </c>
      <c r="S301" s="68">
        <v>2</v>
      </c>
      <c r="T301" s="38">
        <v>31</v>
      </c>
      <c r="U301" s="68">
        <v>0</v>
      </c>
      <c r="V301" s="68">
        <v>0</v>
      </c>
      <c r="W301" s="38">
        <v>54</v>
      </c>
      <c r="X301" s="68">
        <v>60</v>
      </c>
      <c r="Y301" s="68">
        <v>40</v>
      </c>
      <c r="Z301" s="68">
        <v>30</v>
      </c>
      <c r="AA301" s="68">
        <v>2</v>
      </c>
      <c r="AB301" s="300">
        <f t="shared" si="43"/>
        <v>24</v>
      </c>
      <c r="AC301" s="300">
        <f t="shared" si="44"/>
        <v>0.14457831325301204</v>
      </c>
      <c r="AD301" s="68">
        <v>8958</v>
      </c>
      <c r="AE301" s="68" t="s">
        <v>109</v>
      </c>
      <c r="AF301" s="68" t="s">
        <v>317</v>
      </c>
      <c r="AG301" s="68" t="s">
        <v>317</v>
      </c>
      <c r="AH301" s="68" t="s">
        <v>1112</v>
      </c>
      <c r="AI301" s="309"/>
      <c r="AJ301" s="309"/>
      <c r="AK301" s="68" t="s">
        <v>48</v>
      </c>
      <c r="AL301" s="68" t="s">
        <v>56</v>
      </c>
      <c r="AM301" s="299">
        <f t="shared" ca="1" si="40"/>
        <v>3.8576388888832298</v>
      </c>
      <c r="AN301" s="75"/>
      <c r="AO301" s="61" t="s">
        <v>157</v>
      </c>
      <c r="AP301" s="62" t="s">
        <v>1110</v>
      </c>
      <c r="AQ301" s="78" t="s">
        <v>1327</v>
      </c>
      <c r="AR301" s="64">
        <v>44874.565972222219</v>
      </c>
      <c r="AS301" s="63" t="s">
        <v>1203</v>
      </c>
      <c r="AT301" s="61" t="s">
        <v>225</v>
      </c>
      <c r="AU301" s="63">
        <v>0.56597222222222221</v>
      </c>
      <c r="AV301" s="61">
        <v>1</v>
      </c>
      <c r="AW301" s="61" t="s">
        <v>66</v>
      </c>
      <c r="AX301" s="76"/>
      <c r="AY301" s="76"/>
      <c r="AZ301" s="76"/>
      <c r="BA301" s="76"/>
      <c r="BB301" s="74"/>
    </row>
    <row r="302" spans="1:54" x14ac:dyDescent="0.25">
      <c r="A302" s="73">
        <v>135</v>
      </c>
      <c r="B302" s="72">
        <v>44870.743055555555</v>
      </c>
      <c r="C302" s="67">
        <v>0.75</v>
      </c>
      <c r="D302" s="67">
        <v>0.75694444444444453</v>
      </c>
      <c r="E302" s="67">
        <v>0.75694444444444453</v>
      </c>
      <c r="F302" s="68" t="s">
        <v>171</v>
      </c>
      <c r="G302" s="68" t="s">
        <v>1113</v>
      </c>
      <c r="H302" s="71" t="s">
        <v>185</v>
      </c>
      <c r="I302" s="71" t="s">
        <v>251</v>
      </c>
      <c r="J302" s="71" t="s">
        <v>37</v>
      </c>
      <c r="K302" s="71" t="s">
        <v>82</v>
      </c>
      <c r="L302" s="71" t="s">
        <v>226</v>
      </c>
      <c r="M302" s="68" t="s">
        <v>1114</v>
      </c>
      <c r="N302" s="68" t="s">
        <v>175</v>
      </c>
      <c r="O302" s="68">
        <v>508002862</v>
      </c>
      <c r="P302" s="68" t="s">
        <v>1115</v>
      </c>
      <c r="Q302" s="303">
        <f t="shared" si="41"/>
        <v>4</v>
      </c>
      <c r="R302" s="303">
        <f t="shared" si="42"/>
        <v>577</v>
      </c>
      <c r="S302" s="68">
        <v>0</v>
      </c>
      <c r="T302" s="68">
        <v>0</v>
      </c>
      <c r="U302" s="68">
        <v>4</v>
      </c>
      <c r="V302" s="68">
        <v>577</v>
      </c>
      <c r="W302" s="68">
        <v>580</v>
      </c>
      <c r="X302" s="68">
        <v>112</v>
      </c>
      <c r="Y302" s="68">
        <v>86</v>
      </c>
      <c r="Z302" s="68">
        <v>93</v>
      </c>
      <c r="AA302" s="68">
        <v>3</v>
      </c>
      <c r="AB302" s="300">
        <f t="shared" si="43"/>
        <v>447.88799999999998</v>
      </c>
      <c r="AC302" s="300">
        <f t="shared" si="44"/>
        <v>2.6981204819277109</v>
      </c>
      <c r="AD302" s="68">
        <v>23583.53</v>
      </c>
      <c r="AE302" s="68" t="s">
        <v>109</v>
      </c>
      <c r="AF302" s="68" t="s">
        <v>317</v>
      </c>
      <c r="AG302" s="68" t="s">
        <v>317</v>
      </c>
      <c r="AH302" s="68">
        <v>0</v>
      </c>
      <c r="AI302" s="309"/>
      <c r="AJ302" s="309"/>
      <c r="AK302" s="68" t="s">
        <v>37</v>
      </c>
      <c r="AL302" s="68" t="s">
        <v>49</v>
      </c>
      <c r="AM302" s="299">
        <f t="shared" ca="1" si="40"/>
        <v>2.78125</v>
      </c>
      <c r="AN302" s="51"/>
      <c r="AO302" s="61" t="s">
        <v>181</v>
      </c>
      <c r="AP302" s="62" t="s">
        <v>1114</v>
      </c>
      <c r="AQ302" s="61" t="s">
        <v>1240</v>
      </c>
      <c r="AR302" s="64">
        <v>44873.524305555555</v>
      </c>
      <c r="AS302" s="61" t="s">
        <v>117</v>
      </c>
      <c r="AT302" s="61" t="s">
        <v>225</v>
      </c>
      <c r="AU302" s="59">
        <v>0.52430555555555558</v>
      </c>
      <c r="AV302" s="61">
        <v>1</v>
      </c>
      <c r="AW302" s="61" t="s">
        <v>66</v>
      </c>
      <c r="AX302" s="52"/>
      <c r="AY302" s="52"/>
      <c r="AZ302" s="52"/>
      <c r="BA302" s="52"/>
    </row>
    <row r="303" spans="1:54" ht="15.75" thickBot="1" x14ac:dyDescent="0.3">
      <c r="A303" s="73">
        <v>135</v>
      </c>
      <c r="B303" s="72">
        <v>44870.743055555555</v>
      </c>
      <c r="C303" s="67">
        <v>0.75</v>
      </c>
      <c r="D303" s="67">
        <v>0.75694444444444453</v>
      </c>
      <c r="E303" s="67">
        <v>0.75694444444444453</v>
      </c>
      <c r="F303" s="68" t="s">
        <v>171</v>
      </c>
      <c r="G303" s="68" t="s">
        <v>1113</v>
      </c>
      <c r="H303" s="66" t="s">
        <v>185</v>
      </c>
      <c r="I303" s="66" t="s">
        <v>251</v>
      </c>
      <c r="J303" s="66" t="s">
        <v>37</v>
      </c>
      <c r="K303" s="66" t="s">
        <v>82</v>
      </c>
      <c r="L303" s="66" t="s">
        <v>226</v>
      </c>
      <c r="M303" s="68" t="s">
        <v>1114</v>
      </c>
      <c r="N303" s="68" t="s">
        <v>175</v>
      </c>
      <c r="O303" s="68">
        <v>508002862</v>
      </c>
      <c r="P303" s="68" t="s">
        <v>1115</v>
      </c>
      <c r="Q303" s="303">
        <f t="shared" si="41"/>
        <v>0</v>
      </c>
      <c r="R303" s="303">
        <f t="shared" si="42"/>
        <v>0</v>
      </c>
      <c r="S303" s="68">
        <v>0</v>
      </c>
      <c r="T303" s="68">
        <v>0</v>
      </c>
      <c r="U303" s="68">
        <v>0</v>
      </c>
      <c r="V303" s="68">
        <v>0</v>
      </c>
      <c r="W303" s="68">
        <v>0</v>
      </c>
      <c r="X303" s="68">
        <v>112</v>
      </c>
      <c r="Y303" s="68">
        <v>86</v>
      </c>
      <c r="Z303" s="68">
        <v>58</v>
      </c>
      <c r="AA303" s="68">
        <v>1</v>
      </c>
      <c r="AB303" s="300">
        <f t="shared" si="43"/>
        <v>93.109333333333339</v>
      </c>
      <c r="AC303" s="300">
        <f t="shared" si="44"/>
        <v>0.56089959839357428</v>
      </c>
      <c r="AD303" s="68">
        <v>0</v>
      </c>
      <c r="AE303" s="68">
        <v>0</v>
      </c>
      <c r="AF303" s="68" t="s">
        <v>317</v>
      </c>
      <c r="AG303" s="68" t="s">
        <v>317</v>
      </c>
      <c r="AH303" s="68">
        <v>0</v>
      </c>
      <c r="AI303" s="309"/>
      <c r="AJ303" s="309"/>
      <c r="AK303" s="68" t="s">
        <v>37</v>
      </c>
      <c r="AL303" s="68" t="s">
        <v>49</v>
      </c>
      <c r="AM303" s="299">
        <f t="shared" ca="1" si="40"/>
        <v>2.78125</v>
      </c>
      <c r="AN303" s="51"/>
      <c r="AO303" s="61" t="s">
        <v>181</v>
      </c>
      <c r="AP303" s="62" t="s">
        <v>1114</v>
      </c>
      <c r="AQ303" s="61" t="s">
        <v>1240</v>
      </c>
      <c r="AR303" s="64">
        <v>44873.524305555555</v>
      </c>
      <c r="AS303" s="61" t="s">
        <v>117</v>
      </c>
      <c r="AT303" s="61" t="s">
        <v>225</v>
      </c>
      <c r="AU303" s="59">
        <v>0.52430555555555558</v>
      </c>
      <c r="AV303" s="61">
        <v>1</v>
      </c>
      <c r="AW303" s="61" t="s">
        <v>66</v>
      </c>
      <c r="AX303" s="52"/>
      <c r="AY303" s="52"/>
      <c r="AZ303" s="52"/>
      <c r="BA303" s="52"/>
    </row>
    <row r="304" spans="1:54" ht="15.75" thickBot="1" x14ac:dyDescent="0.3">
      <c r="A304" s="73">
        <v>136</v>
      </c>
      <c r="B304" s="72">
        <v>44872.503472222219</v>
      </c>
      <c r="C304" s="67">
        <v>0.50694444444444442</v>
      </c>
      <c r="D304" s="67">
        <v>0.51388888888888895</v>
      </c>
      <c r="E304" s="67">
        <v>0.53125</v>
      </c>
      <c r="F304" s="68" t="s">
        <v>170</v>
      </c>
      <c r="G304" s="68" t="s">
        <v>1116</v>
      </c>
      <c r="H304" s="71" t="s">
        <v>227</v>
      </c>
      <c r="I304" s="71" t="s">
        <v>189</v>
      </c>
      <c r="J304" s="66" t="s">
        <v>37</v>
      </c>
      <c r="K304" s="71" t="s">
        <v>63</v>
      </c>
      <c r="L304" s="47" t="s">
        <v>206</v>
      </c>
      <c r="M304" s="62" t="s">
        <v>1385</v>
      </c>
      <c r="N304" s="68" t="s">
        <v>43</v>
      </c>
      <c r="O304" s="68" t="s">
        <v>1347</v>
      </c>
      <c r="P304" s="68" t="s">
        <v>1117</v>
      </c>
      <c r="Q304" s="303">
        <f t="shared" si="41"/>
        <v>6</v>
      </c>
      <c r="R304" s="303">
        <f t="shared" si="42"/>
        <v>1369</v>
      </c>
      <c r="S304" s="68">
        <v>0</v>
      </c>
      <c r="T304" s="68">
        <v>0</v>
      </c>
      <c r="U304" s="68">
        <v>6</v>
      </c>
      <c r="V304" s="38">
        <v>1369</v>
      </c>
      <c r="W304" s="38">
        <v>1164.0999999999999</v>
      </c>
      <c r="X304" s="68">
        <v>160</v>
      </c>
      <c r="Y304" s="68">
        <v>137</v>
      </c>
      <c r="Z304" s="68">
        <v>79</v>
      </c>
      <c r="AA304" s="68">
        <v>6</v>
      </c>
      <c r="AB304" s="300">
        <f t="shared" si="43"/>
        <v>1731.68</v>
      </c>
      <c r="AC304" s="300">
        <f t="shared" si="44"/>
        <v>10.431807228915662</v>
      </c>
      <c r="AD304" s="68" t="s">
        <v>48</v>
      </c>
      <c r="AE304" s="68" t="s">
        <v>48</v>
      </c>
      <c r="AF304" s="68" t="s">
        <v>317</v>
      </c>
      <c r="AG304" s="68" t="s">
        <v>317</v>
      </c>
      <c r="AH304" s="68" t="s">
        <v>1118</v>
      </c>
      <c r="AI304" s="309"/>
      <c r="AJ304" s="309"/>
      <c r="AK304" s="68" t="s">
        <v>37</v>
      </c>
      <c r="AL304" s="68" t="s">
        <v>94</v>
      </c>
      <c r="AM304" s="299">
        <f t="shared" ca="1" si="40"/>
        <v>2.9513888888905058</v>
      </c>
      <c r="AN304" s="75" t="s">
        <v>1119</v>
      </c>
      <c r="AO304" s="61" t="s">
        <v>179</v>
      </c>
      <c r="AP304" s="62" t="s">
        <v>1385</v>
      </c>
      <c r="AQ304" s="61" t="s">
        <v>1386</v>
      </c>
      <c r="AR304" s="64">
        <v>44875.454861111109</v>
      </c>
      <c r="AS304" s="61" t="s">
        <v>136</v>
      </c>
      <c r="AT304" s="61" t="s">
        <v>225</v>
      </c>
      <c r="AU304" s="63">
        <v>0.4548611111111111</v>
      </c>
      <c r="AV304" s="61">
        <v>1</v>
      </c>
      <c r="AW304" s="61" t="s">
        <v>66</v>
      </c>
      <c r="AX304" s="76"/>
      <c r="AY304" s="76"/>
      <c r="AZ304" s="76"/>
      <c r="BA304" s="76"/>
      <c r="BB304" s="74"/>
    </row>
    <row r="305" spans="1:54" ht="15.75" thickBot="1" x14ac:dyDescent="0.3">
      <c r="A305" s="73">
        <v>137</v>
      </c>
      <c r="B305" s="72">
        <v>44872.503472222219</v>
      </c>
      <c r="C305" s="67">
        <v>0.50694444444444442</v>
      </c>
      <c r="D305" s="67">
        <v>0.51388888888888895</v>
      </c>
      <c r="E305" s="67">
        <v>0.53125</v>
      </c>
      <c r="F305" s="68" t="s">
        <v>170</v>
      </c>
      <c r="G305" s="68" t="s">
        <v>1116</v>
      </c>
      <c r="H305" s="66" t="s">
        <v>227</v>
      </c>
      <c r="I305" s="66" t="s">
        <v>189</v>
      </c>
      <c r="J305" s="66" t="s">
        <v>37</v>
      </c>
      <c r="K305" s="66" t="s">
        <v>63</v>
      </c>
      <c r="L305" s="70" t="s">
        <v>206</v>
      </c>
      <c r="M305" s="68" t="s">
        <v>1138</v>
      </c>
      <c r="N305" s="68" t="s">
        <v>42</v>
      </c>
      <c r="O305" s="77">
        <v>865838</v>
      </c>
      <c r="P305" s="68" t="s">
        <v>477</v>
      </c>
      <c r="Q305" s="303">
        <f t="shared" si="41"/>
        <v>4</v>
      </c>
      <c r="R305" s="303">
        <f t="shared" si="42"/>
        <v>920</v>
      </c>
      <c r="S305" s="68">
        <v>0</v>
      </c>
      <c r="T305" s="68">
        <v>0</v>
      </c>
      <c r="U305" s="68">
        <v>4</v>
      </c>
      <c r="V305" s="68">
        <v>920</v>
      </c>
      <c r="W305" s="68">
        <v>957.53</v>
      </c>
      <c r="X305" s="68">
        <v>160</v>
      </c>
      <c r="Y305" s="68">
        <v>137</v>
      </c>
      <c r="Z305" s="68">
        <v>79</v>
      </c>
      <c r="AA305" s="68">
        <v>4</v>
      </c>
      <c r="AB305" s="300">
        <f t="shared" si="43"/>
        <v>1154.4533333333334</v>
      </c>
      <c r="AC305" s="300">
        <f t="shared" si="44"/>
        <v>6.9545381526104419</v>
      </c>
      <c r="AD305" s="68" t="s">
        <v>48</v>
      </c>
      <c r="AE305" s="68" t="s">
        <v>48</v>
      </c>
      <c r="AF305" s="68" t="s">
        <v>317</v>
      </c>
      <c r="AG305" s="68" t="s">
        <v>317</v>
      </c>
      <c r="AH305" s="68" t="s">
        <v>1120</v>
      </c>
      <c r="AI305" s="309"/>
      <c r="AJ305" s="309"/>
      <c r="AK305" s="68" t="s">
        <v>37</v>
      </c>
      <c r="AL305" s="68" t="s">
        <v>94</v>
      </c>
      <c r="AM305" s="299">
        <f t="shared" ca="1" si="40"/>
        <v>2.3194444444452529</v>
      </c>
      <c r="AN305" s="75" t="s">
        <v>1119</v>
      </c>
      <c r="AO305" s="78" t="s">
        <v>89</v>
      </c>
      <c r="AP305" s="61" t="s">
        <v>1138</v>
      </c>
      <c r="AQ305" s="61" t="s">
        <v>1338</v>
      </c>
      <c r="AR305" s="64">
        <v>44874.822916666664</v>
      </c>
      <c r="AS305" s="61" t="s">
        <v>136</v>
      </c>
      <c r="AT305" s="61" t="s">
        <v>225</v>
      </c>
      <c r="AU305" s="63">
        <v>0.82291666666666663</v>
      </c>
      <c r="AV305" s="61">
        <v>3</v>
      </c>
      <c r="AW305" s="61" t="s">
        <v>66</v>
      </c>
      <c r="AX305" s="76"/>
      <c r="AY305" s="76"/>
      <c r="AZ305" s="76"/>
      <c r="BA305" s="76"/>
      <c r="BB305" s="74"/>
    </row>
    <row r="306" spans="1:54" ht="15.75" thickBot="1" x14ac:dyDescent="0.3">
      <c r="A306" s="73">
        <v>138</v>
      </c>
      <c r="B306" s="72">
        <v>44872.722222222219</v>
      </c>
      <c r="C306" s="67">
        <v>0.72569444444444453</v>
      </c>
      <c r="D306" s="67">
        <v>0.72916666666666663</v>
      </c>
      <c r="E306" s="67">
        <v>0.73263888888888884</v>
      </c>
      <c r="F306" s="68" t="s">
        <v>169</v>
      </c>
      <c r="G306" s="68" t="s">
        <v>1121</v>
      </c>
      <c r="H306" s="66" t="s">
        <v>443</v>
      </c>
      <c r="I306" s="66" t="s">
        <v>1122</v>
      </c>
      <c r="J306" s="66" t="s">
        <v>41</v>
      </c>
      <c r="K306" s="68" t="s">
        <v>233</v>
      </c>
      <c r="L306" s="68">
        <v>0</v>
      </c>
      <c r="M306" s="68" t="s">
        <v>1123</v>
      </c>
      <c r="N306" s="68" t="s">
        <v>42</v>
      </c>
      <c r="O306" s="68" t="s">
        <v>1124</v>
      </c>
      <c r="P306" s="68">
        <v>4200080001</v>
      </c>
      <c r="Q306" s="303">
        <f t="shared" si="41"/>
        <v>1</v>
      </c>
      <c r="R306" s="303">
        <f t="shared" si="42"/>
        <v>83</v>
      </c>
      <c r="S306" s="68">
        <v>0</v>
      </c>
      <c r="T306" s="68">
        <v>0</v>
      </c>
      <c r="U306" s="68">
        <v>1</v>
      </c>
      <c r="V306" s="68">
        <v>83</v>
      </c>
      <c r="W306" s="68">
        <v>83</v>
      </c>
      <c r="X306" s="68">
        <v>120</v>
      </c>
      <c r="Y306" s="68">
        <v>100</v>
      </c>
      <c r="Z306" s="68">
        <v>79</v>
      </c>
      <c r="AA306" s="68">
        <v>1</v>
      </c>
      <c r="AB306" s="300">
        <f t="shared" si="43"/>
        <v>158</v>
      </c>
      <c r="AC306" s="300">
        <f t="shared" si="44"/>
        <v>0.95180722891566261</v>
      </c>
      <c r="AD306" s="68" t="s">
        <v>48</v>
      </c>
      <c r="AE306" s="68" t="s">
        <v>48</v>
      </c>
      <c r="AF306" s="68" t="s">
        <v>1125</v>
      </c>
      <c r="AG306" s="68" t="s">
        <v>1126</v>
      </c>
      <c r="AH306" s="68" t="s">
        <v>1127</v>
      </c>
      <c r="AI306" s="309"/>
      <c r="AJ306" s="309"/>
      <c r="AK306" s="68" t="s">
        <v>41</v>
      </c>
      <c r="AL306" s="68" t="s">
        <v>39</v>
      </c>
      <c r="AM306" s="299">
        <f t="shared" ca="1" si="40"/>
        <v>3.7534722222262644</v>
      </c>
      <c r="AN306" s="75"/>
      <c r="AO306" s="61" t="s">
        <v>213</v>
      </c>
      <c r="AP306" s="62" t="s">
        <v>1123</v>
      </c>
      <c r="AQ306" s="61" t="s">
        <v>1506</v>
      </c>
      <c r="AR306" s="64">
        <v>44876.475694444445</v>
      </c>
      <c r="AS306" s="61" t="s">
        <v>136</v>
      </c>
      <c r="AT306" s="61" t="s">
        <v>225</v>
      </c>
      <c r="AU306" s="63">
        <v>0.47569444444444442</v>
      </c>
      <c r="AV306" s="61">
        <v>1</v>
      </c>
      <c r="AW306" s="61" t="s">
        <v>66</v>
      </c>
      <c r="AX306" s="76"/>
      <c r="AY306" s="76"/>
      <c r="AZ306" s="76"/>
      <c r="BA306" s="76"/>
      <c r="BB306" s="74"/>
    </row>
    <row r="307" spans="1:54" x14ac:dyDescent="0.25">
      <c r="A307" s="48">
        <v>139</v>
      </c>
      <c r="B307" s="72">
        <v>44872.777777777781</v>
      </c>
      <c r="C307" s="67">
        <v>0.77777777777777779</v>
      </c>
      <c r="D307" s="67">
        <v>0.78472222222222221</v>
      </c>
      <c r="E307" s="67">
        <v>0.79166666666666663</v>
      </c>
      <c r="F307" s="68" t="s">
        <v>171</v>
      </c>
      <c r="G307" s="68" t="s">
        <v>117</v>
      </c>
      <c r="H307" s="66" t="s">
        <v>195</v>
      </c>
      <c r="I307" s="66" t="s">
        <v>195</v>
      </c>
      <c r="J307" s="66" t="s">
        <v>37</v>
      </c>
      <c r="K307" s="66" t="s">
        <v>180</v>
      </c>
      <c r="L307" s="66" t="s">
        <v>209</v>
      </c>
      <c r="M307" s="68" t="s">
        <v>1133</v>
      </c>
      <c r="N307" s="68" t="s">
        <v>42</v>
      </c>
      <c r="O307" s="68" t="s">
        <v>1134</v>
      </c>
      <c r="P307" s="68">
        <v>2101069274</v>
      </c>
      <c r="Q307" s="303">
        <f t="shared" si="41"/>
        <v>10</v>
      </c>
      <c r="R307" s="303">
        <f t="shared" si="42"/>
        <v>2291</v>
      </c>
      <c r="S307" s="68">
        <v>0</v>
      </c>
      <c r="T307" s="68">
        <v>0</v>
      </c>
      <c r="U307" s="68">
        <v>10</v>
      </c>
      <c r="V307" s="68">
        <v>2291</v>
      </c>
      <c r="W307" s="68">
        <v>2479</v>
      </c>
      <c r="X307" s="68">
        <v>114</v>
      </c>
      <c r="Y307" s="68">
        <v>80</v>
      </c>
      <c r="Z307" s="68">
        <v>97</v>
      </c>
      <c r="AA307" s="68">
        <v>1</v>
      </c>
      <c r="AB307" s="300">
        <f t="shared" si="43"/>
        <v>147.44</v>
      </c>
      <c r="AC307" s="300">
        <f t="shared" si="44"/>
        <v>0.88819277108433736</v>
      </c>
      <c r="AD307" s="68">
        <v>86509.92</v>
      </c>
      <c r="AE307" s="68" t="s">
        <v>109</v>
      </c>
      <c r="AF307" s="68" t="s">
        <v>317</v>
      </c>
      <c r="AG307" s="68" t="s">
        <v>317</v>
      </c>
      <c r="AH307" s="68" t="s">
        <v>1135</v>
      </c>
      <c r="AI307" s="309"/>
      <c r="AJ307" s="309"/>
      <c r="AK307" s="68" t="s">
        <v>41</v>
      </c>
      <c r="AL307" s="68" t="s">
        <v>54</v>
      </c>
      <c r="AM307" s="299">
        <f t="shared" ca="1" si="40"/>
        <v>0.70138888888322981</v>
      </c>
      <c r="AN307" s="75"/>
      <c r="AO307" s="61" t="s">
        <v>128</v>
      </c>
      <c r="AP307" s="62" t="s">
        <v>1133</v>
      </c>
      <c r="AQ307" s="61" t="s">
        <v>1235</v>
      </c>
      <c r="AR307" s="64">
        <v>44873.479166666664</v>
      </c>
      <c r="AS307" s="57" t="s">
        <v>173</v>
      </c>
      <c r="AT307" s="61" t="s">
        <v>225</v>
      </c>
      <c r="AU307" s="63">
        <v>0.47916666666666669</v>
      </c>
      <c r="AV307" s="61">
        <v>1</v>
      </c>
      <c r="AW307" s="61" t="s">
        <v>66</v>
      </c>
      <c r="AX307" s="52"/>
      <c r="AY307" s="52"/>
      <c r="AZ307" s="52"/>
      <c r="BA307" s="52"/>
    </row>
    <row r="308" spans="1:54" x14ac:dyDescent="0.25">
      <c r="A308" s="73">
        <v>139</v>
      </c>
      <c r="B308" s="72">
        <v>44872.777777777781</v>
      </c>
      <c r="C308" s="67">
        <v>0.77777777777777779</v>
      </c>
      <c r="D308" s="67">
        <v>0.78472222222222221</v>
      </c>
      <c r="E308" s="67">
        <v>0.79166666666666663</v>
      </c>
      <c r="F308" s="68" t="s">
        <v>171</v>
      </c>
      <c r="G308" s="68" t="s">
        <v>117</v>
      </c>
      <c r="H308" s="66" t="s">
        <v>195</v>
      </c>
      <c r="I308" s="66" t="s">
        <v>195</v>
      </c>
      <c r="J308" s="66" t="s">
        <v>37</v>
      </c>
      <c r="K308" s="66" t="s">
        <v>180</v>
      </c>
      <c r="L308" s="66" t="s">
        <v>209</v>
      </c>
      <c r="M308" s="68" t="s">
        <v>1133</v>
      </c>
      <c r="N308" s="68" t="s">
        <v>42</v>
      </c>
      <c r="O308" s="68" t="s">
        <v>1134</v>
      </c>
      <c r="P308" s="68">
        <v>2101069274</v>
      </c>
      <c r="Q308" s="303">
        <f t="shared" si="41"/>
        <v>0</v>
      </c>
      <c r="R308" s="303">
        <f t="shared" si="42"/>
        <v>0</v>
      </c>
      <c r="S308" s="68">
        <v>0</v>
      </c>
      <c r="T308" s="68">
        <v>0</v>
      </c>
      <c r="U308" s="68">
        <v>0</v>
      </c>
      <c r="V308" s="68">
        <v>0</v>
      </c>
      <c r="W308" s="68">
        <v>0</v>
      </c>
      <c r="X308" s="68">
        <v>114</v>
      </c>
      <c r="Y308" s="68">
        <v>80</v>
      </c>
      <c r="Z308" s="68">
        <v>126</v>
      </c>
      <c r="AA308" s="68">
        <v>3</v>
      </c>
      <c r="AB308" s="300">
        <f t="shared" si="43"/>
        <v>574.55999999999995</v>
      </c>
      <c r="AC308" s="300">
        <f t="shared" si="44"/>
        <v>3.4612048192771083</v>
      </c>
      <c r="AD308" s="68">
        <v>0</v>
      </c>
      <c r="AE308" s="68">
        <v>0</v>
      </c>
      <c r="AF308" s="68" t="s">
        <v>317</v>
      </c>
      <c r="AG308" s="68" t="s">
        <v>317</v>
      </c>
      <c r="AH308" s="68" t="s">
        <v>1135</v>
      </c>
      <c r="AI308" s="309"/>
      <c r="AJ308" s="309"/>
      <c r="AK308" s="68" t="s">
        <v>41</v>
      </c>
      <c r="AL308" s="68" t="s">
        <v>54</v>
      </c>
      <c r="AM308" s="299">
        <f t="shared" ca="1" si="40"/>
        <v>0.70138888888322981</v>
      </c>
      <c r="AN308" s="75"/>
      <c r="AO308" s="61" t="s">
        <v>128</v>
      </c>
      <c r="AP308" s="62" t="s">
        <v>1133</v>
      </c>
      <c r="AQ308" s="61" t="s">
        <v>1235</v>
      </c>
      <c r="AR308" s="64">
        <v>44873.479166666664</v>
      </c>
      <c r="AS308" s="57" t="s">
        <v>173</v>
      </c>
      <c r="AT308" s="61" t="s">
        <v>225</v>
      </c>
      <c r="AU308" s="63">
        <v>0.47916666666666669</v>
      </c>
      <c r="AV308" s="61">
        <v>1</v>
      </c>
      <c r="AW308" s="61" t="s">
        <v>66</v>
      </c>
      <c r="AX308" s="52"/>
      <c r="AY308" s="52"/>
      <c r="AZ308" s="52"/>
      <c r="BA308" s="52"/>
    </row>
    <row r="309" spans="1:54" x14ac:dyDescent="0.25">
      <c r="A309" s="73">
        <v>139</v>
      </c>
      <c r="B309" s="72">
        <v>44872.777777777781</v>
      </c>
      <c r="C309" s="67">
        <v>0.77777777777777779</v>
      </c>
      <c r="D309" s="67">
        <v>0.78472222222222221</v>
      </c>
      <c r="E309" s="67">
        <v>0.79166666666666663</v>
      </c>
      <c r="F309" s="68" t="s">
        <v>171</v>
      </c>
      <c r="G309" s="68" t="s">
        <v>117</v>
      </c>
      <c r="H309" s="66" t="s">
        <v>195</v>
      </c>
      <c r="I309" s="66" t="s">
        <v>195</v>
      </c>
      <c r="J309" s="66" t="s">
        <v>37</v>
      </c>
      <c r="K309" s="66" t="s">
        <v>180</v>
      </c>
      <c r="L309" s="66" t="s">
        <v>209</v>
      </c>
      <c r="M309" s="68" t="s">
        <v>1133</v>
      </c>
      <c r="N309" s="68" t="s">
        <v>42</v>
      </c>
      <c r="O309" s="68" t="s">
        <v>1134</v>
      </c>
      <c r="P309" s="68">
        <v>2101069274</v>
      </c>
      <c r="Q309" s="303">
        <f t="shared" si="41"/>
        <v>0</v>
      </c>
      <c r="R309" s="303">
        <f t="shared" si="42"/>
        <v>0</v>
      </c>
      <c r="S309" s="68">
        <v>0</v>
      </c>
      <c r="T309" s="68">
        <v>0</v>
      </c>
      <c r="U309" s="68">
        <v>0</v>
      </c>
      <c r="V309" s="68">
        <v>0</v>
      </c>
      <c r="W309" s="68">
        <v>0</v>
      </c>
      <c r="X309" s="68">
        <v>114</v>
      </c>
      <c r="Y309" s="68">
        <v>80</v>
      </c>
      <c r="Z309" s="68">
        <v>113</v>
      </c>
      <c r="AA309" s="68">
        <v>6</v>
      </c>
      <c r="AB309" s="300">
        <f t="shared" si="43"/>
        <v>1030.56</v>
      </c>
      <c r="AC309" s="300">
        <f t="shared" si="44"/>
        <v>6.2081927710843372</v>
      </c>
      <c r="AD309" s="68">
        <v>0</v>
      </c>
      <c r="AE309" s="68">
        <v>0</v>
      </c>
      <c r="AF309" s="68" t="s">
        <v>317</v>
      </c>
      <c r="AG309" s="68" t="s">
        <v>317</v>
      </c>
      <c r="AH309" s="68" t="s">
        <v>1135</v>
      </c>
      <c r="AI309" s="309"/>
      <c r="AJ309" s="309"/>
      <c r="AK309" s="68" t="s">
        <v>41</v>
      </c>
      <c r="AL309" s="68" t="s">
        <v>54</v>
      </c>
      <c r="AM309" s="299">
        <f t="shared" ca="1" si="40"/>
        <v>0.70138888888322981</v>
      </c>
      <c r="AN309" s="75"/>
      <c r="AO309" s="61" t="s">
        <v>128</v>
      </c>
      <c r="AP309" s="62" t="s">
        <v>1133</v>
      </c>
      <c r="AQ309" s="61" t="s">
        <v>1235</v>
      </c>
      <c r="AR309" s="64">
        <v>44873.479166666664</v>
      </c>
      <c r="AS309" s="57" t="s">
        <v>173</v>
      </c>
      <c r="AT309" s="61" t="s">
        <v>225</v>
      </c>
      <c r="AU309" s="63">
        <v>0.47916666666666669</v>
      </c>
      <c r="AV309" s="61">
        <v>1</v>
      </c>
      <c r="AW309" s="61" t="s">
        <v>66</v>
      </c>
      <c r="AX309" s="52"/>
      <c r="AY309" s="52"/>
      <c r="AZ309" s="52"/>
      <c r="BA309" s="52"/>
    </row>
    <row r="310" spans="1:54" ht="15.75" thickBot="1" x14ac:dyDescent="0.3">
      <c r="A310" s="48">
        <v>140</v>
      </c>
      <c r="B310" s="72">
        <v>44872.777777777781</v>
      </c>
      <c r="C310" s="67">
        <v>0.77777777777777779</v>
      </c>
      <c r="D310" s="67">
        <v>0.78472222222222221</v>
      </c>
      <c r="E310" s="67">
        <v>0.79166666666666663</v>
      </c>
      <c r="F310" s="68" t="s">
        <v>171</v>
      </c>
      <c r="G310" s="68" t="s">
        <v>117</v>
      </c>
      <c r="H310" s="66" t="s">
        <v>195</v>
      </c>
      <c r="I310" s="66" t="s">
        <v>195</v>
      </c>
      <c r="J310" s="66" t="s">
        <v>37</v>
      </c>
      <c r="K310" s="66" t="s">
        <v>180</v>
      </c>
      <c r="L310" s="66" t="s">
        <v>209</v>
      </c>
      <c r="M310" s="68" t="s">
        <v>1133</v>
      </c>
      <c r="N310" s="68" t="s">
        <v>42</v>
      </c>
      <c r="O310" s="68" t="s">
        <v>1136</v>
      </c>
      <c r="P310" s="68">
        <v>2101069275</v>
      </c>
      <c r="Q310" s="303">
        <f t="shared" si="41"/>
        <v>1</v>
      </c>
      <c r="R310" s="303">
        <f t="shared" si="42"/>
        <v>216</v>
      </c>
      <c r="S310" s="68">
        <v>0</v>
      </c>
      <c r="T310" s="68">
        <v>0</v>
      </c>
      <c r="U310" s="68">
        <v>1</v>
      </c>
      <c r="V310" s="68">
        <v>216</v>
      </c>
      <c r="W310" s="68">
        <v>234</v>
      </c>
      <c r="X310" s="68">
        <v>114</v>
      </c>
      <c r="Y310" s="68">
        <v>80</v>
      </c>
      <c r="Z310" s="68">
        <v>100</v>
      </c>
      <c r="AA310" s="68">
        <v>1</v>
      </c>
      <c r="AB310" s="300">
        <f t="shared" si="43"/>
        <v>152</v>
      </c>
      <c r="AC310" s="300">
        <f t="shared" si="44"/>
        <v>0.91566265060240959</v>
      </c>
      <c r="AD310" s="68">
        <v>7469.76</v>
      </c>
      <c r="AE310" s="68" t="s">
        <v>109</v>
      </c>
      <c r="AF310" s="68" t="s">
        <v>317</v>
      </c>
      <c r="AG310" s="68" t="s">
        <v>317</v>
      </c>
      <c r="AH310" s="68" t="s">
        <v>1137</v>
      </c>
      <c r="AI310" s="309"/>
      <c r="AJ310" s="309"/>
      <c r="AK310" s="68" t="s">
        <v>41</v>
      </c>
      <c r="AL310" s="68" t="s">
        <v>54</v>
      </c>
      <c r="AM310" s="299">
        <f t="shared" ca="1" si="40"/>
        <v>0.70138888888322981</v>
      </c>
      <c r="AN310" s="75"/>
      <c r="AO310" s="61" t="s">
        <v>128</v>
      </c>
      <c r="AP310" s="62" t="s">
        <v>1133</v>
      </c>
      <c r="AQ310" s="61" t="s">
        <v>1235</v>
      </c>
      <c r="AR310" s="64">
        <v>44873.479166666664</v>
      </c>
      <c r="AS310" s="57" t="s">
        <v>173</v>
      </c>
      <c r="AT310" s="61" t="s">
        <v>225</v>
      </c>
      <c r="AU310" s="63">
        <v>0.47916666666666669</v>
      </c>
      <c r="AV310" s="61">
        <v>1</v>
      </c>
      <c r="AW310" s="61" t="s">
        <v>66</v>
      </c>
      <c r="AX310" s="52"/>
      <c r="AY310" s="52"/>
      <c r="AZ310" s="52"/>
      <c r="BA310" s="52"/>
    </row>
    <row r="311" spans="1:54" ht="15.75" thickBot="1" x14ac:dyDescent="0.3">
      <c r="A311" s="73">
        <v>141</v>
      </c>
      <c r="B311" s="72">
        <v>44873.40625</v>
      </c>
      <c r="C311" s="67">
        <v>0.40625</v>
      </c>
      <c r="D311" s="67">
        <v>0.40972222222222227</v>
      </c>
      <c r="E311" s="67">
        <v>0.4201388888888889</v>
      </c>
      <c r="F311" s="68" t="s">
        <v>171</v>
      </c>
      <c r="G311" s="68" t="s">
        <v>173</v>
      </c>
      <c r="H311" s="66" t="s">
        <v>195</v>
      </c>
      <c r="I311" s="66" t="s">
        <v>195</v>
      </c>
      <c r="J311" s="66" t="s">
        <v>37</v>
      </c>
      <c r="K311" s="66" t="s">
        <v>180</v>
      </c>
      <c r="L311" s="66" t="s">
        <v>209</v>
      </c>
      <c r="M311" s="68" t="s">
        <v>1139</v>
      </c>
      <c r="N311" s="68" t="s">
        <v>44</v>
      </c>
      <c r="O311" s="68" t="s">
        <v>1140</v>
      </c>
      <c r="P311" s="68">
        <v>2101070004</v>
      </c>
      <c r="Q311" s="303">
        <f t="shared" si="41"/>
        <v>1</v>
      </c>
      <c r="R311" s="303">
        <f t="shared" si="42"/>
        <v>50</v>
      </c>
      <c r="S311" s="68">
        <v>0</v>
      </c>
      <c r="T311" s="68">
        <v>0</v>
      </c>
      <c r="U311" s="68">
        <v>1</v>
      </c>
      <c r="V311" s="68">
        <v>50</v>
      </c>
      <c r="W311" s="68">
        <v>50</v>
      </c>
      <c r="X311" s="68">
        <v>80</v>
      </c>
      <c r="Y311" s="68">
        <v>62</v>
      </c>
      <c r="Z311" s="68">
        <v>34</v>
      </c>
      <c r="AA311" s="68">
        <v>1</v>
      </c>
      <c r="AB311" s="300">
        <f t="shared" si="43"/>
        <v>28.106666666666666</v>
      </c>
      <c r="AC311" s="300">
        <f t="shared" si="44"/>
        <v>0.1693172690763052</v>
      </c>
      <c r="AD311" s="68">
        <v>1560.6</v>
      </c>
      <c r="AE311" s="68" t="s">
        <v>109</v>
      </c>
      <c r="AF311" s="68" t="s">
        <v>317</v>
      </c>
      <c r="AG311" s="68" t="s">
        <v>317</v>
      </c>
      <c r="AH311" s="68" t="s">
        <v>1141</v>
      </c>
      <c r="AI311" s="309"/>
      <c r="AJ311" s="309"/>
      <c r="AK311" s="68" t="s">
        <v>37</v>
      </c>
      <c r="AL311" s="68" t="s">
        <v>54</v>
      </c>
      <c r="AM311" s="299">
        <f t="shared" ca="1" si="40"/>
        <v>1.1423611111094942</v>
      </c>
      <c r="AN311" s="75"/>
      <c r="AO311" s="61" t="s">
        <v>53</v>
      </c>
      <c r="AP311" s="62" t="s">
        <v>1139</v>
      </c>
      <c r="AQ311" s="78" t="s">
        <v>1323</v>
      </c>
      <c r="AR311" s="64">
        <v>44874.548611111109</v>
      </c>
      <c r="AS311" s="63" t="s">
        <v>1325</v>
      </c>
      <c r="AT311" s="61" t="s">
        <v>65</v>
      </c>
      <c r="AU311" s="63">
        <v>0.54861111111111105</v>
      </c>
      <c r="AV311" s="61">
        <v>1</v>
      </c>
      <c r="AW311" s="61" t="s">
        <v>66</v>
      </c>
      <c r="AX311" s="76"/>
      <c r="AY311" s="76"/>
      <c r="AZ311" s="76"/>
      <c r="BA311" s="76"/>
      <c r="BB311" s="74"/>
    </row>
    <row r="312" spans="1:54" ht="15.75" thickBot="1" x14ac:dyDescent="0.3">
      <c r="A312" s="73">
        <v>142</v>
      </c>
      <c r="B312" s="72">
        <v>44873.40625</v>
      </c>
      <c r="C312" s="67">
        <v>0.40625</v>
      </c>
      <c r="D312" s="67">
        <v>0.40972222222222227</v>
      </c>
      <c r="E312" s="67">
        <v>0.4201388888888889</v>
      </c>
      <c r="F312" s="68" t="s">
        <v>171</v>
      </c>
      <c r="G312" s="68" t="s">
        <v>173</v>
      </c>
      <c r="H312" s="66" t="s">
        <v>195</v>
      </c>
      <c r="I312" s="66" t="s">
        <v>195</v>
      </c>
      <c r="J312" s="66" t="s">
        <v>37</v>
      </c>
      <c r="K312" s="66" t="s">
        <v>180</v>
      </c>
      <c r="L312" s="66" t="s">
        <v>209</v>
      </c>
      <c r="M312" s="68" t="s">
        <v>1139</v>
      </c>
      <c r="N312" s="68" t="s">
        <v>44</v>
      </c>
      <c r="O312" s="68" t="s">
        <v>1142</v>
      </c>
      <c r="P312" s="68">
        <v>2101070370</v>
      </c>
      <c r="Q312" s="303">
        <f t="shared" si="41"/>
        <v>1</v>
      </c>
      <c r="R312" s="303">
        <f t="shared" si="42"/>
        <v>304</v>
      </c>
      <c r="S312" s="68">
        <v>0</v>
      </c>
      <c r="T312" s="68">
        <v>0</v>
      </c>
      <c r="U312" s="68">
        <v>1</v>
      </c>
      <c r="V312" s="38">
        <v>304</v>
      </c>
      <c r="W312" s="38">
        <v>240</v>
      </c>
      <c r="X312" s="68">
        <v>115</v>
      </c>
      <c r="Y312" s="68">
        <v>80</v>
      </c>
      <c r="Z312" s="68">
        <v>79</v>
      </c>
      <c r="AA312" s="68">
        <v>1</v>
      </c>
      <c r="AB312" s="300">
        <f t="shared" si="43"/>
        <v>121.13333333333334</v>
      </c>
      <c r="AC312" s="300">
        <f t="shared" si="44"/>
        <v>0.72971887550200809</v>
      </c>
      <c r="AD312" s="68">
        <v>14168.16</v>
      </c>
      <c r="AE312" s="68" t="s">
        <v>109</v>
      </c>
      <c r="AF312" s="68" t="s">
        <v>317</v>
      </c>
      <c r="AG312" s="68" t="s">
        <v>317</v>
      </c>
      <c r="AH312" s="68" t="s">
        <v>1143</v>
      </c>
      <c r="AI312" s="309"/>
      <c r="AJ312" s="309"/>
      <c r="AK312" s="68" t="s">
        <v>37</v>
      </c>
      <c r="AL312" s="68" t="s">
        <v>54</v>
      </c>
      <c r="AM312" s="299">
        <f t="shared" ca="1" si="40"/>
        <v>1.1423611111094942</v>
      </c>
      <c r="AN312" s="75"/>
      <c r="AO312" s="61" t="s">
        <v>53</v>
      </c>
      <c r="AP312" s="62" t="s">
        <v>1139</v>
      </c>
      <c r="AQ312" s="78" t="s">
        <v>1323</v>
      </c>
      <c r="AR312" s="64">
        <v>44874.548611111109</v>
      </c>
      <c r="AS312" s="63" t="s">
        <v>1325</v>
      </c>
      <c r="AT312" s="61" t="s">
        <v>65</v>
      </c>
      <c r="AU312" s="63">
        <v>0.54861111111111105</v>
      </c>
      <c r="AV312" s="61">
        <v>1</v>
      </c>
      <c r="AW312" s="61" t="s">
        <v>66</v>
      </c>
      <c r="AX312" s="76"/>
      <c r="AY312" s="76"/>
      <c r="AZ312" s="76"/>
      <c r="BA312" s="76"/>
      <c r="BB312" s="74"/>
    </row>
    <row r="313" spans="1:54" ht="15.75" thickBot="1" x14ac:dyDescent="0.3">
      <c r="A313" s="73">
        <v>143</v>
      </c>
      <c r="B313" s="72">
        <v>44873.430555555555</v>
      </c>
      <c r="C313" s="67">
        <v>0.43055555555555558</v>
      </c>
      <c r="D313" s="67">
        <v>0.4375</v>
      </c>
      <c r="E313" s="67">
        <v>0.4548611111111111</v>
      </c>
      <c r="F313" s="68" t="s">
        <v>171</v>
      </c>
      <c r="G313" s="68" t="s">
        <v>95</v>
      </c>
      <c r="H313" s="66" t="s">
        <v>339</v>
      </c>
      <c r="I313" s="66" t="s">
        <v>1144</v>
      </c>
      <c r="J313" s="66" t="s">
        <v>37</v>
      </c>
      <c r="K313" s="66" t="s">
        <v>180</v>
      </c>
      <c r="L313" s="70" t="s">
        <v>206</v>
      </c>
      <c r="M313" s="68" t="s">
        <v>1145</v>
      </c>
      <c r="N313" s="68" t="s">
        <v>482</v>
      </c>
      <c r="O313" s="68" t="s">
        <v>1146</v>
      </c>
      <c r="P313" s="68" t="s">
        <v>1147</v>
      </c>
      <c r="Q313" s="303">
        <f t="shared" si="41"/>
        <v>21</v>
      </c>
      <c r="R313" s="303">
        <f t="shared" si="42"/>
        <v>1385</v>
      </c>
      <c r="S313" s="68">
        <v>0</v>
      </c>
      <c r="T313" s="68">
        <v>0</v>
      </c>
      <c r="U313" s="68">
        <v>21</v>
      </c>
      <c r="V313" s="68">
        <v>1385</v>
      </c>
      <c r="W313" s="68">
        <v>1260</v>
      </c>
      <c r="X313" s="68">
        <v>84</v>
      </c>
      <c r="Y313" s="68">
        <v>84</v>
      </c>
      <c r="Z313" s="68">
        <v>40</v>
      </c>
      <c r="AA313" s="68">
        <v>21</v>
      </c>
      <c r="AB313" s="300">
        <f t="shared" si="43"/>
        <v>987.84</v>
      </c>
      <c r="AC313" s="300">
        <f t="shared" si="44"/>
        <v>5.9508433734939761</v>
      </c>
      <c r="AD313" s="68">
        <v>19176.990000000002</v>
      </c>
      <c r="AE313" s="68" t="s">
        <v>109</v>
      </c>
      <c r="AF313" s="68" t="s">
        <v>317</v>
      </c>
      <c r="AG313" s="68" t="s">
        <v>317</v>
      </c>
      <c r="AH313" s="68" t="s">
        <v>1148</v>
      </c>
      <c r="AI313" s="309"/>
      <c r="AJ313" s="309"/>
      <c r="AK313" s="68" t="s">
        <v>37</v>
      </c>
      <c r="AL313" s="68" t="s">
        <v>39</v>
      </c>
      <c r="AM313" s="299">
        <f t="shared" ca="1" si="40"/>
        <v>0.21527777778101154</v>
      </c>
      <c r="AN313" s="75"/>
      <c r="AO313" s="61" t="s">
        <v>53</v>
      </c>
      <c r="AP313" s="62" t="s">
        <v>1145</v>
      </c>
      <c r="AQ313" s="78" t="s">
        <v>1246</v>
      </c>
      <c r="AR313" s="64">
        <v>44873.645833333336</v>
      </c>
      <c r="AS313" s="57" t="s">
        <v>1247</v>
      </c>
      <c r="AT313" s="61" t="s">
        <v>225</v>
      </c>
      <c r="AU313" s="63">
        <v>0.64583333333333337</v>
      </c>
      <c r="AV313" s="61">
        <v>2</v>
      </c>
      <c r="AW313" s="61" t="s">
        <v>66</v>
      </c>
      <c r="AX313" s="76"/>
      <c r="AY313" s="76"/>
      <c r="AZ313" s="76"/>
      <c r="BA313" s="76"/>
      <c r="BB313" s="74"/>
    </row>
    <row r="314" spans="1:54" ht="15.75" thickBot="1" x14ac:dyDescent="0.3">
      <c r="A314" s="73">
        <v>144</v>
      </c>
      <c r="B314" s="72">
        <v>44873.430555555555</v>
      </c>
      <c r="C314" s="67">
        <v>0.43055555555555558</v>
      </c>
      <c r="D314" s="67">
        <v>0.4375</v>
      </c>
      <c r="E314" s="67">
        <v>0.4548611111111111</v>
      </c>
      <c r="F314" s="68" t="s">
        <v>171</v>
      </c>
      <c r="G314" s="68" t="s">
        <v>95</v>
      </c>
      <c r="H314" s="66" t="s">
        <v>339</v>
      </c>
      <c r="I314" s="66" t="s">
        <v>1144</v>
      </c>
      <c r="J314" s="66" t="s">
        <v>37</v>
      </c>
      <c r="K314" s="66" t="s">
        <v>180</v>
      </c>
      <c r="L314" s="70" t="s">
        <v>206</v>
      </c>
      <c r="M314" s="68" t="s">
        <v>1145</v>
      </c>
      <c r="N314" s="68" t="s">
        <v>482</v>
      </c>
      <c r="O314" s="68" t="s">
        <v>1149</v>
      </c>
      <c r="P314" s="68" t="s">
        <v>1147</v>
      </c>
      <c r="Q314" s="303">
        <f t="shared" si="41"/>
        <v>1</v>
      </c>
      <c r="R314" s="303">
        <f t="shared" si="42"/>
        <v>66</v>
      </c>
      <c r="S314" s="68">
        <v>0</v>
      </c>
      <c r="T314" s="68">
        <v>0</v>
      </c>
      <c r="U314" s="68">
        <v>1</v>
      </c>
      <c r="V314" s="68">
        <v>66</v>
      </c>
      <c r="W314" s="68">
        <v>60</v>
      </c>
      <c r="X314" s="68">
        <v>84</v>
      </c>
      <c r="Y314" s="68">
        <v>84</v>
      </c>
      <c r="Z314" s="68">
        <v>40</v>
      </c>
      <c r="AA314" s="68">
        <v>1</v>
      </c>
      <c r="AB314" s="300">
        <f t="shared" si="43"/>
        <v>47.04</v>
      </c>
      <c r="AC314" s="300">
        <f t="shared" si="44"/>
        <v>0.28337349397590361</v>
      </c>
      <c r="AD314" s="68">
        <v>913.19</v>
      </c>
      <c r="AE314" s="68" t="s">
        <v>109</v>
      </c>
      <c r="AF314" s="68" t="s">
        <v>317</v>
      </c>
      <c r="AG314" s="68" t="s">
        <v>317</v>
      </c>
      <c r="AH314" s="68" t="s">
        <v>1150</v>
      </c>
      <c r="AI314" s="309"/>
      <c r="AJ314" s="309"/>
      <c r="AK314" s="68" t="s">
        <v>37</v>
      </c>
      <c r="AL314" s="68" t="s">
        <v>39</v>
      </c>
      <c r="AM314" s="299">
        <f t="shared" ca="1" si="40"/>
        <v>0.21527777778101154</v>
      </c>
      <c r="AN314" s="75"/>
      <c r="AO314" s="61" t="s">
        <v>53</v>
      </c>
      <c r="AP314" s="62" t="s">
        <v>1145</v>
      </c>
      <c r="AQ314" s="78" t="s">
        <v>1246</v>
      </c>
      <c r="AR314" s="64">
        <v>44873.645833333336</v>
      </c>
      <c r="AS314" s="57" t="s">
        <v>1247</v>
      </c>
      <c r="AT314" s="61" t="s">
        <v>225</v>
      </c>
      <c r="AU314" s="63">
        <v>0.64583333333333337</v>
      </c>
      <c r="AV314" s="61">
        <v>2</v>
      </c>
      <c r="AW314" s="61" t="s">
        <v>66</v>
      </c>
      <c r="AX314" s="76"/>
      <c r="AY314" s="76"/>
      <c r="AZ314" s="76"/>
      <c r="BA314" s="76"/>
      <c r="BB314" s="74"/>
    </row>
    <row r="315" spans="1:54" ht="15.75" thickBot="1" x14ac:dyDescent="0.3">
      <c r="A315" s="73">
        <v>145</v>
      </c>
      <c r="B315" s="72">
        <v>44873.430555555555</v>
      </c>
      <c r="C315" s="67">
        <v>0.43055555555555558</v>
      </c>
      <c r="D315" s="67">
        <v>0.4375</v>
      </c>
      <c r="E315" s="67">
        <v>0.4548611111111111</v>
      </c>
      <c r="F315" s="68" t="s">
        <v>171</v>
      </c>
      <c r="G315" s="68" t="s">
        <v>95</v>
      </c>
      <c r="H315" s="66" t="s">
        <v>339</v>
      </c>
      <c r="I315" s="66" t="s">
        <v>1144</v>
      </c>
      <c r="J315" s="66" t="s">
        <v>37</v>
      </c>
      <c r="K315" s="66" t="s">
        <v>180</v>
      </c>
      <c r="L315" s="70" t="s">
        <v>206</v>
      </c>
      <c r="M315" s="68" t="s">
        <v>1145</v>
      </c>
      <c r="N315" s="68" t="s">
        <v>482</v>
      </c>
      <c r="O315" s="68" t="s">
        <v>1151</v>
      </c>
      <c r="P315" s="68" t="s">
        <v>497</v>
      </c>
      <c r="Q315" s="303">
        <f t="shared" si="41"/>
        <v>8</v>
      </c>
      <c r="R315" s="303">
        <f t="shared" si="42"/>
        <v>481</v>
      </c>
      <c r="S315" s="68">
        <v>0</v>
      </c>
      <c r="T315" s="68">
        <v>0</v>
      </c>
      <c r="U315" s="68">
        <v>8</v>
      </c>
      <c r="V315" s="68">
        <v>481</v>
      </c>
      <c r="W315" s="68">
        <v>432</v>
      </c>
      <c r="X315" s="68">
        <v>84</v>
      </c>
      <c r="Y315" s="68">
        <v>84</v>
      </c>
      <c r="Z315" s="68">
        <v>40</v>
      </c>
      <c r="AA315" s="68">
        <v>8</v>
      </c>
      <c r="AB315" s="300">
        <f t="shared" si="43"/>
        <v>376.32</v>
      </c>
      <c r="AC315" s="300">
        <f t="shared" si="44"/>
        <v>2.2669879518072289</v>
      </c>
      <c r="AD315" s="68">
        <v>6167.36</v>
      </c>
      <c r="AE315" s="68" t="s">
        <v>109</v>
      </c>
      <c r="AF315" s="68" t="s">
        <v>317</v>
      </c>
      <c r="AG315" s="68" t="s">
        <v>317</v>
      </c>
      <c r="AH315" s="68" t="s">
        <v>1152</v>
      </c>
      <c r="AI315" s="309"/>
      <c r="AJ315" s="309"/>
      <c r="AK315" s="68" t="s">
        <v>37</v>
      </c>
      <c r="AL315" s="68" t="s">
        <v>39</v>
      </c>
      <c r="AM315" s="299">
        <f t="shared" ca="1" si="40"/>
        <v>0.21527777778101154</v>
      </c>
      <c r="AN315" s="75"/>
      <c r="AO315" s="61" t="s">
        <v>53</v>
      </c>
      <c r="AP315" s="62" t="s">
        <v>1145</v>
      </c>
      <c r="AQ315" s="78" t="s">
        <v>1246</v>
      </c>
      <c r="AR315" s="64">
        <v>44873.645833333336</v>
      </c>
      <c r="AS315" s="57" t="s">
        <v>1247</v>
      </c>
      <c r="AT315" s="61" t="s">
        <v>225</v>
      </c>
      <c r="AU315" s="63">
        <v>0.64583333333333337</v>
      </c>
      <c r="AV315" s="61">
        <v>2</v>
      </c>
      <c r="AW315" s="61" t="s">
        <v>66</v>
      </c>
      <c r="AX315" s="76"/>
      <c r="AY315" s="76"/>
      <c r="AZ315" s="76"/>
      <c r="BA315" s="76"/>
      <c r="BB315" s="74"/>
    </row>
    <row r="316" spans="1:54" ht="15.75" thickBot="1" x14ac:dyDescent="0.3">
      <c r="A316" s="73">
        <v>146</v>
      </c>
      <c r="B316" s="72">
        <v>44873.444444444445</v>
      </c>
      <c r="C316" s="67">
        <v>0.44444444444444442</v>
      </c>
      <c r="D316" s="67">
        <v>0.4513888888888889</v>
      </c>
      <c r="E316" s="67">
        <v>0.4548611111111111</v>
      </c>
      <c r="F316" s="68" t="s">
        <v>171</v>
      </c>
      <c r="G316" s="68" t="s">
        <v>1153</v>
      </c>
      <c r="H316" s="66" t="s">
        <v>339</v>
      </c>
      <c r="I316" s="66" t="s">
        <v>1144</v>
      </c>
      <c r="J316" s="66" t="s">
        <v>37</v>
      </c>
      <c r="K316" s="66" t="s">
        <v>180</v>
      </c>
      <c r="L316" s="70" t="s">
        <v>206</v>
      </c>
      <c r="M316" s="68" t="s">
        <v>1145</v>
      </c>
      <c r="N316" s="68" t="s">
        <v>482</v>
      </c>
      <c r="O316" s="68" t="s">
        <v>1154</v>
      </c>
      <c r="P316" s="68" t="s">
        <v>1147</v>
      </c>
      <c r="Q316" s="303">
        <f t="shared" si="41"/>
        <v>26</v>
      </c>
      <c r="R316" s="303">
        <f t="shared" si="42"/>
        <v>1728</v>
      </c>
      <c r="S316" s="68">
        <v>0</v>
      </c>
      <c r="T316" s="68">
        <v>0</v>
      </c>
      <c r="U316" s="68">
        <v>26</v>
      </c>
      <c r="V316" s="38">
        <v>1728</v>
      </c>
      <c r="W316" s="38">
        <v>1560</v>
      </c>
      <c r="X316" s="68">
        <v>84</v>
      </c>
      <c r="Y316" s="68">
        <v>84</v>
      </c>
      <c r="Z316" s="68">
        <v>40</v>
      </c>
      <c r="AA316" s="68">
        <v>26</v>
      </c>
      <c r="AB316" s="300">
        <f t="shared" si="43"/>
        <v>1223.04</v>
      </c>
      <c r="AC316" s="300">
        <f t="shared" si="44"/>
        <v>7.3677108433734935</v>
      </c>
      <c r="AD316" s="68">
        <v>23742.94</v>
      </c>
      <c r="AE316" s="68" t="s">
        <v>109</v>
      </c>
      <c r="AF316" s="68" t="s">
        <v>317</v>
      </c>
      <c r="AG316" s="68" t="s">
        <v>317</v>
      </c>
      <c r="AH316" s="68" t="s">
        <v>1155</v>
      </c>
      <c r="AI316" s="309"/>
      <c r="AJ316" s="309"/>
      <c r="AK316" s="68" t="s">
        <v>37</v>
      </c>
      <c r="AL316" s="68" t="s">
        <v>39</v>
      </c>
      <c r="AM316" s="299">
        <f t="shared" ca="1" si="40"/>
        <v>0.20138888889050577</v>
      </c>
      <c r="AN316" s="75"/>
      <c r="AO316" s="61" t="s">
        <v>53</v>
      </c>
      <c r="AP316" s="62" t="s">
        <v>1145</v>
      </c>
      <c r="AQ316" s="78" t="s">
        <v>1246</v>
      </c>
      <c r="AR316" s="64">
        <v>44873.645833333336</v>
      </c>
      <c r="AS316" s="57" t="s">
        <v>1247</v>
      </c>
      <c r="AT316" s="61" t="s">
        <v>225</v>
      </c>
      <c r="AU316" s="63">
        <v>0.64583333333333337</v>
      </c>
      <c r="AV316" s="61">
        <v>2</v>
      </c>
      <c r="AW316" s="61" t="s">
        <v>66</v>
      </c>
      <c r="AX316" s="76"/>
      <c r="AY316" s="76"/>
      <c r="AZ316" s="76"/>
      <c r="BA316" s="76"/>
      <c r="BB316" s="74"/>
    </row>
    <row r="317" spans="1:54" ht="15.75" thickBot="1" x14ac:dyDescent="0.3">
      <c r="A317" s="73">
        <v>147</v>
      </c>
      <c r="B317" s="72">
        <v>44873.444444444445</v>
      </c>
      <c r="C317" s="67">
        <v>0.44444444444444442</v>
      </c>
      <c r="D317" s="67">
        <v>0.4513888888888889</v>
      </c>
      <c r="E317" s="67">
        <v>0.4548611111111111</v>
      </c>
      <c r="F317" s="68" t="s">
        <v>171</v>
      </c>
      <c r="G317" s="68" t="s">
        <v>1153</v>
      </c>
      <c r="H317" s="66" t="s">
        <v>339</v>
      </c>
      <c r="I317" s="66" t="s">
        <v>1144</v>
      </c>
      <c r="J317" s="66" t="s">
        <v>37</v>
      </c>
      <c r="K317" s="66" t="s">
        <v>180</v>
      </c>
      <c r="L317" s="70" t="s">
        <v>206</v>
      </c>
      <c r="M317" s="68" t="s">
        <v>1145</v>
      </c>
      <c r="N317" s="68" t="s">
        <v>482</v>
      </c>
      <c r="O317" s="68" t="s">
        <v>1156</v>
      </c>
      <c r="P317" s="68" t="s">
        <v>497</v>
      </c>
      <c r="Q317" s="303">
        <f t="shared" si="41"/>
        <v>4</v>
      </c>
      <c r="R317" s="303">
        <f t="shared" si="42"/>
        <v>240</v>
      </c>
      <c r="S317" s="68">
        <v>0</v>
      </c>
      <c r="T317" s="68">
        <v>0</v>
      </c>
      <c r="U317" s="68">
        <v>4</v>
      </c>
      <c r="V317" s="68">
        <v>240</v>
      </c>
      <c r="W317" s="68">
        <v>216</v>
      </c>
      <c r="X317" s="68">
        <v>84</v>
      </c>
      <c r="Y317" s="68">
        <v>84</v>
      </c>
      <c r="Z317" s="68">
        <v>40</v>
      </c>
      <c r="AA317" s="68">
        <v>4</v>
      </c>
      <c r="AB317" s="300">
        <f t="shared" si="43"/>
        <v>188.16</v>
      </c>
      <c r="AC317" s="300">
        <f t="shared" si="44"/>
        <v>1.1334939759036144</v>
      </c>
      <c r="AD317" s="68">
        <v>3083.68</v>
      </c>
      <c r="AE317" s="68" t="s">
        <v>109</v>
      </c>
      <c r="AF317" s="68" t="s">
        <v>317</v>
      </c>
      <c r="AG317" s="68" t="s">
        <v>317</v>
      </c>
      <c r="AH317" s="68" t="s">
        <v>1157</v>
      </c>
      <c r="AI317" s="309"/>
      <c r="AJ317" s="309"/>
      <c r="AK317" s="68" t="s">
        <v>37</v>
      </c>
      <c r="AL317" s="68" t="s">
        <v>39</v>
      </c>
      <c r="AM317" s="299">
        <f t="shared" ca="1" si="40"/>
        <v>0.20138888889050577</v>
      </c>
      <c r="AN317" s="75"/>
      <c r="AO317" s="61" t="s">
        <v>53</v>
      </c>
      <c r="AP317" s="62" t="s">
        <v>1145</v>
      </c>
      <c r="AQ317" s="78" t="s">
        <v>1246</v>
      </c>
      <c r="AR317" s="64">
        <v>44873.645833333336</v>
      </c>
      <c r="AS317" s="57" t="s">
        <v>1247</v>
      </c>
      <c r="AT317" s="61" t="s">
        <v>225</v>
      </c>
      <c r="AU317" s="63">
        <v>0.64583333333333337</v>
      </c>
      <c r="AV317" s="61">
        <v>2</v>
      </c>
      <c r="AW317" s="61" t="s">
        <v>66</v>
      </c>
      <c r="AX317" s="76"/>
      <c r="AY317" s="76"/>
      <c r="AZ317" s="76"/>
      <c r="BA317" s="76"/>
      <c r="BB317" s="74"/>
    </row>
    <row r="318" spans="1:54" ht="15.75" thickBot="1" x14ac:dyDescent="0.3">
      <c r="A318" s="73">
        <v>148</v>
      </c>
      <c r="B318" s="72">
        <v>44873.465277777781</v>
      </c>
      <c r="C318" s="67">
        <v>0.46875</v>
      </c>
      <c r="D318" s="67">
        <v>0.47569444444444442</v>
      </c>
      <c r="E318" s="67">
        <v>0.47916666666666669</v>
      </c>
      <c r="F318" s="68" t="s">
        <v>171</v>
      </c>
      <c r="G318" s="68" t="s">
        <v>1158</v>
      </c>
      <c r="H318" s="66" t="s">
        <v>85</v>
      </c>
      <c r="I318" s="66" t="s">
        <v>86</v>
      </c>
      <c r="J318" s="66" t="s">
        <v>37</v>
      </c>
      <c r="K318" s="66" t="s">
        <v>233</v>
      </c>
      <c r="L318" s="70" t="s">
        <v>206</v>
      </c>
      <c r="M318" s="68" t="s">
        <v>1159</v>
      </c>
      <c r="N318" s="68" t="s">
        <v>42</v>
      </c>
      <c r="O318" s="68" t="s">
        <v>1160</v>
      </c>
      <c r="P318" s="68" t="s">
        <v>1161</v>
      </c>
      <c r="Q318" s="303">
        <f t="shared" si="41"/>
        <v>3</v>
      </c>
      <c r="R318" s="303">
        <f t="shared" si="42"/>
        <v>953</v>
      </c>
      <c r="S318" s="68">
        <v>0</v>
      </c>
      <c r="T318" s="68">
        <v>0</v>
      </c>
      <c r="U318" s="68">
        <v>3</v>
      </c>
      <c r="V318" s="68">
        <v>953</v>
      </c>
      <c r="W318" s="68">
        <v>937</v>
      </c>
      <c r="X318" s="68">
        <v>120</v>
      </c>
      <c r="Y318" s="68">
        <v>80</v>
      </c>
      <c r="Z318" s="68">
        <v>88</v>
      </c>
      <c r="AA318" s="68">
        <v>3</v>
      </c>
      <c r="AB318" s="300">
        <f t="shared" si="43"/>
        <v>422.4</v>
      </c>
      <c r="AC318" s="300">
        <f t="shared" si="44"/>
        <v>2.544578313253012</v>
      </c>
      <c r="AD318" s="68">
        <v>15790.87</v>
      </c>
      <c r="AE318" s="68" t="s">
        <v>109</v>
      </c>
      <c r="AF318" s="68" t="s">
        <v>317</v>
      </c>
      <c r="AG318" s="68" t="s">
        <v>317</v>
      </c>
      <c r="AH318" s="68" t="s">
        <v>1162</v>
      </c>
      <c r="AI318" s="309"/>
      <c r="AJ318" s="309"/>
      <c r="AK318" s="68" t="s">
        <v>37</v>
      </c>
      <c r="AL318" s="68" t="s">
        <v>49</v>
      </c>
      <c r="AM318" s="299">
        <f t="shared" ca="1" si="40"/>
        <v>3.0104166666642413</v>
      </c>
      <c r="AN318" s="75"/>
      <c r="AO318" s="61" t="s">
        <v>87</v>
      </c>
      <c r="AP318" s="62" t="s">
        <v>1159</v>
      </c>
      <c r="AQ318" s="61" t="s">
        <v>1506</v>
      </c>
      <c r="AR318" s="64">
        <v>44876.475694444445</v>
      </c>
      <c r="AS318" s="61" t="s">
        <v>136</v>
      </c>
      <c r="AT318" s="61" t="s">
        <v>225</v>
      </c>
      <c r="AU318" s="63">
        <v>0.47569444444444442</v>
      </c>
      <c r="AV318" s="61">
        <v>1</v>
      </c>
      <c r="AW318" s="61" t="s">
        <v>66</v>
      </c>
      <c r="AX318" s="76"/>
      <c r="AY318" s="76"/>
      <c r="AZ318" s="76"/>
      <c r="BA318" s="76"/>
      <c r="BB318" s="74"/>
    </row>
    <row r="319" spans="1:54" ht="15.75" thickBot="1" x14ac:dyDescent="0.3">
      <c r="A319" s="73">
        <v>149</v>
      </c>
      <c r="B319" s="72">
        <v>44873.625</v>
      </c>
      <c r="C319" s="67">
        <v>0.625</v>
      </c>
      <c r="D319" s="67">
        <v>0.63194444444444442</v>
      </c>
      <c r="E319" s="67">
        <v>0.63888888888888895</v>
      </c>
      <c r="F319" s="68" t="s">
        <v>170</v>
      </c>
      <c r="G319" s="68" t="s">
        <v>1163</v>
      </c>
      <c r="H319" s="66" t="s">
        <v>227</v>
      </c>
      <c r="I319" s="66" t="s">
        <v>189</v>
      </c>
      <c r="J319" s="66" t="s">
        <v>37</v>
      </c>
      <c r="K319" s="66" t="s">
        <v>63</v>
      </c>
      <c r="L319" s="70" t="s">
        <v>206</v>
      </c>
      <c r="M319" s="68" t="s">
        <v>1164</v>
      </c>
      <c r="N319" s="68" t="s">
        <v>43</v>
      </c>
      <c r="O319" s="68" t="s">
        <v>1165</v>
      </c>
      <c r="P319" s="68">
        <v>28192</v>
      </c>
      <c r="Q319" s="303">
        <f t="shared" si="41"/>
        <v>6</v>
      </c>
      <c r="R319" s="303">
        <f t="shared" si="42"/>
        <v>109</v>
      </c>
      <c r="S319" s="68">
        <v>6</v>
      </c>
      <c r="T319" s="68">
        <v>109</v>
      </c>
      <c r="U319" s="68">
        <v>0</v>
      </c>
      <c r="V319" s="68">
        <v>0</v>
      </c>
      <c r="W319" s="68">
        <v>102</v>
      </c>
      <c r="X319" s="68">
        <v>84</v>
      </c>
      <c r="Y319" s="68">
        <v>53</v>
      </c>
      <c r="Z319" s="68">
        <v>62</v>
      </c>
      <c r="AA319" s="68">
        <v>6</v>
      </c>
      <c r="AB319" s="300">
        <f t="shared" si="43"/>
        <v>276.024</v>
      </c>
      <c r="AC319" s="300">
        <f t="shared" si="44"/>
        <v>1.6627951807228916</v>
      </c>
      <c r="AD319" s="68">
        <v>4590</v>
      </c>
      <c r="AE319" s="68" t="s">
        <v>109</v>
      </c>
      <c r="AF319" s="68" t="s">
        <v>317</v>
      </c>
      <c r="AG319" s="68" t="s">
        <v>317</v>
      </c>
      <c r="AH319" s="68" t="s">
        <v>1166</v>
      </c>
      <c r="AI319" s="309"/>
      <c r="AJ319" s="309"/>
      <c r="AK319" s="68" t="s">
        <v>48</v>
      </c>
      <c r="AL319" s="68" t="s">
        <v>49</v>
      </c>
      <c r="AM319" s="299">
        <f t="shared" ca="1" si="40"/>
        <v>9.7222222218988463E-2</v>
      </c>
      <c r="AN319" s="75"/>
      <c r="AO319" s="61" t="s">
        <v>179</v>
      </c>
      <c r="AP319" s="90" t="s">
        <v>1164</v>
      </c>
      <c r="AQ319" s="63" t="s">
        <v>1249</v>
      </c>
      <c r="AR319" s="64">
        <v>44873.722222222219</v>
      </c>
      <c r="AS319" s="61" t="s">
        <v>1203</v>
      </c>
      <c r="AT319" s="61" t="s">
        <v>65</v>
      </c>
      <c r="AU319" s="63">
        <v>0.72222222222222221</v>
      </c>
      <c r="AV319" s="61">
        <v>1</v>
      </c>
      <c r="AW319" s="61" t="s">
        <v>66</v>
      </c>
      <c r="AX319" s="76"/>
      <c r="AY319" s="76"/>
      <c r="AZ319" s="76"/>
      <c r="BA319" s="76"/>
      <c r="BB319" s="74"/>
    </row>
    <row r="320" spans="1:54" ht="15.75" thickBot="1" x14ac:dyDescent="0.3">
      <c r="A320" s="73">
        <v>150</v>
      </c>
      <c r="B320" s="72">
        <v>44873.625</v>
      </c>
      <c r="C320" s="67">
        <v>0.625</v>
      </c>
      <c r="D320" s="67">
        <v>0.63194444444444442</v>
      </c>
      <c r="E320" s="67">
        <v>0.63888888888888895</v>
      </c>
      <c r="F320" s="68" t="s">
        <v>170</v>
      </c>
      <c r="G320" s="68" t="s">
        <v>1163</v>
      </c>
      <c r="H320" s="66" t="s">
        <v>227</v>
      </c>
      <c r="I320" s="66" t="s">
        <v>189</v>
      </c>
      <c r="J320" s="66" t="s">
        <v>37</v>
      </c>
      <c r="K320" s="66" t="s">
        <v>63</v>
      </c>
      <c r="L320" s="70" t="s">
        <v>206</v>
      </c>
      <c r="M320" s="68" t="s">
        <v>1164</v>
      </c>
      <c r="N320" s="68" t="s">
        <v>43</v>
      </c>
      <c r="O320" s="68" t="s">
        <v>1167</v>
      </c>
      <c r="P320" s="68" t="s">
        <v>1168</v>
      </c>
      <c r="Q320" s="303">
        <f t="shared" si="41"/>
        <v>4</v>
      </c>
      <c r="R320" s="303">
        <f t="shared" si="42"/>
        <v>1203</v>
      </c>
      <c r="S320" s="68">
        <v>0</v>
      </c>
      <c r="T320" s="68">
        <v>0</v>
      </c>
      <c r="U320" s="68">
        <v>4</v>
      </c>
      <c r="V320" s="38">
        <v>1203</v>
      </c>
      <c r="W320" s="38">
        <v>1325</v>
      </c>
      <c r="X320" s="68">
        <v>160</v>
      </c>
      <c r="Y320" s="68">
        <v>137</v>
      </c>
      <c r="Z320" s="68">
        <v>78</v>
      </c>
      <c r="AA320" s="68">
        <v>4</v>
      </c>
      <c r="AB320" s="300">
        <f t="shared" si="43"/>
        <v>1139.8399999999999</v>
      </c>
      <c r="AC320" s="300">
        <f t="shared" si="44"/>
        <v>6.8665060240963847</v>
      </c>
      <c r="AD320" s="68" t="s">
        <v>48</v>
      </c>
      <c r="AE320" s="68" t="s">
        <v>48</v>
      </c>
      <c r="AF320" s="68" t="s">
        <v>317</v>
      </c>
      <c r="AG320" s="68" t="s">
        <v>317</v>
      </c>
      <c r="AH320" s="68" t="s">
        <v>1169</v>
      </c>
      <c r="AI320" s="309"/>
      <c r="AJ320" s="309"/>
      <c r="AK320" s="68" t="s">
        <v>37</v>
      </c>
      <c r="AL320" s="68" t="s">
        <v>49</v>
      </c>
      <c r="AM320" s="299">
        <f t="shared" ca="1" si="40"/>
        <v>9.7222222218988463E-2</v>
      </c>
      <c r="AN320" s="75"/>
      <c r="AO320" s="61" t="s">
        <v>179</v>
      </c>
      <c r="AP320" s="90" t="s">
        <v>1164</v>
      </c>
      <c r="AQ320" s="63" t="s">
        <v>1249</v>
      </c>
      <c r="AR320" s="64">
        <v>44873.722222222219</v>
      </c>
      <c r="AS320" s="61" t="s">
        <v>1203</v>
      </c>
      <c r="AT320" s="61" t="s">
        <v>65</v>
      </c>
      <c r="AU320" s="63">
        <v>0.72222222222222221</v>
      </c>
      <c r="AV320" s="61">
        <v>1</v>
      </c>
      <c r="AW320" s="61" t="s">
        <v>66</v>
      </c>
      <c r="AX320" s="76"/>
      <c r="AY320" s="76"/>
      <c r="AZ320" s="76"/>
      <c r="BA320" s="76"/>
      <c r="BB320" s="74"/>
    </row>
    <row r="321" spans="1:54" ht="15.75" thickBot="1" x14ac:dyDescent="0.3">
      <c r="A321" s="73">
        <v>151</v>
      </c>
      <c r="B321" s="72">
        <v>44873.638888888891</v>
      </c>
      <c r="C321" s="67">
        <v>0.63888888888888895</v>
      </c>
      <c r="D321" s="67">
        <v>0.64236111111111105</v>
      </c>
      <c r="E321" s="67">
        <v>0.64930555555555558</v>
      </c>
      <c r="F321" s="68" t="s">
        <v>170</v>
      </c>
      <c r="G321" s="68" t="s">
        <v>1170</v>
      </c>
      <c r="H321" s="66" t="s">
        <v>227</v>
      </c>
      <c r="I321" s="66" t="s">
        <v>189</v>
      </c>
      <c r="J321" s="66" t="s">
        <v>37</v>
      </c>
      <c r="K321" s="66" t="s">
        <v>63</v>
      </c>
      <c r="L321" s="70" t="s">
        <v>206</v>
      </c>
      <c r="M321" s="68" t="s">
        <v>1171</v>
      </c>
      <c r="N321" s="68" t="s">
        <v>42</v>
      </c>
      <c r="O321" s="68" t="s">
        <v>1172</v>
      </c>
      <c r="P321" s="68" t="s">
        <v>1173</v>
      </c>
      <c r="Q321" s="303">
        <f t="shared" si="41"/>
        <v>5</v>
      </c>
      <c r="R321" s="303">
        <f t="shared" si="42"/>
        <v>1630</v>
      </c>
      <c r="S321" s="68">
        <v>0</v>
      </c>
      <c r="T321" s="68">
        <v>0</v>
      </c>
      <c r="U321" s="68">
        <v>5</v>
      </c>
      <c r="V321" s="38">
        <v>1630</v>
      </c>
      <c r="W321" s="38">
        <v>1500</v>
      </c>
      <c r="X321" s="68">
        <v>160</v>
      </c>
      <c r="Y321" s="68">
        <v>137</v>
      </c>
      <c r="Z321" s="68">
        <v>78</v>
      </c>
      <c r="AA321" s="68">
        <v>5</v>
      </c>
      <c r="AB321" s="300">
        <f t="shared" si="43"/>
        <v>1424.8</v>
      </c>
      <c r="AC321" s="300">
        <f t="shared" si="44"/>
        <v>8.5831325301204817</v>
      </c>
      <c r="AD321" s="68" t="s">
        <v>48</v>
      </c>
      <c r="AE321" s="68" t="s">
        <v>48</v>
      </c>
      <c r="AF321" s="68" t="s">
        <v>317</v>
      </c>
      <c r="AG321" s="68" t="s">
        <v>317</v>
      </c>
      <c r="AH321" s="68" t="s">
        <v>1174</v>
      </c>
      <c r="AI321" s="309"/>
      <c r="AJ321" s="309"/>
      <c r="AK321" s="68" t="s">
        <v>37</v>
      </c>
      <c r="AL321" s="68" t="s">
        <v>49</v>
      </c>
      <c r="AM321" s="299">
        <f t="shared" ca="1" si="40"/>
        <v>7.2916666664241347E-2</v>
      </c>
      <c r="AN321" s="75"/>
      <c r="AO321" s="78" t="s">
        <v>89</v>
      </c>
      <c r="AP321" s="62" t="s">
        <v>1171</v>
      </c>
      <c r="AQ321" s="61" t="s">
        <v>1248</v>
      </c>
      <c r="AR321" s="64">
        <v>44873.711805555555</v>
      </c>
      <c r="AS321" s="61" t="s">
        <v>269</v>
      </c>
      <c r="AT321" s="61" t="s">
        <v>65</v>
      </c>
      <c r="AU321" s="63">
        <v>0.71180555555555547</v>
      </c>
      <c r="AV321" s="61">
        <v>1</v>
      </c>
      <c r="AW321" s="61" t="s">
        <v>66</v>
      </c>
      <c r="AX321" s="76"/>
      <c r="AY321" s="76"/>
      <c r="AZ321" s="76"/>
      <c r="BA321" s="76"/>
      <c r="BB321" s="74"/>
    </row>
    <row r="322" spans="1:54" ht="15.75" thickBot="1" x14ac:dyDescent="0.3">
      <c r="A322" s="73">
        <v>152</v>
      </c>
      <c r="B322" s="72">
        <v>44873.638888888891</v>
      </c>
      <c r="C322" s="67">
        <v>0.63888888888888895</v>
      </c>
      <c r="D322" s="67">
        <v>0.64236111111111105</v>
      </c>
      <c r="E322" s="67">
        <v>0.64930555555555558</v>
      </c>
      <c r="F322" s="68" t="s">
        <v>170</v>
      </c>
      <c r="G322" s="68" t="s">
        <v>1170</v>
      </c>
      <c r="H322" s="66" t="s">
        <v>227</v>
      </c>
      <c r="I322" s="66" t="s">
        <v>189</v>
      </c>
      <c r="J322" s="66" t="s">
        <v>37</v>
      </c>
      <c r="K322" s="66" t="s">
        <v>63</v>
      </c>
      <c r="L322" s="70" t="s">
        <v>206</v>
      </c>
      <c r="M322" s="68" t="s">
        <v>1171</v>
      </c>
      <c r="N322" s="68" t="s">
        <v>42</v>
      </c>
      <c r="O322" s="68" t="s">
        <v>1175</v>
      </c>
      <c r="P322" s="68">
        <v>2197</v>
      </c>
      <c r="Q322" s="303">
        <f t="shared" si="41"/>
        <v>6</v>
      </c>
      <c r="R322" s="303">
        <f t="shared" si="42"/>
        <v>108</v>
      </c>
      <c r="S322" s="68">
        <v>6</v>
      </c>
      <c r="T322" s="68">
        <v>108</v>
      </c>
      <c r="U322" s="68">
        <v>0</v>
      </c>
      <c r="V322" s="68">
        <v>0</v>
      </c>
      <c r="W322" s="68">
        <v>102</v>
      </c>
      <c r="X322" s="68">
        <v>84</v>
      </c>
      <c r="Y322" s="68">
        <v>53</v>
      </c>
      <c r="Z322" s="68">
        <v>62</v>
      </c>
      <c r="AA322" s="68">
        <v>6</v>
      </c>
      <c r="AB322" s="300">
        <f t="shared" si="43"/>
        <v>276.024</v>
      </c>
      <c r="AC322" s="300">
        <f t="shared" si="44"/>
        <v>1.6627951807228916</v>
      </c>
      <c r="AD322" s="68">
        <v>3591</v>
      </c>
      <c r="AE322" s="68" t="s">
        <v>109</v>
      </c>
      <c r="AF322" s="68" t="s">
        <v>317</v>
      </c>
      <c r="AG322" s="68" t="s">
        <v>317</v>
      </c>
      <c r="AH322" s="68" t="s">
        <v>1176</v>
      </c>
      <c r="AI322" s="309"/>
      <c r="AJ322" s="309"/>
      <c r="AK322" s="68" t="s">
        <v>48</v>
      </c>
      <c r="AL322" s="68" t="s">
        <v>49</v>
      </c>
      <c r="AM322" s="299">
        <f t="shared" ca="1" si="40"/>
        <v>7.2916666664241347E-2</v>
      </c>
      <c r="AN322" s="75"/>
      <c r="AO322" s="78" t="s">
        <v>89</v>
      </c>
      <c r="AP322" s="62" t="s">
        <v>1171</v>
      </c>
      <c r="AQ322" s="61" t="s">
        <v>1248</v>
      </c>
      <c r="AR322" s="64">
        <v>44873.711805555555</v>
      </c>
      <c r="AS322" s="61" t="s">
        <v>269</v>
      </c>
      <c r="AT322" s="61" t="s">
        <v>65</v>
      </c>
      <c r="AU322" s="63">
        <v>0.71180555555555547</v>
      </c>
      <c r="AV322" s="61">
        <v>1</v>
      </c>
      <c r="AW322" s="61" t="s">
        <v>66</v>
      </c>
      <c r="AX322" s="76"/>
      <c r="AY322" s="76"/>
      <c r="AZ322" s="76"/>
      <c r="BA322" s="76"/>
      <c r="BB322" s="74"/>
    </row>
    <row r="323" spans="1:54" ht="15.75" thickBot="1" x14ac:dyDescent="0.3">
      <c r="A323" s="73">
        <v>153</v>
      </c>
      <c r="B323" s="72">
        <v>44873.625</v>
      </c>
      <c r="C323" s="67">
        <v>0.625</v>
      </c>
      <c r="D323" s="67">
        <v>0.64930555555555558</v>
      </c>
      <c r="E323" s="67">
        <v>0.67013888888888884</v>
      </c>
      <c r="F323" s="68" t="s">
        <v>170</v>
      </c>
      <c r="G323" s="68" t="s">
        <v>345</v>
      </c>
      <c r="H323" s="66" t="s">
        <v>46</v>
      </c>
      <c r="I323" s="66" t="s">
        <v>110</v>
      </c>
      <c r="J323" s="66" t="s">
        <v>41</v>
      </c>
      <c r="K323" s="66" t="s">
        <v>63</v>
      </c>
      <c r="L323" s="66" t="s">
        <v>214</v>
      </c>
      <c r="M323" s="68" t="s">
        <v>1177</v>
      </c>
      <c r="N323" s="68" t="s">
        <v>186</v>
      </c>
      <c r="O323" s="68" t="s">
        <v>1178</v>
      </c>
      <c r="P323" s="68">
        <v>5040</v>
      </c>
      <c r="Q323" s="303">
        <f t="shared" si="41"/>
        <v>1</v>
      </c>
      <c r="R323" s="303">
        <f t="shared" si="42"/>
        <v>113</v>
      </c>
      <c r="S323" s="68">
        <v>0</v>
      </c>
      <c r="T323" s="68">
        <v>0</v>
      </c>
      <c r="U323" s="68">
        <v>1</v>
      </c>
      <c r="V323" s="68">
        <v>113</v>
      </c>
      <c r="W323" s="68">
        <v>104.6</v>
      </c>
      <c r="X323" s="68">
        <v>59</v>
      </c>
      <c r="Y323" s="68">
        <v>59</v>
      </c>
      <c r="Z323" s="68">
        <v>58</v>
      </c>
      <c r="AA323" s="68">
        <v>1</v>
      </c>
      <c r="AB323" s="300">
        <f t="shared" si="43"/>
        <v>33.649666666666668</v>
      </c>
      <c r="AC323" s="300">
        <f t="shared" si="44"/>
        <v>0.20270883534136547</v>
      </c>
      <c r="AD323" s="68" t="s">
        <v>48</v>
      </c>
      <c r="AE323" s="68" t="s">
        <v>48</v>
      </c>
      <c r="AF323" s="68" t="s">
        <v>317</v>
      </c>
      <c r="AG323" s="68" t="s">
        <v>317</v>
      </c>
      <c r="AH323" s="68" t="s">
        <v>1179</v>
      </c>
      <c r="AI323" s="309"/>
      <c r="AJ323" s="309"/>
      <c r="AK323" s="68" t="s">
        <v>41</v>
      </c>
      <c r="AL323" s="68" t="s">
        <v>49</v>
      </c>
      <c r="AM323" s="299">
        <f t="shared" ca="1" si="40"/>
        <v>1.1145833333357587</v>
      </c>
      <c r="AN323" s="75"/>
      <c r="AO323" s="78" t="s">
        <v>131</v>
      </c>
      <c r="AP323" s="62" t="s">
        <v>1177</v>
      </c>
      <c r="AQ323" s="61" t="s">
        <v>1331</v>
      </c>
      <c r="AR323" s="64">
        <v>44874.739583333336</v>
      </c>
      <c r="AS323" s="61" t="s">
        <v>117</v>
      </c>
      <c r="AT323" s="61" t="s">
        <v>225</v>
      </c>
      <c r="AU323" s="59">
        <v>0.73958333333333337</v>
      </c>
      <c r="AV323" s="61">
        <v>2</v>
      </c>
      <c r="AW323" s="61" t="s">
        <v>66</v>
      </c>
      <c r="AX323" s="76"/>
      <c r="AY323" s="76"/>
      <c r="AZ323" s="76"/>
      <c r="BA323" s="76"/>
      <c r="BB323" s="74"/>
    </row>
    <row r="324" spans="1:54" ht="15.75" thickBot="1" x14ac:dyDescent="0.3">
      <c r="A324" s="73">
        <v>154</v>
      </c>
      <c r="B324" s="72">
        <v>44873.625</v>
      </c>
      <c r="C324" s="67">
        <v>0.625</v>
      </c>
      <c r="D324" s="67">
        <v>0.64930555555555558</v>
      </c>
      <c r="E324" s="67">
        <v>0.67013888888888884</v>
      </c>
      <c r="F324" s="68" t="s">
        <v>170</v>
      </c>
      <c r="G324" s="68" t="s">
        <v>345</v>
      </c>
      <c r="H324" s="66" t="s">
        <v>46</v>
      </c>
      <c r="I324" s="66" t="s">
        <v>92</v>
      </c>
      <c r="J324" s="66" t="s">
        <v>41</v>
      </c>
      <c r="K324" s="66" t="s">
        <v>63</v>
      </c>
      <c r="L324" s="66" t="s">
        <v>214</v>
      </c>
      <c r="M324" s="68" t="s">
        <v>1180</v>
      </c>
      <c r="N324" s="68" t="s">
        <v>42</v>
      </c>
      <c r="O324" s="68" t="s">
        <v>1181</v>
      </c>
      <c r="P324" s="68">
        <v>5005</v>
      </c>
      <c r="Q324" s="303">
        <f t="shared" si="41"/>
        <v>1</v>
      </c>
      <c r="R324" s="303">
        <f t="shared" si="42"/>
        <v>263</v>
      </c>
      <c r="S324" s="68">
        <v>0</v>
      </c>
      <c r="T324" s="68">
        <v>0</v>
      </c>
      <c r="U324" s="68">
        <v>1</v>
      </c>
      <c r="V324" s="68">
        <v>263</v>
      </c>
      <c r="W324" s="68">
        <v>240.2</v>
      </c>
      <c r="X324" s="68">
        <v>86</v>
      </c>
      <c r="Y324" s="68">
        <v>59</v>
      </c>
      <c r="Z324" s="68">
        <v>71</v>
      </c>
      <c r="AA324" s="68">
        <v>1</v>
      </c>
      <c r="AB324" s="300">
        <f t="shared" si="43"/>
        <v>60.042333333333332</v>
      </c>
      <c r="AC324" s="300">
        <f t="shared" si="44"/>
        <v>0.36170080321285142</v>
      </c>
      <c r="AD324" s="68" t="s">
        <v>48</v>
      </c>
      <c r="AE324" s="68" t="s">
        <v>48</v>
      </c>
      <c r="AF324" s="68" t="s">
        <v>317</v>
      </c>
      <c r="AG324" s="68" t="s">
        <v>317</v>
      </c>
      <c r="AH324" s="68" t="s">
        <v>1182</v>
      </c>
      <c r="AI324" s="309"/>
      <c r="AJ324" s="309"/>
      <c r="AK324" s="68" t="s">
        <v>41</v>
      </c>
      <c r="AL324" s="68" t="s">
        <v>49</v>
      </c>
      <c r="AM324" s="299">
        <f t="shared" ca="1" si="40"/>
        <v>0.94097222221898846</v>
      </c>
      <c r="AN324" s="75"/>
      <c r="AO324" s="61" t="s">
        <v>83</v>
      </c>
      <c r="AP324" s="62" t="s">
        <v>1180</v>
      </c>
      <c r="AQ324" s="78" t="s">
        <v>1327</v>
      </c>
      <c r="AR324" s="64">
        <v>44874.565972222219</v>
      </c>
      <c r="AS324" s="63" t="s">
        <v>1203</v>
      </c>
      <c r="AT324" s="61" t="s">
        <v>225</v>
      </c>
      <c r="AU324" s="63">
        <v>0.56597222222222221</v>
      </c>
      <c r="AV324" s="61">
        <v>1</v>
      </c>
      <c r="AW324" s="61" t="s">
        <v>66</v>
      </c>
      <c r="AX324" s="76"/>
      <c r="AY324" s="76"/>
      <c r="AZ324" s="76"/>
      <c r="BA324" s="76"/>
      <c r="BB324" s="74"/>
    </row>
    <row r="325" spans="1:54" ht="15.75" thickBot="1" x14ac:dyDescent="0.3">
      <c r="A325" s="73">
        <v>155</v>
      </c>
      <c r="B325" s="72">
        <v>44873.625</v>
      </c>
      <c r="C325" s="67">
        <v>0.625</v>
      </c>
      <c r="D325" s="67">
        <v>0.64930555555555558</v>
      </c>
      <c r="E325" s="67">
        <v>0.67013888888888884</v>
      </c>
      <c r="F325" s="68" t="s">
        <v>170</v>
      </c>
      <c r="G325" s="68" t="s">
        <v>345</v>
      </c>
      <c r="H325" s="66" t="s">
        <v>129</v>
      </c>
      <c r="I325" s="66" t="s">
        <v>92</v>
      </c>
      <c r="J325" s="66" t="s">
        <v>37</v>
      </c>
      <c r="K325" s="66" t="s">
        <v>63</v>
      </c>
      <c r="L325" s="66" t="s">
        <v>221</v>
      </c>
      <c r="M325" s="68" t="s">
        <v>1183</v>
      </c>
      <c r="N325" s="68" t="s">
        <v>42</v>
      </c>
      <c r="O325" s="68" t="s">
        <v>1184</v>
      </c>
      <c r="P325" s="68">
        <v>5051971870</v>
      </c>
      <c r="Q325" s="303">
        <f t="shared" si="41"/>
        <v>1</v>
      </c>
      <c r="R325" s="303">
        <f t="shared" si="42"/>
        <v>229</v>
      </c>
      <c r="S325" s="68">
        <v>0</v>
      </c>
      <c r="T325" s="68">
        <v>0</v>
      </c>
      <c r="U325" s="68">
        <v>1</v>
      </c>
      <c r="V325" s="68">
        <v>229</v>
      </c>
      <c r="W325" s="68">
        <v>232</v>
      </c>
      <c r="X325" s="68">
        <v>75</v>
      </c>
      <c r="Y325" s="68">
        <v>74</v>
      </c>
      <c r="Z325" s="68">
        <v>55</v>
      </c>
      <c r="AA325" s="68">
        <v>1</v>
      </c>
      <c r="AB325" s="300">
        <f t="shared" si="43"/>
        <v>50.875</v>
      </c>
      <c r="AC325" s="300">
        <f t="shared" si="44"/>
        <v>0.30647590361445781</v>
      </c>
      <c r="AD325" s="68">
        <v>1268.76</v>
      </c>
      <c r="AE325" s="68" t="s">
        <v>109</v>
      </c>
      <c r="AF325" s="68" t="s">
        <v>317</v>
      </c>
      <c r="AG325" s="68" t="s">
        <v>317</v>
      </c>
      <c r="AH325" s="68" t="s">
        <v>1185</v>
      </c>
      <c r="AI325" s="309"/>
      <c r="AJ325" s="309"/>
      <c r="AK325" s="68" t="s">
        <v>37</v>
      </c>
      <c r="AL325" s="68" t="s">
        <v>49</v>
      </c>
      <c r="AM325" s="299">
        <f t="shared" ca="1" si="40"/>
        <v>0.94097222221898846</v>
      </c>
      <c r="AN325" s="75"/>
      <c r="AO325" s="61" t="s">
        <v>83</v>
      </c>
      <c r="AP325" s="62" t="s">
        <v>1183</v>
      </c>
      <c r="AQ325" s="78" t="s">
        <v>1327</v>
      </c>
      <c r="AR325" s="64">
        <v>44874.565972222219</v>
      </c>
      <c r="AS325" s="63" t="s">
        <v>1203</v>
      </c>
      <c r="AT325" s="61" t="s">
        <v>225</v>
      </c>
      <c r="AU325" s="63">
        <v>0.56597222222222221</v>
      </c>
      <c r="AV325" s="61">
        <v>1</v>
      </c>
      <c r="AW325" s="61" t="s">
        <v>66</v>
      </c>
      <c r="AX325" s="76"/>
      <c r="AY325" s="76"/>
      <c r="AZ325" s="76"/>
      <c r="BA325" s="76"/>
      <c r="BB325" s="74"/>
    </row>
    <row r="326" spans="1:54" ht="15.75" thickBot="1" x14ac:dyDescent="0.3">
      <c r="A326" s="73">
        <v>156</v>
      </c>
      <c r="B326" s="72">
        <v>44873.625</v>
      </c>
      <c r="C326" s="67">
        <v>0.625</v>
      </c>
      <c r="D326" s="67">
        <v>0.64930555555555558</v>
      </c>
      <c r="E326" s="67">
        <v>0.67013888888888884</v>
      </c>
      <c r="F326" s="68" t="s">
        <v>170</v>
      </c>
      <c r="G326" s="68" t="s">
        <v>345</v>
      </c>
      <c r="H326" s="66" t="s">
        <v>129</v>
      </c>
      <c r="I326" s="66" t="s">
        <v>162</v>
      </c>
      <c r="J326" s="66" t="s">
        <v>37</v>
      </c>
      <c r="K326" s="66" t="s">
        <v>63</v>
      </c>
      <c r="L326" s="66" t="s">
        <v>221</v>
      </c>
      <c r="M326" s="68" t="s">
        <v>1186</v>
      </c>
      <c r="N326" s="68" t="s">
        <v>158</v>
      </c>
      <c r="O326" s="68" t="s">
        <v>1187</v>
      </c>
      <c r="P326" s="68">
        <v>5051935845</v>
      </c>
      <c r="Q326" s="303">
        <f t="shared" si="41"/>
        <v>3</v>
      </c>
      <c r="R326" s="303">
        <f t="shared" si="42"/>
        <v>562</v>
      </c>
      <c r="S326" s="68">
        <v>0</v>
      </c>
      <c r="T326" s="68">
        <v>0</v>
      </c>
      <c r="U326" s="68">
        <v>3</v>
      </c>
      <c r="V326" s="68">
        <v>562</v>
      </c>
      <c r="W326" s="68">
        <v>560</v>
      </c>
      <c r="X326" s="68">
        <v>70</v>
      </c>
      <c r="Y326" s="68">
        <v>70</v>
      </c>
      <c r="Z326" s="68">
        <v>63</v>
      </c>
      <c r="AA326" s="68">
        <v>1</v>
      </c>
      <c r="AB326" s="300">
        <f t="shared" si="43"/>
        <v>51.45</v>
      </c>
      <c r="AC326" s="300">
        <f t="shared" si="44"/>
        <v>0.30993975903614457</v>
      </c>
      <c r="AD326" s="68">
        <v>3016.02</v>
      </c>
      <c r="AE326" s="68" t="s">
        <v>109</v>
      </c>
      <c r="AF326" s="68" t="s">
        <v>317</v>
      </c>
      <c r="AG326" s="68" t="s">
        <v>317</v>
      </c>
      <c r="AH326" s="68" t="s">
        <v>1188</v>
      </c>
      <c r="AI326" s="309"/>
      <c r="AJ326" s="309"/>
      <c r="AK326" s="68" t="s">
        <v>37</v>
      </c>
      <c r="AL326" s="68" t="s">
        <v>49</v>
      </c>
      <c r="AM326" s="299">
        <f t="shared" ca="1" si="40"/>
        <v>1.8055555555547471</v>
      </c>
      <c r="AN326" s="75"/>
      <c r="AO326" s="61" t="s">
        <v>159</v>
      </c>
      <c r="AP326" s="62" t="s">
        <v>1186</v>
      </c>
      <c r="AQ326" s="62" t="s">
        <v>1382</v>
      </c>
      <c r="AR326" s="64">
        <v>44875.430555555555</v>
      </c>
      <c r="AS326" s="61" t="s">
        <v>117</v>
      </c>
      <c r="AT326" s="61" t="s">
        <v>225</v>
      </c>
      <c r="AU326" s="59">
        <v>0.43055555555555558</v>
      </c>
      <c r="AV326" s="61">
        <v>1</v>
      </c>
      <c r="AW326" s="61" t="s">
        <v>66</v>
      </c>
      <c r="AX326" s="76"/>
      <c r="AY326" s="76"/>
      <c r="AZ326" s="76"/>
      <c r="BA326" s="76"/>
      <c r="BB326" s="74"/>
    </row>
    <row r="327" spans="1:54" ht="15.75" thickBot="1" x14ac:dyDescent="0.3">
      <c r="A327" s="73">
        <v>156</v>
      </c>
      <c r="B327" s="72">
        <v>44873.625</v>
      </c>
      <c r="C327" s="67">
        <v>0.625</v>
      </c>
      <c r="D327" s="67">
        <v>0.64930555555555558</v>
      </c>
      <c r="E327" s="67">
        <v>0.67013888888888884</v>
      </c>
      <c r="F327" s="68" t="s">
        <v>170</v>
      </c>
      <c r="G327" s="68" t="s">
        <v>345</v>
      </c>
      <c r="H327" s="66" t="s">
        <v>129</v>
      </c>
      <c r="I327" s="66" t="s">
        <v>162</v>
      </c>
      <c r="J327" s="66" t="s">
        <v>37</v>
      </c>
      <c r="K327" s="66" t="s">
        <v>63</v>
      </c>
      <c r="L327" s="66" t="s">
        <v>221</v>
      </c>
      <c r="M327" s="68" t="s">
        <v>1186</v>
      </c>
      <c r="N327" s="68" t="s">
        <v>158</v>
      </c>
      <c r="O327" s="68" t="s">
        <v>1187</v>
      </c>
      <c r="P327" s="68">
        <v>5051935845</v>
      </c>
      <c r="Q327" s="303">
        <f t="shared" si="41"/>
        <v>0</v>
      </c>
      <c r="R327" s="303">
        <f t="shared" si="42"/>
        <v>0</v>
      </c>
      <c r="S327" s="68">
        <v>0</v>
      </c>
      <c r="T327" s="68">
        <v>0</v>
      </c>
      <c r="U327" s="68">
        <v>0</v>
      </c>
      <c r="V327" s="68">
        <v>0</v>
      </c>
      <c r="W327" s="68">
        <v>0</v>
      </c>
      <c r="X327" s="68">
        <v>83</v>
      </c>
      <c r="Y327" s="68">
        <v>80</v>
      </c>
      <c r="Z327" s="68">
        <v>79</v>
      </c>
      <c r="AA327" s="68">
        <v>1</v>
      </c>
      <c r="AB327" s="300">
        <f t="shared" si="43"/>
        <v>87.426666666666662</v>
      </c>
      <c r="AC327" s="300">
        <f t="shared" si="44"/>
        <v>0.52666666666666662</v>
      </c>
      <c r="AD327" s="68">
        <v>0</v>
      </c>
      <c r="AE327" s="68">
        <v>0</v>
      </c>
      <c r="AF327" s="68" t="s">
        <v>317</v>
      </c>
      <c r="AG327" s="68" t="s">
        <v>317</v>
      </c>
      <c r="AH327" s="68" t="s">
        <v>1188</v>
      </c>
      <c r="AI327" s="309"/>
      <c r="AJ327" s="309"/>
      <c r="AK327" s="68" t="s">
        <v>37</v>
      </c>
      <c r="AL327" s="68" t="s">
        <v>49</v>
      </c>
      <c r="AM327" s="299">
        <f t="shared" ca="1" si="40"/>
        <v>1.8055555555547471</v>
      </c>
      <c r="AN327" s="75"/>
      <c r="AO327" s="61" t="s">
        <v>159</v>
      </c>
      <c r="AP327" s="62" t="s">
        <v>1186</v>
      </c>
      <c r="AQ327" s="62" t="s">
        <v>1382</v>
      </c>
      <c r="AR327" s="64">
        <v>44875.430555555555</v>
      </c>
      <c r="AS327" s="61" t="s">
        <v>117</v>
      </c>
      <c r="AT327" s="61" t="s">
        <v>225</v>
      </c>
      <c r="AU327" s="59">
        <v>0.43055555555555558</v>
      </c>
      <c r="AV327" s="61">
        <v>1</v>
      </c>
      <c r="AW327" s="61" t="s">
        <v>66</v>
      </c>
      <c r="AX327" s="76"/>
      <c r="AY327" s="76"/>
      <c r="AZ327" s="76"/>
      <c r="BA327" s="76"/>
      <c r="BB327" s="74"/>
    </row>
    <row r="328" spans="1:54" ht="15.75" thickBot="1" x14ac:dyDescent="0.3">
      <c r="A328" s="73">
        <v>156</v>
      </c>
      <c r="B328" s="72">
        <v>44873.625</v>
      </c>
      <c r="C328" s="67">
        <v>0.625</v>
      </c>
      <c r="D328" s="67">
        <v>0.64930555555555558</v>
      </c>
      <c r="E328" s="67">
        <v>0.67013888888888884</v>
      </c>
      <c r="F328" s="68" t="s">
        <v>170</v>
      </c>
      <c r="G328" s="68" t="s">
        <v>345</v>
      </c>
      <c r="H328" s="66" t="s">
        <v>129</v>
      </c>
      <c r="I328" s="66" t="s">
        <v>162</v>
      </c>
      <c r="J328" s="66" t="s">
        <v>37</v>
      </c>
      <c r="K328" s="66" t="s">
        <v>63</v>
      </c>
      <c r="L328" s="66" t="s">
        <v>221</v>
      </c>
      <c r="M328" s="68" t="s">
        <v>1186</v>
      </c>
      <c r="N328" s="68" t="s">
        <v>158</v>
      </c>
      <c r="O328" s="68" t="s">
        <v>1187</v>
      </c>
      <c r="P328" s="68">
        <v>5051935845</v>
      </c>
      <c r="Q328" s="303">
        <f t="shared" si="41"/>
        <v>0</v>
      </c>
      <c r="R328" s="303">
        <f t="shared" si="42"/>
        <v>0</v>
      </c>
      <c r="S328" s="68">
        <v>0</v>
      </c>
      <c r="T328" s="68">
        <v>0</v>
      </c>
      <c r="U328" s="68">
        <v>0</v>
      </c>
      <c r="V328" s="68">
        <v>0</v>
      </c>
      <c r="W328" s="68">
        <v>0</v>
      </c>
      <c r="X328" s="68">
        <v>46</v>
      </c>
      <c r="Y328" s="68">
        <v>46</v>
      </c>
      <c r="Z328" s="68">
        <v>41</v>
      </c>
      <c r="AA328" s="68">
        <v>1</v>
      </c>
      <c r="AB328" s="300">
        <f t="shared" si="43"/>
        <v>14.459333333333333</v>
      </c>
      <c r="AC328" s="300">
        <f t="shared" si="44"/>
        <v>8.7104417670682735E-2</v>
      </c>
      <c r="AD328" s="68">
        <v>0</v>
      </c>
      <c r="AE328" s="68">
        <v>0</v>
      </c>
      <c r="AF328" s="68" t="s">
        <v>317</v>
      </c>
      <c r="AG328" s="68" t="s">
        <v>317</v>
      </c>
      <c r="AH328" s="68" t="s">
        <v>1188</v>
      </c>
      <c r="AI328" s="309"/>
      <c r="AJ328" s="309"/>
      <c r="AK328" s="68" t="s">
        <v>37</v>
      </c>
      <c r="AL328" s="68" t="s">
        <v>49</v>
      </c>
      <c r="AM328" s="299">
        <f t="shared" ca="1" si="40"/>
        <v>1.8055555555547471</v>
      </c>
      <c r="AN328" s="75"/>
      <c r="AO328" s="61" t="s">
        <v>159</v>
      </c>
      <c r="AP328" s="62" t="s">
        <v>1186</v>
      </c>
      <c r="AQ328" s="62" t="s">
        <v>1382</v>
      </c>
      <c r="AR328" s="64">
        <v>44875.430555555555</v>
      </c>
      <c r="AS328" s="61" t="s">
        <v>117</v>
      </c>
      <c r="AT328" s="61" t="s">
        <v>225</v>
      </c>
      <c r="AU328" s="59">
        <v>0.43055555555555558</v>
      </c>
      <c r="AV328" s="61">
        <v>1</v>
      </c>
      <c r="AW328" s="61" t="s">
        <v>66</v>
      </c>
      <c r="AX328" s="76"/>
      <c r="AY328" s="76"/>
      <c r="AZ328" s="76"/>
      <c r="BA328" s="76"/>
      <c r="BB328" s="74"/>
    </row>
    <row r="329" spans="1:54" ht="15.75" thickBot="1" x14ac:dyDescent="0.3">
      <c r="A329" s="73">
        <v>157</v>
      </c>
      <c r="B329" s="72">
        <v>44873.625</v>
      </c>
      <c r="C329" s="67">
        <v>0.625</v>
      </c>
      <c r="D329" s="67">
        <v>0.64930555555555558</v>
      </c>
      <c r="E329" s="67">
        <v>0.67013888888888884</v>
      </c>
      <c r="F329" s="68" t="s">
        <v>170</v>
      </c>
      <c r="G329" s="68" t="s">
        <v>345</v>
      </c>
      <c r="H329" s="66" t="s">
        <v>46</v>
      </c>
      <c r="I329" s="66" t="s">
        <v>162</v>
      </c>
      <c r="J329" s="66" t="s">
        <v>41</v>
      </c>
      <c r="K329" s="66" t="s">
        <v>63</v>
      </c>
      <c r="L329" s="66" t="s">
        <v>214</v>
      </c>
      <c r="M329" s="68" t="s">
        <v>1189</v>
      </c>
      <c r="N329" s="68" t="s">
        <v>158</v>
      </c>
      <c r="O329" s="68" t="s">
        <v>1190</v>
      </c>
      <c r="P329" s="68" t="s">
        <v>1191</v>
      </c>
      <c r="Q329" s="303">
        <f t="shared" si="41"/>
        <v>7</v>
      </c>
      <c r="R329" s="303">
        <f t="shared" si="42"/>
        <v>1597</v>
      </c>
      <c r="S329" s="68">
        <v>0</v>
      </c>
      <c r="T329" s="68">
        <v>0</v>
      </c>
      <c r="U329" s="68">
        <v>7</v>
      </c>
      <c r="V329" s="68">
        <v>1597</v>
      </c>
      <c r="W329" s="68">
        <v>1584.5</v>
      </c>
      <c r="X329" s="68">
        <v>71</v>
      </c>
      <c r="Y329" s="68">
        <v>53</v>
      </c>
      <c r="Z329" s="68">
        <v>63</v>
      </c>
      <c r="AA329" s="68">
        <v>2</v>
      </c>
      <c r="AB329" s="300">
        <f t="shared" si="43"/>
        <v>79.022999999999996</v>
      </c>
      <c r="AC329" s="300">
        <f t="shared" si="44"/>
        <v>0.47604216867469878</v>
      </c>
      <c r="AD329" s="68" t="s">
        <v>48</v>
      </c>
      <c r="AE329" s="68" t="s">
        <v>48</v>
      </c>
      <c r="AF329" s="68" t="s">
        <v>317</v>
      </c>
      <c r="AG329" s="68" t="s">
        <v>317</v>
      </c>
      <c r="AH329" s="68" t="s">
        <v>1192</v>
      </c>
      <c r="AI329" s="309"/>
      <c r="AJ329" s="309"/>
      <c r="AK329" s="68" t="s">
        <v>41</v>
      </c>
      <c r="AL329" s="68" t="s">
        <v>49</v>
      </c>
      <c r="AM329" s="299">
        <f t="shared" ca="1" si="40"/>
        <v>1.8055555555547471</v>
      </c>
      <c r="AN329" s="75"/>
      <c r="AO329" s="61" t="s">
        <v>159</v>
      </c>
      <c r="AP329" s="62" t="s">
        <v>1189</v>
      </c>
      <c r="AQ329" s="62" t="s">
        <v>1382</v>
      </c>
      <c r="AR329" s="64">
        <v>44875.430555555555</v>
      </c>
      <c r="AS329" s="61" t="s">
        <v>117</v>
      </c>
      <c r="AT329" s="61" t="s">
        <v>225</v>
      </c>
      <c r="AU329" s="59">
        <v>0.43055555555555558</v>
      </c>
      <c r="AV329" s="61">
        <v>1</v>
      </c>
      <c r="AW329" s="61" t="s">
        <v>66</v>
      </c>
      <c r="AX329" s="76"/>
      <c r="AY329" s="76"/>
      <c r="AZ329" s="76"/>
      <c r="BA329" s="76"/>
      <c r="BB329" s="74"/>
    </row>
    <row r="330" spans="1:54" ht="15.75" thickBot="1" x14ac:dyDescent="0.3">
      <c r="A330" s="73">
        <v>157</v>
      </c>
      <c r="B330" s="72">
        <v>44873.625</v>
      </c>
      <c r="C330" s="67">
        <v>0.625</v>
      </c>
      <c r="D330" s="67">
        <v>0.64930555555555558</v>
      </c>
      <c r="E330" s="67">
        <v>0.67013888888888884</v>
      </c>
      <c r="F330" s="68" t="s">
        <v>170</v>
      </c>
      <c r="G330" s="68" t="s">
        <v>345</v>
      </c>
      <c r="H330" s="66" t="s">
        <v>46</v>
      </c>
      <c r="I330" s="66" t="s">
        <v>162</v>
      </c>
      <c r="J330" s="66" t="s">
        <v>41</v>
      </c>
      <c r="K330" s="66" t="s">
        <v>63</v>
      </c>
      <c r="L330" s="66" t="s">
        <v>214</v>
      </c>
      <c r="M330" s="68" t="s">
        <v>1189</v>
      </c>
      <c r="N330" s="68" t="s">
        <v>158</v>
      </c>
      <c r="O330" s="68" t="s">
        <v>1190</v>
      </c>
      <c r="P330" s="68" t="s">
        <v>1191</v>
      </c>
      <c r="Q330" s="303">
        <f t="shared" si="41"/>
        <v>0</v>
      </c>
      <c r="R330" s="303">
        <f t="shared" si="42"/>
        <v>0</v>
      </c>
      <c r="S330" s="68">
        <v>0</v>
      </c>
      <c r="T330" s="68">
        <v>0</v>
      </c>
      <c r="U330" s="68">
        <v>0</v>
      </c>
      <c r="V330" s="68">
        <v>0</v>
      </c>
      <c r="W330" s="68">
        <v>0</v>
      </c>
      <c r="X330" s="68">
        <v>101</v>
      </c>
      <c r="Y330" s="68">
        <v>55</v>
      </c>
      <c r="Z330" s="68">
        <v>65</v>
      </c>
      <c r="AA330" s="68">
        <v>2</v>
      </c>
      <c r="AB330" s="300">
        <f t="shared" si="43"/>
        <v>120.35833333333333</v>
      </c>
      <c r="AC330" s="300">
        <f t="shared" si="44"/>
        <v>0.72505020080321281</v>
      </c>
      <c r="AD330" s="68">
        <v>0</v>
      </c>
      <c r="AE330" s="68">
        <v>0</v>
      </c>
      <c r="AF330" s="68" t="s">
        <v>317</v>
      </c>
      <c r="AG330" s="68" t="s">
        <v>317</v>
      </c>
      <c r="AH330" s="68" t="s">
        <v>1192</v>
      </c>
      <c r="AI330" s="309"/>
      <c r="AJ330" s="309"/>
      <c r="AK330" s="68" t="s">
        <v>41</v>
      </c>
      <c r="AL330" s="68" t="s">
        <v>49</v>
      </c>
      <c r="AM330" s="299">
        <f t="shared" ca="1" si="40"/>
        <v>1.8055555555547471</v>
      </c>
      <c r="AN330" s="75"/>
      <c r="AO330" s="61" t="s">
        <v>159</v>
      </c>
      <c r="AP330" s="62" t="s">
        <v>1189</v>
      </c>
      <c r="AQ330" s="62" t="s">
        <v>1382</v>
      </c>
      <c r="AR330" s="64">
        <v>44875.430555555555</v>
      </c>
      <c r="AS330" s="61" t="s">
        <v>117</v>
      </c>
      <c r="AT330" s="61" t="s">
        <v>225</v>
      </c>
      <c r="AU330" s="59">
        <v>0.43055555555555558</v>
      </c>
      <c r="AV330" s="61">
        <v>1</v>
      </c>
      <c r="AW330" s="61" t="s">
        <v>66</v>
      </c>
      <c r="AX330" s="76"/>
      <c r="AY330" s="76"/>
      <c r="AZ330" s="76"/>
      <c r="BA330" s="76"/>
      <c r="BB330" s="74"/>
    </row>
    <row r="331" spans="1:54" ht="15.75" thickBot="1" x14ac:dyDescent="0.3">
      <c r="A331" s="73">
        <v>157</v>
      </c>
      <c r="B331" s="72">
        <v>44873.625</v>
      </c>
      <c r="C331" s="67">
        <v>0.625</v>
      </c>
      <c r="D331" s="67">
        <v>0.64930555555555558</v>
      </c>
      <c r="E331" s="67">
        <v>0.67013888888888884</v>
      </c>
      <c r="F331" s="68" t="s">
        <v>170</v>
      </c>
      <c r="G331" s="68" t="s">
        <v>345</v>
      </c>
      <c r="H331" s="66" t="s">
        <v>46</v>
      </c>
      <c r="I331" s="66" t="s">
        <v>162</v>
      </c>
      <c r="J331" s="66" t="s">
        <v>41</v>
      </c>
      <c r="K331" s="66" t="s">
        <v>63</v>
      </c>
      <c r="L331" s="66" t="s">
        <v>214</v>
      </c>
      <c r="M331" s="68" t="s">
        <v>1189</v>
      </c>
      <c r="N331" s="68" t="s">
        <v>158</v>
      </c>
      <c r="O331" s="68" t="s">
        <v>1190</v>
      </c>
      <c r="P331" s="68" t="s">
        <v>1191</v>
      </c>
      <c r="Q331" s="303">
        <f t="shared" si="41"/>
        <v>0</v>
      </c>
      <c r="R331" s="303">
        <f t="shared" si="42"/>
        <v>0</v>
      </c>
      <c r="S331" s="68">
        <v>0</v>
      </c>
      <c r="T331" s="68">
        <v>0</v>
      </c>
      <c r="U331" s="68">
        <v>0</v>
      </c>
      <c r="V331" s="68">
        <v>0</v>
      </c>
      <c r="W331" s="68">
        <v>0</v>
      </c>
      <c r="X331" s="68">
        <v>93</v>
      </c>
      <c r="Y331" s="68">
        <v>50</v>
      </c>
      <c r="Z331" s="68">
        <v>52</v>
      </c>
      <c r="AA331" s="68">
        <v>2</v>
      </c>
      <c r="AB331" s="300">
        <f t="shared" si="43"/>
        <v>80.599999999999994</v>
      </c>
      <c r="AC331" s="300">
        <f t="shared" si="44"/>
        <v>0.48554216867469874</v>
      </c>
      <c r="AD331" s="68">
        <v>0</v>
      </c>
      <c r="AE331" s="68">
        <v>0</v>
      </c>
      <c r="AF331" s="68" t="s">
        <v>317</v>
      </c>
      <c r="AG331" s="68" t="s">
        <v>317</v>
      </c>
      <c r="AH331" s="68" t="s">
        <v>1192</v>
      </c>
      <c r="AI331" s="309"/>
      <c r="AJ331" s="309"/>
      <c r="AK331" s="68" t="s">
        <v>41</v>
      </c>
      <c r="AL331" s="68" t="s">
        <v>49</v>
      </c>
      <c r="AM331" s="299">
        <f t="shared" ca="1" si="40"/>
        <v>1.8055555555547471</v>
      </c>
      <c r="AN331" s="75"/>
      <c r="AO331" s="61" t="s">
        <v>159</v>
      </c>
      <c r="AP331" s="62" t="s">
        <v>1189</v>
      </c>
      <c r="AQ331" s="62" t="s">
        <v>1382</v>
      </c>
      <c r="AR331" s="64">
        <v>44875.430555555555</v>
      </c>
      <c r="AS331" s="61" t="s">
        <v>117</v>
      </c>
      <c r="AT331" s="61" t="s">
        <v>225</v>
      </c>
      <c r="AU331" s="59">
        <v>0.43055555555555558</v>
      </c>
      <c r="AV331" s="61">
        <v>1</v>
      </c>
      <c r="AW331" s="61" t="s">
        <v>66</v>
      </c>
      <c r="AX331" s="76"/>
      <c r="AY331" s="76"/>
      <c r="AZ331" s="76"/>
      <c r="BA331" s="76"/>
      <c r="BB331" s="74"/>
    </row>
    <row r="332" spans="1:54" ht="15.75" thickBot="1" x14ac:dyDescent="0.3">
      <c r="A332" s="73">
        <v>157</v>
      </c>
      <c r="B332" s="72">
        <v>44873.625</v>
      </c>
      <c r="C332" s="67">
        <v>0.625</v>
      </c>
      <c r="D332" s="67">
        <v>0.64930555555555558</v>
      </c>
      <c r="E332" s="67">
        <v>0.67013888888888884</v>
      </c>
      <c r="F332" s="68" t="s">
        <v>170</v>
      </c>
      <c r="G332" s="68" t="s">
        <v>345</v>
      </c>
      <c r="H332" s="66" t="s">
        <v>46</v>
      </c>
      <c r="I332" s="66" t="s">
        <v>162</v>
      </c>
      <c r="J332" s="66" t="s">
        <v>41</v>
      </c>
      <c r="K332" s="66" t="s">
        <v>63</v>
      </c>
      <c r="L332" s="66" t="s">
        <v>214</v>
      </c>
      <c r="M332" s="68" t="s">
        <v>1189</v>
      </c>
      <c r="N332" s="68" t="s">
        <v>158</v>
      </c>
      <c r="O332" s="68" t="s">
        <v>1190</v>
      </c>
      <c r="P332" s="68" t="s">
        <v>1191</v>
      </c>
      <c r="Q332" s="303">
        <f t="shared" si="41"/>
        <v>0</v>
      </c>
      <c r="R332" s="303">
        <f t="shared" si="42"/>
        <v>0</v>
      </c>
      <c r="S332" s="68">
        <v>0</v>
      </c>
      <c r="T332" s="68">
        <v>0</v>
      </c>
      <c r="U332" s="68">
        <v>0</v>
      </c>
      <c r="V332" s="68">
        <v>0</v>
      </c>
      <c r="W332" s="68">
        <v>0</v>
      </c>
      <c r="X332" s="68">
        <v>81</v>
      </c>
      <c r="Y332" s="68">
        <v>44</v>
      </c>
      <c r="Z332" s="68">
        <v>49</v>
      </c>
      <c r="AA332" s="68">
        <v>1</v>
      </c>
      <c r="AB332" s="300">
        <f t="shared" si="43"/>
        <v>29.106000000000002</v>
      </c>
      <c r="AC332" s="300">
        <f t="shared" si="44"/>
        <v>0.17533734939759038</v>
      </c>
      <c r="AD332" s="68">
        <v>0</v>
      </c>
      <c r="AE332" s="68">
        <v>0</v>
      </c>
      <c r="AF332" s="68" t="s">
        <v>317</v>
      </c>
      <c r="AG332" s="68" t="s">
        <v>317</v>
      </c>
      <c r="AH332" s="68" t="s">
        <v>1192</v>
      </c>
      <c r="AI332" s="309"/>
      <c r="AJ332" s="309"/>
      <c r="AK332" s="68" t="s">
        <v>41</v>
      </c>
      <c r="AL332" s="68" t="s">
        <v>49</v>
      </c>
      <c r="AM332" s="299">
        <f t="shared" ca="1" si="40"/>
        <v>1.8055555555547471</v>
      </c>
      <c r="AN332" s="75"/>
      <c r="AO332" s="61" t="s">
        <v>159</v>
      </c>
      <c r="AP332" s="62" t="s">
        <v>1189</v>
      </c>
      <c r="AQ332" s="62" t="s">
        <v>1382</v>
      </c>
      <c r="AR332" s="64">
        <v>44875.430555555555</v>
      </c>
      <c r="AS332" s="61" t="s">
        <v>117</v>
      </c>
      <c r="AT332" s="61" t="s">
        <v>225</v>
      </c>
      <c r="AU332" s="59">
        <v>0.43055555555555558</v>
      </c>
      <c r="AV332" s="61">
        <v>1</v>
      </c>
      <c r="AW332" s="61" t="s">
        <v>66</v>
      </c>
      <c r="AX332" s="76"/>
      <c r="AY332" s="76"/>
      <c r="AZ332" s="76"/>
      <c r="BA332" s="76"/>
      <c r="BB332" s="74"/>
    </row>
    <row r="333" spans="1:54" ht="15.75" thickBot="1" x14ac:dyDescent="0.3">
      <c r="A333" s="73">
        <v>158</v>
      </c>
      <c r="B333" s="72">
        <v>44873.625</v>
      </c>
      <c r="C333" s="67">
        <v>0.625</v>
      </c>
      <c r="D333" s="67">
        <v>0.64930555555555558</v>
      </c>
      <c r="E333" s="67">
        <v>0.67013888888888884</v>
      </c>
      <c r="F333" s="68" t="s">
        <v>170</v>
      </c>
      <c r="G333" s="68" t="s">
        <v>345</v>
      </c>
      <c r="H333" s="66" t="s">
        <v>459</v>
      </c>
      <c r="I333" s="66" t="s">
        <v>62</v>
      </c>
      <c r="J333" s="66" t="s">
        <v>37</v>
      </c>
      <c r="K333" s="66" t="s">
        <v>63</v>
      </c>
      <c r="L333" s="70" t="s">
        <v>206</v>
      </c>
      <c r="M333" s="68" t="s">
        <v>1193</v>
      </c>
      <c r="N333" s="68" t="s">
        <v>64</v>
      </c>
      <c r="O333" s="68">
        <v>412</v>
      </c>
      <c r="P333" s="68">
        <v>4418137642</v>
      </c>
      <c r="Q333" s="303">
        <f t="shared" si="41"/>
        <v>2</v>
      </c>
      <c r="R333" s="303">
        <f t="shared" si="42"/>
        <v>1107</v>
      </c>
      <c r="S333" s="68">
        <v>0</v>
      </c>
      <c r="T333" s="68">
        <v>0</v>
      </c>
      <c r="U333" s="68">
        <v>2</v>
      </c>
      <c r="V333" s="68">
        <v>1107</v>
      </c>
      <c r="W333" s="68">
        <v>1116</v>
      </c>
      <c r="X333" s="68">
        <v>123</v>
      </c>
      <c r="Y333" s="68">
        <v>66</v>
      </c>
      <c r="Z333" s="68">
        <v>61</v>
      </c>
      <c r="AA333" s="68">
        <v>2</v>
      </c>
      <c r="AB333" s="300">
        <f t="shared" si="43"/>
        <v>165.066</v>
      </c>
      <c r="AC333" s="300">
        <f t="shared" si="44"/>
        <v>0.99437349397590358</v>
      </c>
      <c r="AD333" s="68">
        <v>13972</v>
      </c>
      <c r="AE333" s="68" t="s">
        <v>109</v>
      </c>
      <c r="AF333" s="68" t="s">
        <v>317</v>
      </c>
      <c r="AG333" s="68" t="s">
        <v>317</v>
      </c>
      <c r="AH333" s="68" t="s">
        <v>1194</v>
      </c>
      <c r="AI333" s="309"/>
      <c r="AJ333" s="309"/>
      <c r="AK333" s="68" t="s">
        <v>41</v>
      </c>
      <c r="AL333" s="68" t="s">
        <v>49</v>
      </c>
      <c r="AM333" s="299">
        <f t="shared" ca="1" si="40"/>
        <v>1.1979166666642413</v>
      </c>
      <c r="AN333" s="75"/>
      <c r="AO333" s="61" t="s">
        <v>77</v>
      </c>
      <c r="AP333" s="61" t="s">
        <v>1193</v>
      </c>
      <c r="AQ333" s="78" t="s">
        <v>1335</v>
      </c>
      <c r="AR333" s="64">
        <v>44874.822916666664</v>
      </c>
      <c r="AS333" s="61" t="s">
        <v>136</v>
      </c>
      <c r="AT333" s="61" t="s">
        <v>225</v>
      </c>
      <c r="AU333" s="63">
        <v>0.82291666666666663</v>
      </c>
      <c r="AV333" s="61">
        <v>3</v>
      </c>
      <c r="AW333" s="61" t="s">
        <v>66</v>
      </c>
      <c r="AX333" s="76"/>
      <c r="AY333" s="76"/>
      <c r="AZ333" s="76"/>
      <c r="BA333" s="76"/>
      <c r="BB333" s="74"/>
    </row>
    <row r="334" spans="1:54" ht="15.75" thickBot="1" x14ac:dyDescent="0.3">
      <c r="A334" s="73">
        <v>159</v>
      </c>
      <c r="B334" s="72">
        <v>44873.625</v>
      </c>
      <c r="C334" s="67">
        <v>0.625</v>
      </c>
      <c r="D334" s="67">
        <v>0.64930555555555558</v>
      </c>
      <c r="E334" s="67">
        <v>0.67013888888888884</v>
      </c>
      <c r="F334" s="68" t="s">
        <v>170</v>
      </c>
      <c r="G334" s="68" t="s">
        <v>345</v>
      </c>
      <c r="H334" s="66" t="s">
        <v>57</v>
      </c>
      <c r="I334" s="66" t="s">
        <v>92</v>
      </c>
      <c r="J334" s="66" t="s">
        <v>37</v>
      </c>
      <c r="K334" s="66" t="s">
        <v>63</v>
      </c>
      <c r="L334" s="66" t="s">
        <v>209</v>
      </c>
      <c r="M334" s="68" t="s">
        <v>1195</v>
      </c>
      <c r="N334" s="68" t="s">
        <v>42</v>
      </c>
      <c r="O334" s="68" t="s">
        <v>1196</v>
      </c>
      <c r="P334" s="68">
        <v>81954478</v>
      </c>
      <c r="Q334" s="303">
        <f t="shared" si="41"/>
        <v>1</v>
      </c>
      <c r="R334" s="303">
        <f t="shared" si="42"/>
        <v>69</v>
      </c>
      <c r="S334" s="68">
        <v>0</v>
      </c>
      <c r="T334" s="68">
        <v>0</v>
      </c>
      <c r="U334" s="68">
        <v>1</v>
      </c>
      <c r="V334" s="68">
        <v>69</v>
      </c>
      <c r="W334" s="68">
        <v>69</v>
      </c>
      <c r="X334" s="68">
        <v>79</v>
      </c>
      <c r="Y334" s="68">
        <v>59</v>
      </c>
      <c r="Z334" s="68">
        <v>68</v>
      </c>
      <c r="AA334" s="68">
        <v>1</v>
      </c>
      <c r="AB334" s="300">
        <f t="shared" si="43"/>
        <v>52.824666666666666</v>
      </c>
      <c r="AC334" s="300">
        <f t="shared" si="44"/>
        <v>0.31822088353413652</v>
      </c>
      <c r="AD334" s="68">
        <v>1306.32</v>
      </c>
      <c r="AE334" s="68" t="s">
        <v>109</v>
      </c>
      <c r="AF334" s="68" t="s">
        <v>317</v>
      </c>
      <c r="AG334" s="68" t="s">
        <v>317</v>
      </c>
      <c r="AH334" s="68" t="s">
        <v>1197</v>
      </c>
      <c r="AI334" s="309"/>
      <c r="AJ334" s="309"/>
      <c r="AK334" s="68" t="s">
        <v>37</v>
      </c>
      <c r="AL334" s="68" t="s">
        <v>49</v>
      </c>
      <c r="AM334" s="299">
        <f t="shared" ca="1" si="40"/>
        <v>2.0729166666642413</v>
      </c>
      <c r="AN334" s="75"/>
      <c r="AO334" s="61" t="s">
        <v>120</v>
      </c>
      <c r="AP334" s="62" t="s">
        <v>1195</v>
      </c>
      <c r="AQ334" s="61" t="s">
        <v>1396</v>
      </c>
      <c r="AR334" s="64">
        <v>44875.697916666664</v>
      </c>
      <c r="AS334" s="61" t="s">
        <v>126</v>
      </c>
      <c r="AT334" s="61" t="s">
        <v>225</v>
      </c>
      <c r="AU334" s="63">
        <v>0.69791666666666663</v>
      </c>
      <c r="AV334" s="61">
        <v>3</v>
      </c>
      <c r="AW334" s="61" t="s">
        <v>66</v>
      </c>
      <c r="AX334" s="76"/>
      <c r="AY334" s="76"/>
      <c r="AZ334" s="76"/>
      <c r="BA334" s="76"/>
      <c r="BB334" s="74"/>
    </row>
    <row r="335" spans="1:54" ht="15.75" thickBot="1" x14ac:dyDescent="0.3">
      <c r="A335" s="73">
        <v>160</v>
      </c>
      <c r="B335" s="72">
        <v>44873.625</v>
      </c>
      <c r="C335" s="67">
        <v>0.625</v>
      </c>
      <c r="D335" s="67">
        <v>0.64930555555555558</v>
      </c>
      <c r="E335" s="67">
        <v>0.67013888888888884</v>
      </c>
      <c r="F335" s="68" t="s">
        <v>170</v>
      </c>
      <c r="G335" s="68" t="s">
        <v>345</v>
      </c>
      <c r="H335" s="66" t="s">
        <v>57</v>
      </c>
      <c r="I335" s="66" t="s">
        <v>92</v>
      </c>
      <c r="J335" s="66" t="s">
        <v>37</v>
      </c>
      <c r="K335" s="66" t="s">
        <v>63</v>
      </c>
      <c r="L335" s="66" t="s">
        <v>209</v>
      </c>
      <c r="M335" s="68" t="s">
        <v>1195</v>
      </c>
      <c r="N335" s="68" t="s">
        <v>42</v>
      </c>
      <c r="O335" s="68" t="s">
        <v>1198</v>
      </c>
      <c r="P335" s="68">
        <v>81954483</v>
      </c>
      <c r="Q335" s="303">
        <f t="shared" si="41"/>
        <v>1</v>
      </c>
      <c r="R335" s="303">
        <f t="shared" si="42"/>
        <v>24</v>
      </c>
      <c r="S335" s="68">
        <v>0</v>
      </c>
      <c r="T335" s="68">
        <v>0</v>
      </c>
      <c r="U335" s="68">
        <v>1</v>
      </c>
      <c r="V335" s="68">
        <v>24</v>
      </c>
      <c r="W335" s="68">
        <v>24</v>
      </c>
      <c r="X335" s="68">
        <v>60</v>
      </c>
      <c r="Y335" s="68">
        <v>45</v>
      </c>
      <c r="Z335" s="68">
        <v>39</v>
      </c>
      <c r="AA335" s="68">
        <v>1</v>
      </c>
      <c r="AB335" s="300">
        <f t="shared" si="43"/>
        <v>17.55</v>
      </c>
      <c r="AC335" s="300">
        <f t="shared" si="44"/>
        <v>0.10572289156626506</v>
      </c>
      <c r="AD335" s="68">
        <v>272.89999999999998</v>
      </c>
      <c r="AE335" s="68" t="s">
        <v>109</v>
      </c>
      <c r="AF335" s="68" t="s">
        <v>317</v>
      </c>
      <c r="AG335" s="68" t="s">
        <v>317</v>
      </c>
      <c r="AH335" s="68" t="s">
        <v>1199</v>
      </c>
      <c r="AI335" s="309"/>
      <c r="AJ335" s="309"/>
      <c r="AK335" s="68" t="s">
        <v>37</v>
      </c>
      <c r="AL335" s="68" t="s">
        <v>49</v>
      </c>
      <c r="AM335" s="299">
        <f t="shared" ca="1" si="40"/>
        <v>2.0729166666642413</v>
      </c>
      <c r="AN335" s="75"/>
      <c r="AO335" s="61" t="s">
        <v>120</v>
      </c>
      <c r="AP335" s="62" t="s">
        <v>1195</v>
      </c>
      <c r="AQ335" s="61" t="s">
        <v>1396</v>
      </c>
      <c r="AR335" s="64">
        <v>44875.697916666664</v>
      </c>
      <c r="AS335" s="61" t="s">
        <v>126</v>
      </c>
      <c r="AT335" s="61" t="s">
        <v>225</v>
      </c>
      <c r="AU335" s="63">
        <v>0.69791666666666663</v>
      </c>
      <c r="AV335" s="61">
        <v>3</v>
      </c>
      <c r="AW335" s="61" t="s">
        <v>66</v>
      </c>
      <c r="AX335" s="76"/>
      <c r="AY335" s="76"/>
      <c r="AZ335" s="76"/>
      <c r="BA335" s="76"/>
      <c r="BB335" s="74"/>
    </row>
    <row r="336" spans="1:54" ht="15.75" thickBot="1" x14ac:dyDescent="0.3">
      <c r="A336" s="73">
        <v>161</v>
      </c>
      <c r="B336" s="72">
        <v>44873.625</v>
      </c>
      <c r="C336" s="67">
        <v>0.625</v>
      </c>
      <c r="D336" s="67">
        <v>0.64930555555555558</v>
      </c>
      <c r="E336" s="67">
        <v>0.67013888888888884</v>
      </c>
      <c r="F336" s="68" t="s">
        <v>170</v>
      </c>
      <c r="G336" s="68" t="s">
        <v>345</v>
      </c>
      <c r="H336" s="66" t="s">
        <v>55</v>
      </c>
      <c r="I336" s="66" t="s">
        <v>71</v>
      </c>
      <c r="J336" s="66" t="s">
        <v>37</v>
      </c>
      <c r="K336" s="66" t="s">
        <v>63</v>
      </c>
      <c r="L336" s="66" t="s">
        <v>216</v>
      </c>
      <c r="M336" s="68" t="s">
        <v>1200</v>
      </c>
      <c r="N336" s="68" t="s">
        <v>139</v>
      </c>
      <c r="O336" s="68">
        <v>92200719</v>
      </c>
      <c r="P336" s="68" t="s">
        <v>1201</v>
      </c>
      <c r="Q336" s="303">
        <f t="shared" si="41"/>
        <v>1</v>
      </c>
      <c r="R336" s="303">
        <f t="shared" si="42"/>
        <v>355</v>
      </c>
      <c r="S336" s="68">
        <v>0</v>
      </c>
      <c r="T336" s="68">
        <v>0</v>
      </c>
      <c r="U336" s="68">
        <v>1</v>
      </c>
      <c r="V336" s="68">
        <v>355</v>
      </c>
      <c r="W336" s="68">
        <v>350.5</v>
      </c>
      <c r="X336" s="68">
        <v>104</v>
      </c>
      <c r="Y336" s="68">
        <v>73</v>
      </c>
      <c r="Z336" s="68">
        <v>53</v>
      </c>
      <c r="AA336" s="68">
        <v>1</v>
      </c>
      <c r="AB336" s="300">
        <f t="shared" si="43"/>
        <v>67.062666666666672</v>
      </c>
      <c r="AC336" s="300">
        <f t="shared" si="44"/>
        <v>0.403991967871486</v>
      </c>
      <c r="AD336" s="68">
        <v>2129.35</v>
      </c>
      <c r="AE336" s="68" t="s">
        <v>109</v>
      </c>
      <c r="AF336" s="68" t="s">
        <v>317</v>
      </c>
      <c r="AG336" s="68" t="s">
        <v>317</v>
      </c>
      <c r="AH336" s="68" t="s">
        <v>1202</v>
      </c>
      <c r="AI336" s="309"/>
      <c r="AJ336" s="309"/>
      <c r="AK336" s="68" t="s">
        <v>37</v>
      </c>
      <c r="AL336" s="68" t="s">
        <v>49</v>
      </c>
      <c r="AM336" s="299">
        <f t="shared" ca="1" si="40"/>
        <v>3.1006944444452529</v>
      </c>
      <c r="AN336" s="75"/>
      <c r="AO336" s="61" t="s">
        <v>72</v>
      </c>
      <c r="AP336" s="62" t="s">
        <v>1200</v>
      </c>
      <c r="AQ336" s="61" t="s">
        <v>1520</v>
      </c>
      <c r="AR336" s="64">
        <v>44876.725694444445</v>
      </c>
      <c r="AS336" s="61" t="s">
        <v>126</v>
      </c>
      <c r="AT336" s="61" t="s">
        <v>225</v>
      </c>
      <c r="AU336" s="59">
        <v>0.72569444444444453</v>
      </c>
      <c r="AV336" s="61">
        <v>1</v>
      </c>
      <c r="AW336" s="61" t="s">
        <v>66</v>
      </c>
      <c r="AX336" s="76"/>
      <c r="AY336" s="76"/>
      <c r="AZ336" s="76"/>
      <c r="BA336" s="76"/>
      <c r="BB336" s="74"/>
    </row>
    <row r="337" spans="1:54" ht="15.75" thickBot="1" x14ac:dyDescent="0.3">
      <c r="A337" s="73">
        <v>162</v>
      </c>
      <c r="B337" s="72">
        <v>44873.666666666664</v>
      </c>
      <c r="C337" s="67">
        <v>0.67361111111111116</v>
      </c>
      <c r="D337" s="67">
        <v>0.68055555555555547</v>
      </c>
      <c r="E337" s="67">
        <v>0.72569444444444453</v>
      </c>
      <c r="F337" s="68" t="s">
        <v>171</v>
      </c>
      <c r="G337" s="68" t="s">
        <v>1203</v>
      </c>
      <c r="H337" s="66" t="s">
        <v>91</v>
      </c>
      <c r="I337" s="66" t="s">
        <v>318</v>
      </c>
      <c r="J337" s="66" t="s">
        <v>41</v>
      </c>
      <c r="K337" s="66" t="s">
        <v>180</v>
      </c>
      <c r="L337" s="70" t="s">
        <v>206</v>
      </c>
      <c r="M337" s="68" t="s">
        <v>1204</v>
      </c>
      <c r="N337" s="68" t="s">
        <v>44</v>
      </c>
      <c r="O337" s="68">
        <v>1054968955</v>
      </c>
      <c r="P337" s="68">
        <v>1213929576</v>
      </c>
      <c r="Q337" s="303">
        <f t="shared" si="41"/>
        <v>25</v>
      </c>
      <c r="R337" s="303">
        <f t="shared" si="42"/>
        <v>1546</v>
      </c>
      <c r="S337" s="68">
        <v>0</v>
      </c>
      <c r="T337" s="68">
        <v>0</v>
      </c>
      <c r="U337" s="68">
        <v>25</v>
      </c>
      <c r="V337" s="68">
        <v>1546</v>
      </c>
      <c r="W337" s="68">
        <v>1525</v>
      </c>
      <c r="X337" s="68">
        <v>120</v>
      </c>
      <c r="Y337" s="68">
        <v>66</v>
      </c>
      <c r="Z337" s="68">
        <v>38</v>
      </c>
      <c r="AA337" s="68">
        <v>25</v>
      </c>
      <c r="AB337" s="300">
        <f t="shared" si="43"/>
        <v>1254</v>
      </c>
      <c r="AC337" s="300">
        <f t="shared" si="44"/>
        <v>7.5542168674698793</v>
      </c>
      <c r="AD337" s="68">
        <v>143910.9</v>
      </c>
      <c r="AE337" s="68" t="s">
        <v>109</v>
      </c>
      <c r="AF337" s="68" t="s">
        <v>317</v>
      </c>
      <c r="AG337" s="68" t="s">
        <v>317</v>
      </c>
      <c r="AH337" s="68" t="s">
        <v>1205</v>
      </c>
      <c r="AI337" s="309"/>
      <c r="AJ337" s="309"/>
      <c r="AK337" s="68" t="s">
        <v>41</v>
      </c>
      <c r="AL337" s="68" t="s">
        <v>39</v>
      </c>
      <c r="AM337" s="299">
        <f t="shared" ca="1" si="40"/>
        <v>0.8125</v>
      </c>
      <c r="AN337" s="75"/>
      <c r="AO337" s="61" t="s">
        <v>323</v>
      </c>
      <c r="AP337" s="62" t="s">
        <v>1204</v>
      </c>
      <c r="AQ337" s="78" t="s">
        <v>1320</v>
      </c>
      <c r="AR337" s="64">
        <v>44874.479166666664</v>
      </c>
      <c r="AS337" s="61" t="s">
        <v>117</v>
      </c>
      <c r="AT337" s="61" t="s">
        <v>225</v>
      </c>
      <c r="AU337" s="59">
        <v>0.47916666666666669</v>
      </c>
      <c r="AV337" s="61">
        <v>1</v>
      </c>
      <c r="AW337" s="61" t="s">
        <v>66</v>
      </c>
      <c r="AX337" s="76"/>
      <c r="AY337" s="76"/>
      <c r="AZ337" s="76"/>
      <c r="BA337" s="76"/>
      <c r="BB337" s="74"/>
    </row>
    <row r="338" spans="1:54" ht="15.75" thickBot="1" x14ac:dyDescent="0.3">
      <c r="A338" s="73">
        <v>163</v>
      </c>
      <c r="B338" s="72">
        <v>44873.708333333336</v>
      </c>
      <c r="C338" s="67">
        <v>0.71527777777777779</v>
      </c>
      <c r="D338" s="67">
        <v>0.71875</v>
      </c>
      <c r="E338" s="67">
        <v>0.72569444444444453</v>
      </c>
      <c r="F338" s="68" t="s">
        <v>171</v>
      </c>
      <c r="G338" s="68" t="s">
        <v>269</v>
      </c>
      <c r="H338" s="66" t="s">
        <v>91</v>
      </c>
      <c r="I338" s="66" t="s">
        <v>318</v>
      </c>
      <c r="J338" s="66" t="s">
        <v>41</v>
      </c>
      <c r="K338" s="66" t="s">
        <v>180</v>
      </c>
      <c r="L338" s="70" t="s">
        <v>206</v>
      </c>
      <c r="M338" s="68" t="s">
        <v>1204</v>
      </c>
      <c r="N338" s="68" t="s">
        <v>44</v>
      </c>
      <c r="O338" s="68">
        <v>1054968957</v>
      </c>
      <c r="P338" s="68">
        <v>1213929790</v>
      </c>
      <c r="Q338" s="303">
        <f t="shared" si="41"/>
        <v>5</v>
      </c>
      <c r="R338" s="303">
        <f t="shared" si="42"/>
        <v>1060</v>
      </c>
      <c r="S338" s="68">
        <v>0</v>
      </c>
      <c r="T338" s="68">
        <v>0</v>
      </c>
      <c r="U338" s="68">
        <v>5</v>
      </c>
      <c r="V338" s="68">
        <v>1060</v>
      </c>
      <c r="W338" s="68">
        <v>1061</v>
      </c>
      <c r="X338" s="68">
        <v>120</v>
      </c>
      <c r="Y338" s="68">
        <v>80</v>
      </c>
      <c r="Z338" s="68">
        <v>78</v>
      </c>
      <c r="AA338" s="68">
        <v>5</v>
      </c>
      <c r="AB338" s="300">
        <f t="shared" si="43"/>
        <v>624</v>
      </c>
      <c r="AC338" s="300">
        <f t="shared" si="44"/>
        <v>3.7590361445783134</v>
      </c>
      <c r="AD338" s="68">
        <v>47106.52</v>
      </c>
      <c r="AE338" s="68" t="s">
        <v>109</v>
      </c>
      <c r="AF338" s="68" t="s">
        <v>317</v>
      </c>
      <c r="AG338" s="68" t="s">
        <v>317</v>
      </c>
      <c r="AH338" s="68" t="s">
        <v>1206</v>
      </c>
      <c r="AI338" s="309"/>
      <c r="AJ338" s="309"/>
      <c r="AK338" s="68" t="s">
        <v>37</v>
      </c>
      <c r="AL338" s="68" t="s">
        <v>39</v>
      </c>
      <c r="AM338" s="299">
        <f t="shared" ca="1" si="40"/>
        <v>0.77083333332848269</v>
      </c>
      <c r="AN338" s="75"/>
      <c r="AO338" s="61" t="s">
        <v>323</v>
      </c>
      <c r="AP338" s="62" t="s">
        <v>1204</v>
      </c>
      <c r="AQ338" s="78" t="s">
        <v>1320</v>
      </c>
      <c r="AR338" s="64">
        <v>44874.479166666664</v>
      </c>
      <c r="AS338" s="61" t="s">
        <v>117</v>
      </c>
      <c r="AT338" s="61" t="s">
        <v>225</v>
      </c>
      <c r="AU338" s="59">
        <v>0.47916666666666669</v>
      </c>
      <c r="AV338" s="61">
        <v>1</v>
      </c>
      <c r="AW338" s="61" t="s">
        <v>66</v>
      </c>
      <c r="AX338" s="76"/>
      <c r="AY338" s="76"/>
      <c r="AZ338" s="76"/>
      <c r="BA338" s="76"/>
      <c r="BB338" s="74"/>
    </row>
    <row r="339" spans="1:54" ht="15.75" thickBot="1" x14ac:dyDescent="0.3">
      <c r="A339" s="73">
        <v>164</v>
      </c>
      <c r="B339" s="72">
        <v>44873.708333333336</v>
      </c>
      <c r="C339" s="67">
        <v>0.71527777777777779</v>
      </c>
      <c r="D339" s="67">
        <v>0.71875</v>
      </c>
      <c r="E339" s="67">
        <v>0.78125</v>
      </c>
      <c r="F339" s="68" t="s">
        <v>171</v>
      </c>
      <c r="G339" s="68" t="s">
        <v>269</v>
      </c>
      <c r="H339" s="66" t="s">
        <v>91</v>
      </c>
      <c r="I339" s="66" t="s">
        <v>318</v>
      </c>
      <c r="J339" s="66" t="s">
        <v>41</v>
      </c>
      <c r="K339" s="66" t="s">
        <v>180</v>
      </c>
      <c r="L339" s="70" t="s">
        <v>206</v>
      </c>
      <c r="M339" s="68" t="s">
        <v>1207</v>
      </c>
      <c r="N339" s="68" t="s">
        <v>44</v>
      </c>
      <c r="O339" s="68">
        <v>1054968954</v>
      </c>
      <c r="P339" s="68">
        <v>1213929575</v>
      </c>
      <c r="Q339" s="303">
        <f t="shared" si="41"/>
        <v>5</v>
      </c>
      <c r="R339" s="303">
        <f t="shared" si="42"/>
        <v>1061</v>
      </c>
      <c r="S339" s="68">
        <v>0</v>
      </c>
      <c r="T339" s="68">
        <v>0</v>
      </c>
      <c r="U339" s="68">
        <v>5</v>
      </c>
      <c r="V339" s="68">
        <v>1061</v>
      </c>
      <c r="W339" s="68">
        <v>1068</v>
      </c>
      <c r="X339" s="68">
        <v>120</v>
      </c>
      <c r="Y339" s="68">
        <v>80</v>
      </c>
      <c r="Z339" s="68">
        <v>78</v>
      </c>
      <c r="AA339" s="68">
        <v>5</v>
      </c>
      <c r="AB339" s="300">
        <f t="shared" si="43"/>
        <v>624</v>
      </c>
      <c r="AC339" s="300">
        <f t="shared" si="44"/>
        <v>3.7590361445783134</v>
      </c>
      <c r="AD339" s="68">
        <v>47106.52</v>
      </c>
      <c r="AE339" s="68" t="s">
        <v>109</v>
      </c>
      <c r="AF339" s="68" t="s">
        <v>317</v>
      </c>
      <c r="AG339" s="68" t="s">
        <v>317</v>
      </c>
      <c r="AH339" s="68" t="s">
        <v>1208</v>
      </c>
      <c r="AI339" s="309"/>
      <c r="AJ339" s="309"/>
      <c r="AK339" s="68" t="s">
        <v>37</v>
      </c>
      <c r="AL339" s="68" t="s">
        <v>39</v>
      </c>
      <c r="AM339" s="299">
        <f t="shared" ca="1" si="40"/>
        <v>0.78472222221898846</v>
      </c>
      <c r="AN339" s="75"/>
      <c r="AO339" s="61" t="s">
        <v>323</v>
      </c>
      <c r="AP339" s="62" t="s">
        <v>1207</v>
      </c>
      <c r="AQ339" s="78" t="s">
        <v>1321</v>
      </c>
      <c r="AR339" s="64">
        <v>44874.493055555555</v>
      </c>
      <c r="AS339" s="57" t="s">
        <v>173</v>
      </c>
      <c r="AT339" s="61" t="s">
        <v>225</v>
      </c>
      <c r="AU339" s="63">
        <v>0.49305555555555558</v>
      </c>
      <c r="AV339" s="61">
        <v>1</v>
      </c>
      <c r="AW339" s="61" t="s">
        <v>66</v>
      </c>
      <c r="AX339" s="76"/>
      <c r="AY339" s="76"/>
      <c r="AZ339" s="76"/>
      <c r="BA339" s="76"/>
      <c r="BB339" s="74"/>
    </row>
    <row r="340" spans="1:54" ht="15.75" thickBot="1" x14ac:dyDescent="0.3">
      <c r="A340" s="73">
        <v>165</v>
      </c>
      <c r="B340" s="72">
        <v>44873.708333333336</v>
      </c>
      <c r="C340" s="67">
        <v>0.71527777777777779</v>
      </c>
      <c r="D340" s="67">
        <v>0.71875</v>
      </c>
      <c r="E340" s="67">
        <v>0.78125</v>
      </c>
      <c r="F340" s="68" t="s">
        <v>171</v>
      </c>
      <c r="G340" s="68" t="s">
        <v>269</v>
      </c>
      <c r="H340" s="66" t="s">
        <v>91</v>
      </c>
      <c r="I340" s="66" t="s">
        <v>318</v>
      </c>
      <c r="J340" s="66" t="s">
        <v>41</v>
      </c>
      <c r="K340" s="66" t="s">
        <v>180</v>
      </c>
      <c r="L340" s="70" t="s">
        <v>206</v>
      </c>
      <c r="M340" s="68" t="s">
        <v>1207</v>
      </c>
      <c r="N340" s="68" t="s">
        <v>44</v>
      </c>
      <c r="O340" s="68">
        <v>1054968956</v>
      </c>
      <c r="P340" s="68">
        <v>1213929781</v>
      </c>
      <c r="Q340" s="303">
        <f t="shared" si="41"/>
        <v>5</v>
      </c>
      <c r="R340" s="303">
        <f t="shared" si="42"/>
        <v>1066</v>
      </c>
      <c r="S340" s="68">
        <v>0</v>
      </c>
      <c r="T340" s="68">
        <v>0</v>
      </c>
      <c r="U340" s="68">
        <v>5</v>
      </c>
      <c r="V340" s="68">
        <v>1066</v>
      </c>
      <c r="W340" s="68">
        <v>1061</v>
      </c>
      <c r="X340" s="68">
        <v>120</v>
      </c>
      <c r="Y340" s="68">
        <v>80</v>
      </c>
      <c r="Z340" s="68">
        <v>78</v>
      </c>
      <c r="AA340" s="68">
        <v>5</v>
      </c>
      <c r="AB340" s="300">
        <f t="shared" si="43"/>
        <v>624</v>
      </c>
      <c r="AC340" s="300">
        <f t="shared" si="44"/>
        <v>3.7590361445783134</v>
      </c>
      <c r="AD340" s="68">
        <v>47367.86</v>
      </c>
      <c r="AE340" s="68" t="s">
        <v>109</v>
      </c>
      <c r="AF340" s="68" t="s">
        <v>317</v>
      </c>
      <c r="AG340" s="68" t="s">
        <v>317</v>
      </c>
      <c r="AH340" s="68" t="s">
        <v>1209</v>
      </c>
      <c r="AI340" s="309"/>
      <c r="AJ340" s="309"/>
      <c r="AK340" s="68" t="s">
        <v>37</v>
      </c>
      <c r="AL340" s="68" t="s">
        <v>39</v>
      </c>
      <c r="AM340" s="299">
        <f t="shared" ca="1" si="40"/>
        <v>0.78472222221898846</v>
      </c>
      <c r="AN340" s="75"/>
      <c r="AO340" s="61" t="s">
        <v>323</v>
      </c>
      <c r="AP340" s="62" t="s">
        <v>1207</v>
      </c>
      <c r="AQ340" s="78" t="s">
        <v>1321</v>
      </c>
      <c r="AR340" s="64">
        <v>44874.493055555555</v>
      </c>
      <c r="AS340" s="57" t="s">
        <v>173</v>
      </c>
      <c r="AT340" s="61" t="s">
        <v>225</v>
      </c>
      <c r="AU340" s="63">
        <v>0.49305555555555558</v>
      </c>
      <c r="AV340" s="61">
        <v>1</v>
      </c>
      <c r="AW340" s="61" t="s">
        <v>66</v>
      </c>
      <c r="AX340" s="76"/>
      <c r="AY340" s="76"/>
      <c r="AZ340" s="76"/>
      <c r="BA340" s="76"/>
      <c r="BB340" s="74"/>
    </row>
    <row r="341" spans="1:54" ht="15.75" thickBot="1" x14ac:dyDescent="0.3">
      <c r="A341" s="73">
        <v>166</v>
      </c>
      <c r="B341" s="72">
        <v>44873.684027777781</v>
      </c>
      <c r="C341" s="67">
        <v>0.6875</v>
      </c>
      <c r="D341" s="67">
        <v>0.70833333333333337</v>
      </c>
      <c r="E341" s="67">
        <v>0.71875</v>
      </c>
      <c r="F341" s="68" t="s">
        <v>169</v>
      </c>
      <c r="G341" s="68" t="s">
        <v>414</v>
      </c>
      <c r="H341" s="66" t="s">
        <v>282</v>
      </c>
      <c r="I341" s="66" t="s">
        <v>281</v>
      </c>
      <c r="J341" s="66" t="s">
        <v>37</v>
      </c>
      <c r="K341" s="66" t="s">
        <v>233</v>
      </c>
      <c r="L341" s="66" t="s">
        <v>285</v>
      </c>
      <c r="M341" s="68" t="s">
        <v>1210</v>
      </c>
      <c r="N341" s="68" t="s">
        <v>38</v>
      </c>
      <c r="O341" s="68" t="s">
        <v>1211</v>
      </c>
      <c r="P341" s="68">
        <v>200056063</v>
      </c>
      <c r="Q341" s="303">
        <f t="shared" si="41"/>
        <v>89</v>
      </c>
      <c r="R341" s="303">
        <f t="shared" si="42"/>
        <v>923</v>
      </c>
      <c r="S341" s="68">
        <v>89</v>
      </c>
      <c r="T341" s="68">
        <v>923</v>
      </c>
      <c r="U341" s="68">
        <v>0</v>
      </c>
      <c r="V341" s="68">
        <v>0</v>
      </c>
      <c r="W341" s="68">
        <v>926</v>
      </c>
      <c r="X341" s="68">
        <v>53</v>
      </c>
      <c r="Y341" s="68">
        <v>42</v>
      </c>
      <c r="Z341" s="68">
        <v>36</v>
      </c>
      <c r="AA341" s="68">
        <v>66</v>
      </c>
      <c r="AB341" s="300">
        <f t="shared" si="43"/>
        <v>881.49599999999998</v>
      </c>
      <c r="AC341" s="300">
        <f t="shared" si="44"/>
        <v>5.3102168674698795</v>
      </c>
      <c r="AD341" s="68">
        <v>10024.09</v>
      </c>
      <c r="AE341" s="68" t="s">
        <v>109</v>
      </c>
      <c r="AF341" s="68" t="s">
        <v>317</v>
      </c>
      <c r="AG341" s="68" t="s">
        <v>317</v>
      </c>
      <c r="AH341" s="68" t="s">
        <v>1212</v>
      </c>
      <c r="AI341" s="309"/>
      <c r="AJ341" s="309"/>
      <c r="AK341" s="68" t="s">
        <v>48</v>
      </c>
      <c r="AL341" s="68" t="s">
        <v>50</v>
      </c>
      <c r="AM341" s="299">
        <f t="shared" ca="1" si="40"/>
        <v>1.8576388888832298</v>
      </c>
      <c r="AN341" s="75"/>
      <c r="AO341" s="61" t="s">
        <v>67</v>
      </c>
      <c r="AP341" s="62" t="s">
        <v>1210</v>
      </c>
      <c r="AQ341" s="61" t="s">
        <v>1390</v>
      </c>
      <c r="AR341" s="64">
        <v>44875.541666666664</v>
      </c>
      <c r="AS341" s="57" t="s">
        <v>173</v>
      </c>
      <c r="AT341" s="61" t="s">
        <v>225</v>
      </c>
      <c r="AU341" s="63">
        <v>0.54166666666666663</v>
      </c>
      <c r="AV341" s="61">
        <v>2</v>
      </c>
      <c r="AW341" s="61" t="s">
        <v>66</v>
      </c>
      <c r="AX341" s="76"/>
      <c r="AY341" s="76"/>
      <c r="AZ341" s="76"/>
      <c r="BA341" s="76"/>
      <c r="BB341" s="74"/>
    </row>
    <row r="342" spans="1:54" ht="15.75" thickBot="1" x14ac:dyDescent="0.3">
      <c r="A342" s="73">
        <v>166</v>
      </c>
      <c r="B342" s="72">
        <v>44873.684027777781</v>
      </c>
      <c r="C342" s="67">
        <v>0.6875</v>
      </c>
      <c r="D342" s="67">
        <v>0.70833333333333337</v>
      </c>
      <c r="E342" s="67">
        <v>0.71875</v>
      </c>
      <c r="F342" s="68" t="s">
        <v>169</v>
      </c>
      <c r="G342" s="68" t="s">
        <v>414</v>
      </c>
      <c r="H342" s="66" t="s">
        <v>282</v>
      </c>
      <c r="I342" s="66" t="s">
        <v>281</v>
      </c>
      <c r="J342" s="66" t="s">
        <v>37</v>
      </c>
      <c r="K342" s="66" t="s">
        <v>233</v>
      </c>
      <c r="L342" s="66" t="s">
        <v>285</v>
      </c>
      <c r="M342" s="68" t="s">
        <v>1210</v>
      </c>
      <c r="N342" s="68" t="s">
        <v>38</v>
      </c>
      <c r="O342" s="68" t="s">
        <v>1211</v>
      </c>
      <c r="P342" s="68">
        <v>200056063</v>
      </c>
      <c r="Q342" s="303">
        <f t="shared" si="41"/>
        <v>0</v>
      </c>
      <c r="R342" s="303">
        <f t="shared" si="42"/>
        <v>0</v>
      </c>
      <c r="S342" s="68">
        <v>0</v>
      </c>
      <c r="T342" s="68">
        <v>0</v>
      </c>
      <c r="U342" s="68">
        <v>0</v>
      </c>
      <c r="V342" s="68">
        <v>0</v>
      </c>
      <c r="W342" s="68">
        <v>0</v>
      </c>
      <c r="X342" s="68">
        <v>56</v>
      </c>
      <c r="Y342" s="68">
        <v>42</v>
      </c>
      <c r="Z342" s="68">
        <v>38</v>
      </c>
      <c r="AA342" s="68">
        <v>21</v>
      </c>
      <c r="AB342" s="300">
        <f t="shared" si="43"/>
        <v>312.81599999999997</v>
      </c>
      <c r="AC342" s="300">
        <f t="shared" si="44"/>
        <v>1.8844337349397589</v>
      </c>
      <c r="AD342" s="68">
        <v>0</v>
      </c>
      <c r="AE342" s="68">
        <v>0</v>
      </c>
      <c r="AF342" s="68" t="s">
        <v>317</v>
      </c>
      <c r="AG342" s="68" t="s">
        <v>317</v>
      </c>
      <c r="AH342" s="68" t="s">
        <v>1212</v>
      </c>
      <c r="AI342" s="309"/>
      <c r="AJ342" s="309"/>
      <c r="AK342" s="68" t="s">
        <v>48</v>
      </c>
      <c r="AL342" s="68" t="s">
        <v>50</v>
      </c>
      <c r="AM342" s="299">
        <f t="shared" ca="1" si="40"/>
        <v>1.8576388888832298</v>
      </c>
      <c r="AN342" s="75"/>
      <c r="AO342" s="61" t="s">
        <v>67</v>
      </c>
      <c r="AP342" s="62" t="s">
        <v>1210</v>
      </c>
      <c r="AQ342" s="61" t="s">
        <v>1390</v>
      </c>
      <c r="AR342" s="64">
        <v>44875.541666666664</v>
      </c>
      <c r="AS342" s="57" t="s">
        <v>173</v>
      </c>
      <c r="AT342" s="61" t="s">
        <v>225</v>
      </c>
      <c r="AU342" s="63">
        <v>0.54166666666666663</v>
      </c>
      <c r="AV342" s="61">
        <v>2</v>
      </c>
      <c r="AW342" s="61" t="s">
        <v>66</v>
      </c>
      <c r="AX342" s="76"/>
      <c r="AY342" s="76"/>
      <c r="AZ342" s="76"/>
      <c r="BA342" s="76"/>
      <c r="BB342" s="74"/>
    </row>
    <row r="343" spans="1:54" ht="15.75" thickBot="1" x14ac:dyDescent="0.3">
      <c r="A343" s="73">
        <v>166</v>
      </c>
      <c r="B343" s="72">
        <v>44873.684027777781</v>
      </c>
      <c r="C343" s="67">
        <v>0.6875</v>
      </c>
      <c r="D343" s="67">
        <v>0.70833333333333337</v>
      </c>
      <c r="E343" s="67">
        <v>0.71875</v>
      </c>
      <c r="F343" s="68" t="s">
        <v>169</v>
      </c>
      <c r="G343" s="68" t="s">
        <v>414</v>
      </c>
      <c r="H343" s="66" t="s">
        <v>282</v>
      </c>
      <c r="I343" s="66" t="s">
        <v>281</v>
      </c>
      <c r="J343" s="66" t="s">
        <v>37</v>
      </c>
      <c r="K343" s="66" t="s">
        <v>233</v>
      </c>
      <c r="L343" s="66" t="s">
        <v>285</v>
      </c>
      <c r="M343" s="68" t="s">
        <v>1210</v>
      </c>
      <c r="N343" s="68" t="s">
        <v>38</v>
      </c>
      <c r="O343" s="68" t="s">
        <v>1211</v>
      </c>
      <c r="P343" s="68">
        <v>200056063</v>
      </c>
      <c r="Q343" s="303">
        <f t="shared" si="41"/>
        <v>0</v>
      </c>
      <c r="R343" s="303">
        <f t="shared" si="42"/>
        <v>0</v>
      </c>
      <c r="S343" s="68">
        <v>0</v>
      </c>
      <c r="T343" s="68">
        <v>0</v>
      </c>
      <c r="U343" s="68">
        <v>0</v>
      </c>
      <c r="V343" s="68">
        <v>0</v>
      </c>
      <c r="W343" s="68">
        <v>0</v>
      </c>
      <c r="X343" s="68">
        <v>56</v>
      </c>
      <c r="Y343" s="68">
        <v>30</v>
      </c>
      <c r="Z343" s="68">
        <v>38</v>
      </c>
      <c r="AA343" s="68">
        <v>2</v>
      </c>
      <c r="AB343" s="300">
        <f t="shared" si="43"/>
        <v>21.28</v>
      </c>
      <c r="AC343" s="300">
        <f t="shared" si="44"/>
        <v>0.12819277108433735</v>
      </c>
      <c r="AD343" s="68">
        <v>0</v>
      </c>
      <c r="AE343" s="68">
        <v>0</v>
      </c>
      <c r="AF343" s="68" t="s">
        <v>317</v>
      </c>
      <c r="AG343" s="68" t="s">
        <v>317</v>
      </c>
      <c r="AH343" s="68" t="s">
        <v>1212</v>
      </c>
      <c r="AI343" s="309"/>
      <c r="AJ343" s="309"/>
      <c r="AK343" s="68" t="s">
        <v>48</v>
      </c>
      <c r="AL343" s="68" t="s">
        <v>50</v>
      </c>
      <c r="AM343" s="299">
        <f t="shared" ca="1" si="40"/>
        <v>1.8576388888832298</v>
      </c>
      <c r="AN343" s="75"/>
      <c r="AO343" s="61" t="s">
        <v>67</v>
      </c>
      <c r="AP343" s="62" t="s">
        <v>1210</v>
      </c>
      <c r="AQ343" s="61" t="s">
        <v>1390</v>
      </c>
      <c r="AR343" s="64">
        <v>44875.541666666664</v>
      </c>
      <c r="AS343" s="57" t="s">
        <v>173</v>
      </c>
      <c r="AT343" s="61" t="s">
        <v>225</v>
      </c>
      <c r="AU343" s="63">
        <v>0.54166666666666663</v>
      </c>
      <c r="AV343" s="61">
        <v>2</v>
      </c>
      <c r="AW343" s="61" t="s">
        <v>66</v>
      </c>
      <c r="AX343" s="76"/>
      <c r="AY343" s="76"/>
      <c r="AZ343" s="76"/>
      <c r="BA343" s="76"/>
      <c r="BB343" s="74"/>
    </row>
    <row r="344" spans="1:54" ht="15.75" thickBot="1" x14ac:dyDescent="0.3">
      <c r="A344" s="73">
        <v>167</v>
      </c>
      <c r="B344" s="72">
        <v>44873.708333333336</v>
      </c>
      <c r="C344" s="67">
        <v>0.70833333333333337</v>
      </c>
      <c r="D344" s="67">
        <v>0.71527777777777779</v>
      </c>
      <c r="E344" s="67">
        <v>0.74305555555555547</v>
      </c>
      <c r="F344" s="68" t="s">
        <v>171</v>
      </c>
      <c r="G344" s="68" t="s">
        <v>811</v>
      </c>
      <c r="H344" s="66" t="s">
        <v>292</v>
      </c>
      <c r="I344" s="66" t="s">
        <v>118</v>
      </c>
      <c r="J344" s="66" t="s">
        <v>37</v>
      </c>
      <c r="K344" s="66" t="s">
        <v>180</v>
      </c>
      <c r="L344" s="70" t="s">
        <v>206</v>
      </c>
      <c r="M344" s="68" t="s">
        <v>1213</v>
      </c>
      <c r="N344" s="68" t="s">
        <v>44</v>
      </c>
      <c r="O344" s="68">
        <v>226076360</v>
      </c>
      <c r="P344" s="68" t="s">
        <v>351</v>
      </c>
      <c r="Q344" s="303">
        <f t="shared" si="41"/>
        <v>2</v>
      </c>
      <c r="R344" s="303">
        <f t="shared" si="42"/>
        <v>37</v>
      </c>
      <c r="S344" s="68">
        <v>2</v>
      </c>
      <c r="T344" s="68">
        <v>37</v>
      </c>
      <c r="U344" s="68">
        <v>0</v>
      </c>
      <c r="V344" s="68">
        <v>0</v>
      </c>
      <c r="W344" s="68">
        <v>37</v>
      </c>
      <c r="X344" s="68">
        <v>43</v>
      </c>
      <c r="Y344" s="68">
        <v>34</v>
      </c>
      <c r="Z344" s="68">
        <v>35</v>
      </c>
      <c r="AA344" s="68">
        <v>2</v>
      </c>
      <c r="AB344" s="300">
        <f t="shared" si="43"/>
        <v>17.056666666666668</v>
      </c>
      <c r="AC344" s="300">
        <f t="shared" si="44"/>
        <v>0.10275100401606427</v>
      </c>
      <c r="AD344" s="68">
        <v>6850</v>
      </c>
      <c r="AE344" s="68" t="s">
        <v>109</v>
      </c>
      <c r="AF344" s="68" t="s">
        <v>317</v>
      </c>
      <c r="AG344" s="68" t="s">
        <v>317</v>
      </c>
      <c r="AH344" s="68" t="s">
        <v>1214</v>
      </c>
      <c r="AI344" s="309"/>
      <c r="AJ344" s="309"/>
      <c r="AK344" s="68" t="s">
        <v>48</v>
      </c>
      <c r="AL344" s="68" t="s">
        <v>56</v>
      </c>
      <c r="AM344" s="299">
        <f t="shared" ca="1" si="40"/>
        <v>1.7326388888832298</v>
      </c>
      <c r="AN344" s="75"/>
      <c r="AO344" s="61" t="s">
        <v>53</v>
      </c>
      <c r="AP344" s="62" t="s">
        <v>1213</v>
      </c>
      <c r="AQ344" s="61" t="s">
        <v>1384</v>
      </c>
      <c r="AR344" s="64">
        <v>44875.440972222219</v>
      </c>
      <c r="AS344" s="57" t="s">
        <v>173</v>
      </c>
      <c r="AT344" s="61" t="s">
        <v>225</v>
      </c>
      <c r="AU344" s="63">
        <v>0.44097222222222227</v>
      </c>
      <c r="AV344" s="61">
        <v>1</v>
      </c>
      <c r="AW344" s="61" t="s">
        <v>66</v>
      </c>
      <c r="AX344" s="76"/>
      <c r="AY344" s="76"/>
      <c r="AZ344" s="76"/>
      <c r="BA344" s="76"/>
      <c r="BB344" s="74"/>
    </row>
    <row r="345" spans="1:54" ht="15.75" thickBot="1" x14ac:dyDescent="0.3">
      <c r="A345" s="73">
        <v>168</v>
      </c>
      <c r="B345" s="72">
        <v>44873.715277777781</v>
      </c>
      <c r="C345" s="67">
        <v>0.71527777777777779</v>
      </c>
      <c r="D345" s="67">
        <v>0.72222222222222221</v>
      </c>
      <c r="E345" s="67">
        <v>0.75</v>
      </c>
      <c r="F345" s="68" t="s">
        <v>171</v>
      </c>
      <c r="G345" s="68" t="s">
        <v>289</v>
      </c>
      <c r="H345" s="66" t="s">
        <v>75</v>
      </c>
      <c r="I345" s="66" t="s">
        <v>166</v>
      </c>
      <c r="J345" s="66" t="s">
        <v>37</v>
      </c>
      <c r="K345" s="66" t="s">
        <v>180</v>
      </c>
      <c r="L345" s="66" t="s">
        <v>209</v>
      </c>
      <c r="M345" s="68" t="s">
        <v>1215</v>
      </c>
      <c r="N345" s="68" t="s">
        <v>43</v>
      </c>
      <c r="O345" s="68" t="s">
        <v>1216</v>
      </c>
      <c r="P345" s="68">
        <v>16736</v>
      </c>
      <c r="Q345" s="303">
        <f t="shared" si="41"/>
        <v>1</v>
      </c>
      <c r="R345" s="303">
        <f t="shared" si="42"/>
        <v>144</v>
      </c>
      <c r="S345" s="68">
        <v>0</v>
      </c>
      <c r="T345" s="68">
        <v>0</v>
      </c>
      <c r="U345" s="68">
        <v>1</v>
      </c>
      <c r="V345" s="68">
        <v>144</v>
      </c>
      <c r="W345" s="68">
        <v>145</v>
      </c>
      <c r="X345" s="68">
        <v>71</v>
      </c>
      <c r="Y345" s="68">
        <v>71</v>
      </c>
      <c r="Z345" s="68">
        <v>66</v>
      </c>
      <c r="AA345" s="68">
        <v>1</v>
      </c>
      <c r="AB345" s="300">
        <f t="shared" si="43"/>
        <v>55.451000000000001</v>
      </c>
      <c r="AC345" s="300">
        <f t="shared" si="44"/>
        <v>0.33404216867469883</v>
      </c>
      <c r="AD345" s="68">
        <v>3650</v>
      </c>
      <c r="AE345" s="68" t="s">
        <v>109</v>
      </c>
      <c r="AF345" s="68" t="s">
        <v>317</v>
      </c>
      <c r="AG345" s="68" t="s">
        <v>317</v>
      </c>
      <c r="AH345" s="68" t="s">
        <v>1217</v>
      </c>
      <c r="AI345" s="309"/>
      <c r="AJ345" s="309"/>
      <c r="AK345" s="68" t="s">
        <v>37</v>
      </c>
      <c r="AL345" s="68" t="s">
        <v>49</v>
      </c>
      <c r="AM345" s="299">
        <f t="shared" ca="1" si="40"/>
        <v>1.0243055555547471</v>
      </c>
      <c r="AN345" s="75"/>
      <c r="AO345" s="61" t="s">
        <v>161</v>
      </c>
      <c r="AP345" s="62" t="s">
        <v>1215</v>
      </c>
      <c r="AQ345" s="78" t="s">
        <v>1334</v>
      </c>
      <c r="AR345" s="64">
        <v>44874.739583333336</v>
      </c>
      <c r="AS345" s="61" t="s">
        <v>117</v>
      </c>
      <c r="AT345" s="61" t="s">
        <v>225</v>
      </c>
      <c r="AU345" s="59">
        <v>0.73958333333333337</v>
      </c>
      <c r="AV345" s="61">
        <v>2</v>
      </c>
      <c r="AW345" s="61" t="s">
        <v>66</v>
      </c>
      <c r="AX345" s="76"/>
      <c r="AY345" s="76"/>
      <c r="AZ345" s="76"/>
      <c r="BA345" s="76"/>
      <c r="BB345" s="74"/>
    </row>
    <row r="346" spans="1:54" ht="15.75" thickBot="1" x14ac:dyDescent="0.3">
      <c r="A346" s="73">
        <v>169</v>
      </c>
      <c r="B346" s="72">
        <v>44873.729166666664</v>
      </c>
      <c r="C346" s="67">
        <v>0.72916666666666663</v>
      </c>
      <c r="D346" s="67">
        <v>0.73958333333333337</v>
      </c>
      <c r="E346" s="67">
        <v>0.75347222222222221</v>
      </c>
      <c r="F346" s="68" t="s">
        <v>169</v>
      </c>
      <c r="G346" s="68" t="s">
        <v>1218</v>
      </c>
      <c r="H346" s="66" t="s">
        <v>1219</v>
      </c>
      <c r="I346" s="66" t="s">
        <v>1220</v>
      </c>
      <c r="J346" s="66" t="s">
        <v>41</v>
      </c>
      <c r="K346" s="66" t="s">
        <v>241</v>
      </c>
      <c r="L346" s="66">
        <v>0</v>
      </c>
      <c r="M346" s="68" t="s">
        <v>1221</v>
      </c>
      <c r="N346" s="68" t="s">
        <v>42</v>
      </c>
      <c r="O346" s="68">
        <v>1009551715</v>
      </c>
      <c r="P346" s="68">
        <v>40103999</v>
      </c>
      <c r="Q346" s="303">
        <f t="shared" si="41"/>
        <v>6</v>
      </c>
      <c r="R346" s="303">
        <f t="shared" si="42"/>
        <v>1681</v>
      </c>
      <c r="S346" s="68">
        <v>0</v>
      </c>
      <c r="T346" s="68">
        <v>0</v>
      </c>
      <c r="U346" s="68">
        <v>6</v>
      </c>
      <c r="V346" s="68">
        <v>1681</v>
      </c>
      <c r="W346" s="68">
        <v>1609.2650000000001</v>
      </c>
      <c r="X346" s="68">
        <v>107</v>
      </c>
      <c r="Y346" s="68">
        <v>105</v>
      </c>
      <c r="Z346" s="68">
        <v>151</v>
      </c>
      <c r="AA346" s="68">
        <v>5</v>
      </c>
      <c r="AB346" s="300">
        <f t="shared" si="43"/>
        <v>1413.7375</v>
      </c>
      <c r="AC346" s="300">
        <f t="shared" si="44"/>
        <v>8.5164909638554214</v>
      </c>
      <c r="AD346" s="68">
        <v>27513.57</v>
      </c>
      <c r="AE346" s="68" t="s">
        <v>109</v>
      </c>
      <c r="AF346" s="68">
        <v>5102819</v>
      </c>
      <c r="AG346" s="68" t="s">
        <v>574</v>
      </c>
      <c r="AH346" s="68" t="s">
        <v>1222</v>
      </c>
      <c r="AI346" s="309"/>
      <c r="AJ346" s="309"/>
      <c r="AK346" s="68" t="s">
        <v>41</v>
      </c>
      <c r="AL346" s="68" t="s">
        <v>49</v>
      </c>
      <c r="AM346" s="299">
        <f t="shared" ca="1" si="40"/>
        <v>0.83680555555474712</v>
      </c>
      <c r="AN346" s="75"/>
      <c r="AO346" s="61" t="s">
        <v>368</v>
      </c>
      <c r="AP346" s="62" t="s">
        <v>1221</v>
      </c>
      <c r="AQ346" s="78" t="s">
        <v>1326</v>
      </c>
      <c r="AR346" s="64">
        <v>44874.565972222219</v>
      </c>
      <c r="AS346" s="63" t="s">
        <v>1203</v>
      </c>
      <c r="AT346" s="61" t="s">
        <v>225</v>
      </c>
      <c r="AU346" s="63">
        <v>0.56597222222222221</v>
      </c>
      <c r="AV346" s="61">
        <v>1</v>
      </c>
      <c r="AW346" s="61" t="s">
        <v>66</v>
      </c>
      <c r="AX346" s="76"/>
      <c r="AY346" s="76"/>
      <c r="AZ346" s="76"/>
      <c r="BA346" s="76"/>
      <c r="BB346" s="74"/>
    </row>
    <row r="347" spans="1:54" ht="15.75" thickBot="1" x14ac:dyDescent="0.3">
      <c r="A347" s="73">
        <v>169</v>
      </c>
      <c r="B347" s="72">
        <v>44873.729166666664</v>
      </c>
      <c r="C347" s="67">
        <v>0.72916666666666663</v>
      </c>
      <c r="D347" s="67">
        <v>0.73958333333333337</v>
      </c>
      <c r="E347" s="67">
        <v>0.75347222222222221</v>
      </c>
      <c r="F347" s="68" t="s">
        <v>169</v>
      </c>
      <c r="G347" s="68" t="s">
        <v>1218</v>
      </c>
      <c r="H347" s="66" t="s">
        <v>1219</v>
      </c>
      <c r="I347" s="66" t="s">
        <v>1220</v>
      </c>
      <c r="J347" s="66" t="s">
        <v>41</v>
      </c>
      <c r="K347" s="66" t="s">
        <v>241</v>
      </c>
      <c r="L347" s="66">
        <v>0</v>
      </c>
      <c r="M347" s="68" t="s">
        <v>1221</v>
      </c>
      <c r="N347" s="68" t="s">
        <v>42</v>
      </c>
      <c r="O347" s="68">
        <v>1009551715</v>
      </c>
      <c r="P347" s="68">
        <v>40103999</v>
      </c>
      <c r="Q347" s="303">
        <f t="shared" si="41"/>
        <v>0</v>
      </c>
      <c r="R347" s="303">
        <f t="shared" si="42"/>
        <v>0</v>
      </c>
      <c r="S347" s="68">
        <v>0</v>
      </c>
      <c r="T347" s="68">
        <v>0</v>
      </c>
      <c r="U347" s="68">
        <v>0</v>
      </c>
      <c r="V347" s="68">
        <v>0</v>
      </c>
      <c r="W347" s="68">
        <v>0</v>
      </c>
      <c r="X347" s="68">
        <v>106</v>
      </c>
      <c r="Y347" s="68">
        <v>106</v>
      </c>
      <c r="Z347" s="68">
        <v>83</v>
      </c>
      <c r="AA347" s="68">
        <v>1</v>
      </c>
      <c r="AB347" s="300">
        <f t="shared" si="43"/>
        <v>155.43133333333333</v>
      </c>
      <c r="AC347" s="300">
        <f t="shared" si="44"/>
        <v>0.93633333333333335</v>
      </c>
      <c r="AD347" s="68">
        <v>0</v>
      </c>
      <c r="AE347" s="68">
        <v>0</v>
      </c>
      <c r="AF347" s="68">
        <v>5102819</v>
      </c>
      <c r="AG347" s="68" t="s">
        <v>574</v>
      </c>
      <c r="AH347" s="68" t="s">
        <v>1222</v>
      </c>
      <c r="AI347" s="309"/>
      <c r="AJ347" s="309"/>
      <c r="AK347" s="68" t="s">
        <v>41</v>
      </c>
      <c r="AL347" s="68" t="s">
        <v>49</v>
      </c>
      <c r="AM347" s="299">
        <f t="shared" ca="1" si="40"/>
        <v>0.83680555555474712</v>
      </c>
      <c r="AN347" s="75"/>
      <c r="AO347" s="61" t="s">
        <v>368</v>
      </c>
      <c r="AP347" s="62" t="s">
        <v>1221</v>
      </c>
      <c r="AQ347" s="78" t="s">
        <v>1326</v>
      </c>
      <c r="AR347" s="64">
        <v>44874.565972222219</v>
      </c>
      <c r="AS347" s="63" t="s">
        <v>1203</v>
      </c>
      <c r="AT347" s="61" t="s">
        <v>225</v>
      </c>
      <c r="AU347" s="63">
        <v>0.56597222222222221</v>
      </c>
      <c r="AV347" s="61">
        <v>1</v>
      </c>
      <c r="AW347" s="61" t="s">
        <v>66</v>
      </c>
      <c r="AX347" s="76"/>
      <c r="AY347" s="76"/>
      <c r="AZ347" s="76"/>
      <c r="BA347" s="76"/>
      <c r="BB347" s="74"/>
    </row>
    <row r="348" spans="1:54" ht="15.75" thickBot="1" x14ac:dyDescent="0.3">
      <c r="A348" s="73">
        <v>170</v>
      </c>
      <c r="B348" s="72">
        <v>44873.729166666664</v>
      </c>
      <c r="C348" s="67">
        <v>0.72916666666666663</v>
      </c>
      <c r="D348" s="67">
        <v>0.73958333333333337</v>
      </c>
      <c r="E348" s="67">
        <v>0.75347222222222221</v>
      </c>
      <c r="F348" s="68" t="s">
        <v>169</v>
      </c>
      <c r="G348" s="68" t="s">
        <v>1218</v>
      </c>
      <c r="H348" s="66" t="s">
        <v>1219</v>
      </c>
      <c r="I348" s="66" t="s">
        <v>1220</v>
      </c>
      <c r="J348" s="66" t="s">
        <v>41</v>
      </c>
      <c r="K348" s="66" t="s">
        <v>241</v>
      </c>
      <c r="L348" s="66">
        <v>0</v>
      </c>
      <c r="M348" s="68" t="s">
        <v>1221</v>
      </c>
      <c r="N348" s="68" t="s">
        <v>42</v>
      </c>
      <c r="O348" s="68">
        <v>1009212616</v>
      </c>
      <c r="P348" s="68">
        <v>40103999</v>
      </c>
      <c r="Q348" s="303">
        <f t="shared" si="41"/>
        <v>1</v>
      </c>
      <c r="R348" s="303">
        <f t="shared" si="42"/>
        <v>208</v>
      </c>
      <c r="S348" s="68">
        <v>0</v>
      </c>
      <c r="T348" s="68">
        <v>0</v>
      </c>
      <c r="U348" s="68">
        <v>1</v>
      </c>
      <c r="V348" s="68">
        <v>208</v>
      </c>
      <c r="W348" s="68">
        <v>200.31</v>
      </c>
      <c r="X348" s="68">
        <v>104</v>
      </c>
      <c r="Y348" s="68">
        <v>103</v>
      </c>
      <c r="Z348" s="68">
        <v>84</v>
      </c>
      <c r="AA348" s="68">
        <v>1</v>
      </c>
      <c r="AB348" s="300">
        <f t="shared" si="43"/>
        <v>149.96799999999999</v>
      </c>
      <c r="AC348" s="300">
        <f t="shared" si="44"/>
        <v>0.90342168674698786</v>
      </c>
      <c r="AD348" s="68">
        <v>2367.25</v>
      </c>
      <c r="AE348" s="68" t="s">
        <v>109</v>
      </c>
      <c r="AF348" s="68">
        <v>5224566</v>
      </c>
      <c r="AG348" s="68" t="s">
        <v>1223</v>
      </c>
      <c r="AH348" s="68">
        <v>0</v>
      </c>
      <c r="AI348" s="309"/>
      <c r="AJ348" s="309"/>
      <c r="AK348" s="68" t="s">
        <v>37</v>
      </c>
      <c r="AL348" s="68" t="s">
        <v>49</v>
      </c>
      <c r="AM348" s="299">
        <f t="shared" ca="1" si="40"/>
        <v>0.83680555555474712</v>
      </c>
      <c r="AN348" s="75"/>
      <c r="AO348" s="61" t="s">
        <v>368</v>
      </c>
      <c r="AP348" s="62" t="s">
        <v>1221</v>
      </c>
      <c r="AQ348" s="78" t="s">
        <v>1326</v>
      </c>
      <c r="AR348" s="64">
        <v>44874.565972222219</v>
      </c>
      <c r="AS348" s="63" t="s">
        <v>1203</v>
      </c>
      <c r="AT348" s="61" t="s">
        <v>225</v>
      </c>
      <c r="AU348" s="63">
        <v>0.56597222222222221</v>
      </c>
      <c r="AV348" s="61">
        <v>1</v>
      </c>
      <c r="AW348" s="61" t="s">
        <v>66</v>
      </c>
      <c r="AX348" s="76"/>
      <c r="AY348" s="76"/>
      <c r="AZ348" s="76"/>
      <c r="BA348" s="76"/>
      <c r="BB348" s="74"/>
    </row>
    <row r="349" spans="1:54" ht="15.75" thickBot="1" x14ac:dyDescent="0.3">
      <c r="A349" s="73">
        <v>171</v>
      </c>
      <c r="B349" s="72">
        <v>44873.75</v>
      </c>
      <c r="C349" s="67">
        <v>0.76041666666666663</v>
      </c>
      <c r="D349" s="67">
        <v>0.76388888888888884</v>
      </c>
      <c r="E349" s="67">
        <v>0.78125</v>
      </c>
      <c r="F349" s="68" t="s">
        <v>171</v>
      </c>
      <c r="G349" s="68" t="s">
        <v>126</v>
      </c>
      <c r="H349" s="66" t="s">
        <v>91</v>
      </c>
      <c r="I349" s="66" t="s">
        <v>318</v>
      </c>
      <c r="J349" s="66" t="s">
        <v>41</v>
      </c>
      <c r="K349" s="66" t="s">
        <v>180</v>
      </c>
      <c r="L349" s="70" t="s">
        <v>206</v>
      </c>
      <c r="M349" s="68" t="s">
        <v>1224</v>
      </c>
      <c r="N349" s="68" t="s">
        <v>44</v>
      </c>
      <c r="O349" s="68">
        <v>1054968950</v>
      </c>
      <c r="P349" s="68">
        <v>1213929405</v>
      </c>
      <c r="Q349" s="303">
        <f t="shared" si="41"/>
        <v>5</v>
      </c>
      <c r="R349" s="303">
        <f t="shared" si="42"/>
        <v>1055</v>
      </c>
      <c r="S349" s="68">
        <v>0</v>
      </c>
      <c r="T349" s="68">
        <v>0</v>
      </c>
      <c r="U349" s="68">
        <v>5</v>
      </c>
      <c r="V349" s="68">
        <v>1055</v>
      </c>
      <c r="W349" s="68">
        <v>1068</v>
      </c>
      <c r="X349" s="68">
        <v>120</v>
      </c>
      <c r="Y349" s="68">
        <v>80</v>
      </c>
      <c r="Z349" s="68">
        <v>78</v>
      </c>
      <c r="AA349" s="68">
        <v>5</v>
      </c>
      <c r="AB349" s="300">
        <f t="shared" si="43"/>
        <v>624</v>
      </c>
      <c r="AC349" s="300">
        <f t="shared" si="44"/>
        <v>3.7590361445783134</v>
      </c>
      <c r="AD349" s="68">
        <v>47106.52</v>
      </c>
      <c r="AE349" s="68" t="s">
        <v>109</v>
      </c>
      <c r="AF349" s="68" t="s">
        <v>317</v>
      </c>
      <c r="AG349" s="68" t="s">
        <v>317</v>
      </c>
      <c r="AH349" s="68" t="s">
        <v>1225</v>
      </c>
      <c r="AI349" s="309"/>
      <c r="AJ349" s="309"/>
      <c r="AK349" s="68" t="s">
        <v>37</v>
      </c>
      <c r="AL349" s="68" t="s">
        <v>49</v>
      </c>
      <c r="AM349" s="299">
        <f t="shared" ca="1" si="40"/>
        <v>0.75347222221898846</v>
      </c>
      <c r="AN349" s="75"/>
      <c r="AO349" s="61" t="s">
        <v>323</v>
      </c>
      <c r="AP349" s="62" t="s">
        <v>1224</v>
      </c>
      <c r="AQ349" s="78" t="s">
        <v>1322</v>
      </c>
      <c r="AR349" s="64">
        <v>44874.503472222219</v>
      </c>
      <c r="AS349" s="61" t="s">
        <v>136</v>
      </c>
      <c r="AT349" s="61" t="s">
        <v>225</v>
      </c>
      <c r="AU349" s="63">
        <v>0.50347222222222221</v>
      </c>
      <c r="AV349" s="61">
        <v>1</v>
      </c>
      <c r="AW349" s="61" t="s">
        <v>66</v>
      </c>
      <c r="AX349" s="76"/>
      <c r="AY349" s="76"/>
      <c r="AZ349" s="76"/>
      <c r="BA349" s="76"/>
      <c r="BB349" s="74"/>
    </row>
    <row r="350" spans="1:54" ht="15.75" thickBot="1" x14ac:dyDescent="0.3">
      <c r="A350" s="73">
        <v>172</v>
      </c>
      <c r="B350" s="72">
        <v>44873.75</v>
      </c>
      <c r="C350" s="67">
        <v>0.76041666666666663</v>
      </c>
      <c r="D350" s="67">
        <v>0.76388888888888884</v>
      </c>
      <c r="E350" s="67">
        <v>0.78125</v>
      </c>
      <c r="F350" s="68" t="s">
        <v>171</v>
      </c>
      <c r="G350" s="68" t="s">
        <v>126</v>
      </c>
      <c r="H350" s="66" t="s">
        <v>91</v>
      </c>
      <c r="I350" s="66" t="s">
        <v>318</v>
      </c>
      <c r="J350" s="66" t="s">
        <v>41</v>
      </c>
      <c r="K350" s="66" t="s">
        <v>180</v>
      </c>
      <c r="L350" s="70" t="s">
        <v>206</v>
      </c>
      <c r="M350" s="68" t="s">
        <v>1207</v>
      </c>
      <c r="N350" s="68" t="s">
        <v>44</v>
      </c>
      <c r="O350" s="68">
        <v>1054968951</v>
      </c>
      <c r="P350" s="68">
        <v>1213928963</v>
      </c>
      <c r="Q350" s="303">
        <f t="shared" si="41"/>
        <v>5</v>
      </c>
      <c r="R350" s="303">
        <f t="shared" si="42"/>
        <v>1068</v>
      </c>
      <c r="S350" s="68">
        <v>0</v>
      </c>
      <c r="T350" s="68">
        <v>0</v>
      </c>
      <c r="U350" s="68">
        <v>5</v>
      </c>
      <c r="V350" s="68">
        <v>1068</v>
      </c>
      <c r="W350" s="68">
        <v>1065</v>
      </c>
      <c r="X350" s="68">
        <v>120</v>
      </c>
      <c r="Y350" s="68">
        <v>80</v>
      </c>
      <c r="Z350" s="68">
        <v>78</v>
      </c>
      <c r="AA350" s="68">
        <v>5</v>
      </c>
      <c r="AB350" s="300">
        <f t="shared" si="43"/>
        <v>624</v>
      </c>
      <c r="AC350" s="300">
        <f t="shared" si="44"/>
        <v>3.7590361445783134</v>
      </c>
      <c r="AD350" s="68">
        <v>47367.86</v>
      </c>
      <c r="AE350" s="68" t="s">
        <v>109</v>
      </c>
      <c r="AF350" s="68" t="s">
        <v>317</v>
      </c>
      <c r="AG350" s="68" t="s">
        <v>317</v>
      </c>
      <c r="AH350" s="68" t="s">
        <v>1226</v>
      </c>
      <c r="AI350" s="309"/>
      <c r="AJ350" s="309"/>
      <c r="AK350" s="68" t="s">
        <v>37</v>
      </c>
      <c r="AL350" s="68" t="s">
        <v>49</v>
      </c>
      <c r="AM350" s="299">
        <f t="shared" ca="1" si="40"/>
        <v>0.74305555555474712</v>
      </c>
      <c r="AN350" s="75"/>
      <c r="AO350" s="61" t="s">
        <v>323</v>
      </c>
      <c r="AP350" s="62" t="s">
        <v>1207</v>
      </c>
      <c r="AQ350" s="78" t="s">
        <v>1321</v>
      </c>
      <c r="AR350" s="64">
        <v>44874.493055555555</v>
      </c>
      <c r="AS350" s="57" t="s">
        <v>173</v>
      </c>
      <c r="AT350" s="61" t="s">
        <v>225</v>
      </c>
      <c r="AU350" s="63">
        <v>0.49305555555555558</v>
      </c>
      <c r="AV350" s="61">
        <v>1</v>
      </c>
      <c r="AW350" s="61" t="s">
        <v>66</v>
      </c>
      <c r="AX350" s="76"/>
      <c r="AY350" s="76"/>
      <c r="AZ350" s="76"/>
      <c r="BA350" s="76"/>
      <c r="BB350" s="74"/>
    </row>
    <row r="351" spans="1:54" ht="15.75" thickBot="1" x14ac:dyDescent="0.3">
      <c r="A351" s="73">
        <v>173</v>
      </c>
      <c r="B351" s="72">
        <v>44873.75</v>
      </c>
      <c r="C351" s="67">
        <v>0.76041666666666663</v>
      </c>
      <c r="D351" s="67">
        <v>0.76388888888888884</v>
      </c>
      <c r="E351" s="67">
        <v>0.78125</v>
      </c>
      <c r="F351" s="68" t="s">
        <v>171</v>
      </c>
      <c r="G351" s="68" t="s">
        <v>126</v>
      </c>
      <c r="H351" s="66" t="s">
        <v>91</v>
      </c>
      <c r="I351" s="66" t="s">
        <v>318</v>
      </c>
      <c r="J351" s="66" t="s">
        <v>41</v>
      </c>
      <c r="K351" s="66" t="s">
        <v>180</v>
      </c>
      <c r="L351" s="70" t="s">
        <v>206</v>
      </c>
      <c r="M351" s="68" t="s">
        <v>1207</v>
      </c>
      <c r="N351" s="68" t="s">
        <v>44</v>
      </c>
      <c r="O351" s="68">
        <v>1054968952</v>
      </c>
      <c r="P351" s="68">
        <v>1213928766</v>
      </c>
      <c r="Q351" s="303">
        <f t="shared" si="41"/>
        <v>5</v>
      </c>
      <c r="R351" s="303">
        <f t="shared" si="42"/>
        <v>1070</v>
      </c>
      <c r="S351" s="68">
        <v>0</v>
      </c>
      <c r="T351" s="68">
        <v>0</v>
      </c>
      <c r="U351" s="68">
        <v>5</v>
      </c>
      <c r="V351" s="68">
        <v>1070</v>
      </c>
      <c r="W351" s="68">
        <v>1064</v>
      </c>
      <c r="X351" s="68">
        <v>120</v>
      </c>
      <c r="Y351" s="68">
        <v>80</v>
      </c>
      <c r="Z351" s="68">
        <v>78</v>
      </c>
      <c r="AA351" s="68">
        <v>5</v>
      </c>
      <c r="AB351" s="300">
        <f t="shared" si="43"/>
        <v>624</v>
      </c>
      <c r="AC351" s="300">
        <f t="shared" si="44"/>
        <v>3.7590361445783134</v>
      </c>
      <c r="AD351" s="68">
        <v>47367.86</v>
      </c>
      <c r="AE351" s="68" t="s">
        <v>109</v>
      </c>
      <c r="AF351" s="68" t="s">
        <v>317</v>
      </c>
      <c r="AG351" s="68" t="s">
        <v>317</v>
      </c>
      <c r="AH351" s="68" t="s">
        <v>1227</v>
      </c>
      <c r="AI351" s="309"/>
      <c r="AJ351" s="309"/>
      <c r="AK351" s="68" t="s">
        <v>37</v>
      </c>
      <c r="AL351" s="68" t="s">
        <v>49</v>
      </c>
      <c r="AM351" s="299">
        <f t="shared" ca="1" si="40"/>
        <v>0.74305555555474712</v>
      </c>
      <c r="AN351" s="75"/>
      <c r="AO351" s="61" t="s">
        <v>323</v>
      </c>
      <c r="AP351" s="62" t="s">
        <v>1207</v>
      </c>
      <c r="AQ351" s="78" t="s">
        <v>1321</v>
      </c>
      <c r="AR351" s="64">
        <v>44874.493055555555</v>
      </c>
      <c r="AS351" s="57" t="s">
        <v>173</v>
      </c>
      <c r="AT351" s="61" t="s">
        <v>225</v>
      </c>
      <c r="AU351" s="63">
        <v>0.49305555555555558</v>
      </c>
      <c r="AV351" s="61">
        <v>1</v>
      </c>
      <c r="AW351" s="61" t="s">
        <v>66</v>
      </c>
      <c r="AX351" s="76"/>
      <c r="AY351" s="76"/>
      <c r="AZ351" s="76"/>
      <c r="BA351" s="76"/>
      <c r="BB351" s="74"/>
    </row>
    <row r="352" spans="1:54" ht="15.75" thickBot="1" x14ac:dyDescent="0.3">
      <c r="A352" s="73">
        <v>174</v>
      </c>
      <c r="B352" s="72">
        <v>44873.760416666664</v>
      </c>
      <c r="C352" s="67">
        <v>0.76388888888888884</v>
      </c>
      <c r="D352" s="67">
        <v>0.77083333333333337</v>
      </c>
      <c r="E352" s="67">
        <v>0.78125</v>
      </c>
      <c r="F352" s="68" t="s">
        <v>171</v>
      </c>
      <c r="G352" s="68" t="s">
        <v>133</v>
      </c>
      <c r="H352" s="66" t="s">
        <v>91</v>
      </c>
      <c r="I352" s="66" t="s">
        <v>318</v>
      </c>
      <c r="J352" s="66" t="s">
        <v>41</v>
      </c>
      <c r="K352" s="66" t="s">
        <v>180</v>
      </c>
      <c r="L352" s="70" t="s">
        <v>206</v>
      </c>
      <c r="M352" s="68" t="s">
        <v>1224</v>
      </c>
      <c r="N352" s="68" t="s">
        <v>44</v>
      </c>
      <c r="O352" s="68">
        <v>1054968947</v>
      </c>
      <c r="P352" s="68">
        <v>1213928765</v>
      </c>
      <c r="Q352" s="303">
        <f t="shared" si="41"/>
        <v>5</v>
      </c>
      <c r="R352" s="303">
        <f t="shared" si="42"/>
        <v>1069</v>
      </c>
      <c r="S352" s="68">
        <v>0</v>
      </c>
      <c r="T352" s="68">
        <v>0</v>
      </c>
      <c r="U352" s="68">
        <v>5</v>
      </c>
      <c r="V352" s="68">
        <v>1069</v>
      </c>
      <c r="W352" s="68">
        <v>1064</v>
      </c>
      <c r="X352" s="68">
        <v>120</v>
      </c>
      <c r="Y352" s="68">
        <v>80</v>
      </c>
      <c r="Z352" s="68">
        <v>78</v>
      </c>
      <c r="AA352" s="68">
        <v>5</v>
      </c>
      <c r="AB352" s="300">
        <f t="shared" si="43"/>
        <v>624</v>
      </c>
      <c r="AC352" s="300">
        <f t="shared" si="44"/>
        <v>3.7590361445783134</v>
      </c>
      <c r="AD352" s="68">
        <v>47367.86</v>
      </c>
      <c r="AE352" s="68" t="s">
        <v>109</v>
      </c>
      <c r="AF352" s="68" t="s">
        <v>317</v>
      </c>
      <c r="AG352" s="68" t="s">
        <v>317</v>
      </c>
      <c r="AH352" s="68" t="s">
        <v>1228</v>
      </c>
      <c r="AI352" s="309"/>
      <c r="AJ352" s="309"/>
      <c r="AK352" s="68" t="s">
        <v>37</v>
      </c>
      <c r="AL352" s="68" t="s">
        <v>49</v>
      </c>
      <c r="AM352" s="299">
        <f t="shared" ca="1" si="40"/>
        <v>0.74305555555474712</v>
      </c>
      <c r="AN352" s="75"/>
      <c r="AO352" s="61" t="s">
        <v>323</v>
      </c>
      <c r="AP352" s="62" t="s">
        <v>1224</v>
      </c>
      <c r="AQ352" s="78" t="s">
        <v>1322</v>
      </c>
      <c r="AR352" s="64">
        <v>44874.503472222219</v>
      </c>
      <c r="AS352" s="61" t="s">
        <v>136</v>
      </c>
      <c r="AT352" s="61" t="s">
        <v>225</v>
      </c>
      <c r="AU352" s="63">
        <v>0.50347222222222221</v>
      </c>
      <c r="AV352" s="61">
        <v>1</v>
      </c>
      <c r="AW352" s="61" t="s">
        <v>66</v>
      </c>
      <c r="AX352" s="76"/>
      <c r="AY352" s="76"/>
      <c r="AZ352" s="76"/>
      <c r="BA352" s="76"/>
      <c r="BB352" s="74"/>
    </row>
    <row r="353" spans="1:54" ht="15.75" thickBot="1" x14ac:dyDescent="0.3">
      <c r="A353" s="73">
        <v>175</v>
      </c>
      <c r="B353" s="72">
        <v>44873.760416666664</v>
      </c>
      <c r="C353" s="67">
        <v>0.76388888888888884</v>
      </c>
      <c r="D353" s="67">
        <v>0.77083333333333337</v>
      </c>
      <c r="E353" s="67">
        <v>0.78125</v>
      </c>
      <c r="F353" s="68" t="s">
        <v>171</v>
      </c>
      <c r="G353" s="68" t="s">
        <v>133</v>
      </c>
      <c r="H353" s="66" t="s">
        <v>91</v>
      </c>
      <c r="I353" s="66" t="s">
        <v>318</v>
      </c>
      <c r="J353" s="66" t="s">
        <v>41</v>
      </c>
      <c r="K353" s="66" t="s">
        <v>180</v>
      </c>
      <c r="L353" s="70" t="s">
        <v>206</v>
      </c>
      <c r="M353" s="68" t="s">
        <v>1224</v>
      </c>
      <c r="N353" s="68" t="s">
        <v>44</v>
      </c>
      <c r="O353" s="68">
        <v>1054968949</v>
      </c>
      <c r="P353" s="68">
        <v>1213928965</v>
      </c>
      <c r="Q353" s="303">
        <f t="shared" si="41"/>
        <v>5</v>
      </c>
      <c r="R353" s="303">
        <f t="shared" si="42"/>
        <v>1063</v>
      </c>
      <c r="S353" s="68">
        <v>0</v>
      </c>
      <c r="T353" s="68">
        <v>0</v>
      </c>
      <c r="U353" s="68">
        <v>5</v>
      </c>
      <c r="V353" s="68">
        <v>1063</v>
      </c>
      <c r="W353" s="68">
        <v>1064</v>
      </c>
      <c r="X353" s="68">
        <v>120</v>
      </c>
      <c r="Y353" s="68">
        <v>80</v>
      </c>
      <c r="Z353" s="68">
        <v>78</v>
      </c>
      <c r="AA353" s="68">
        <v>5</v>
      </c>
      <c r="AB353" s="300">
        <f t="shared" si="43"/>
        <v>624</v>
      </c>
      <c r="AC353" s="300">
        <f t="shared" si="44"/>
        <v>3.7590361445783134</v>
      </c>
      <c r="AD353" s="68">
        <v>47367.86</v>
      </c>
      <c r="AE353" s="68" t="s">
        <v>109</v>
      </c>
      <c r="AF353" s="68" t="s">
        <v>317</v>
      </c>
      <c r="AG353" s="68" t="s">
        <v>317</v>
      </c>
      <c r="AH353" s="68" t="s">
        <v>1229</v>
      </c>
      <c r="AI353" s="309"/>
      <c r="AJ353" s="309"/>
      <c r="AK353" s="68" t="s">
        <v>37</v>
      </c>
      <c r="AL353" s="68" t="s">
        <v>49</v>
      </c>
      <c r="AM353" s="299">
        <f t="shared" ca="1" si="40"/>
        <v>0.74305555555474712</v>
      </c>
      <c r="AN353" s="75"/>
      <c r="AO353" s="61" t="s">
        <v>323</v>
      </c>
      <c r="AP353" s="62" t="s">
        <v>1224</v>
      </c>
      <c r="AQ353" s="78" t="s">
        <v>1322</v>
      </c>
      <c r="AR353" s="64">
        <v>44874.503472222219</v>
      </c>
      <c r="AS353" s="61" t="s">
        <v>136</v>
      </c>
      <c r="AT353" s="61" t="s">
        <v>225</v>
      </c>
      <c r="AU353" s="63">
        <v>0.50347222222222221</v>
      </c>
      <c r="AV353" s="61">
        <v>1</v>
      </c>
      <c r="AW353" s="61" t="s">
        <v>66</v>
      </c>
      <c r="AX353" s="76"/>
      <c r="AY353" s="76"/>
      <c r="AZ353" s="76"/>
      <c r="BA353" s="76"/>
      <c r="BB353" s="74"/>
    </row>
    <row r="354" spans="1:54" ht="15.75" thickBot="1" x14ac:dyDescent="0.3">
      <c r="A354" s="73">
        <v>176</v>
      </c>
      <c r="B354" s="72">
        <v>44873.760416666664</v>
      </c>
      <c r="C354" s="67">
        <v>0.76388888888888884</v>
      </c>
      <c r="D354" s="67">
        <v>0.77083333333333337</v>
      </c>
      <c r="E354" s="67">
        <v>0.78125</v>
      </c>
      <c r="F354" s="68" t="s">
        <v>171</v>
      </c>
      <c r="G354" s="68" t="s">
        <v>133</v>
      </c>
      <c r="H354" s="66" t="s">
        <v>91</v>
      </c>
      <c r="I354" s="66" t="s">
        <v>318</v>
      </c>
      <c r="J354" s="66" t="s">
        <v>41</v>
      </c>
      <c r="K354" s="66" t="s">
        <v>180</v>
      </c>
      <c r="L354" s="70" t="s">
        <v>206</v>
      </c>
      <c r="M354" s="68" t="s">
        <v>1224</v>
      </c>
      <c r="N354" s="68" t="s">
        <v>44</v>
      </c>
      <c r="O354" s="68">
        <v>1054968948</v>
      </c>
      <c r="P354" s="68">
        <v>1213928964</v>
      </c>
      <c r="Q354" s="303">
        <f t="shared" si="41"/>
        <v>5</v>
      </c>
      <c r="R354" s="303">
        <f t="shared" si="42"/>
        <v>1065</v>
      </c>
      <c r="S354" s="68">
        <v>0</v>
      </c>
      <c r="T354" s="68">
        <v>0</v>
      </c>
      <c r="U354" s="68">
        <v>5</v>
      </c>
      <c r="V354" s="68">
        <v>1065</v>
      </c>
      <c r="W354" s="68">
        <v>1066</v>
      </c>
      <c r="X354" s="68">
        <v>120</v>
      </c>
      <c r="Y354" s="68">
        <v>80</v>
      </c>
      <c r="Z354" s="68">
        <v>78</v>
      </c>
      <c r="AA354" s="68">
        <v>5</v>
      </c>
      <c r="AB354" s="300">
        <f t="shared" si="43"/>
        <v>624</v>
      </c>
      <c r="AC354" s="300">
        <f t="shared" si="44"/>
        <v>3.7590361445783134</v>
      </c>
      <c r="AD354" s="68">
        <v>47367.86</v>
      </c>
      <c r="AE354" s="68" t="s">
        <v>109</v>
      </c>
      <c r="AF354" s="68" t="s">
        <v>317</v>
      </c>
      <c r="AG354" s="68" t="s">
        <v>317</v>
      </c>
      <c r="AH354" s="68" t="s">
        <v>1230</v>
      </c>
      <c r="AI354" s="309"/>
      <c r="AJ354" s="309"/>
      <c r="AK354" s="68" t="s">
        <v>37</v>
      </c>
      <c r="AL354" s="68" t="s">
        <v>49</v>
      </c>
      <c r="AM354" s="299">
        <f t="shared" ca="1" si="40"/>
        <v>0.74305555555474712</v>
      </c>
      <c r="AN354" s="75"/>
      <c r="AO354" s="61" t="s">
        <v>323</v>
      </c>
      <c r="AP354" s="62" t="s">
        <v>1224</v>
      </c>
      <c r="AQ354" s="78" t="s">
        <v>1322</v>
      </c>
      <c r="AR354" s="64">
        <v>44874.503472222219</v>
      </c>
      <c r="AS354" s="61" t="s">
        <v>136</v>
      </c>
      <c r="AT354" s="61" t="s">
        <v>225</v>
      </c>
      <c r="AU354" s="63">
        <v>0.50347222222222221</v>
      </c>
      <c r="AV354" s="61">
        <v>1</v>
      </c>
      <c r="AW354" s="61" t="s">
        <v>66</v>
      </c>
      <c r="AX354" s="76"/>
      <c r="AY354" s="76"/>
      <c r="AZ354" s="76"/>
      <c r="BA354" s="76"/>
      <c r="BB354" s="74"/>
    </row>
    <row r="355" spans="1:54" ht="15.75" thickBot="1" x14ac:dyDescent="0.3">
      <c r="A355" s="73">
        <v>177</v>
      </c>
      <c r="B355" s="72">
        <v>44873.798611111109</v>
      </c>
      <c r="C355" s="67">
        <v>0.79861111111111116</v>
      </c>
      <c r="D355" s="67">
        <v>0.80208333333333337</v>
      </c>
      <c r="E355" s="67">
        <v>0.80555555555555547</v>
      </c>
      <c r="F355" s="68" t="s">
        <v>171</v>
      </c>
      <c r="G355" s="68" t="s">
        <v>200</v>
      </c>
      <c r="H355" s="66" t="s">
        <v>217</v>
      </c>
      <c r="I355" s="66" t="s">
        <v>141</v>
      </c>
      <c r="J355" s="66" t="s">
        <v>41</v>
      </c>
      <c r="K355" s="68" t="s">
        <v>180</v>
      </c>
      <c r="L355" s="69" t="s">
        <v>209</v>
      </c>
      <c r="M355" s="68" t="s">
        <v>1231</v>
      </c>
      <c r="N355" s="68" t="s">
        <v>426</v>
      </c>
      <c r="O355" s="68" t="s">
        <v>1232</v>
      </c>
      <c r="P355" s="68">
        <v>4501169484</v>
      </c>
      <c r="Q355" s="303">
        <f t="shared" si="41"/>
        <v>1</v>
      </c>
      <c r="R355" s="303">
        <f t="shared" si="42"/>
        <v>375</v>
      </c>
      <c r="S355" s="68">
        <v>0</v>
      </c>
      <c r="T355" s="68">
        <v>0</v>
      </c>
      <c r="U355" s="68">
        <v>1</v>
      </c>
      <c r="V355" s="38">
        <v>375</v>
      </c>
      <c r="W355" s="38">
        <v>260</v>
      </c>
      <c r="X355" s="68">
        <v>202</v>
      </c>
      <c r="Y355" s="68">
        <v>117</v>
      </c>
      <c r="Z355" s="68">
        <v>80</v>
      </c>
      <c r="AA355" s="68">
        <v>1</v>
      </c>
      <c r="AB355" s="300">
        <f t="shared" si="43"/>
        <v>315.12</v>
      </c>
      <c r="AC355" s="300">
        <f t="shared" si="44"/>
        <v>1.8983132530120481</v>
      </c>
      <c r="AD355" s="68">
        <v>2096.66</v>
      </c>
      <c r="AE355" s="68" t="s">
        <v>109</v>
      </c>
      <c r="AF355" s="68" t="s">
        <v>317</v>
      </c>
      <c r="AG355" s="68" t="s">
        <v>317</v>
      </c>
      <c r="AH355" s="68" t="s">
        <v>1233</v>
      </c>
      <c r="AI355" s="309"/>
      <c r="AJ355" s="309"/>
      <c r="AK355" s="68" t="s">
        <v>37</v>
      </c>
      <c r="AL355" s="68" t="s">
        <v>54</v>
      </c>
      <c r="AM355" s="299">
        <f t="shared" ca="1" si="40"/>
        <v>1.8993055555547471</v>
      </c>
      <c r="AN355" s="75"/>
      <c r="AO355" s="61" t="s">
        <v>120</v>
      </c>
      <c r="AP355" s="62" t="s">
        <v>1231</v>
      </c>
      <c r="AQ355" s="61" t="s">
        <v>1396</v>
      </c>
      <c r="AR355" s="64">
        <v>44875.697916666664</v>
      </c>
      <c r="AS355" s="61" t="s">
        <v>126</v>
      </c>
      <c r="AT355" s="61" t="s">
        <v>225</v>
      </c>
      <c r="AU355" s="63">
        <v>0.69791666666666663</v>
      </c>
      <c r="AV355" s="61">
        <v>3</v>
      </c>
      <c r="AW355" s="61" t="s">
        <v>66</v>
      </c>
      <c r="AX355" s="76"/>
      <c r="AY355" s="76"/>
      <c r="AZ355" s="76"/>
      <c r="BA355" s="76"/>
      <c r="BB355" s="74"/>
    </row>
    <row r="356" spans="1:54" ht="15.75" thickBot="1" x14ac:dyDescent="0.3">
      <c r="A356" s="73">
        <v>178</v>
      </c>
      <c r="B356" s="72">
        <v>44874.416666666664</v>
      </c>
      <c r="C356" s="67">
        <v>0.41666666666666669</v>
      </c>
      <c r="D356" s="67">
        <v>0.4236111111111111</v>
      </c>
      <c r="E356" s="67">
        <v>0.43402777777777773</v>
      </c>
      <c r="F356" s="68" t="s">
        <v>171</v>
      </c>
      <c r="G356" s="68" t="s">
        <v>117</v>
      </c>
      <c r="H356" s="71" t="s">
        <v>91</v>
      </c>
      <c r="I356" s="71" t="s">
        <v>318</v>
      </c>
      <c r="J356" s="71" t="s">
        <v>41</v>
      </c>
      <c r="K356" s="71" t="s">
        <v>180</v>
      </c>
      <c r="L356" s="47" t="s">
        <v>206</v>
      </c>
      <c r="M356" s="68" t="s">
        <v>1250</v>
      </c>
      <c r="N356" s="68" t="s">
        <v>44</v>
      </c>
      <c r="O356" s="68">
        <v>1054968961</v>
      </c>
      <c r="P356" s="68">
        <v>1213930582</v>
      </c>
      <c r="Q356" s="303">
        <f t="shared" si="41"/>
        <v>5</v>
      </c>
      <c r="R356" s="303">
        <f t="shared" si="42"/>
        <v>1056</v>
      </c>
      <c r="S356" s="68">
        <v>0</v>
      </c>
      <c r="T356" s="68">
        <v>0</v>
      </c>
      <c r="U356" s="68">
        <v>5</v>
      </c>
      <c r="V356" s="68">
        <v>1056</v>
      </c>
      <c r="W356" s="68">
        <v>1070</v>
      </c>
      <c r="X356" s="68">
        <v>120</v>
      </c>
      <c r="Y356" s="68">
        <v>80</v>
      </c>
      <c r="Z356" s="68">
        <v>78</v>
      </c>
      <c r="AA356" s="68">
        <v>5</v>
      </c>
      <c r="AB356" s="300">
        <f t="shared" si="43"/>
        <v>624</v>
      </c>
      <c r="AC356" s="300">
        <f t="shared" si="44"/>
        <v>3.7590361445783134</v>
      </c>
      <c r="AD356" s="68">
        <v>47106.52</v>
      </c>
      <c r="AE356" s="68" t="s">
        <v>109</v>
      </c>
      <c r="AF356" s="68" t="s">
        <v>317</v>
      </c>
      <c r="AG356" s="68" t="s">
        <v>317</v>
      </c>
      <c r="AH356" s="68" t="s">
        <v>1251</v>
      </c>
      <c r="AI356" s="309"/>
      <c r="AJ356" s="309"/>
      <c r="AK356" s="68" t="s">
        <v>37</v>
      </c>
      <c r="AL356" s="68" t="s">
        <v>39</v>
      </c>
      <c r="AM356" s="299">
        <f t="shared" ca="1" si="40"/>
        <v>0.22916666667151731</v>
      </c>
      <c r="AN356" s="75"/>
      <c r="AO356" s="61" t="s">
        <v>323</v>
      </c>
      <c r="AP356" s="61" t="s">
        <v>1250</v>
      </c>
      <c r="AQ356" s="78" t="s">
        <v>1328</v>
      </c>
      <c r="AR356" s="64">
        <v>44874.645833333336</v>
      </c>
      <c r="AS356" s="61" t="s">
        <v>136</v>
      </c>
      <c r="AT356" s="61" t="s">
        <v>225</v>
      </c>
      <c r="AU356" s="63">
        <v>0.64583333333333337</v>
      </c>
      <c r="AV356" s="61">
        <v>2</v>
      </c>
      <c r="AW356" s="61" t="s">
        <v>66</v>
      </c>
      <c r="AX356" s="76"/>
      <c r="AY356" s="76"/>
      <c r="AZ356" s="76"/>
      <c r="BA356" s="76"/>
      <c r="BB356" s="74"/>
    </row>
    <row r="357" spans="1:54" ht="15.75" thickBot="1" x14ac:dyDescent="0.3">
      <c r="A357" s="73">
        <v>179</v>
      </c>
      <c r="B357" s="72">
        <v>44874.416666666664</v>
      </c>
      <c r="C357" s="67">
        <v>0.41666666666666669</v>
      </c>
      <c r="D357" s="67">
        <v>0.4236111111111111</v>
      </c>
      <c r="E357" s="67">
        <v>0.43402777777777773</v>
      </c>
      <c r="F357" s="68" t="s">
        <v>171</v>
      </c>
      <c r="G357" s="68" t="s">
        <v>117</v>
      </c>
      <c r="H357" s="66" t="s">
        <v>91</v>
      </c>
      <c r="I357" s="66" t="s">
        <v>318</v>
      </c>
      <c r="J357" s="66" t="s">
        <v>41</v>
      </c>
      <c r="K357" s="66" t="s">
        <v>180</v>
      </c>
      <c r="L357" s="70" t="s">
        <v>206</v>
      </c>
      <c r="M357" s="68" t="s">
        <v>1250</v>
      </c>
      <c r="N357" s="68" t="s">
        <v>44</v>
      </c>
      <c r="O357" s="68">
        <v>1054968958</v>
      </c>
      <c r="P357" s="68">
        <v>1213929796</v>
      </c>
      <c r="Q357" s="303">
        <f t="shared" si="41"/>
        <v>5</v>
      </c>
      <c r="R357" s="303">
        <f t="shared" si="42"/>
        <v>1068</v>
      </c>
      <c r="S357" s="68">
        <v>0</v>
      </c>
      <c r="T357" s="68">
        <v>0</v>
      </c>
      <c r="U357" s="68">
        <v>5</v>
      </c>
      <c r="V357" s="68">
        <v>1068</v>
      </c>
      <c r="W357" s="68">
        <v>1061</v>
      </c>
      <c r="X357" s="68">
        <v>120</v>
      </c>
      <c r="Y357" s="68">
        <v>80</v>
      </c>
      <c r="Z357" s="68">
        <v>78</v>
      </c>
      <c r="AA357" s="68">
        <v>5</v>
      </c>
      <c r="AB357" s="300">
        <f t="shared" si="43"/>
        <v>624</v>
      </c>
      <c r="AC357" s="300">
        <f t="shared" si="44"/>
        <v>3.7590361445783134</v>
      </c>
      <c r="AD357" s="68">
        <v>47367.86</v>
      </c>
      <c r="AE357" s="68" t="s">
        <v>109</v>
      </c>
      <c r="AF357" s="68" t="s">
        <v>317</v>
      </c>
      <c r="AG357" s="68" t="s">
        <v>317</v>
      </c>
      <c r="AH357" s="68" t="s">
        <v>1252</v>
      </c>
      <c r="AI357" s="309"/>
      <c r="AJ357" s="309"/>
      <c r="AK357" s="68" t="s">
        <v>37</v>
      </c>
      <c r="AL357" s="68" t="s">
        <v>39</v>
      </c>
      <c r="AM357" s="299">
        <f t="shared" ca="1" si="40"/>
        <v>0.22916666667151731</v>
      </c>
      <c r="AN357" s="75"/>
      <c r="AO357" s="61" t="s">
        <v>323</v>
      </c>
      <c r="AP357" s="61" t="s">
        <v>1250</v>
      </c>
      <c r="AQ357" s="78" t="s">
        <v>1328</v>
      </c>
      <c r="AR357" s="64">
        <v>44874.645833333336</v>
      </c>
      <c r="AS357" s="61" t="s">
        <v>136</v>
      </c>
      <c r="AT357" s="61" t="s">
        <v>225</v>
      </c>
      <c r="AU357" s="63">
        <v>0.64583333333333337</v>
      </c>
      <c r="AV357" s="61">
        <v>2</v>
      </c>
      <c r="AW357" s="61" t="s">
        <v>66</v>
      </c>
      <c r="AX357" s="76"/>
      <c r="AY357" s="76"/>
      <c r="AZ357" s="76"/>
      <c r="BA357" s="76"/>
      <c r="BB357" s="74"/>
    </row>
    <row r="358" spans="1:54" ht="15.75" thickBot="1" x14ac:dyDescent="0.3">
      <c r="A358" s="73">
        <v>180</v>
      </c>
      <c r="B358" s="72">
        <v>44874.423611111109</v>
      </c>
      <c r="C358" s="67">
        <v>0.42708333333333331</v>
      </c>
      <c r="D358" s="67">
        <v>0.43055555555555558</v>
      </c>
      <c r="E358" s="67">
        <v>0.4826388888888889</v>
      </c>
      <c r="F358" s="68" t="s">
        <v>170</v>
      </c>
      <c r="G358" s="68" t="s">
        <v>1253</v>
      </c>
      <c r="H358" s="66" t="s">
        <v>332</v>
      </c>
      <c r="I358" s="66" t="s">
        <v>429</v>
      </c>
      <c r="J358" s="66" t="s">
        <v>37</v>
      </c>
      <c r="K358" s="66" t="s">
        <v>63</v>
      </c>
      <c r="L358" s="70" t="s">
        <v>206</v>
      </c>
      <c r="M358" s="68" t="s">
        <v>1254</v>
      </c>
      <c r="N358" s="68" t="s">
        <v>42</v>
      </c>
      <c r="O358" s="68">
        <v>2053092179</v>
      </c>
      <c r="P358" s="68" t="s">
        <v>1255</v>
      </c>
      <c r="Q358" s="303">
        <f t="shared" si="41"/>
        <v>2</v>
      </c>
      <c r="R358" s="303">
        <f t="shared" si="42"/>
        <v>56</v>
      </c>
      <c r="S358" s="68">
        <v>0</v>
      </c>
      <c r="T358" s="68">
        <v>0</v>
      </c>
      <c r="U358" s="68">
        <v>2</v>
      </c>
      <c r="V358" s="68">
        <v>56</v>
      </c>
      <c r="W358" s="68">
        <v>55</v>
      </c>
      <c r="X358" s="68">
        <v>61</v>
      </c>
      <c r="Y358" s="68">
        <v>46</v>
      </c>
      <c r="Z358" s="68">
        <v>51</v>
      </c>
      <c r="AA358" s="68">
        <v>1</v>
      </c>
      <c r="AB358" s="300">
        <f t="shared" si="43"/>
        <v>23.850999999999999</v>
      </c>
      <c r="AC358" s="300">
        <f t="shared" si="44"/>
        <v>0.14368072289156625</v>
      </c>
      <c r="AD358" s="68">
        <v>1006.65</v>
      </c>
      <c r="AE358" s="68" t="s">
        <v>109</v>
      </c>
      <c r="AF358" s="68" t="s">
        <v>317</v>
      </c>
      <c r="AG358" s="68" t="s">
        <v>317</v>
      </c>
      <c r="AH358" s="68" t="s">
        <v>1256</v>
      </c>
      <c r="AI358" s="309"/>
      <c r="AJ358" s="309"/>
      <c r="AK358" s="68" t="s">
        <v>41</v>
      </c>
      <c r="AL358" s="68" t="s">
        <v>52</v>
      </c>
      <c r="AM358" s="299">
        <f t="shared" ca="1" si="40"/>
        <v>1.2743055555547471</v>
      </c>
      <c r="AN358" s="75"/>
      <c r="AO358" s="61" t="s">
        <v>120</v>
      </c>
      <c r="AP358" s="62" t="s">
        <v>1397</v>
      </c>
      <c r="AQ358" s="61" t="s">
        <v>1396</v>
      </c>
      <c r="AR358" s="64">
        <v>44875.697916666664</v>
      </c>
      <c r="AS358" s="61" t="s">
        <v>126</v>
      </c>
      <c r="AT358" s="61" t="s">
        <v>225</v>
      </c>
      <c r="AU358" s="63">
        <v>0.69791666666666663</v>
      </c>
      <c r="AV358" s="61">
        <v>3</v>
      </c>
      <c r="AW358" s="61" t="s">
        <v>66</v>
      </c>
      <c r="AX358" s="76"/>
      <c r="AY358" s="76"/>
      <c r="AZ358" s="76"/>
      <c r="BA358" s="76"/>
      <c r="BB358" s="74"/>
    </row>
    <row r="359" spans="1:54" ht="15.75" thickBot="1" x14ac:dyDescent="0.3">
      <c r="A359" s="73">
        <v>180</v>
      </c>
      <c r="B359" s="72">
        <v>44874.423611111109</v>
      </c>
      <c r="C359" s="67">
        <v>0.42708333333333331</v>
      </c>
      <c r="D359" s="67">
        <v>0.43055555555555558</v>
      </c>
      <c r="E359" s="67">
        <v>0.4826388888888889</v>
      </c>
      <c r="F359" s="68" t="s">
        <v>170</v>
      </c>
      <c r="G359" s="68" t="s">
        <v>1253</v>
      </c>
      <c r="H359" s="66" t="s">
        <v>332</v>
      </c>
      <c r="I359" s="66" t="s">
        <v>429</v>
      </c>
      <c r="J359" s="66" t="s">
        <v>37</v>
      </c>
      <c r="K359" s="66" t="s">
        <v>63</v>
      </c>
      <c r="L359" s="70" t="s">
        <v>206</v>
      </c>
      <c r="M359" s="68" t="s">
        <v>1254</v>
      </c>
      <c r="N359" s="68" t="s">
        <v>42</v>
      </c>
      <c r="O359" s="68">
        <v>2053092179</v>
      </c>
      <c r="P359" s="68" t="s">
        <v>1255</v>
      </c>
      <c r="Q359" s="303">
        <f t="shared" si="41"/>
        <v>0</v>
      </c>
      <c r="R359" s="303">
        <f t="shared" si="42"/>
        <v>0</v>
      </c>
      <c r="S359" s="68">
        <v>0</v>
      </c>
      <c r="T359" s="68">
        <v>0</v>
      </c>
      <c r="U359" s="68">
        <v>0</v>
      </c>
      <c r="V359" s="68">
        <v>0</v>
      </c>
      <c r="W359" s="68">
        <v>0</v>
      </c>
      <c r="X359" s="68">
        <v>51</v>
      </c>
      <c r="Y359" s="68">
        <v>40</v>
      </c>
      <c r="Z359" s="68">
        <v>41</v>
      </c>
      <c r="AA359" s="68">
        <v>1</v>
      </c>
      <c r="AB359" s="300">
        <f t="shared" si="43"/>
        <v>13.94</v>
      </c>
      <c r="AC359" s="300">
        <f t="shared" si="44"/>
        <v>8.3975903614457822E-2</v>
      </c>
      <c r="AD359" s="68">
        <v>0</v>
      </c>
      <c r="AE359" s="68">
        <v>0</v>
      </c>
      <c r="AF359" s="68" t="s">
        <v>317</v>
      </c>
      <c r="AG359" s="68" t="s">
        <v>317</v>
      </c>
      <c r="AH359" s="68" t="s">
        <v>1256</v>
      </c>
      <c r="AI359" s="309"/>
      <c r="AJ359" s="309"/>
      <c r="AK359" s="68" t="s">
        <v>41</v>
      </c>
      <c r="AL359" s="68" t="s">
        <v>52</v>
      </c>
      <c r="AM359" s="299">
        <f t="shared" ca="1" si="40"/>
        <v>1.2743055555547471</v>
      </c>
      <c r="AN359" s="75"/>
      <c r="AO359" s="61" t="s">
        <v>120</v>
      </c>
      <c r="AP359" s="62" t="s">
        <v>1397</v>
      </c>
      <c r="AQ359" s="61" t="s">
        <v>1396</v>
      </c>
      <c r="AR359" s="64">
        <v>44875.697916666664</v>
      </c>
      <c r="AS359" s="61" t="s">
        <v>126</v>
      </c>
      <c r="AT359" s="61" t="s">
        <v>225</v>
      </c>
      <c r="AU359" s="63">
        <v>0.69791666666666663</v>
      </c>
      <c r="AV359" s="61">
        <v>3</v>
      </c>
      <c r="AW359" s="61" t="s">
        <v>66</v>
      </c>
      <c r="AX359" s="76"/>
      <c r="AY359" s="76"/>
      <c r="AZ359" s="76"/>
      <c r="BA359" s="76"/>
      <c r="BB359" s="74"/>
    </row>
    <row r="360" spans="1:54" ht="15.75" thickBot="1" x14ac:dyDescent="0.3">
      <c r="A360" s="73">
        <v>181</v>
      </c>
      <c r="B360" s="72">
        <v>44874.423611111109</v>
      </c>
      <c r="C360" s="67">
        <v>0.42708333333333331</v>
      </c>
      <c r="D360" s="67">
        <v>0.43055555555555558</v>
      </c>
      <c r="E360" s="67">
        <v>0.4826388888888889</v>
      </c>
      <c r="F360" s="68" t="s">
        <v>170</v>
      </c>
      <c r="G360" s="68" t="s">
        <v>1253</v>
      </c>
      <c r="H360" s="66" t="s">
        <v>332</v>
      </c>
      <c r="I360" s="66" t="s">
        <v>429</v>
      </c>
      <c r="J360" s="66" t="s">
        <v>37</v>
      </c>
      <c r="K360" s="66" t="s">
        <v>63</v>
      </c>
      <c r="L360" s="70" t="s">
        <v>206</v>
      </c>
      <c r="M360" s="68" t="s">
        <v>1254</v>
      </c>
      <c r="N360" s="68" t="s">
        <v>42</v>
      </c>
      <c r="O360" s="68">
        <v>2053092180</v>
      </c>
      <c r="P360" s="68" t="s">
        <v>1257</v>
      </c>
      <c r="Q360" s="303">
        <f t="shared" si="41"/>
        <v>3</v>
      </c>
      <c r="R360" s="303">
        <f t="shared" si="42"/>
        <v>64</v>
      </c>
      <c r="S360" s="68">
        <v>0</v>
      </c>
      <c r="T360" s="68">
        <v>0</v>
      </c>
      <c r="U360" s="68">
        <v>3</v>
      </c>
      <c r="V360" s="68">
        <v>64</v>
      </c>
      <c r="W360" s="68">
        <v>61</v>
      </c>
      <c r="X360" s="68">
        <v>31</v>
      </c>
      <c r="Y360" s="68">
        <v>30</v>
      </c>
      <c r="Z360" s="68">
        <v>33</v>
      </c>
      <c r="AA360" s="68">
        <v>3</v>
      </c>
      <c r="AB360" s="300">
        <f t="shared" si="43"/>
        <v>15.345000000000001</v>
      </c>
      <c r="AC360" s="300">
        <f t="shared" si="44"/>
        <v>9.2439759036144584E-2</v>
      </c>
      <c r="AD360" s="68">
        <v>400.83</v>
      </c>
      <c r="AE360" s="68" t="s">
        <v>109</v>
      </c>
      <c r="AF360" s="68" t="s">
        <v>317</v>
      </c>
      <c r="AG360" s="68" t="s">
        <v>317</v>
      </c>
      <c r="AH360" s="68" t="s">
        <v>1258</v>
      </c>
      <c r="AI360" s="309"/>
      <c r="AJ360" s="309"/>
      <c r="AK360" s="68" t="s">
        <v>41</v>
      </c>
      <c r="AL360" s="68" t="s">
        <v>52</v>
      </c>
      <c r="AM360" s="299">
        <f t="shared" ref="AM360:AM423" ca="1" si="45">IF(AP360="",NOW()-B360,AR360-B360)</f>
        <v>1.2743055555547471</v>
      </c>
      <c r="AN360" s="75"/>
      <c r="AO360" s="61" t="s">
        <v>120</v>
      </c>
      <c r="AP360" s="62" t="s">
        <v>1397</v>
      </c>
      <c r="AQ360" s="61" t="s">
        <v>1396</v>
      </c>
      <c r="AR360" s="64">
        <v>44875.697916666664</v>
      </c>
      <c r="AS360" s="61" t="s">
        <v>126</v>
      </c>
      <c r="AT360" s="61" t="s">
        <v>225</v>
      </c>
      <c r="AU360" s="63">
        <v>0.69791666666666663</v>
      </c>
      <c r="AV360" s="61">
        <v>3</v>
      </c>
      <c r="AW360" s="61" t="s">
        <v>66</v>
      </c>
      <c r="AX360" s="76"/>
      <c r="AY360" s="76"/>
      <c r="AZ360" s="76"/>
      <c r="BA360" s="76"/>
      <c r="BB360" s="74"/>
    </row>
    <row r="361" spans="1:54" ht="15.75" thickBot="1" x14ac:dyDescent="0.3">
      <c r="A361" s="73">
        <v>182</v>
      </c>
      <c r="B361" s="72">
        <v>44874.430555555555</v>
      </c>
      <c r="C361" s="67">
        <v>0.43055555555555558</v>
      </c>
      <c r="D361" s="67">
        <v>0.4375</v>
      </c>
      <c r="E361" s="67">
        <v>0.44791666666666669</v>
      </c>
      <c r="F361" s="68" t="s">
        <v>171</v>
      </c>
      <c r="G361" s="68" t="s">
        <v>1259</v>
      </c>
      <c r="H361" s="66" t="s">
        <v>91</v>
      </c>
      <c r="I361" s="66" t="s">
        <v>91</v>
      </c>
      <c r="J361" s="66" t="s">
        <v>41</v>
      </c>
      <c r="K361" s="66" t="s">
        <v>180</v>
      </c>
      <c r="L361" s="70" t="s">
        <v>206</v>
      </c>
      <c r="M361" s="68" t="s">
        <v>1260</v>
      </c>
      <c r="N361" s="68" t="s">
        <v>44</v>
      </c>
      <c r="O361" s="68">
        <v>1054968821</v>
      </c>
      <c r="P361" s="68">
        <v>1213898062</v>
      </c>
      <c r="Q361" s="303">
        <f t="shared" ref="Q361:Q424" si="46">S361+U361</f>
        <v>100</v>
      </c>
      <c r="R361" s="303">
        <f t="shared" ref="R361:R424" si="47">T361+V361</f>
        <v>0</v>
      </c>
      <c r="S361" s="68">
        <v>0</v>
      </c>
      <c r="T361" s="68">
        <v>0</v>
      </c>
      <c r="U361" s="68">
        <v>100</v>
      </c>
      <c r="V361" s="68">
        <v>0</v>
      </c>
      <c r="W361" s="68">
        <v>6150</v>
      </c>
      <c r="X361" s="68">
        <v>118</v>
      </c>
      <c r="Y361" s="68">
        <v>66</v>
      </c>
      <c r="Z361" s="68">
        <v>37</v>
      </c>
      <c r="AA361" s="68">
        <v>100</v>
      </c>
      <c r="AB361" s="300">
        <f t="shared" ref="AB361:AB424" si="48">X361*Y361*Z361*AA361/6000</f>
        <v>4802.6000000000004</v>
      </c>
      <c r="AC361" s="300">
        <f t="shared" ref="AC361:AC424" si="49">AB361/166</f>
        <v>28.931325301204822</v>
      </c>
      <c r="AD361" s="68">
        <v>548657.64</v>
      </c>
      <c r="AE361" s="68" t="s">
        <v>109</v>
      </c>
      <c r="AF361" s="68" t="s">
        <v>317</v>
      </c>
      <c r="AG361" s="68" t="s">
        <v>317</v>
      </c>
      <c r="AH361" s="68" t="s">
        <v>1261</v>
      </c>
      <c r="AI361" s="309"/>
      <c r="AJ361" s="309"/>
      <c r="AK361" s="68" t="s">
        <v>41</v>
      </c>
      <c r="AL361" s="68" t="s">
        <v>58</v>
      </c>
      <c r="AM361" s="299">
        <f t="shared" ca="1" si="45"/>
        <v>0.11805555555474712</v>
      </c>
      <c r="AN361" s="75"/>
      <c r="AO361" s="61" t="s">
        <v>323</v>
      </c>
      <c r="AP361" s="62" t="s">
        <v>1260</v>
      </c>
      <c r="AQ361" s="78" t="s">
        <v>1323</v>
      </c>
      <c r="AR361" s="64">
        <v>44874.548611111109</v>
      </c>
      <c r="AS361" s="63" t="s">
        <v>1324</v>
      </c>
      <c r="AT361" s="61" t="s">
        <v>65</v>
      </c>
      <c r="AU361" s="63">
        <v>0.54861111111111105</v>
      </c>
      <c r="AV361" s="61">
        <v>1</v>
      </c>
      <c r="AW361" s="61" t="s">
        <v>66</v>
      </c>
      <c r="AX361" s="76"/>
      <c r="AY361" s="76"/>
      <c r="AZ361" s="76"/>
      <c r="BA361" s="76"/>
      <c r="BB361" s="74"/>
    </row>
    <row r="362" spans="1:54" ht="15.75" thickBot="1" x14ac:dyDescent="0.3">
      <c r="A362" s="73">
        <v>183</v>
      </c>
      <c r="B362" s="72">
        <v>44874.513888888891</v>
      </c>
      <c r="C362" s="67">
        <v>0.52083333333333337</v>
      </c>
      <c r="D362" s="67">
        <v>0.52777777777777779</v>
      </c>
      <c r="E362" s="67">
        <v>0.53472222222222221</v>
      </c>
      <c r="F362" s="68" t="s">
        <v>169</v>
      </c>
      <c r="G362" s="68" t="s">
        <v>1262</v>
      </c>
      <c r="H362" s="66" t="s">
        <v>1263</v>
      </c>
      <c r="I362" s="66" t="s">
        <v>1264</v>
      </c>
      <c r="J362" s="66" t="s">
        <v>37</v>
      </c>
      <c r="K362" s="66" t="s">
        <v>61</v>
      </c>
      <c r="L362" s="66" t="s">
        <v>1265</v>
      </c>
      <c r="M362" s="68" t="s">
        <v>1266</v>
      </c>
      <c r="N362" s="68" t="s">
        <v>42</v>
      </c>
      <c r="O362" s="68" t="s">
        <v>1267</v>
      </c>
      <c r="P362" s="68" t="s">
        <v>1268</v>
      </c>
      <c r="Q362" s="303">
        <f t="shared" si="46"/>
        <v>20</v>
      </c>
      <c r="R362" s="303">
        <f t="shared" si="47"/>
        <v>372</v>
      </c>
      <c r="S362" s="68">
        <v>20</v>
      </c>
      <c r="T362" s="68">
        <v>372</v>
      </c>
      <c r="U362" s="68">
        <v>0</v>
      </c>
      <c r="V362" s="68">
        <v>0</v>
      </c>
      <c r="W362" s="68">
        <v>368</v>
      </c>
      <c r="X362" s="68">
        <v>61</v>
      </c>
      <c r="Y362" s="68">
        <v>38</v>
      </c>
      <c r="Z362" s="68">
        <v>35</v>
      </c>
      <c r="AA362" s="68">
        <v>20</v>
      </c>
      <c r="AB362" s="300">
        <f t="shared" si="48"/>
        <v>270.43333333333334</v>
      </c>
      <c r="AC362" s="300">
        <f t="shared" si="49"/>
        <v>1.6291164658634538</v>
      </c>
      <c r="AD362" s="68">
        <v>9344.2999999999993</v>
      </c>
      <c r="AE362" s="68" t="s">
        <v>109</v>
      </c>
      <c r="AF362" s="68">
        <v>5322053</v>
      </c>
      <c r="AG362" s="68" t="s">
        <v>1269</v>
      </c>
      <c r="AH362" s="68" t="s">
        <v>1270</v>
      </c>
      <c r="AI362" s="309"/>
      <c r="AJ362" s="309"/>
      <c r="AK362" s="68" t="s">
        <v>48</v>
      </c>
      <c r="AL362" s="68" t="s">
        <v>50</v>
      </c>
      <c r="AM362" s="299">
        <f t="shared" ca="1" si="45"/>
        <v>0.96180555555474712</v>
      </c>
      <c r="AN362" s="75"/>
      <c r="AO362" s="61" t="s">
        <v>137</v>
      </c>
      <c r="AP362" s="62" t="s">
        <v>1266</v>
      </c>
      <c r="AQ362" s="61" t="s">
        <v>1387</v>
      </c>
      <c r="AR362" s="64">
        <v>44875.475694444445</v>
      </c>
      <c r="AS362" s="61" t="s">
        <v>126</v>
      </c>
      <c r="AT362" s="61" t="s">
        <v>225</v>
      </c>
      <c r="AU362" s="63">
        <v>0.47569444444444442</v>
      </c>
      <c r="AV362" s="61">
        <v>1</v>
      </c>
      <c r="AW362" s="61" t="s">
        <v>66</v>
      </c>
      <c r="AX362" s="76"/>
      <c r="AY362" s="76"/>
      <c r="AZ362" s="76"/>
      <c r="BA362" s="76"/>
      <c r="BB362" s="74"/>
    </row>
    <row r="363" spans="1:54" ht="15.75" thickBot="1" x14ac:dyDescent="0.3">
      <c r="A363" s="73">
        <v>184</v>
      </c>
      <c r="B363" s="72">
        <v>44874.604166666664</v>
      </c>
      <c r="C363" s="67">
        <v>0.60416666666666663</v>
      </c>
      <c r="D363" s="67">
        <v>0.61111111111111105</v>
      </c>
      <c r="E363" s="67">
        <v>0.62152777777777779</v>
      </c>
      <c r="F363" s="68" t="s">
        <v>169</v>
      </c>
      <c r="G363" s="68" t="s">
        <v>1271</v>
      </c>
      <c r="H363" s="66" t="s">
        <v>184</v>
      </c>
      <c r="I363" s="66" t="s">
        <v>311</v>
      </c>
      <c r="J363" s="66" t="s">
        <v>41</v>
      </c>
      <c r="K363" s="66" t="s">
        <v>82</v>
      </c>
      <c r="L363" s="66" t="s">
        <v>220</v>
      </c>
      <c r="M363" s="68" t="s">
        <v>1272</v>
      </c>
      <c r="N363" s="68" t="s">
        <v>74</v>
      </c>
      <c r="O363" s="68" t="s">
        <v>1273</v>
      </c>
      <c r="P363" s="68">
        <v>4506353378</v>
      </c>
      <c r="Q363" s="303">
        <f t="shared" si="46"/>
        <v>3</v>
      </c>
      <c r="R363" s="303">
        <f t="shared" si="47"/>
        <v>36</v>
      </c>
      <c r="S363" s="68">
        <v>3</v>
      </c>
      <c r="T363" s="68">
        <v>36</v>
      </c>
      <c r="U363" s="68">
        <v>0</v>
      </c>
      <c r="V363" s="68">
        <v>0</v>
      </c>
      <c r="W363" s="68">
        <v>39.32</v>
      </c>
      <c r="X363" s="68">
        <v>61</v>
      </c>
      <c r="Y363" s="68">
        <v>50</v>
      </c>
      <c r="Z363" s="68">
        <v>46</v>
      </c>
      <c r="AA363" s="68">
        <v>2</v>
      </c>
      <c r="AB363" s="300">
        <f t="shared" si="48"/>
        <v>46.766666666666666</v>
      </c>
      <c r="AC363" s="300">
        <f t="shared" si="49"/>
        <v>0.28172690763052211</v>
      </c>
      <c r="AD363" s="68">
        <v>1081.5999999999999</v>
      </c>
      <c r="AE363" s="68" t="s">
        <v>109</v>
      </c>
      <c r="AF363" s="68" t="s">
        <v>317</v>
      </c>
      <c r="AG363" s="68" t="s">
        <v>317</v>
      </c>
      <c r="AH363" s="68" t="s">
        <v>1274</v>
      </c>
      <c r="AI363" s="309"/>
      <c r="AJ363" s="309"/>
      <c r="AK363" s="68" t="s">
        <v>48</v>
      </c>
      <c r="AL363" s="68" t="s">
        <v>56</v>
      </c>
      <c r="AM363" s="299">
        <f t="shared" ca="1" si="45"/>
        <v>1.9479166666715173</v>
      </c>
      <c r="AN363" s="75"/>
      <c r="AO363" s="61" t="s">
        <v>84</v>
      </c>
      <c r="AP363" s="62" t="s">
        <v>1272</v>
      </c>
      <c r="AQ363" s="61" t="s">
        <v>1507</v>
      </c>
      <c r="AR363" s="64">
        <v>44876.552083333336</v>
      </c>
      <c r="AS363" s="61" t="s">
        <v>117</v>
      </c>
      <c r="AT363" s="61" t="s">
        <v>225</v>
      </c>
      <c r="AU363" s="59">
        <v>0.55208333333333337</v>
      </c>
      <c r="AV363" s="61">
        <v>1</v>
      </c>
      <c r="AW363" s="61" t="s">
        <v>66</v>
      </c>
      <c r="AX363" s="76"/>
      <c r="AY363" s="76"/>
      <c r="AZ363" s="76"/>
      <c r="BA363" s="76"/>
      <c r="BB363" s="74"/>
    </row>
    <row r="364" spans="1:54" ht="15.75" thickBot="1" x14ac:dyDescent="0.3">
      <c r="A364" s="73">
        <v>184</v>
      </c>
      <c r="B364" s="72">
        <v>44874.604166666664</v>
      </c>
      <c r="C364" s="67">
        <v>0.60416666666666663</v>
      </c>
      <c r="D364" s="67">
        <v>0.61111111111111105</v>
      </c>
      <c r="E364" s="67">
        <v>0.62152777777777779</v>
      </c>
      <c r="F364" s="68" t="s">
        <v>169</v>
      </c>
      <c r="G364" s="68" t="s">
        <v>1271</v>
      </c>
      <c r="H364" s="66" t="s">
        <v>184</v>
      </c>
      <c r="I364" s="66" t="s">
        <v>311</v>
      </c>
      <c r="J364" s="66" t="s">
        <v>41</v>
      </c>
      <c r="K364" s="66" t="s">
        <v>82</v>
      </c>
      <c r="L364" s="66" t="s">
        <v>220</v>
      </c>
      <c r="M364" s="68" t="s">
        <v>1272</v>
      </c>
      <c r="N364" s="68" t="s">
        <v>74</v>
      </c>
      <c r="O364" s="68" t="s">
        <v>1273</v>
      </c>
      <c r="P364" s="68">
        <v>4506353378</v>
      </c>
      <c r="Q364" s="303">
        <f t="shared" si="46"/>
        <v>0</v>
      </c>
      <c r="R364" s="303">
        <f t="shared" si="47"/>
        <v>0</v>
      </c>
      <c r="S364" s="68">
        <v>0</v>
      </c>
      <c r="T364" s="68">
        <v>0</v>
      </c>
      <c r="U364" s="68">
        <v>0</v>
      </c>
      <c r="V364" s="68">
        <v>0</v>
      </c>
      <c r="W364" s="68">
        <v>0</v>
      </c>
      <c r="X364" s="68">
        <v>47</v>
      </c>
      <c r="Y364" s="68">
        <v>44</v>
      </c>
      <c r="Z364" s="68">
        <v>43</v>
      </c>
      <c r="AA364" s="68">
        <v>1</v>
      </c>
      <c r="AB364" s="300">
        <f t="shared" si="48"/>
        <v>14.820666666666666</v>
      </c>
      <c r="AC364" s="300">
        <f t="shared" si="49"/>
        <v>8.928112449799197E-2</v>
      </c>
      <c r="AD364" s="68">
        <v>0</v>
      </c>
      <c r="AE364" s="68">
        <v>0</v>
      </c>
      <c r="AF364" s="68" t="s">
        <v>317</v>
      </c>
      <c r="AG364" s="68" t="s">
        <v>317</v>
      </c>
      <c r="AH364" s="68" t="s">
        <v>1274</v>
      </c>
      <c r="AI364" s="309"/>
      <c r="AJ364" s="309"/>
      <c r="AK364" s="68" t="s">
        <v>48</v>
      </c>
      <c r="AL364" s="68" t="s">
        <v>56</v>
      </c>
      <c r="AM364" s="299">
        <f t="shared" ca="1" si="45"/>
        <v>1.9479166666715173</v>
      </c>
      <c r="AN364" s="75"/>
      <c r="AO364" s="61" t="s">
        <v>84</v>
      </c>
      <c r="AP364" s="62" t="s">
        <v>1272</v>
      </c>
      <c r="AQ364" s="61" t="s">
        <v>1507</v>
      </c>
      <c r="AR364" s="64">
        <v>44876.552083333336</v>
      </c>
      <c r="AS364" s="61" t="s">
        <v>117</v>
      </c>
      <c r="AT364" s="61" t="s">
        <v>225</v>
      </c>
      <c r="AU364" s="59">
        <v>0.55208333333333337</v>
      </c>
      <c r="AV364" s="61">
        <v>1</v>
      </c>
      <c r="AW364" s="61" t="s">
        <v>66</v>
      </c>
      <c r="AX364" s="76"/>
      <c r="AY364" s="76"/>
      <c r="AZ364" s="76"/>
      <c r="BA364" s="76"/>
      <c r="BB364" s="74"/>
    </row>
    <row r="365" spans="1:54" ht="15.75" thickBot="1" x14ac:dyDescent="0.3">
      <c r="A365" s="73">
        <v>185</v>
      </c>
      <c r="B365" s="72">
        <v>44874.625</v>
      </c>
      <c r="C365" s="67">
        <v>0.625</v>
      </c>
      <c r="D365" s="67">
        <v>0.63194444444444442</v>
      </c>
      <c r="E365" s="67">
        <v>0.64236111111111105</v>
      </c>
      <c r="F365" s="68" t="s">
        <v>171</v>
      </c>
      <c r="G365" s="68" t="s">
        <v>200</v>
      </c>
      <c r="H365" s="66" t="s">
        <v>396</v>
      </c>
      <c r="I365" s="66" t="s">
        <v>174</v>
      </c>
      <c r="J365" s="66" t="s">
        <v>37</v>
      </c>
      <c r="K365" s="66" t="s">
        <v>180</v>
      </c>
      <c r="L365" s="70" t="s">
        <v>206</v>
      </c>
      <c r="M365" s="68" t="s">
        <v>1275</v>
      </c>
      <c r="N365" s="68" t="s">
        <v>320</v>
      </c>
      <c r="O365" s="68" t="s">
        <v>1276</v>
      </c>
      <c r="P365" s="68">
        <v>5500346920</v>
      </c>
      <c r="Q365" s="303">
        <f t="shared" si="46"/>
        <v>1</v>
      </c>
      <c r="R365" s="303">
        <f t="shared" si="47"/>
        <v>187</v>
      </c>
      <c r="S365" s="68">
        <v>0</v>
      </c>
      <c r="T365" s="68">
        <v>0</v>
      </c>
      <c r="U365" s="68">
        <v>1</v>
      </c>
      <c r="V365" s="68">
        <v>187</v>
      </c>
      <c r="W365" s="68">
        <v>200</v>
      </c>
      <c r="X365" s="68">
        <v>105</v>
      </c>
      <c r="Y365" s="68">
        <v>105</v>
      </c>
      <c r="Z365" s="68">
        <v>85</v>
      </c>
      <c r="AA365" s="68">
        <v>1</v>
      </c>
      <c r="AB365" s="300">
        <f t="shared" si="48"/>
        <v>156.1875</v>
      </c>
      <c r="AC365" s="300">
        <f t="shared" si="49"/>
        <v>0.94088855421686746</v>
      </c>
      <c r="AD365" s="66">
        <v>691.2</v>
      </c>
      <c r="AE365" s="68" t="s">
        <v>111</v>
      </c>
      <c r="AF365" s="68" t="s">
        <v>317</v>
      </c>
      <c r="AG365" s="68" t="s">
        <v>317</v>
      </c>
      <c r="AH365" s="68" t="s">
        <v>1277</v>
      </c>
      <c r="AI365" s="309"/>
      <c r="AJ365" s="309"/>
      <c r="AK365" s="68" t="s">
        <v>37</v>
      </c>
      <c r="AL365" s="68" t="s">
        <v>47</v>
      </c>
      <c r="AM365" s="299">
        <f t="shared" ca="1" si="45"/>
        <v>0.19791666666424135</v>
      </c>
      <c r="AN365" s="75"/>
      <c r="AO365" s="61" t="s">
        <v>402</v>
      </c>
      <c r="AP365" s="62" t="s">
        <v>1275</v>
      </c>
      <c r="AQ365" s="78" t="s">
        <v>1335</v>
      </c>
      <c r="AR365" s="64">
        <v>44874.822916666664</v>
      </c>
      <c r="AS365" s="61" t="s">
        <v>136</v>
      </c>
      <c r="AT365" s="61" t="s">
        <v>225</v>
      </c>
      <c r="AU365" s="63">
        <v>0.82291666666666663</v>
      </c>
      <c r="AV365" s="61">
        <v>3</v>
      </c>
      <c r="AW365" s="61" t="s">
        <v>66</v>
      </c>
      <c r="AX365" s="76"/>
      <c r="AY365" s="76"/>
      <c r="AZ365" s="76"/>
      <c r="BA365" s="76"/>
      <c r="BB365" s="74"/>
    </row>
    <row r="366" spans="1:54" ht="15.75" thickBot="1" x14ac:dyDescent="0.3">
      <c r="A366" s="73">
        <v>186</v>
      </c>
      <c r="B366" s="72">
        <v>44874.625</v>
      </c>
      <c r="C366" s="67">
        <v>0.625</v>
      </c>
      <c r="D366" s="67">
        <v>0.63194444444444442</v>
      </c>
      <c r="E366" s="67">
        <v>0.64236111111111105</v>
      </c>
      <c r="F366" s="68" t="s">
        <v>171</v>
      </c>
      <c r="G366" s="68" t="s">
        <v>200</v>
      </c>
      <c r="H366" s="66" t="s">
        <v>396</v>
      </c>
      <c r="I366" s="66" t="s">
        <v>174</v>
      </c>
      <c r="J366" s="66" t="s">
        <v>37</v>
      </c>
      <c r="K366" s="66" t="s">
        <v>180</v>
      </c>
      <c r="L366" s="70" t="s">
        <v>206</v>
      </c>
      <c r="M366" s="68" t="s">
        <v>1275</v>
      </c>
      <c r="N366" s="68" t="s">
        <v>320</v>
      </c>
      <c r="O366" s="68" t="s">
        <v>1278</v>
      </c>
      <c r="P366" s="68">
        <v>5500346905</v>
      </c>
      <c r="Q366" s="303">
        <f t="shared" si="46"/>
        <v>1</v>
      </c>
      <c r="R366" s="303">
        <f t="shared" si="47"/>
        <v>208</v>
      </c>
      <c r="S366" s="68">
        <v>0</v>
      </c>
      <c r="T366" s="68">
        <v>0</v>
      </c>
      <c r="U366" s="68">
        <v>1</v>
      </c>
      <c r="V366" s="68">
        <v>208</v>
      </c>
      <c r="W366" s="68">
        <v>200</v>
      </c>
      <c r="X366" s="68">
        <v>105</v>
      </c>
      <c r="Y366" s="68">
        <v>105</v>
      </c>
      <c r="Z366" s="68">
        <v>85</v>
      </c>
      <c r="AA366" s="68">
        <v>1</v>
      </c>
      <c r="AB366" s="300">
        <f t="shared" si="48"/>
        <v>156.1875</v>
      </c>
      <c r="AC366" s="300">
        <f t="shared" si="49"/>
        <v>0.94088855421686746</v>
      </c>
      <c r="AD366" s="68">
        <v>766.8</v>
      </c>
      <c r="AE366" s="68" t="s">
        <v>111</v>
      </c>
      <c r="AF366" s="68" t="s">
        <v>317</v>
      </c>
      <c r="AG366" s="68" t="s">
        <v>317</v>
      </c>
      <c r="AH366" s="68" t="s">
        <v>1279</v>
      </c>
      <c r="AI366" s="309"/>
      <c r="AJ366" s="309"/>
      <c r="AK366" s="68" t="s">
        <v>37</v>
      </c>
      <c r="AL366" s="68" t="s">
        <v>47</v>
      </c>
      <c r="AM366" s="299">
        <f t="shared" ca="1" si="45"/>
        <v>0.19791666666424135</v>
      </c>
      <c r="AN366" s="75"/>
      <c r="AO366" s="61" t="s">
        <v>402</v>
      </c>
      <c r="AP366" s="62" t="s">
        <v>1275</v>
      </c>
      <c r="AQ366" s="78" t="s">
        <v>1335</v>
      </c>
      <c r="AR366" s="64">
        <v>44874.822916666664</v>
      </c>
      <c r="AS366" s="61" t="s">
        <v>136</v>
      </c>
      <c r="AT366" s="61" t="s">
        <v>225</v>
      </c>
      <c r="AU366" s="63">
        <v>0.82291666666666663</v>
      </c>
      <c r="AV366" s="61">
        <v>3</v>
      </c>
      <c r="AW366" s="61" t="s">
        <v>66</v>
      </c>
      <c r="AX366" s="76"/>
      <c r="AY366" s="76"/>
      <c r="AZ366" s="76"/>
      <c r="BA366" s="76"/>
      <c r="BB366" s="74"/>
    </row>
    <row r="367" spans="1:54" ht="15.75" thickBot="1" x14ac:dyDescent="0.3">
      <c r="A367" s="73">
        <v>187</v>
      </c>
      <c r="B367" s="72">
        <v>44874.625</v>
      </c>
      <c r="C367" s="67">
        <v>0.625</v>
      </c>
      <c r="D367" s="67">
        <v>0.63194444444444442</v>
      </c>
      <c r="E367" s="67">
        <v>0.64236111111111105</v>
      </c>
      <c r="F367" s="68" t="s">
        <v>171</v>
      </c>
      <c r="G367" s="68" t="s">
        <v>200</v>
      </c>
      <c r="H367" s="66" t="s">
        <v>396</v>
      </c>
      <c r="I367" s="66" t="s">
        <v>174</v>
      </c>
      <c r="J367" s="66" t="s">
        <v>37</v>
      </c>
      <c r="K367" s="66" t="s">
        <v>180</v>
      </c>
      <c r="L367" s="70" t="s">
        <v>206</v>
      </c>
      <c r="M367" s="68" t="s">
        <v>1280</v>
      </c>
      <c r="N367" s="68" t="s">
        <v>320</v>
      </c>
      <c r="O367" s="68" t="s">
        <v>1281</v>
      </c>
      <c r="P367" s="68">
        <v>5500310299</v>
      </c>
      <c r="Q367" s="303">
        <f t="shared" si="46"/>
        <v>8</v>
      </c>
      <c r="R367" s="303">
        <f t="shared" si="47"/>
        <v>142</v>
      </c>
      <c r="S367" s="68">
        <v>8</v>
      </c>
      <c r="T367" s="68">
        <v>142</v>
      </c>
      <c r="U367" s="68">
        <v>0</v>
      </c>
      <c r="V367" s="68">
        <v>0</v>
      </c>
      <c r="W367" s="68">
        <v>148</v>
      </c>
      <c r="X367" s="68">
        <v>40</v>
      </c>
      <c r="Y367" s="68">
        <v>30</v>
      </c>
      <c r="Z367" s="68">
        <v>19</v>
      </c>
      <c r="AA367" s="68">
        <v>8</v>
      </c>
      <c r="AB367" s="300">
        <f t="shared" si="48"/>
        <v>30.4</v>
      </c>
      <c r="AC367" s="300">
        <f t="shared" si="49"/>
        <v>0.18313253012048192</v>
      </c>
      <c r="AD367" s="68">
        <v>4080</v>
      </c>
      <c r="AE367" s="68" t="s">
        <v>111</v>
      </c>
      <c r="AF367" s="68" t="s">
        <v>317</v>
      </c>
      <c r="AG367" s="68" t="s">
        <v>317</v>
      </c>
      <c r="AH367" s="68" t="s">
        <v>1282</v>
      </c>
      <c r="AI367" s="309"/>
      <c r="AJ367" s="309"/>
      <c r="AK367" s="68" t="s">
        <v>48</v>
      </c>
      <c r="AL367" s="68" t="s">
        <v>47</v>
      </c>
      <c r="AM367" s="299">
        <f t="shared" ca="1" si="45"/>
        <v>0.19791666666424135</v>
      </c>
      <c r="AN367" s="75"/>
      <c r="AO367" s="61" t="s">
        <v>402</v>
      </c>
      <c r="AP367" s="62" t="s">
        <v>1280</v>
      </c>
      <c r="AQ367" s="78" t="s">
        <v>1335</v>
      </c>
      <c r="AR367" s="64">
        <v>44874.822916666664</v>
      </c>
      <c r="AS367" s="61" t="s">
        <v>136</v>
      </c>
      <c r="AT367" s="61" t="s">
        <v>225</v>
      </c>
      <c r="AU367" s="63">
        <v>0.82291666666666663</v>
      </c>
      <c r="AV367" s="61">
        <v>3</v>
      </c>
      <c r="AW367" s="61" t="s">
        <v>66</v>
      </c>
      <c r="AX367" s="76"/>
      <c r="AY367" s="76"/>
      <c r="AZ367" s="76"/>
      <c r="BA367" s="76"/>
      <c r="BB367" s="74"/>
    </row>
    <row r="368" spans="1:54" ht="15.75" thickBot="1" x14ac:dyDescent="0.3">
      <c r="A368" s="73">
        <v>188</v>
      </c>
      <c r="B368" s="72">
        <v>44874.625</v>
      </c>
      <c r="C368" s="67">
        <v>0.625</v>
      </c>
      <c r="D368" s="67">
        <v>0.63194444444444442</v>
      </c>
      <c r="E368" s="67">
        <v>0.64236111111111105</v>
      </c>
      <c r="F368" s="68" t="s">
        <v>171</v>
      </c>
      <c r="G368" s="68" t="s">
        <v>200</v>
      </c>
      <c r="H368" s="66" t="s">
        <v>396</v>
      </c>
      <c r="I368" s="66" t="s">
        <v>174</v>
      </c>
      <c r="J368" s="66" t="s">
        <v>37</v>
      </c>
      <c r="K368" s="66" t="s">
        <v>180</v>
      </c>
      <c r="L368" s="70" t="s">
        <v>206</v>
      </c>
      <c r="M368" s="68" t="s">
        <v>1280</v>
      </c>
      <c r="N368" s="68" t="s">
        <v>320</v>
      </c>
      <c r="O368" s="68" t="s">
        <v>1283</v>
      </c>
      <c r="P368" s="68">
        <v>5500344045</v>
      </c>
      <c r="Q368" s="303">
        <f t="shared" si="46"/>
        <v>4</v>
      </c>
      <c r="R368" s="303">
        <f t="shared" si="47"/>
        <v>77</v>
      </c>
      <c r="S368" s="68">
        <v>4</v>
      </c>
      <c r="T368" s="68">
        <v>77</v>
      </c>
      <c r="U368" s="68">
        <v>0</v>
      </c>
      <c r="V368" s="68">
        <v>0</v>
      </c>
      <c r="W368" s="68">
        <v>80</v>
      </c>
      <c r="X368" s="68">
        <v>40</v>
      </c>
      <c r="Y368" s="68">
        <v>30</v>
      </c>
      <c r="Z368" s="68">
        <v>19</v>
      </c>
      <c r="AA368" s="68">
        <v>4</v>
      </c>
      <c r="AB368" s="300">
        <f t="shared" si="48"/>
        <v>15.2</v>
      </c>
      <c r="AC368" s="300">
        <f t="shared" si="49"/>
        <v>9.1566265060240959E-2</v>
      </c>
      <c r="AD368" s="68">
        <v>2172</v>
      </c>
      <c r="AE368" s="68" t="s">
        <v>111</v>
      </c>
      <c r="AF368" s="68" t="s">
        <v>317</v>
      </c>
      <c r="AG368" s="68" t="s">
        <v>317</v>
      </c>
      <c r="AH368" s="68" t="s">
        <v>1284</v>
      </c>
      <c r="AI368" s="309"/>
      <c r="AJ368" s="309"/>
      <c r="AK368" s="68" t="s">
        <v>48</v>
      </c>
      <c r="AL368" s="68" t="s">
        <v>47</v>
      </c>
      <c r="AM368" s="299">
        <f t="shared" ca="1" si="45"/>
        <v>0.19791666666424135</v>
      </c>
      <c r="AN368" s="75"/>
      <c r="AO368" s="61" t="s">
        <v>402</v>
      </c>
      <c r="AP368" s="62" t="s">
        <v>1280</v>
      </c>
      <c r="AQ368" s="78" t="s">
        <v>1335</v>
      </c>
      <c r="AR368" s="64">
        <v>44874.822916666664</v>
      </c>
      <c r="AS368" s="61" t="s">
        <v>136</v>
      </c>
      <c r="AT368" s="61" t="s">
        <v>225</v>
      </c>
      <c r="AU368" s="63">
        <v>0.82291666666666663</v>
      </c>
      <c r="AV368" s="61">
        <v>3</v>
      </c>
      <c r="AW368" s="61" t="s">
        <v>66</v>
      </c>
      <c r="AX368" s="76"/>
      <c r="AY368" s="76"/>
      <c r="AZ368" s="76"/>
      <c r="BA368" s="76"/>
      <c r="BB368" s="74"/>
    </row>
    <row r="369" spans="1:54" ht="15.75" thickBot="1" x14ac:dyDescent="0.3">
      <c r="A369" s="73">
        <v>189</v>
      </c>
      <c r="B369" s="72">
        <v>44874.625</v>
      </c>
      <c r="C369" s="67">
        <v>0.625</v>
      </c>
      <c r="D369" s="67">
        <v>0.63194444444444442</v>
      </c>
      <c r="E369" s="67">
        <v>0.64236111111111105</v>
      </c>
      <c r="F369" s="68" t="s">
        <v>171</v>
      </c>
      <c r="G369" s="68" t="s">
        <v>200</v>
      </c>
      <c r="H369" s="66" t="s">
        <v>396</v>
      </c>
      <c r="I369" s="66" t="s">
        <v>174</v>
      </c>
      <c r="J369" s="66" t="s">
        <v>37</v>
      </c>
      <c r="K369" s="66" t="s">
        <v>180</v>
      </c>
      <c r="L369" s="70" t="s">
        <v>206</v>
      </c>
      <c r="M369" s="68" t="s">
        <v>1285</v>
      </c>
      <c r="N369" s="68" t="s">
        <v>320</v>
      </c>
      <c r="O369" s="68" t="s">
        <v>1286</v>
      </c>
      <c r="P369" s="68">
        <v>5500374321</v>
      </c>
      <c r="Q369" s="303">
        <f t="shared" si="46"/>
        <v>1</v>
      </c>
      <c r="R369" s="303">
        <f t="shared" si="47"/>
        <v>8</v>
      </c>
      <c r="S369" s="68">
        <v>1</v>
      </c>
      <c r="T369" s="68">
        <v>8</v>
      </c>
      <c r="U369" s="68">
        <v>0</v>
      </c>
      <c r="V369" s="68">
        <v>0</v>
      </c>
      <c r="W369" s="68">
        <v>8</v>
      </c>
      <c r="X369" s="68">
        <v>40</v>
      </c>
      <c r="Y369" s="68">
        <v>30</v>
      </c>
      <c r="Z369" s="68">
        <v>19</v>
      </c>
      <c r="AA369" s="68">
        <v>1</v>
      </c>
      <c r="AB369" s="300">
        <f t="shared" si="48"/>
        <v>3.8</v>
      </c>
      <c r="AC369" s="300">
        <f t="shared" si="49"/>
        <v>2.289156626506024E-2</v>
      </c>
      <c r="AD369" s="68">
        <v>151.04</v>
      </c>
      <c r="AE369" s="68" t="s">
        <v>111</v>
      </c>
      <c r="AF369" s="68" t="s">
        <v>317</v>
      </c>
      <c r="AG369" s="68" t="s">
        <v>317</v>
      </c>
      <c r="AH369" s="68">
        <v>0</v>
      </c>
      <c r="AI369" s="309"/>
      <c r="AJ369" s="309"/>
      <c r="AK369" s="68" t="s">
        <v>48</v>
      </c>
      <c r="AL369" s="68" t="s">
        <v>47</v>
      </c>
      <c r="AM369" s="299">
        <f t="shared" ca="1" si="45"/>
        <v>0.19791666666424135</v>
      </c>
      <c r="AN369" s="75"/>
      <c r="AO369" s="61" t="s">
        <v>402</v>
      </c>
      <c r="AP369" s="62" t="s">
        <v>1285</v>
      </c>
      <c r="AQ369" s="78" t="s">
        <v>1335</v>
      </c>
      <c r="AR369" s="64">
        <v>44874.822916666664</v>
      </c>
      <c r="AS369" s="61" t="s">
        <v>136</v>
      </c>
      <c r="AT369" s="61" t="s">
        <v>225</v>
      </c>
      <c r="AU369" s="63">
        <v>0.82291666666666663</v>
      </c>
      <c r="AV369" s="61">
        <v>3</v>
      </c>
      <c r="AW369" s="61" t="s">
        <v>66</v>
      </c>
      <c r="AX369" s="76"/>
      <c r="AY369" s="76"/>
      <c r="AZ369" s="76"/>
      <c r="BA369" s="76"/>
      <c r="BB369" s="74"/>
    </row>
    <row r="370" spans="1:54" ht="15.75" thickBot="1" x14ac:dyDescent="0.3">
      <c r="A370" s="73">
        <v>190</v>
      </c>
      <c r="B370" s="72">
        <v>44874.625</v>
      </c>
      <c r="C370" s="67">
        <v>0.625</v>
      </c>
      <c r="D370" s="67">
        <v>0.63194444444444442</v>
      </c>
      <c r="E370" s="67">
        <v>0.64236111111111105</v>
      </c>
      <c r="F370" s="68" t="s">
        <v>171</v>
      </c>
      <c r="G370" s="68" t="s">
        <v>200</v>
      </c>
      <c r="H370" s="66" t="s">
        <v>396</v>
      </c>
      <c r="I370" s="66" t="s">
        <v>174</v>
      </c>
      <c r="J370" s="66" t="s">
        <v>37</v>
      </c>
      <c r="K370" s="66" t="s">
        <v>180</v>
      </c>
      <c r="L370" s="70" t="s">
        <v>206</v>
      </c>
      <c r="M370" s="68" t="s">
        <v>1280</v>
      </c>
      <c r="N370" s="68" t="s">
        <v>320</v>
      </c>
      <c r="O370" s="68" t="s">
        <v>1287</v>
      </c>
      <c r="P370" s="68">
        <v>5500291491</v>
      </c>
      <c r="Q370" s="303">
        <f t="shared" si="46"/>
        <v>1</v>
      </c>
      <c r="R370" s="303">
        <f t="shared" si="47"/>
        <v>21</v>
      </c>
      <c r="S370" s="68">
        <v>1</v>
      </c>
      <c r="T370" s="68">
        <v>21</v>
      </c>
      <c r="U370" s="68">
        <v>0</v>
      </c>
      <c r="V370" s="68">
        <v>0</v>
      </c>
      <c r="W370" s="68">
        <v>21</v>
      </c>
      <c r="X370" s="68">
        <v>40</v>
      </c>
      <c r="Y370" s="68">
        <v>30</v>
      </c>
      <c r="Z370" s="68">
        <v>19</v>
      </c>
      <c r="AA370" s="68">
        <v>1</v>
      </c>
      <c r="AB370" s="300">
        <f t="shared" si="48"/>
        <v>3.8</v>
      </c>
      <c r="AC370" s="300">
        <f t="shared" si="49"/>
        <v>2.289156626506024E-2</v>
      </c>
      <c r="AD370" s="68">
        <v>260</v>
      </c>
      <c r="AE370" s="68" t="s">
        <v>111</v>
      </c>
      <c r="AF370" s="68" t="s">
        <v>317</v>
      </c>
      <c r="AG370" s="68" t="s">
        <v>317</v>
      </c>
      <c r="AH370" s="68">
        <v>0</v>
      </c>
      <c r="AI370" s="309"/>
      <c r="AJ370" s="309"/>
      <c r="AK370" s="68" t="s">
        <v>48</v>
      </c>
      <c r="AL370" s="68" t="s">
        <v>47</v>
      </c>
      <c r="AM370" s="299">
        <f t="shared" ca="1" si="45"/>
        <v>0.19791666666424135</v>
      </c>
      <c r="AN370" s="75"/>
      <c r="AO370" s="61" t="s">
        <v>402</v>
      </c>
      <c r="AP370" s="62" t="s">
        <v>1280</v>
      </c>
      <c r="AQ370" s="78" t="s">
        <v>1335</v>
      </c>
      <c r="AR370" s="64">
        <v>44874.822916666664</v>
      </c>
      <c r="AS370" s="61" t="s">
        <v>136</v>
      </c>
      <c r="AT370" s="61" t="s">
        <v>225</v>
      </c>
      <c r="AU370" s="63">
        <v>0.82291666666666663</v>
      </c>
      <c r="AV370" s="61">
        <v>3</v>
      </c>
      <c r="AW370" s="61" t="s">
        <v>66</v>
      </c>
      <c r="AX370" s="76"/>
      <c r="AY370" s="76"/>
      <c r="AZ370" s="76"/>
      <c r="BA370" s="76"/>
      <c r="BB370" s="74"/>
    </row>
    <row r="371" spans="1:54" ht="15.75" thickBot="1" x14ac:dyDescent="0.3">
      <c r="A371" s="73">
        <v>191</v>
      </c>
      <c r="B371" s="72">
        <v>44874.625</v>
      </c>
      <c r="C371" s="67">
        <v>0.625</v>
      </c>
      <c r="D371" s="67">
        <v>0.65277777777777779</v>
      </c>
      <c r="E371" s="67">
        <v>0.65972222222222221</v>
      </c>
      <c r="F371" s="68" t="s">
        <v>169</v>
      </c>
      <c r="G371" s="68" t="s">
        <v>381</v>
      </c>
      <c r="H371" s="66" t="s">
        <v>410</v>
      </c>
      <c r="I371" s="66" t="s">
        <v>411</v>
      </c>
      <c r="J371" s="66" t="s">
        <v>37</v>
      </c>
      <c r="K371" s="68" t="s">
        <v>233</v>
      </c>
      <c r="L371" s="66" t="s">
        <v>208</v>
      </c>
      <c r="M371" s="68" t="s">
        <v>1288</v>
      </c>
      <c r="N371" s="68" t="s">
        <v>1289</v>
      </c>
      <c r="O371" s="68" t="s">
        <v>1290</v>
      </c>
      <c r="P371" s="68" t="s">
        <v>1291</v>
      </c>
      <c r="Q371" s="303">
        <f t="shared" si="46"/>
        <v>90</v>
      </c>
      <c r="R371" s="303">
        <f t="shared" si="47"/>
        <v>897</v>
      </c>
      <c r="S371" s="68">
        <v>90</v>
      </c>
      <c r="T371" s="68">
        <v>897</v>
      </c>
      <c r="U371" s="68">
        <v>0</v>
      </c>
      <c r="V371" s="68">
        <v>0</v>
      </c>
      <c r="W371" s="68">
        <v>1005</v>
      </c>
      <c r="X371" s="68">
        <v>45</v>
      </c>
      <c r="Y371" s="68">
        <v>42</v>
      </c>
      <c r="Z371" s="68">
        <v>39</v>
      </c>
      <c r="AA371" s="68">
        <v>1</v>
      </c>
      <c r="AB371" s="300">
        <f t="shared" si="48"/>
        <v>12.285</v>
      </c>
      <c r="AC371" s="300">
        <f t="shared" si="49"/>
        <v>7.4006024096385542E-2</v>
      </c>
      <c r="AD371" s="68">
        <v>30276.31</v>
      </c>
      <c r="AE371" s="68" t="s">
        <v>109</v>
      </c>
      <c r="AF371" s="68">
        <v>5335123</v>
      </c>
      <c r="AG371" s="68" t="s">
        <v>1292</v>
      </c>
      <c r="AH371" s="68" t="s">
        <v>1293</v>
      </c>
      <c r="AI371" s="309"/>
      <c r="AJ371" s="309"/>
      <c r="AK371" s="68" t="s">
        <v>48</v>
      </c>
      <c r="AL371" s="68" t="s">
        <v>50</v>
      </c>
      <c r="AM371" s="299">
        <f t="shared" ca="1" si="45"/>
        <v>0.10069444444525288</v>
      </c>
      <c r="AN371" s="75"/>
      <c r="AO371" s="61" t="s">
        <v>427</v>
      </c>
      <c r="AP371" s="62" t="s">
        <v>1288</v>
      </c>
      <c r="AQ371" s="78" t="s">
        <v>1329</v>
      </c>
      <c r="AR371" s="64">
        <v>44874.725694444445</v>
      </c>
      <c r="AS371" s="57" t="s">
        <v>173</v>
      </c>
      <c r="AT371" s="61" t="s">
        <v>225</v>
      </c>
      <c r="AU371" s="63">
        <v>0.72569444444444453</v>
      </c>
      <c r="AV371" s="61">
        <v>2</v>
      </c>
      <c r="AW371" s="61" t="s">
        <v>66</v>
      </c>
      <c r="AX371" s="76"/>
      <c r="AY371" s="76"/>
      <c r="AZ371" s="76"/>
      <c r="BA371" s="76"/>
      <c r="BB371" s="74"/>
    </row>
    <row r="372" spans="1:54" ht="15.75" thickBot="1" x14ac:dyDescent="0.3">
      <c r="A372" s="73">
        <v>191</v>
      </c>
      <c r="B372" s="72">
        <v>44874.625</v>
      </c>
      <c r="C372" s="67">
        <v>0.625</v>
      </c>
      <c r="D372" s="67">
        <v>0.65277777777777779</v>
      </c>
      <c r="E372" s="67">
        <v>0.65972222222222221</v>
      </c>
      <c r="F372" s="68" t="s">
        <v>169</v>
      </c>
      <c r="G372" s="68" t="s">
        <v>381</v>
      </c>
      <c r="H372" s="66" t="s">
        <v>410</v>
      </c>
      <c r="I372" s="66" t="s">
        <v>411</v>
      </c>
      <c r="J372" s="66" t="s">
        <v>37</v>
      </c>
      <c r="K372" s="68" t="s">
        <v>233</v>
      </c>
      <c r="L372" s="66" t="s">
        <v>208</v>
      </c>
      <c r="M372" s="68" t="s">
        <v>1288</v>
      </c>
      <c r="N372" s="68" t="s">
        <v>1289</v>
      </c>
      <c r="O372" s="68" t="s">
        <v>1290</v>
      </c>
      <c r="P372" s="68" t="s">
        <v>1291</v>
      </c>
      <c r="Q372" s="303">
        <f t="shared" si="46"/>
        <v>0</v>
      </c>
      <c r="R372" s="303">
        <f t="shared" si="47"/>
        <v>0</v>
      </c>
      <c r="S372" s="68">
        <v>0</v>
      </c>
      <c r="T372" s="68">
        <v>0</v>
      </c>
      <c r="U372" s="68">
        <v>0</v>
      </c>
      <c r="V372" s="68">
        <v>0</v>
      </c>
      <c r="W372" s="68">
        <v>0</v>
      </c>
      <c r="X372" s="68">
        <v>57</v>
      </c>
      <c r="Y372" s="68">
        <v>48</v>
      </c>
      <c r="Z372" s="68">
        <v>40</v>
      </c>
      <c r="AA372" s="68">
        <v>3</v>
      </c>
      <c r="AB372" s="300">
        <f t="shared" si="48"/>
        <v>54.72</v>
      </c>
      <c r="AC372" s="300">
        <f t="shared" si="49"/>
        <v>0.32963855421686744</v>
      </c>
      <c r="AD372" s="68">
        <v>0</v>
      </c>
      <c r="AE372" s="68">
        <v>0</v>
      </c>
      <c r="AF372" s="68">
        <v>5335123</v>
      </c>
      <c r="AG372" s="68" t="s">
        <v>1292</v>
      </c>
      <c r="AH372" s="68" t="s">
        <v>1293</v>
      </c>
      <c r="AI372" s="309"/>
      <c r="AJ372" s="309"/>
      <c r="AK372" s="68" t="s">
        <v>48</v>
      </c>
      <c r="AL372" s="68" t="s">
        <v>50</v>
      </c>
      <c r="AM372" s="299">
        <f t="shared" ca="1" si="45"/>
        <v>0.10069444444525288</v>
      </c>
      <c r="AN372" s="75"/>
      <c r="AO372" s="61" t="s">
        <v>427</v>
      </c>
      <c r="AP372" s="62" t="s">
        <v>1288</v>
      </c>
      <c r="AQ372" s="78" t="s">
        <v>1329</v>
      </c>
      <c r="AR372" s="64">
        <v>44874.725694444445</v>
      </c>
      <c r="AS372" s="57" t="s">
        <v>173</v>
      </c>
      <c r="AT372" s="61" t="s">
        <v>225</v>
      </c>
      <c r="AU372" s="63">
        <v>0.72569444444444453</v>
      </c>
      <c r="AV372" s="61">
        <v>2</v>
      </c>
      <c r="AW372" s="61" t="s">
        <v>66</v>
      </c>
      <c r="AX372" s="76"/>
      <c r="AY372" s="76"/>
      <c r="AZ372" s="76"/>
      <c r="BA372" s="76"/>
      <c r="BB372" s="74"/>
    </row>
    <row r="373" spans="1:54" ht="15.75" thickBot="1" x14ac:dyDescent="0.3">
      <c r="A373" s="73">
        <v>191</v>
      </c>
      <c r="B373" s="72">
        <v>44874.625</v>
      </c>
      <c r="C373" s="67">
        <v>0.625</v>
      </c>
      <c r="D373" s="67">
        <v>0.65277777777777779</v>
      </c>
      <c r="E373" s="67">
        <v>0.65972222222222221</v>
      </c>
      <c r="F373" s="68" t="s">
        <v>169</v>
      </c>
      <c r="G373" s="68" t="s">
        <v>381</v>
      </c>
      <c r="H373" s="66" t="s">
        <v>410</v>
      </c>
      <c r="I373" s="66" t="s">
        <v>411</v>
      </c>
      <c r="J373" s="66" t="s">
        <v>37</v>
      </c>
      <c r="K373" s="68" t="s">
        <v>233</v>
      </c>
      <c r="L373" s="66" t="s">
        <v>208</v>
      </c>
      <c r="M373" s="68" t="s">
        <v>1288</v>
      </c>
      <c r="N373" s="68" t="s">
        <v>1289</v>
      </c>
      <c r="O373" s="68" t="s">
        <v>1290</v>
      </c>
      <c r="P373" s="68" t="s">
        <v>1291</v>
      </c>
      <c r="Q373" s="303">
        <f t="shared" si="46"/>
        <v>0</v>
      </c>
      <c r="R373" s="303">
        <f t="shared" si="47"/>
        <v>0</v>
      </c>
      <c r="S373" s="68">
        <v>0</v>
      </c>
      <c r="T373" s="68">
        <v>0</v>
      </c>
      <c r="U373" s="68">
        <v>0</v>
      </c>
      <c r="V373" s="68">
        <v>0</v>
      </c>
      <c r="W373" s="68">
        <v>0</v>
      </c>
      <c r="X373" s="68">
        <v>40</v>
      </c>
      <c r="Y373" s="68">
        <v>16</v>
      </c>
      <c r="Z373" s="68">
        <v>28</v>
      </c>
      <c r="AA373" s="68">
        <v>4</v>
      </c>
      <c r="AB373" s="300">
        <f t="shared" si="48"/>
        <v>11.946666666666667</v>
      </c>
      <c r="AC373" s="300">
        <f t="shared" si="49"/>
        <v>7.1967871485943774E-2</v>
      </c>
      <c r="AD373" s="68">
        <v>0</v>
      </c>
      <c r="AE373" s="68">
        <v>0</v>
      </c>
      <c r="AF373" s="68">
        <v>5335123</v>
      </c>
      <c r="AG373" s="68" t="s">
        <v>1292</v>
      </c>
      <c r="AH373" s="68" t="s">
        <v>1293</v>
      </c>
      <c r="AI373" s="309"/>
      <c r="AJ373" s="309"/>
      <c r="AK373" s="68" t="s">
        <v>48</v>
      </c>
      <c r="AL373" s="68" t="s">
        <v>50</v>
      </c>
      <c r="AM373" s="299">
        <f t="shared" ca="1" si="45"/>
        <v>0.10069444444525288</v>
      </c>
      <c r="AN373" s="75"/>
      <c r="AO373" s="61" t="s">
        <v>427</v>
      </c>
      <c r="AP373" s="62" t="s">
        <v>1288</v>
      </c>
      <c r="AQ373" s="78" t="s">
        <v>1329</v>
      </c>
      <c r="AR373" s="64">
        <v>44874.725694444445</v>
      </c>
      <c r="AS373" s="57" t="s">
        <v>173</v>
      </c>
      <c r="AT373" s="61" t="s">
        <v>225</v>
      </c>
      <c r="AU373" s="63">
        <v>0.72569444444444453</v>
      </c>
      <c r="AV373" s="61">
        <v>2</v>
      </c>
      <c r="AW373" s="61" t="s">
        <v>66</v>
      </c>
      <c r="AX373" s="76"/>
      <c r="AY373" s="76"/>
      <c r="AZ373" s="76"/>
      <c r="BA373" s="76"/>
      <c r="BB373" s="74"/>
    </row>
    <row r="374" spans="1:54" ht="15.75" thickBot="1" x14ac:dyDescent="0.3">
      <c r="A374" s="73">
        <v>191</v>
      </c>
      <c r="B374" s="72">
        <v>44874.625</v>
      </c>
      <c r="C374" s="67">
        <v>0.625</v>
      </c>
      <c r="D374" s="67">
        <v>0.65277777777777779</v>
      </c>
      <c r="E374" s="67">
        <v>0.65972222222222221</v>
      </c>
      <c r="F374" s="68" t="s">
        <v>169</v>
      </c>
      <c r="G374" s="68" t="s">
        <v>381</v>
      </c>
      <c r="H374" s="66" t="s">
        <v>410</v>
      </c>
      <c r="I374" s="66" t="s">
        <v>411</v>
      </c>
      <c r="J374" s="66" t="s">
        <v>37</v>
      </c>
      <c r="K374" s="68" t="s">
        <v>233</v>
      </c>
      <c r="L374" s="66" t="s">
        <v>208</v>
      </c>
      <c r="M374" s="68" t="s">
        <v>1288</v>
      </c>
      <c r="N374" s="68" t="s">
        <v>1289</v>
      </c>
      <c r="O374" s="68" t="s">
        <v>1290</v>
      </c>
      <c r="P374" s="68" t="s">
        <v>1291</v>
      </c>
      <c r="Q374" s="303">
        <f t="shared" si="46"/>
        <v>0</v>
      </c>
      <c r="R374" s="303">
        <f t="shared" si="47"/>
        <v>0</v>
      </c>
      <c r="S374" s="68">
        <v>0</v>
      </c>
      <c r="T374" s="68">
        <v>0</v>
      </c>
      <c r="U374" s="68">
        <v>0</v>
      </c>
      <c r="V374" s="68">
        <v>0</v>
      </c>
      <c r="W374" s="68">
        <v>0</v>
      </c>
      <c r="X374" s="68">
        <v>39</v>
      </c>
      <c r="Y374" s="68">
        <v>24</v>
      </c>
      <c r="Z374" s="68">
        <v>28</v>
      </c>
      <c r="AA374" s="68">
        <v>2</v>
      </c>
      <c r="AB374" s="300">
        <f t="shared" si="48"/>
        <v>8.7360000000000007</v>
      </c>
      <c r="AC374" s="300">
        <f t="shared" si="49"/>
        <v>5.2626506024096388E-2</v>
      </c>
      <c r="AD374" s="68">
        <v>0</v>
      </c>
      <c r="AE374" s="68">
        <v>0</v>
      </c>
      <c r="AF374" s="68">
        <v>5335123</v>
      </c>
      <c r="AG374" s="68" t="s">
        <v>1292</v>
      </c>
      <c r="AH374" s="68" t="s">
        <v>1293</v>
      </c>
      <c r="AI374" s="309"/>
      <c r="AJ374" s="309"/>
      <c r="AK374" s="68" t="s">
        <v>48</v>
      </c>
      <c r="AL374" s="68" t="s">
        <v>50</v>
      </c>
      <c r="AM374" s="299">
        <f t="shared" ca="1" si="45"/>
        <v>0.10069444444525288</v>
      </c>
      <c r="AN374" s="75"/>
      <c r="AO374" s="61" t="s">
        <v>427</v>
      </c>
      <c r="AP374" s="62" t="s">
        <v>1288</v>
      </c>
      <c r="AQ374" s="78" t="s">
        <v>1329</v>
      </c>
      <c r="AR374" s="64">
        <v>44874.725694444445</v>
      </c>
      <c r="AS374" s="57" t="s">
        <v>173</v>
      </c>
      <c r="AT374" s="61" t="s">
        <v>225</v>
      </c>
      <c r="AU374" s="63">
        <v>0.72569444444444453</v>
      </c>
      <c r="AV374" s="61">
        <v>2</v>
      </c>
      <c r="AW374" s="61" t="s">
        <v>66</v>
      </c>
      <c r="AX374" s="76"/>
      <c r="AY374" s="76"/>
      <c r="AZ374" s="76"/>
      <c r="BA374" s="76"/>
      <c r="BB374" s="74"/>
    </row>
    <row r="375" spans="1:54" ht="15.75" thickBot="1" x14ac:dyDescent="0.3">
      <c r="A375" s="73">
        <v>191</v>
      </c>
      <c r="B375" s="72">
        <v>44874.625</v>
      </c>
      <c r="C375" s="67">
        <v>0.625</v>
      </c>
      <c r="D375" s="67">
        <v>0.65277777777777779</v>
      </c>
      <c r="E375" s="67">
        <v>0.65972222222222221</v>
      </c>
      <c r="F375" s="68" t="s">
        <v>169</v>
      </c>
      <c r="G375" s="68" t="s">
        <v>381</v>
      </c>
      <c r="H375" s="66" t="s">
        <v>410</v>
      </c>
      <c r="I375" s="66" t="s">
        <v>411</v>
      </c>
      <c r="J375" s="66" t="s">
        <v>37</v>
      </c>
      <c r="K375" s="68" t="s">
        <v>233</v>
      </c>
      <c r="L375" s="66" t="s">
        <v>208</v>
      </c>
      <c r="M375" s="68" t="s">
        <v>1288</v>
      </c>
      <c r="N375" s="68" t="s">
        <v>1289</v>
      </c>
      <c r="O375" s="68" t="s">
        <v>1290</v>
      </c>
      <c r="P375" s="68" t="s">
        <v>1291</v>
      </c>
      <c r="Q375" s="303">
        <f t="shared" si="46"/>
        <v>0</v>
      </c>
      <c r="R375" s="303">
        <f t="shared" si="47"/>
        <v>0</v>
      </c>
      <c r="S375" s="68">
        <v>0</v>
      </c>
      <c r="T375" s="68">
        <v>0</v>
      </c>
      <c r="U375" s="68">
        <v>0</v>
      </c>
      <c r="V375" s="68">
        <v>0</v>
      </c>
      <c r="W375" s="68">
        <v>0</v>
      </c>
      <c r="X375" s="68">
        <v>40</v>
      </c>
      <c r="Y375" s="68">
        <v>16</v>
      </c>
      <c r="Z375" s="68">
        <v>23</v>
      </c>
      <c r="AA375" s="68">
        <v>10</v>
      </c>
      <c r="AB375" s="300">
        <f t="shared" si="48"/>
        <v>24.533333333333335</v>
      </c>
      <c r="AC375" s="300">
        <f t="shared" si="49"/>
        <v>0.14779116465863454</v>
      </c>
      <c r="AD375" s="68">
        <v>0</v>
      </c>
      <c r="AE375" s="68">
        <v>0</v>
      </c>
      <c r="AF375" s="68">
        <v>5335123</v>
      </c>
      <c r="AG375" s="68" t="s">
        <v>1292</v>
      </c>
      <c r="AH375" s="68" t="s">
        <v>1293</v>
      </c>
      <c r="AI375" s="309"/>
      <c r="AJ375" s="309"/>
      <c r="AK375" s="68" t="s">
        <v>48</v>
      </c>
      <c r="AL375" s="68" t="s">
        <v>50</v>
      </c>
      <c r="AM375" s="299">
        <f t="shared" ca="1" si="45"/>
        <v>0.10069444444525288</v>
      </c>
      <c r="AN375" s="75"/>
      <c r="AO375" s="61" t="s">
        <v>427</v>
      </c>
      <c r="AP375" s="62" t="s">
        <v>1288</v>
      </c>
      <c r="AQ375" s="78" t="s">
        <v>1329</v>
      </c>
      <c r="AR375" s="64">
        <v>44874.725694444445</v>
      </c>
      <c r="AS375" s="57" t="s">
        <v>173</v>
      </c>
      <c r="AT375" s="61" t="s">
        <v>225</v>
      </c>
      <c r="AU375" s="63">
        <v>0.72569444444444453</v>
      </c>
      <c r="AV375" s="61">
        <v>2</v>
      </c>
      <c r="AW375" s="61" t="s">
        <v>66</v>
      </c>
      <c r="AX375" s="76"/>
      <c r="AY375" s="76"/>
      <c r="AZ375" s="76"/>
      <c r="BA375" s="76"/>
      <c r="BB375" s="74"/>
    </row>
    <row r="376" spans="1:54" ht="15.75" thickBot="1" x14ac:dyDescent="0.3">
      <c r="A376" s="73">
        <v>191</v>
      </c>
      <c r="B376" s="72">
        <v>44874.625</v>
      </c>
      <c r="C376" s="67">
        <v>0.625</v>
      </c>
      <c r="D376" s="67">
        <v>0.65277777777777779</v>
      </c>
      <c r="E376" s="67">
        <v>0.65972222222222221</v>
      </c>
      <c r="F376" s="68" t="s">
        <v>169</v>
      </c>
      <c r="G376" s="68" t="s">
        <v>381</v>
      </c>
      <c r="H376" s="66" t="s">
        <v>410</v>
      </c>
      <c r="I376" s="66" t="s">
        <v>411</v>
      </c>
      <c r="J376" s="66" t="s">
        <v>37</v>
      </c>
      <c r="K376" s="68" t="s">
        <v>233</v>
      </c>
      <c r="L376" s="66" t="s">
        <v>208</v>
      </c>
      <c r="M376" s="68" t="s">
        <v>1288</v>
      </c>
      <c r="N376" s="68" t="s">
        <v>1289</v>
      </c>
      <c r="O376" s="68" t="s">
        <v>1290</v>
      </c>
      <c r="P376" s="68" t="s">
        <v>1291</v>
      </c>
      <c r="Q376" s="303">
        <f t="shared" si="46"/>
        <v>0</v>
      </c>
      <c r="R376" s="303">
        <f t="shared" si="47"/>
        <v>0</v>
      </c>
      <c r="S376" s="68">
        <v>0</v>
      </c>
      <c r="T376" s="68">
        <v>0</v>
      </c>
      <c r="U376" s="68">
        <v>0</v>
      </c>
      <c r="V376" s="68">
        <v>0</v>
      </c>
      <c r="W376" s="68">
        <v>0</v>
      </c>
      <c r="X376" s="68">
        <v>51</v>
      </c>
      <c r="Y376" s="68">
        <v>24</v>
      </c>
      <c r="Z376" s="68">
        <v>39</v>
      </c>
      <c r="AA376" s="68">
        <v>6</v>
      </c>
      <c r="AB376" s="300">
        <f t="shared" si="48"/>
        <v>47.735999999999997</v>
      </c>
      <c r="AC376" s="300">
        <f t="shared" si="49"/>
        <v>0.28756626506024097</v>
      </c>
      <c r="AD376" s="68">
        <v>0</v>
      </c>
      <c r="AE376" s="68">
        <v>0</v>
      </c>
      <c r="AF376" s="68">
        <v>5335123</v>
      </c>
      <c r="AG376" s="68" t="s">
        <v>1292</v>
      </c>
      <c r="AH376" s="68" t="s">
        <v>1293</v>
      </c>
      <c r="AI376" s="309"/>
      <c r="AJ376" s="309"/>
      <c r="AK376" s="68" t="s">
        <v>48</v>
      </c>
      <c r="AL376" s="68" t="s">
        <v>50</v>
      </c>
      <c r="AM376" s="299">
        <f t="shared" ca="1" si="45"/>
        <v>0.10069444444525288</v>
      </c>
      <c r="AN376" s="75"/>
      <c r="AO376" s="61" t="s">
        <v>427</v>
      </c>
      <c r="AP376" s="62" t="s">
        <v>1288</v>
      </c>
      <c r="AQ376" s="78" t="s">
        <v>1329</v>
      </c>
      <c r="AR376" s="64">
        <v>44874.725694444445</v>
      </c>
      <c r="AS376" s="57" t="s">
        <v>173</v>
      </c>
      <c r="AT376" s="61" t="s">
        <v>225</v>
      </c>
      <c r="AU376" s="63">
        <v>0.72569444444444453</v>
      </c>
      <c r="AV376" s="61">
        <v>2</v>
      </c>
      <c r="AW376" s="61" t="s">
        <v>66</v>
      </c>
      <c r="AX376" s="76"/>
      <c r="AY376" s="76"/>
      <c r="AZ376" s="76"/>
      <c r="BA376" s="76"/>
      <c r="BB376" s="74"/>
    </row>
    <row r="377" spans="1:54" ht="15.75" thickBot="1" x14ac:dyDescent="0.3">
      <c r="A377" s="73">
        <v>191</v>
      </c>
      <c r="B377" s="72">
        <v>44874.625</v>
      </c>
      <c r="C377" s="67">
        <v>0.625</v>
      </c>
      <c r="D377" s="67">
        <v>0.65277777777777779</v>
      </c>
      <c r="E377" s="67">
        <v>0.65972222222222221</v>
      </c>
      <c r="F377" s="68" t="s">
        <v>169</v>
      </c>
      <c r="G377" s="68" t="s">
        <v>381</v>
      </c>
      <c r="H377" s="66" t="s">
        <v>410</v>
      </c>
      <c r="I377" s="66" t="s">
        <v>411</v>
      </c>
      <c r="J377" s="66" t="s">
        <v>37</v>
      </c>
      <c r="K377" s="68" t="s">
        <v>233</v>
      </c>
      <c r="L377" s="66" t="s">
        <v>208</v>
      </c>
      <c r="M377" s="68" t="s">
        <v>1288</v>
      </c>
      <c r="N377" s="68" t="s">
        <v>1289</v>
      </c>
      <c r="O377" s="68" t="s">
        <v>1290</v>
      </c>
      <c r="P377" s="68" t="s">
        <v>1291</v>
      </c>
      <c r="Q377" s="303">
        <f t="shared" si="46"/>
        <v>0</v>
      </c>
      <c r="R377" s="303">
        <f t="shared" si="47"/>
        <v>0</v>
      </c>
      <c r="S377" s="68">
        <v>0</v>
      </c>
      <c r="T377" s="68">
        <v>0</v>
      </c>
      <c r="U377" s="68">
        <v>0</v>
      </c>
      <c r="V377" s="68">
        <v>0</v>
      </c>
      <c r="W377" s="68">
        <v>0</v>
      </c>
      <c r="X377" s="68">
        <v>70</v>
      </c>
      <c r="Y377" s="68">
        <v>47</v>
      </c>
      <c r="Z377" s="68">
        <v>38</v>
      </c>
      <c r="AA377" s="68">
        <v>64</v>
      </c>
      <c r="AB377" s="300">
        <f t="shared" si="48"/>
        <v>1333.5466666666666</v>
      </c>
      <c r="AC377" s="300">
        <f t="shared" si="49"/>
        <v>8.0334136546184745</v>
      </c>
      <c r="AD377" s="68">
        <v>0</v>
      </c>
      <c r="AE377" s="68">
        <v>0</v>
      </c>
      <c r="AF377" s="68">
        <v>5335123</v>
      </c>
      <c r="AG377" s="68" t="s">
        <v>1292</v>
      </c>
      <c r="AH377" s="68" t="s">
        <v>1293</v>
      </c>
      <c r="AI377" s="309"/>
      <c r="AJ377" s="309"/>
      <c r="AK377" s="68" t="s">
        <v>48</v>
      </c>
      <c r="AL377" s="68" t="s">
        <v>50</v>
      </c>
      <c r="AM377" s="299">
        <f t="shared" ca="1" si="45"/>
        <v>0.10069444444525288</v>
      </c>
      <c r="AN377" s="75"/>
      <c r="AO377" s="61" t="s">
        <v>427</v>
      </c>
      <c r="AP377" s="62" t="s">
        <v>1288</v>
      </c>
      <c r="AQ377" s="78" t="s">
        <v>1329</v>
      </c>
      <c r="AR377" s="64">
        <v>44874.725694444445</v>
      </c>
      <c r="AS377" s="57" t="s">
        <v>173</v>
      </c>
      <c r="AT377" s="61" t="s">
        <v>225</v>
      </c>
      <c r="AU377" s="63">
        <v>0.72569444444444453</v>
      </c>
      <c r="AV377" s="61">
        <v>2</v>
      </c>
      <c r="AW377" s="61" t="s">
        <v>66</v>
      </c>
      <c r="AX377" s="76"/>
      <c r="AY377" s="76"/>
      <c r="AZ377" s="76"/>
      <c r="BA377" s="76"/>
      <c r="BB377" s="74"/>
    </row>
    <row r="378" spans="1:54" ht="15.75" thickBot="1" x14ac:dyDescent="0.3">
      <c r="A378" s="73">
        <v>192</v>
      </c>
      <c r="B378" s="72">
        <v>44874.659722222219</v>
      </c>
      <c r="C378" s="67">
        <v>0.65972222222222221</v>
      </c>
      <c r="D378" s="67">
        <v>0.66666666666666663</v>
      </c>
      <c r="E378" s="67">
        <v>0.67361111111111116</v>
      </c>
      <c r="F378" s="68" t="s">
        <v>169</v>
      </c>
      <c r="G378" s="68" t="s">
        <v>1294</v>
      </c>
      <c r="H378" s="66" t="s">
        <v>204</v>
      </c>
      <c r="I378" s="66" t="s">
        <v>1295</v>
      </c>
      <c r="J378" s="66" t="s">
        <v>37</v>
      </c>
      <c r="K378" s="66" t="s">
        <v>63</v>
      </c>
      <c r="L378" s="66" t="s">
        <v>212</v>
      </c>
      <c r="M378" s="68" t="s">
        <v>1296</v>
      </c>
      <c r="N378" s="68" t="s">
        <v>42</v>
      </c>
      <c r="O378" s="68" t="s">
        <v>1297</v>
      </c>
      <c r="P378" s="68">
        <v>2046668</v>
      </c>
      <c r="Q378" s="303">
        <f t="shared" si="46"/>
        <v>3</v>
      </c>
      <c r="R378" s="303">
        <f t="shared" si="47"/>
        <v>423</v>
      </c>
      <c r="S378" s="68">
        <v>0</v>
      </c>
      <c r="T378" s="68">
        <v>0</v>
      </c>
      <c r="U378" s="68">
        <v>3</v>
      </c>
      <c r="V378" s="68">
        <v>423</v>
      </c>
      <c r="W378" s="68">
        <v>442.7</v>
      </c>
      <c r="X378" s="68">
        <v>54</v>
      </c>
      <c r="Y378" s="68">
        <v>52</v>
      </c>
      <c r="Z378" s="68">
        <v>50</v>
      </c>
      <c r="AA378" s="68">
        <v>1</v>
      </c>
      <c r="AB378" s="300">
        <f t="shared" si="48"/>
        <v>23.4</v>
      </c>
      <c r="AC378" s="300">
        <f t="shared" si="49"/>
        <v>0.14096385542168674</v>
      </c>
      <c r="AD378" s="68">
        <v>8264.9</v>
      </c>
      <c r="AE378" s="68" t="s">
        <v>109</v>
      </c>
      <c r="AF378" s="68" t="s">
        <v>317</v>
      </c>
      <c r="AG378" s="68" t="s">
        <v>317</v>
      </c>
      <c r="AH378" s="68" t="s">
        <v>1298</v>
      </c>
      <c r="AI378" s="309"/>
      <c r="AJ378" s="309"/>
      <c r="AK378" s="68" t="s">
        <v>41</v>
      </c>
      <c r="AL378" s="68" t="s">
        <v>47</v>
      </c>
      <c r="AM378" s="299">
        <f t="shared" ca="1" si="45"/>
        <v>0.95486111111677019</v>
      </c>
      <c r="AN378" s="75"/>
      <c r="AO378" s="61" t="s">
        <v>386</v>
      </c>
      <c r="AP378" s="62" t="s">
        <v>1296</v>
      </c>
      <c r="AQ378" s="61" t="s">
        <v>1394</v>
      </c>
      <c r="AR378" s="64">
        <v>44875.614583333336</v>
      </c>
      <c r="AS378" s="61" t="s">
        <v>126</v>
      </c>
      <c r="AT378" s="61" t="s">
        <v>225</v>
      </c>
      <c r="AU378" s="63">
        <v>0.61458333333333337</v>
      </c>
      <c r="AV378" s="61">
        <v>2</v>
      </c>
      <c r="AW378" s="61" t="s">
        <v>66</v>
      </c>
      <c r="AX378" s="76"/>
      <c r="AY378" s="76"/>
      <c r="AZ378" s="76"/>
      <c r="BA378" s="76"/>
      <c r="BB378" s="74"/>
    </row>
    <row r="379" spans="1:54" ht="15.75" thickBot="1" x14ac:dyDescent="0.3">
      <c r="A379" s="73">
        <v>192</v>
      </c>
      <c r="B379" s="72">
        <v>44874.659722222219</v>
      </c>
      <c r="C379" s="67">
        <v>0.65972222222222221</v>
      </c>
      <c r="D379" s="67">
        <v>0.66666666666666663</v>
      </c>
      <c r="E379" s="67">
        <v>0.67361111111111116</v>
      </c>
      <c r="F379" s="68" t="s">
        <v>169</v>
      </c>
      <c r="G379" s="68" t="s">
        <v>1294</v>
      </c>
      <c r="H379" s="66" t="s">
        <v>204</v>
      </c>
      <c r="I379" s="66" t="s">
        <v>1295</v>
      </c>
      <c r="J379" s="66" t="s">
        <v>37</v>
      </c>
      <c r="K379" s="66" t="s">
        <v>63</v>
      </c>
      <c r="L379" s="66" t="s">
        <v>212</v>
      </c>
      <c r="M379" s="68" t="s">
        <v>1296</v>
      </c>
      <c r="N379" s="68" t="s">
        <v>42</v>
      </c>
      <c r="O379" s="68" t="s">
        <v>1297</v>
      </c>
      <c r="P379" s="68">
        <v>2046668</v>
      </c>
      <c r="Q379" s="303">
        <f t="shared" si="46"/>
        <v>0</v>
      </c>
      <c r="R379" s="303">
        <f t="shared" si="47"/>
        <v>0</v>
      </c>
      <c r="S379" s="68">
        <v>0</v>
      </c>
      <c r="T379" s="68">
        <v>0</v>
      </c>
      <c r="U379" s="68">
        <v>0</v>
      </c>
      <c r="V379" s="68">
        <v>0</v>
      </c>
      <c r="W379" s="68">
        <v>0</v>
      </c>
      <c r="X379" s="68">
        <v>75</v>
      </c>
      <c r="Y379" s="68">
        <v>62</v>
      </c>
      <c r="Z379" s="68">
        <v>57</v>
      </c>
      <c r="AA379" s="68">
        <v>1</v>
      </c>
      <c r="AB379" s="300">
        <f t="shared" si="48"/>
        <v>44.174999999999997</v>
      </c>
      <c r="AC379" s="300">
        <f t="shared" si="49"/>
        <v>0.26611445783132526</v>
      </c>
      <c r="AD379" s="68">
        <v>0</v>
      </c>
      <c r="AE379" s="68">
        <v>0</v>
      </c>
      <c r="AF379" s="68" t="s">
        <v>317</v>
      </c>
      <c r="AG379" s="68" t="s">
        <v>317</v>
      </c>
      <c r="AH379" s="68" t="s">
        <v>1298</v>
      </c>
      <c r="AI379" s="309"/>
      <c r="AJ379" s="309"/>
      <c r="AK379" s="68" t="s">
        <v>41</v>
      </c>
      <c r="AL379" s="68" t="s">
        <v>47</v>
      </c>
      <c r="AM379" s="299">
        <f t="shared" ca="1" si="45"/>
        <v>0.95486111111677019</v>
      </c>
      <c r="AN379" s="75"/>
      <c r="AO379" s="61" t="s">
        <v>386</v>
      </c>
      <c r="AP379" s="62" t="s">
        <v>1296</v>
      </c>
      <c r="AQ379" s="61" t="s">
        <v>1394</v>
      </c>
      <c r="AR379" s="64">
        <v>44875.614583333336</v>
      </c>
      <c r="AS379" s="61" t="s">
        <v>126</v>
      </c>
      <c r="AT379" s="61" t="s">
        <v>225</v>
      </c>
      <c r="AU379" s="63">
        <v>0.61458333333333337</v>
      </c>
      <c r="AV379" s="61">
        <v>2</v>
      </c>
      <c r="AW379" s="61" t="s">
        <v>66</v>
      </c>
      <c r="AX379" s="76"/>
      <c r="AY379" s="76"/>
      <c r="AZ379" s="76"/>
      <c r="BA379" s="76"/>
      <c r="BB379" s="74"/>
    </row>
    <row r="380" spans="1:54" ht="15.75" thickBot="1" x14ac:dyDescent="0.3">
      <c r="A380" s="73">
        <v>192</v>
      </c>
      <c r="B380" s="72">
        <v>44874.659722222219</v>
      </c>
      <c r="C380" s="67">
        <v>0.65972222222222221</v>
      </c>
      <c r="D380" s="67">
        <v>0.66666666666666663</v>
      </c>
      <c r="E380" s="67">
        <v>0.67361111111111116</v>
      </c>
      <c r="F380" s="68" t="s">
        <v>169</v>
      </c>
      <c r="G380" s="68" t="s">
        <v>1294</v>
      </c>
      <c r="H380" s="66" t="s">
        <v>204</v>
      </c>
      <c r="I380" s="66" t="s">
        <v>1295</v>
      </c>
      <c r="J380" s="66" t="s">
        <v>37</v>
      </c>
      <c r="K380" s="66" t="s">
        <v>63</v>
      </c>
      <c r="L380" s="66" t="s">
        <v>212</v>
      </c>
      <c r="M380" s="68" t="s">
        <v>1296</v>
      </c>
      <c r="N380" s="68" t="s">
        <v>42</v>
      </c>
      <c r="O380" s="68" t="s">
        <v>1297</v>
      </c>
      <c r="P380" s="68">
        <v>2046668</v>
      </c>
      <c r="Q380" s="303">
        <f t="shared" si="46"/>
        <v>0</v>
      </c>
      <c r="R380" s="303">
        <f t="shared" si="47"/>
        <v>0</v>
      </c>
      <c r="S380" s="68">
        <v>0</v>
      </c>
      <c r="T380" s="68">
        <v>0</v>
      </c>
      <c r="U380" s="68">
        <v>0</v>
      </c>
      <c r="V380" s="68">
        <v>0</v>
      </c>
      <c r="W380" s="68">
        <v>0</v>
      </c>
      <c r="X380" s="68">
        <v>45</v>
      </c>
      <c r="Y380" s="68">
        <v>44</v>
      </c>
      <c r="Z380" s="68">
        <v>49</v>
      </c>
      <c r="AA380" s="68">
        <v>1</v>
      </c>
      <c r="AB380" s="300">
        <f t="shared" si="48"/>
        <v>16.170000000000002</v>
      </c>
      <c r="AC380" s="300">
        <f t="shared" si="49"/>
        <v>9.7409638554216874E-2</v>
      </c>
      <c r="AD380" s="68">
        <v>0</v>
      </c>
      <c r="AE380" s="68">
        <v>0</v>
      </c>
      <c r="AF380" s="68" t="s">
        <v>317</v>
      </c>
      <c r="AG380" s="68" t="s">
        <v>317</v>
      </c>
      <c r="AH380" s="68" t="s">
        <v>1298</v>
      </c>
      <c r="AI380" s="309"/>
      <c r="AJ380" s="309"/>
      <c r="AK380" s="68" t="s">
        <v>41</v>
      </c>
      <c r="AL380" s="68" t="s">
        <v>47</v>
      </c>
      <c r="AM380" s="299">
        <f t="shared" ca="1" si="45"/>
        <v>0.95486111111677019</v>
      </c>
      <c r="AN380" s="75"/>
      <c r="AO380" s="61" t="s">
        <v>386</v>
      </c>
      <c r="AP380" s="62" t="s">
        <v>1296</v>
      </c>
      <c r="AQ380" s="61" t="s">
        <v>1394</v>
      </c>
      <c r="AR380" s="64">
        <v>44875.614583333336</v>
      </c>
      <c r="AS380" s="61" t="s">
        <v>126</v>
      </c>
      <c r="AT380" s="61" t="s">
        <v>225</v>
      </c>
      <c r="AU380" s="63">
        <v>0.61458333333333337</v>
      </c>
      <c r="AV380" s="61">
        <v>2</v>
      </c>
      <c r="AW380" s="61" t="s">
        <v>66</v>
      </c>
      <c r="AX380" s="76"/>
      <c r="AY380" s="76"/>
      <c r="AZ380" s="76"/>
      <c r="BA380" s="76"/>
      <c r="BB380" s="74"/>
    </row>
    <row r="381" spans="1:54" ht="15.75" thickBot="1" x14ac:dyDescent="0.3">
      <c r="A381" s="73">
        <v>193</v>
      </c>
      <c r="B381" s="72">
        <v>44874.666666666664</v>
      </c>
      <c r="C381" s="67">
        <v>0.66666666666666663</v>
      </c>
      <c r="D381" s="67">
        <v>0.67361111111111116</v>
      </c>
      <c r="E381" s="67">
        <v>0.68402777777777779</v>
      </c>
      <c r="F381" s="68" t="s">
        <v>170</v>
      </c>
      <c r="G381" s="68" t="s">
        <v>235</v>
      </c>
      <c r="H381" s="66" t="s">
        <v>1043</v>
      </c>
      <c r="I381" s="66" t="s">
        <v>1299</v>
      </c>
      <c r="J381" s="66" t="s">
        <v>37</v>
      </c>
      <c r="K381" s="66" t="s">
        <v>63</v>
      </c>
      <c r="L381" s="66">
        <v>0</v>
      </c>
      <c r="M381" s="68" t="s">
        <v>1300</v>
      </c>
      <c r="N381" s="68" t="s">
        <v>1301</v>
      </c>
      <c r="O381" s="68">
        <v>251800394</v>
      </c>
      <c r="P381" s="68">
        <v>11479</v>
      </c>
      <c r="Q381" s="303">
        <f t="shared" si="46"/>
        <v>1</v>
      </c>
      <c r="R381" s="303">
        <f t="shared" si="47"/>
        <v>66</v>
      </c>
      <c r="S381" s="68">
        <v>0</v>
      </c>
      <c r="T381" s="68">
        <v>0</v>
      </c>
      <c r="U381" s="68">
        <v>1</v>
      </c>
      <c r="V381" s="68">
        <v>66</v>
      </c>
      <c r="W381" s="68">
        <v>70</v>
      </c>
      <c r="X381" s="68">
        <v>160</v>
      </c>
      <c r="Y381" s="68">
        <v>22</v>
      </c>
      <c r="Z381" s="68">
        <v>34</v>
      </c>
      <c r="AA381" s="68">
        <v>1</v>
      </c>
      <c r="AB381" s="300">
        <f t="shared" si="48"/>
        <v>19.946666666666665</v>
      </c>
      <c r="AC381" s="300">
        <f t="shared" si="49"/>
        <v>0.12016064257028111</v>
      </c>
      <c r="AD381" s="68">
        <v>1070.82</v>
      </c>
      <c r="AE381" s="68" t="s">
        <v>109</v>
      </c>
      <c r="AF381" s="68" t="s">
        <v>317</v>
      </c>
      <c r="AG381" s="68" t="s">
        <v>317</v>
      </c>
      <c r="AH381" s="68" t="s">
        <v>1302</v>
      </c>
      <c r="AI381" s="309"/>
      <c r="AJ381" s="309"/>
      <c r="AK381" s="68" t="s">
        <v>37</v>
      </c>
      <c r="AL381" s="68" t="s">
        <v>47</v>
      </c>
      <c r="AM381" s="299">
        <f t="shared" ca="1" si="45"/>
        <v>0.875</v>
      </c>
      <c r="AN381" s="75"/>
      <c r="AO381" s="61" t="s">
        <v>1391</v>
      </c>
      <c r="AP381" s="62" t="s">
        <v>1392</v>
      </c>
      <c r="AQ381" s="61" t="s">
        <v>1393</v>
      </c>
      <c r="AR381" s="64">
        <v>44875.541666666664</v>
      </c>
      <c r="AS381" s="57" t="s">
        <v>173</v>
      </c>
      <c r="AT381" s="61" t="s">
        <v>225</v>
      </c>
      <c r="AU381" s="63">
        <v>0.54166666666666663</v>
      </c>
      <c r="AV381" s="61">
        <v>2</v>
      </c>
      <c r="AW381" s="61" t="s">
        <v>66</v>
      </c>
      <c r="AX381" s="76"/>
      <c r="AY381" s="76"/>
      <c r="AZ381" s="76"/>
      <c r="BA381" s="76"/>
      <c r="BB381" s="74"/>
    </row>
    <row r="382" spans="1:54" ht="15.75" thickBot="1" x14ac:dyDescent="0.3">
      <c r="A382" s="73">
        <v>194</v>
      </c>
      <c r="B382" s="72">
        <v>44874.666666666664</v>
      </c>
      <c r="C382" s="67">
        <v>0.66666666666666663</v>
      </c>
      <c r="D382" s="67">
        <v>0.67361111111111116</v>
      </c>
      <c r="E382" s="67">
        <v>0.68402777777777779</v>
      </c>
      <c r="F382" s="68" t="s">
        <v>170</v>
      </c>
      <c r="G382" s="68" t="s">
        <v>235</v>
      </c>
      <c r="H382" s="66" t="s">
        <v>227</v>
      </c>
      <c r="I382" s="66" t="s">
        <v>189</v>
      </c>
      <c r="J382" s="66" t="s">
        <v>37</v>
      </c>
      <c r="K382" s="66" t="s">
        <v>63</v>
      </c>
      <c r="L382" s="70" t="s">
        <v>206</v>
      </c>
      <c r="M382" s="68" t="s">
        <v>1303</v>
      </c>
      <c r="N382" s="68" t="s">
        <v>42</v>
      </c>
      <c r="O382" s="68" t="s">
        <v>1304</v>
      </c>
      <c r="P382" s="68" t="s">
        <v>1305</v>
      </c>
      <c r="Q382" s="303">
        <f t="shared" si="46"/>
        <v>5</v>
      </c>
      <c r="R382" s="303">
        <f t="shared" si="47"/>
        <v>278</v>
      </c>
      <c r="S382" s="68">
        <v>4</v>
      </c>
      <c r="T382" s="68">
        <v>74</v>
      </c>
      <c r="U382" s="68">
        <v>1</v>
      </c>
      <c r="V382" s="68">
        <v>204</v>
      </c>
      <c r="W382" s="68">
        <v>273.27</v>
      </c>
      <c r="X382" s="68">
        <v>83</v>
      </c>
      <c r="Y382" s="68">
        <v>54</v>
      </c>
      <c r="Z382" s="68">
        <v>62</v>
      </c>
      <c r="AA382" s="68">
        <v>4</v>
      </c>
      <c r="AB382" s="300">
        <f t="shared" si="48"/>
        <v>185.256</v>
      </c>
      <c r="AC382" s="300">
        <f t="shared" si="49"/>
        <v>1.1160000000000001</v>
      </c>
      <c r="AD382" s="68" t="s">
        <v>48</v>
      </c>
      <c r="AE382" s="68" t="s">
        <v>48</v>
      </c>
      <c r="AF382" s="68" t="s">
        <v>317</v>
      </c>
      <c r="AG382" s="68" t="s">
        <v>317</v>
      </c>
      <c r="AH382" s="68" t="s">
        <v>1306</v>
      </c>
      <c r="AI382" s="309"/>
      <c r="AJ382" s="309"/>
      <c r="AK382" s="68" t="s">
        <v>48</v>
      </c>
      <c r="AL382" s="68" t="s">
        <v>47</v>
      </c>
      <c r="AM382" s="299">
        <f t="shared" ca="1" si="45"/>
        <v>0.15625</v>
      </c>
      <c r="AN382" s="75"/>
      <c r="AO382" s="78" t="s">
        <v>89</v>
      </c>
      <c r="AP382" s="61" t="s">
        <v>1336</v>
      </c>
      <c r="AQ382" s="61" t="s">
        <v>1337</v>
      </c>
      <c r="AR382" s="64">
        <v>44874.822916666664</v>
      </c>
      <c r="AS382" s="61" t="s">
        <v>136</v>
      </c>
      <c r="AT382" s="61" t="s">
        <v>225</v>
      </c>
      <c r="AU382" s="63">
        <v>0.82291666666666663</v>
      </c>
      <c r="AV382" s="61">
        <v>3</v>
      </c>
      <c r="AW382" s="76"/>
      <c r="AX382" s="76"/>
      <c r="AY382" s="76"/>
      <c r="AZ382" s="76"/>
      <c r="BA382" s="76"/>
      <c r="BB382" s="74"/>
    </row>
    <row r="383" spans="1:54" ht="15.75" thickBot="1" x14ac:dyDescent="0.3">
      <c r="A383" s="73">
        <v>194</v>
      </c>
      <c r="B383" s="72">
        <v>44874.666666666664</v>
      </c>
      <c r="C383" s="67">
        <v>0.66666666666666663</v>
      </c>
      <c r="D383" s="67">
        <v>0.67361111111111116</v>
      </c>
      <c r="E383" s="67">
        <v>0.68402777777777779</v>
      </c>
      <c r="F383" s="68" t="s">
        <v>170</v>
      </c>
      <c r="G383" s="68" t="s">
        <v>235</v>
      </c>
      <c r="H383" s="66" t="s">
        <v>227</v>
      </c>
      <c r="I383" s="66" t="s">
        <v>189</v>
      </c>
      <c r="J383" s="66" t="s">
        <v>37</v>
      </c>
      <c r="K383" s="66" t="s">
        <v>63</v>
      </c>
      <c r="L383" s="70" t="s">
        <v>206</v>
      </c>
      <c r="M383" s="68" t="s">
        <v>1303</v>
      </c>
      <c r="N383" s="68" t="s">
        <v>42</v>
      </c>
      <c r="O383" s="68" t="s">
        <v>1304</v>
      </c>
      <c r="P383" s="68" t="s">
        <v>1305</v>
      </c>
      <c r="Q383" s="303">
        <f t="shared" si="46"/>
        <v>0</v>
      </c>
      <c r="R383" s="303">
        <f t="shared" si="47"/>
        <v>0</v>
      </c>
      <c r="S383" s="68">
        <v>0</v>
      </c>
      <c r="T383" s="68">
        <v>0</v>
      </c>
      <c r="U383" s="68">
        <v>0</v>
      </c>
      <c r="V383" s="68">
        <v>0</v>
      </c>
      <c r="W383" s="68">
        <v>0</v>
      </c>
      <c r="X383" s="68">
        <v>160</v>
      </c>
      <c r="Y383" s="68">
        <v>137</v>
      </c>
      <c r="Z383" s="68">
        <v>78</v>
      </c>
      <c r="AA383" s="68">
        <v>1</v>
      </c>
      <c r="AB383" s="300">
        <f t="shared" si="48"/>
        <v>284.95999999999998</v>
      </c>
      <c r="AC383" s="300">
        <f t="shared" si="49"/>
        <v>1.7166265060240962</v>
      </c>
      <c r="AD383" s="68">
        <v>0</v>
      </c>
      <c r="AE383" s="68">
        <v>0</v>
      </c>
      <c r="AF383" s="68" t="s">
        <v>317</v>
      </c>
      <c r="AG383" s="68" t="s">
        <v>317</v>
      </c>
      <c r="AH383" s="68" t="s">
        <v>1306</v>
      </c>
      <c r="AI383" s="309"/>
      <c r="AJ383" s="309"/>
      <c r="AK383" s="68" t="s">
        <v>37</v>
      </c>
      <c r="AL383" s="68" t="s">
        <v>47</v>
      </c>
      <c r="AM383" s="299">
        <f t="shared" ca="1" si="45"/>
        <v>0.15625</v>
      </c>
      <c r="AN383" s="75"/>
      <c r="AO383" s="78" t="s">
        <v>89</v>
      </c>
      <c r="AP383" s="61" t="s">
        <v>1336</v>
      </c>
      <c r="AQ383" s="61" t="s">
        <v>1337</v>
      </c>
      <c r="AR383" s="64">
        <v>44874.822916666664</v>
      </c>
      <c r="AS383" s="61" t="s">
        <v>136</v>
      </c>
      <c r="AT383" s="61" t="s">
        <v>225</v>
      </c>
      <c r="AU383" s="63">
        <v>0.82291666666666663</v>
      </c>
      <c r="AV383" s="61">
        <v>3</v>
      </c>
      <c r="AW383" s="76"/>
      <c r="AX383" s="76"/>
      <c r="AY383" s="76"/>
      <c r="AZ383" s="76"/>
      <c r="BA383" s="76"/>
      <c r="BB383" s="74"/>
    </row>
    <row r="384" spans="1:54" ht="15.75" thickBot="1" x14ac:dyDescent="0.3">
      <c r="A384" s="73">
        <v>195</v>
      </c>
      <c r="B384" s="72">
        <v>44874.666666666664</v>
      </c>
      <c r="C384" s="67">
        <v>0.66666666666666663</v>
      </c>
      <c r="D384" s="67">
        <v>0.67361111111111116</v>
      </c>
      <c r="E384" s="67">
        <v>0.68402777777777779</v>
      </c>
      <c r="F384" s="68" t="s">
        <v>170</v>
      </c>
      <c r="G384" s="68" t="s">
        <v>235</v>
      </c>
      <c r="H384" s="66" t="s">
        <v>227</v>
      </c>
      <c r="I384" s="66" t="s">
        <v>189</v>
      </c>
      <c r="J384" s="66" t="s">
        <v>37</v>
      </c>
      <c r="K384" s="66" t="s">
        <v>63</v>
      </c>
      <c r="L384" s="70" t="s">
        <v>206</v>
      </c>
      <c r="M384" s="68" t="s">
        <v>1307</v>
      </c>
      <c r="N384" s="68" t="s">
        <v>43</v>
      </c>
      <c r="O384" s="68" t="s">
        <v>1308</v>
      </c>
      <c r="P384" s="68" t="s">
        <v>1309</v>
      </c>
      <c r="Q384" s="303">
        <f t="shared" si="46"/>
        <v>4</v>
      </c>
      <c r="R384" s="303">
        <f t="shared" si="47"/>
        <v>831</v>
      </c>
      <c r="S384" s="68">
        <v>0</v>
      </c>
      <c r="T384" s="68">
        <v>0</v>
      </c>
      <c r="U384" s="68">
        <v>4</v>
      </c>
      <c r="V384" s="68">
        <v>831</v>
      </c>
      <c r="W384" s="68">
        <v>814.98</v>
      </c>
      <c r="X384" s="68">
        <v>160</v>
      </c>
      <c r="Y384" s="68">
        <v>137</v>
      </c>
      <c r="Z384" s="68">
        <v>78</v>
      </c>
      <c r="AA384" s="68">
        <v>4</v>
      </c>
      <c r="AB384" s="300">
        <f t="shared" si="48"/>
        <v>1139.8399999999999</v>
      </c>
      <c r="AC384" s="300">
        <f t="shared" si="49"/>
        <v>6.8665060240963847</v>
      </c>
      <c r="AD384" s="68" t="s">
        <v>48</v>
      </c>
      <c r="AE384" s="68" t="s">
        <v>48</v>
      </c>
      <c r="AF384" s="68" t="s">
        <v>317</v>
      </c>
      <c r="AG384" s="68" t="s">
        <v>317</v>
      </c>
      <c r="AH384" s="68" t="s">
        <v>1310</v>
      </c>
      <c r="AI384" s="309"/>
      <c r="AJ384" s="309"/>
      <c r="AK384" s="68" t="s">
        <v>37</v>
      </c>
      <c r="AL384" s="68" t="s">
        <v>47</v>
      </c>
      <c r="AM384" s="299">
        <f t="shared" ca="1" si="45"/>
        <v>0.15972222222626442</v>
      </c>
      <c r="AN384" s="75"/>
      <c r="AO384" s="78" t="s">
        <v>179</v>
      </c>
      <c r="AP384" s="61" t="s">
        <v>1339</v>
      </c>
      <c r="AQ384" s="61" t="s">
        <v>1340</v>
      </c>
      <c r="AR384" s="64">
        <v>44874.826388888891</v>
      </c>
      <c r="AS384" s="61" t="s">
        <v>117</v>
      </c>
      <c r="AT384" s="61" t="s">
        <v>225</v>
      </c>
      <c r="AU384" s="63">
        <v>0.82638888888888884</v>
      </c>
      <c r="AV384" s="61">
        <v>3</v>
      </c>
      <c r="AW384" s="61" t="s">
        <v>66</v>
      </c>
      <c r="AX384" s="76"/>
      <c r="AY384" s="76"/>
      <c r="AZ384" s="76"/>
      <c r="BA384" s="76"/>
      <c r="BB384" s="74"/>
    </row>
    <row r="385" spans="1:54" ht="15.75" thickBot="1" x14ac:dyDescent="0.3">
      <c r="A385" s="73">
        <v>196</v>
      </c>
      <c r="B385" s="72">
        <v>44874.736111111109</v>
      </c>
      <c r="C385" s="67">
        <v>0.73611111111111116</v>
      </c>
      <c r="D385" s="67">
        <v>0.75694444444444453</v>
      </c>
      <c r="E385" s="67">
        <v>0.77083333333333337</v>
      </c>
      <c r="F385" s="68" t="s">
        <v>171</v>
      </c>
      <c r="G385" s="68" t="s">
        <v>269</v>
      </c>
      <c r="H385" s="66" t="s">
        <v>91</v>
      </c>
      <c r="I385" s="66" t="s">
        <v>318</v>
      </c>
      <c r="J385" s="66" t="s">
        <v>41</v>
      </c>
      <c r="K385" s="66" t="s">
        <v>180</v>
      </c>
      <c r="L385" s="70" t="s">
        <v>206</v>
      </c>
      <c r="M385" s="68" t="s">
        <v>1311</v>
      </c>
      <c r="N385" s="68" t="s">
        <v>44</v>
      </c>
      <c r="O385" s="68">
        <v>1054968997</v>
      </c>
      <c r="P385" s="68">
        <v>1213933377</v>
      </c>
      <c r="Q385" s="303">
        <f t="shared" si="46"/>
        <v>5</v>
      </c>
      <c r="R385" s="303">
        <f t="shared" si="47"/>
        <v>1052</v>
      </c>
      <c r="S385" s="68">
        <v>0</v>
      </c>
      <c r="T385" s="68">
        <v>0</v>
      </c>
      <c r="U385" s="68">
        <v>5</v>
      </c>
      <c r="V385" s="68">
        <v>1052</v>
      </c>
      <c r="W385" s="68">
        <v>1059</v>
      </c>
      <c r="X385" s="68">
        <v>120</v>
      </c>
      <c r="Y385" s="68">
        <v>80</v>
      </c>
      <c r="Z385" s="68">
        <v>78</v>
      </c>
      <c r="AA385" s="68">
        <v>5</v>
      </c>
      <c r="AB385" s="300">
        <f t="shared" si="48"/>
        <v>624</v>
      </c>
      <c r="AC385" s="300">
        <f t="shared" si="49"/>
        <v>3.7590361445783134</v>
      </c>
      <c r="AD385" s="68">
        <v>47106.52</v>
      </c>
      <c r="AE385" s="68" t="s">
        <v>109</v>
      </c>
      <c r="AF385" s="68" t="s">
        <v>317</v>
      </c>
      <c r="AG385" s="68" t="s">
        <v>317</v>
      </c>
      <c r="AH385" s="68" t="s">
        <v>1312</v>
      </c>
      <c r="AI385" s="309"/>
      <c r="AJ385" s="309"/>
      <c r="AK385" s="68" t="s">
        <v>37</v>
      </c>
      <c r="AL385" s="68" t="s">
        <v>49</v>
      </c>
      <c r="AM385" s="299">
        <f t="shared" ca="1" si="45"/>
        <v>0.70486111110949423</v>
      </c>
      <c r="AN385" s="75"/>
      <c r="AO385" s="61" t="s">
        <v>323</v>
      </c>
      <c r="AP385" s="62" t="s">
        <v>1311</v>
      </c>
      <c r="AQ385" s="61" t="s">
        <v>1384</v>
      </c>
      <c r="AR385" s="64">
        <v>44875.440972222219</v>
      </c>
      <c r="AS385" s="57" t="s">
        <v>173</v>
      </c>
      <c r="AT385" s="61" t="s">
        <v>225</v>
      </c>
      <c r="AU385" s="63">
        <v>0.44097222222222227</v>
      </c>
      <c r="AV385" s="61">
        <v>1</v>
      </c>
      <c r="AW385" s="61" t="s">
        <v>66</v>
      </c>
      <c r="AX385" s="76"/>
      <c r="AY385" s="76"/>
      <c r="AZ385" s="76"/>
      <c r="BA385" s="76"/>
      <c r="BB385" s="74"/>
    </row>
    <row r="386" spans="1:54" ht="15.75" thickBot="1" x14ac:dyDescent="0.3">
      <c r="A386" s="73">
        <v>197</v>
      </c>
      <c r="B386" s="72">
        <v>44874.736111111109</v>
      </c>
      <c r="C386" s="67">
        <v>0.73611111111111116</v>
      </c>
      <c r="D386" s="67">
        <v>0.75694444444444453</v>
      </c>
      <c r="E386" s="67">
        <v>0.77083333333333337</v>
      </c>
      <c r="F386" s="68" t="s">
        <v>171</v>
      </c>
      <c r="G386" s="68" t="s">
        <v>269</v>
      </c>
      <c r="H386" s="66" t="s">
        <v>91</v>
      </c>
      <c r="I386" s="66" t="s">
        <v>318</v>
      </c>
      <c r="J386" s="66" t="s">
        <v>41</v>
      </c>
      <c r="K386" s="66" t="s">
        <v>180</v>
      </c>
      <c r="L386" s="70" t="s">
        <v>206</v>
      </c>
      <c r="M386" s="68" t="s">
        <v>1311</v>
      </c>
      <c r="N386" s="68" t="s">
        <v>44</v>
      </c>
      <c r="O386" s="68">
        <v>1054968994</v>
      </c>
      <c r="P386" s="68">
        <v>1213932546</v>
      </c>
      <c r="Q386" s="303">
        <f t="shared" si="46"/>
        <v>5</v>
      </c>
      <c r="R386" s="303">
        <f t="shared" si="47"/>
        <v>1052</v>
      </c>
      <c r="S386" s="68">
        <v>0</v>
      </c>
      <c r="T386" s="68">
        <v>0</v>
      </c>
      <c r="U386" s="68">
        <v>5</v>
      </c>
      <c r="V386" s="68">
        <v>1052</v>
      </c>
      <c r="W386" s="68">
        <v>1068</v>
      </c>
      <c r="X386" s="68">
        <v>120</v>
      </c>
      <c r="Y386" s="68">
        <v>80</v>
      </c>
      <c r="Z386" s="68">
        <v>78</v>
      </c>
      <c r="AA386" s="68">
        <v>5</v>
      </c>
      <c r="AB386" s="300">
        <f t="shared" si="48"/>
        <v>624</v>
      </c>
      <c r="AC386" s="300">
        <f t="shared" si="49"/>
        <v>3.7590361445783134</v>
      </c>
      <c r="AD386" s="68">
        <v>47106.52</v>
      </c>
      <c r="AE386" s="68" t="s">
        <v>109</v>
      </c>
      <c r="AF386" s="68" t="s">
        <v>317</v>
      </c>
      <c r="AG386" s="68" t="s">
        <v>317</v>
      </c>
      <c r="AH386" s="68" t="s">
        <v>1313</v>
      </c>
      <c r="AI386" s="309"/>
      <c r="AJ386" s="309"/>
      <c r="AK386" s="68" t="s">
        <v>37</v>
      </c>
      <c r="AL386" s="68" t="s">
        <v>49</v>
      </c>
      <c r="AM386" s="299">
        <f t="shared" ca="1" si="45"/>
        <v>0.70486111110949423</v>
      </c>
      <c r="AN386" s="75"/>
      <c r="AO386" s="61" t="s">
        <v>323</v>
      </c>
      <c r="AP386" s="62" t="s">
        <v>1311</v>
      </c>
      <c r="AQ386" s="61" t="s">
        <v>1384</v>
      </c>
      <c r="AR386" s="64">
        <v>44875.440972222219</v>
      </c>
      <c r="AS386" s="57" t="s">
        <v>173</v>
      </c>
      <c r="AT386" s="61" t="s">
        <v>225</v>
      </c>
      <c r="AU386" s="63">
        <v>0.44097222222222227</v>
      </c>
      <c r="AV386" s="61">
        <v>1</v>
      </c>
      <c r="AW386" s="61" t="s">
        <v>66</v>
      </c>
      <c r="AX386" s="76"/>
      <c r="AY386" s="76"/>
      <c r="AZ386" s="76"/>
      <c r="BA386" s="76"/>
      <c r="BB386" s="74"/>
    </row>
    <row r="387" spans="1:54" ht="15.75" thickBot="1" x14ac:dyDescent="0.3">
      <c r="A387" s="73">
        <v>198</v>
      </c>
      <c r="B387" s="72">
        <v>44874.736111111109</v>
      </c>
      <c r="C387" s="67">
        <v>0.73611111111111116</v>
      </c>
      <c r="D387" s="67">
        <v>0.75694444444444453</v>
      </c>
      <c r="E387" s="67">
        <v>0.77083333333333337</v>
      </c>
      <c r="F387" s="68" t="s">
        <v>171</v>
      </c>
      <c r="G387" s="68" t="s">
        <v>269</v>
      </c>
      <c r="H387" s="66" t="s">
        <v>91</v>
      </c>
      <c r="I387" s="66" t="s">
        <v>318</v>
      </c>
      <c r="J387" s="66" t="s">
        <v>41</v>
      </c>
      <c r="K387" s="66" t="s">
        <v>180</v>
      </c>
      <c r="L387" s="70" t="s">
        <v>206</v>
      </c>
      <c r="M387" s="68" t="s">
        <v>1311</v>
      </c>
      <c r="N387" s="68" t="s">
        <v>44</v>
      </c>
      <c r="O387" s="68">
        <v>1054968990</v>
      </c>
      <c r="P387" s="68">
        <v>1213932773</v>
      </c>
      <c r="Q387" s="303">
        <f t="shared" si="46"/>
        <v>5</v>
      </c>
      <c r="R387" s="303">
        <f t="shared" si="47"/>
        <v>1054</v>
      </c>
      <c r="S387" s="68">
        <v>0</v>
      </c>
      <c r="T387" s="68">
        <v>0</v>
      </c>
      <c r="U387" s="68">
        <v>5</v>
      </c>
      <c r="V387" s="68">
        <v>1054</v>
      </c>
      <c r="W387" s="68">
        <v>1068</v>
      </c>
      <c r="X387" s="68">
        <v>120</v>
      </c>
      <c r="Y387" s="68">
        <v>80</v>
      </c>
      <c r="Z387" s="68">
        <v>78</v>
      </c>
      <c r="AA387" s="68">
        <v>5</v>
      </c>
      <c r="AB387" s="300">
        <f t="shared" si="48"/>
        <v>624</v>
      </c>
      <c r="AC387" s="300">
        <f t="shared" si="49"/>
        <v>3.7590361445783134</v>
      </c>
      <c r="AD387" s="68">
        <v>47106.52</v>
      </c>
      <c r="AE387" s="68" t="s">
        <v>109</v>
      </c>
      <c r="AF387" s="68" t="s">
        <v>317</v>
      </c>
      <c r="AG387" s="68" t="s">
        <v>317</v>
      </c>
      <c r="AH387" s="68" t="s">
        <v>1314</v>
      </c>
      <c r="AI387" s="309"/>
      <c r="AJ387" s="309"/>
      <c r="AK387" s="68" t="s">
        <v>37</v>
      </c>
      <c r="AL387" s="68" t="s">
        <v>49</v>
      </c>
      <c r="AM387" s="299">
        <f t="shared" ca="1" si="45"/>
        <v>0.70486111110949423</v>
      </c>
      <c r="AN387" s="75"/>
      <c r="AO387" s="61" t="s">
        <v>323</v>
      </c>
      <c r="AP387" s="62" t="s">
        <v>1311</v>
      </c>
      <c r="AQ387" s="61" t="s">
        <v>1384</v>
      </c>
      <c r="AR387" s="64">
        <v>44875.440972222219</v>
      </c>
      <c r="AS387" s="57" t="s">
        <v>173</v>
      </c>
      <c r="AT387" s="61" t="s">
        <v>225</v>
      </c>
      <c r="AU387" s="63">
        <v>0.44097222222222227</v>
      </c>
      <c r="AV387" s="61">
        <v>1</v>
      </c>
      <c r="AW387" s="61" t="s">
        <v>66</v>
      </c>
      <c r="AX387" s="76"/>
      <c r="AY387" s="76"/>
      <c r="AZ387" s="76"/>
      <c r="BA387" s="76"/>
      <c r="BB387" s="74"/>
    </row>
    <row r="388" spans="1:54" ht="15.75" thickBot="1" x14ac:dyDescent="0.3">
      <c r="A388" s="73">
        <v>199</v>
      </c>
      <c r="B388" s="72">
        <v>44874.75</v>
      </c>
      <c r="C388" s="67">
        <v>0.75694444444444453</v>
      </c>
      <c r="D388" s="67">
        <v>0.77083333333333337</v>
      </c>
      <c r="E388" s="67">
        <v>0.77430555555555547</v>
      </c>
      <c r="F388" s="68" t="s">
        <v>171</v>
      </c>
      <c r="G388" s="68" t="s">
        <v>341</v>
      </c>
      <c r="H388" s="66" t="s">
        <v>195</v>
      </c>
      <c r="I388" s="66" t="s">
        <v>195</v>
      </c>
      <c r="J388" s="66" t="s">
        <v>37</v>
      </c>
      <c r="K388" s="66" t="s">
        <v>180</v>
      </c>
      <c r="L388" s="66" t="s">
        <v>209</v>
      </c>
      <c r="M388" s="68" t="s">
        <v>1315</v>
      </c>
      <c r="N388" s="68" t="s">
        <v>42</v>
      </c>
      <c r="O388" s="68" t="s">
        <v>1316</v>
      </c>
      <c r="P388" s="68">
        <v>2101070567</v>
      </c>
      <c r="Q388" s="303">
        <f t="shared" si="46"/>
        <v>8</v>
      </c>
      <c r="R388" s="303">
        <f t="shared" si="47"/>
        <v>2068</v>
      </c>
      <c r="S388" s="68">
        <v>0</v>
      </c>
      <c r="T388" s="68">
        <v>0</v>
      </c>
      <c r="U388" s="68">
        <v>8</v>
      </c>
      <c r="V388" s="68">
        <v>2068</v>
      </c>
      <c r="W388" s="68">
        <v>2195</v>
      </c>
      <c r="X388" s="68">
        <v>114</v>
      </c>
      <c r="Y388" s="68">
        <v>80</v>
      </c>
      <c r="Z388" s="68">
        <v>116</v>
      </c>
      <c r="AA388" s="68">
        <v>2</v>
      </c>
      <c r="AB388" s="300">
        <f t="shared" si="48"/>
        <v>352.64</v>
      </c>
      <c r="AC388" s="300">
        <f t="shared" si="49"/>
        <v>2.1243373493975901</v>
      </c>
      <c r="AD388" s="68">
        <v>77234.52</v>
      </c>
      <c r="AE388" s="68" t="s">
        <v>109</v>
      </c>
      <c r="AF388" s="68" t="s">
        <v>317</v>
      </c>
      <c r="AG388" s="68" t="s">
        <v>317</v>
      </c>
      <c r="AH388" s="68" t="s">
        <v>1317</v>
      </c>
      <c r="AI388" s="309"/>
      <c r="AJ388" s="309"/>
      <c r="AK388" s="68" t="s">
        <v>41</v>
      </c>
      <c r="AL388" s="68" t="s">
        <v>58</v>
      </c>
      <c r="AM388" s="299">
        <f t="shared" ca="1" si="45"/>
        <v>1.7256944444452529</v>
      </c>
      <c r="AN388" s="75"/>
      <c r="AO388" s="61" t="s">
        <v>128</v>
      </c>
      <c r="AP388" s="62" t="s">
        <v>1315</v>
      </c>
      <c r="AQ388" s="61" t="s">
        <v>1506</v>
      </c>
      <c r="AR388" s="64">
        <v>44876.475694444445</v>
      </c>
      <c r="AS388" s="61" t="s">
        <v>136</v>
      </c>
      <c r="AT388" s="61" t="s">
        <v>225</v>
      </c>
      <c r="AU388" s="63">
        <v>0.47569444444444442</v>
      </c>
      <c r="AV388" s="61">
        <v>1</v>
      </c>
      <c r="AW388" s="61" t="s">
        <v>66</v>
      </c>
      <c r="AX388" s="76"/>
      <c r="AY388" s="76"/>
      <c r="AZ388" s="76"/>
      <c r="BA388" s="76"/>
      <c r="BB388" s="74"/>
    </row>
    <row r="389" spans="1:54" ht="15.75" thickBot="1" x14ac:dyDescent="0.3">
      <c r="A389" s="73">
        <v>199</v>
      </c>
      <c r="B389" s="72">
        <v>44874.75</v>
      </c>
      <c r="C389" s="67">
        <v>0.75694444444444453</v>
      </c>
      <c r="D389" s="67">
        <v>0.77083333333333337</v>
      </c>
      <c r="E389" s="67">
        <v>0.77430555555555547</v>
      </c>
      <c r="F389" s="68" t="s">
        <v>171</v>
      </c>
      <c r="G389" s="68" t="s">
        <v>341</v>
      </c>
      <c r="H389" s="66" t="s">
        <v>195</v>
      </c>
      <c r="I389" s="66" t="s">
        <v>195</v>
      </c>
      <c r="J389" s="66" t="s">
        <v>37</v>
      </c>
      <c r="K389" s="66" t="s">
        <v>180</v>
      </c>
      <c r="L389" s="66" t="s">
        <v>209</v>
      </c>
      <c r="M389" s="68" t="s">
        <v>1315</v>
      </c>
      <c r="N389" s="68" t="s">
        <v>42</v>
      </c>
      <c r="O389" s="68" t="s">
        <v>1316</v>
      </c>
      <c r="P389" s="68">
        <v>2101070567</v>
      </c>
      <c r="Q389" s="303">
        <f t="shared" si="46"/>
        <v>0</v>
      </c>
      <c r="R389" s="303">
        <f t="shared" si="47"/>
        <v>0</v>
      </c>
      <c r="S389" s="68">
        <v>0</v>
      </c>
      <c r="T389" s="68">
        <v>0</v>
      </c>
      <c r="U389" s="68">
        <v>0</v>
      </c>
      <c r="V389" s="68">
        <v>0</v>
      </c>
      <c r="W389" s="68">
        <v>0</v>
      </c>
      <c r="X389" s="68">
        <v>114</v>
      </c>
      <c r="Y389" s="68">
        <v>80</v>
      </c>
      <c r="Z389" s="68">
        <v>112</v>
      </c>
      <c r="AA389" s="68">
        <v>4</v>
      </c>
      <c r="AB389" s="300">
        <f t="shared" si="48"/>
        <v>680.96</v>
      </c>
      <c r="AC389" s="300">
        <f t="shared" si="49"/>
        <v>4.1021686746987953</v>
      </c>
      <c r="AD389" s="68">
        <v>0</v>
      </c>
      <c r="AE389" s="68">
        <v>0</v>
      </c>
      <c r="AF389" s="68" t="s">
        <v>317</v>
      </c>
      <c r="AG389" s="68" t="s">
        <v>317</v>
      </c>
      <c r="AH389" s="68" t="s">
        <v>1317</v>
      </c>
      <c r="AI389" s="309"/>
      <c r="AJ389" s="309"/>
      <c r="AK389" s="68" t="s">
        <v>41</v>
      </c>
      <c r="AL389" s="68" t="s">
        <v>58</v>
      </c>
      <c r="AM389" s="299">
        <f t="shared" ca="1" si="45"/>
        <v>1.7256944444452529</v>
      </c>
      <c r="AN389" s="75"/>
      <c r="AO389" s="61" t="s">
        <v>128</v>
      </c>
      <c r="AP389" s="62" t="s">
        <v>1315</v>
      </c>
      <c r="AQ389" s="61" t="s">
        <v>1506</v>
      </c>
      <c r="AR389" s="64">
        <v>44876.475694444445</v>
      </c>
      <c r="AS389" s="61" t="s">
        <v>136</v>
      </c>
      <c r="AT389" s="61" t="s">
        <v>225</v>
      </c>
      <c r="AU389" s="63">
        <v>0.47569444444444442</v>
      </c>
      <c r="AV389" s="61">
        <v>1</v>
      </c>
      <c r="AW389" s="61" t="s">
        <v>66</v>
      </c>
      <c r="AX389" s="76"/>
      <c r="AY389" s="76"/>
      <c r="AZ389" s="76"/>
      <c r="BA389" s="76"/>
      <c r="BB389" s="74"/>
    </row>
    <row r="390" spans="1:54" ht="15.75" thickBot="1" x14ac:dyDescent="0.3">
      <c r="A390" s="73">
        <v>199</v>
      </c>
      <c r="B390" s="72">
        <v>44874.75</v>
      </c>
      <c r="C390" s="67">
        <v>0.75694444444444453</v>
      </c>
      <c r="D390" s="67">
        <v>0.77083333333333337</v>
      </c>
      <c r="E390" s="67">
        <v>0.77430555555555547</v>
      </c>
      <c r="F390" s="68" t="s">
        <v>171</v>
      </c>
      <c r="G390" s="68" t="s">
        <v>341</v>
      </c>
      <c r="H390" s="66" t="s">
        <v>195</v>
      </c>
      <c r="I390" s="66" t="s">
        <v>195</v>
      </c>
      <c r="J390" s="66" t="s">
        <v>37</v>
      </c>
      <c r="K390" s="66" t="s">
        <v>180</v>
      </c>
      <c r="L390" s="66" t="s">
        <v>209</v>
      </c>
      <c r="M390" s="68" t="s">
        <v>1315</v>
      </c>
      <c r="N390" s="68" t="s">
        <v>42</v>
      </c>
      <c r="O390" s="68" t="s">
        <v>1316</v>
      </c>
      <c r="P390" s="68">
        <v>2101070567</v>
      </c>
      <c r="Q390" s="303">
        <f t="shared" si="46"/>
        <v>0</v>
      </c>
      <c r="R390" s="303">
        <f t="shared" si="47"/>
        <v>0</v>
      </c>
      <c r="S390" s="68">
        <v>0</v>
      </c>
      <c r="T390" s="68">
        <v>0</v>
      </c>
      <c r="U390" s="68">
        <v>0</v>
      </c>
      <c r="V390" s="68">
        <v>0</v>
      </c>
      <c r="W390" s="68">
        <v>0</v>
      </c>
      <c r="X390" s="68">
        <v>114</v>
      </c>
      <c r="Y390" s="68">
        <v>80</v>
      </c>
      <c r="Z390" s="68">
        <v>115</v>
      </c>
      <c r="AA390" s="68">
        <v>1</v>
      </c>
      <c r="AB390" s="300">
        <f t="shared" si="48"/>
        <v>174.8</v>
      </c>
      <c r="AC390" s="300">
        <f t="shared" si="49"/>
        <v>1.0530120481927712</v>
      </c>
      <c r="AD390" s="68">
        <v>0</v>
      </c>
      <c r="AE390" s="68">
        <v>0</v>
      </c>
      <c r="AF390" s="68" t="s">
        <v>317</v>
      </c>
      <c r="AG390" s="68" t="s">
        <v>317</v>
      </c>
      <c r="AH390" s="68" t="s">
        <v>1317</v>
      </c>
      <c r="AI390" s="309"/>
      <c r="AJ390" s="309"/>
      <c r="AK390" s="68" t="s">
        <v>41</v>
      </c>
      <c r="AL390" s="68" t="s">
        <v>58</v>
      </c>
      <c r="AM390" s="299">
        <f t="shared" ca="1" si="45"/>
        <v>1.7256944444452529</v>
      </c>
      <c r="AN390" s="75"/>
      <c r="AO390" s="61" t="s">
        <v>128</v>
      </c>
      <c r="AP390" s="62" t="s">
        <v>1315</v>
      </c>
      <c r="AQ390" s="61" t="s">
        <v>1506</v>
      </c>
      <c r="AR390" s="64">
        <v>44876.475694444445</v>
      </c>
      <c r="AS390" s="61" t="s">
        <v>136</v>
      </c>
      <c r="AT390" s="61" t="s">
        <v>225</v>
      </c>
      <c r="AU390" s="63">
        <v>0.47569444444444442</v>
      </c>
      <c r="AV390" s="61">
        <v>1</v>
      </c>
      <c r="AW390" s="61" t="s">
        <v>66</v>
      </c>
      <c r="AX390" s="76"/>
      <c r="AY390" s="76"/>
      <c r="AZ390" s="76"/>
      <c r="BA390" s="76"/>
      <c r="BB390" s="74"/>
    </row>
    <row r="391" spans="1:54" ht="15.75" thickBot="1" x14ac:dyDescent="0.3">
      <c r="A391" s="73">
        <v>199</v>
      </c>
      <c r="B391" s="72">
        <v>44874.75</v>
      </c>
      <c r="C391" s="67">
        <v>0.75694444444444453</v>
      </c>
      <c r="D391" s="67">
        <v>0.77083333333333337</v>
      </c>
      <c r="E391" s="67">
        <v>0.77430555555555547</v>
      </c>
      <c r="F391" s="68" t="s">
        <v>171</v>
      </c>
      <c r="G391" s="68" t="s">
        <v>341</v>
      </c>
      <c r="H391" s="66" t="s">
        <v>195</v>
      </c>
      <c r="I391" s="66" t="s">
        <v>195</v>
      </c>
      <c r="J391" s="66" t="s">
        <v>37</v>
      </c>
      <c r="K391" s="66" t="s">
        <v>180</v>
      </c>
      <c r="L391" s="66" t="s">
        <v>209</v>
      </c>
      <c r="M391" s="68" t="s">
        <v>1315</v>
      </c>
      <c r="N391" s="68" t="s">
        <v>42</v>
      </c>
      <c r="O391" s="68" t="s">
        <v>1316</v>
      </c>
      <c r="P391" s="68">
        <v>2101070567</v>
      </c>
      <c r="Q391" s="303">
        <f t="shared" si="46"/>
        <v>0</v>
      </c>
      <c r="R391" s="303">
        <f t="shared" si="47"/>
        <v>0</v>
      </c>
      <c r="S391" s="68">
        <v>0</v>
      </c>
      <c r="T391" s="68">
        <v>0</v>
      </c>
      <c r="U391" s="68">
        <v>0</v>
      </c>
      <c r="V391" s="68">
        <v>0</v>
      </c>
      <c r="W391" s="68">
        <v>0</v>
      </c>
      <c r="X391" s="68">
        <v>114</v>
      </c>
      <c r="Y391" s="68">
        <v>80</v>
      </c>
      <c r="Z391" s="68">
        <v>100</v>
      </c>
      <c r="AA391" s="68">
        <v>1</v>
      </c>
      <c r="AB391" s="300">
        <f t="shared" si="48"/>
        <v>152</v>
      </c>
      <c r="AC391" s="300">
        <f t="shared" si="49"/>
        <v>0.91566265060240959</v>
      </c>
      <c r="AD391" s="68">
        <v>0</v>
      </c>
      <c r="AE391" s="68">
        <v>0</v>
      </c>
      <c r="AF391" s="68" t="s">
        <v>317</v>
      </c>
      <c r="AG391" s="68" t="s">
        <v>317</v>
      </c>
      <c r="AH391" s="68" t="s">
        <v>1317</v>
      </c>
      <c r="AI391" s="309"/>
      <c r="AJ391" s="309"/>
      <c r="AK391" s="68" t="s">
        <v>41</v>
      </c>
      <c r="AL391" s="68" t="s">
        <v>58</v>
      </c>
      <c r="AM391" s="299">
        <f t="shared" ca="1" si="45"/>
        <v>1.7256944444452529</v>
      </c>
      <c r="AN391" s="75"/>
      <c r="AO391" s="61" t="s">
        <v>128</v>
      </c>
      <c r="AP391" s="62" t="s">
        <v>1315</v>
      </c>
      <c r="AQ391" s="61" t="s">
        <v>1506</v>
      </c>
      <c r="AR391" s="64">
        <v>44876.475694444445</v>
      </c>
      <c r="AS391" s="61" t="s">
        <v>136</v>
      </c>
      <c r="AT391" s="61" t="s">
        <v>225</v>
      </c>
      <c r="AU391" s="63">
        <v>0.47569444444444442</v>
      </c>
      <c r="AV391" s="61">
        <v>1</v>
      </c>
      <c r="AW391" s="61" t="s">
        <v>66</v>
      </c>
      <c r="AX391" s="76"/>
      <c r="AY391" s="76"/>
      <c r="AZ391" s="76"/>
      <c r="BA391" s="76"/>
      <c r="BB391" s="74"/>
    </row>
    <row r="392" spans="1:54" ht="15.75" thickBot="1" x14ac:dyDescent="0.3">
      <c r="A392" s="73">
        <v>200</v>
      </c>
      <c r="B392" s="72">
        <v>44874.75</v>
      </c>
      <c r="C392" s="67">
        <v>0.75694444444444453</v>
      </c>
      <c r="D392" s="67">
        <v>0.77083333333333337</v>
      </c>
      <c r="E392" s="67">
        <v>0.77430555555555547</v>
      </c>
      <c r="F392" s="68" t="s">
        <v>171</v>
      </c>
      <c r="G392" s="68" t="s">
        <v>341</v>
      </c>
      <c r="H392" s="66" t="s">
        <v>195</v>
      </c>
      <c r="I392" s="66" t="s">
        <v>195</v>
      </c>
      <c r="J392" s="66" t="s">
        <v>37</v>
      </c>
      <c r="K392" s="66" t="s">
        <v>180</v>
      </c>
      <c r="L392" s="66" t="s">
        <v>209</v>
      </c>
      <c r="M392" s="68" t="s">
        <v>1315</v>
      </c>
      <c r="N392" s="68" t="s">
        <v>42</v>
      </c>
      <c r="O392" s="68" t="s">
        <v>1318</v>
      </c>
      <c r="P392" s="68">
        <v>2101070566</v>
      </c>
      <c r="Q392" s="303">
        <f t="shared" si="46"/>
        <v>2</v>
      </c>
      <c r="R392" s="303">
        <f t="shared" si="47"/>
        <v>317</v>
      </c>
      <c r="S392" s="68">
        <v>0</v>
      </c>
      <c r="T392" s="68">
        <v>0</v>
      </c>
      <c r="U392" s="68">
        <v>2</v>
      </c>
      <c r="V392" s="68">
        <v>317</v>
      </c>
      <c r="W392" s="68">
        <v>375</v>
      </c>
      <c r="X392" s="68">
        <v>114</v>
      </c>
      <c r="Y392" s="68">
        <v>80</v>
      </c>
      <c r="Z392" s="68">
        <v>53</v>
      </c>
      <c r="AA392" s="68">
        <v>1</v>
      </c>
      <c r="AB392" s="300">
        <f t="shared" si="48"/>
        <v>80.56</v>
      </c>
      <c r="AC392" s="300">
        <f t="shared" si="49"/>
        <v>0.48530120481927713</v>
      </c>
      <c r="AD392" s="68">
        <v>10523.76</v>
      </c>
      <c r="AE392" s="68" t="s">
        <v>109</v>
      </c>
      <c r="AF392" s="68" t="s">
        <v>317</v>
      </c>
      <c r="AG392" s="68" t="s">
        <v>317</v>
      </c>
      <c r="AH392" s="68" t="s">
        <v>1319</v>
      </c>
      <c r="AI392" s="309"/>
      <c r="AJ392" s="309"/>
      <c r="AK392" s="68" t="s">
        <v>41</v>
      </c>
      <c r="AL392" s="68" t="s">
        <v>58</v>
      </c>
      <c r="AM392" s="299">
        <f t="shared" ca="1" si="45"/>
        <v>1.7256944444452529</v>
      </c>
      <c r="AN392" s="75"/>
      <c r="AO392" s="61" t="s">
        <v>128</v>
      </c>
      <c r="AP392" s="62" t="s">
        <v>1315</v>
      </c>
      <c r="AQ392" s="61" t="s">
        <v>1506</v>
      </c>
      <c r="AR392" s="64">
        <v>44876.475694444445</v>
      </c>
      <c r="AS392" s="61" t="s">
        <v>136</v>
      </c>
      <c r="AT392" s="61" t="s">
        <v>225</v>
      </c>
      <c r="AU392" s="63">
        <v>0.47569444444444442</v>
      </c>
      <c r="AV392" s="61">
        <v>1</v>
      </c>
      <c r="AW392" s="61" t="s">
        <v>66</v>
      </c>
      <c r="AX392" s="76"/>
      <c r="AY392" s="76"/>
      <c r="AZ392" s="76"/>
      <c r="BA392" s="76"/>
      <c r="BB392" s="74"/>
    </row>
    <row r="393" spans="1:54" ht="15.75" thickBot="1" x14ac:dyDescent="0.3">
      <c r="A393" s="73">
        <v>200</v>
      </c>
      <c r="B393" s="72">
        <v>44874.75</v>
      </c>
      <c r="C393" s="67">
        <v>0.75694444444444453</v>
      </c>
      <c r="D393" s="67">
        <v>0.77083333333333337</v>
      </c>
      <c r="E393" s="67">
        <v>0.77430555555555547</v>
      </c>
      <c r="F393" s="68" t="s">
        <v>171</v>
      </c>
      <c r="G393" s="68" t="s">
        <v>341</v>
      </c>
      <c r="H393" s="66" t="s">
        <v>195</v>
      </c>
      <c r="I393" s="66" t="s">
        <v>195</v>
      </c>
      <c r="J393" s="66" t="s">
        <v>37</v>
      </c>
      <c r="K393" s="66" t="s">
        <v>180</v>
      </c>
      <c r="L393" s="66" t="s">
        <v>209</v>
      </c>
      <c r="M393" s="68" t="s">
        <v>1315</v>
      </c>
      <c r="N393" s="68" t="s">
        <v>42</v>
      </c>
      <c r="O393" s="68" t="s">
        <v>1318</v>
      </c>
      <c r="P393" s="68">
        <v>2101070566</v>
      </c>
      <c r="Q393" s="303">
        <f t="shared" si="46"/>
        <v>0</v>
      </c>
      <c r="R393" s="303">
        <f t="shared" si="47"/>
        <v>0</v>
      </c>
      <c r="S393" s="68">
        <v>0</v>
      </c>
      <c r="T393" s="68">
        <v>0</v>
      </c>
      <c r="U393" s="68">
        <v>0</v>
      </c>
      <c r="V393" s="68">
        <v>0</v>
      </c>
      <c r="W393" s="68">
        <v>0</v>
      </c>
      <c r="X393" s="68">
        <v>114</v>
      </c>
      <c r="Y393" s="68">
        <v>80</v>
      </c>
      <c r="Z393" s="68">
        <v>112</v>
      </c>
      <c r="AA393" s="68">
        <v>1</v>
      </c>
      <c r="AB393" s="300">
        <f t="shared" si="48"/>
        <v>170.24</v>
      </c>
      <c r="AC393" s="300">
        <f t="shared" si="49"/>
        <v>1.0255421686746988</v>
      </c>
      <c r="AD393" s="68">
        <v>0</v>
      </c>
      <c r="AE393" s="68">
        <v>0</v>
      </c>
      <c r="AF393" s="68" t="s">
        <v>317</v>
      </c>
      <c r="AG393" s="68" t="s">
        <v>317</v>
      </c>
      <c r="AH393" s="68" t="s">
        <v>1319</v>
      </c>
      <c r="AI393" s="309"/>
      <c r="AJ393" s="309"/>
      <c r="AK393" s="68" t="s">
        <v>41</v>
      </c>
      <c r="AL393" s="68" t="s">
        <v>58</v>
      </c>
      <c r="AM393" s="299">
        <f t="shared" ca="1" si="45"/>
        <v>1.7256944444452529</v>
      </c>
      <c r="AN393" s="75"/>
      <c r="AO393" s="61" t="s">
        <v>128</v>
      </c>
      <c r="AP393" s="62" t="s">
        <v>1315</v>
      </c>
      <c r="AQ393" s="61" t="s">
        <v>1506</v>
      </c>
      <c r="AR393" s="64">
        <v>44876.475694444445</v>
      </c>
      <c r="AS393" s="61" t="s">
        <v>136</v>
      </c>
      <c r="AT393" s="61" t="s">
        <v>225</v>
      </c>
      <c r="AU393" s="63">
        <v>0.47569444444444442</v>
      </c>
      <c r="AV393" s="61">
        <v>1</v>
      </c>
      <c r="AW393" s="61" t="s">
        <v>66</v>
      </c>
      <c r="AX393" s="76"/>
      <c r="AY393" s="76"/>
      <c r="AZ393" s="76"/>
      <c r="BA393" s="76"/>
      <c r="BB393" s="74"/>
    </row>
    <row r="394" spans="1:54" x14ac:dyDescent="0.25">
      <c r="A394" s="48">
        <v>201</v>
      </c>
      <c r="B394" s="46">
        <v>44875.381944444445</v>
      </c>
      <c r="C394" s="36">
        <v>0.38194444444444442</v>
      </c>
      <c r="D394" s="36">
        <v>0.3888888888888889</v>
      </c>
      <c r="E394" s="36">
        <v>0.39583333333333331</v>
      </c>
      <c r="F394" s="37" t="s">
        <v>170</v>
      </c>
      <c r="G394" s="37" t="s">
        <v>1341</v>
      </c>
      <c r="H394" s="26" t="s">
        <v>1342</v>
      </c>
      <c r="I394" s="26" t="s">
        <v>1343</v>
      </c>
      <c r="J394" s="26" t="s">
        <v>37</v>
      </c>
      <c r="K394" s="26" t="s">
        <v>63</v>
      </c>
      <c r="L394" s="26" t="s">
        <v>206</v>
      </c>
      <c r="M394" s="37" t="s">
        <v>1346</v>
      </c>
      <c r="N394" s="37" t="s">
        <v>283</v>
      </c>
      <c r="O394" s="37" t="s">
        <v>1344</v>
      </c>
      <c r="P394" s="37">
        <v>233666</v>
      </c>
      <c r="Q394" s="303">
        <f t="shared" si="46"/>
        <v>1</v>
      </c>
      <c r="R394" s="303">
        <f t="shared" si="47"/>
        <v>198</v>
      </c>
      <c r="S394" s="37">
        <v>0</v>
      </c>
      <c r="T394" s="37">
        <v>0</v>
      </c>
      <c r="U394" s="37">
        <v>1</v>
      </c>
      <c r="V394" s="37">
        <v>198</v>
      </c>
      <c r="W394" s="37">
        <v>198</v>
      </c>
      <c r="X394" s="37">
        <v>73</v>
      </c>
      <c r="Y394" s="37">
        <v>47</v>
      </c>
      <c r="Z394" s="37">
        <v>53</v>
      </c>
      <c r="AA394" s="37">
        <v>1</v>
      </c>
      <c r="AB394" s="300">
        <f t="shared" si="48"/>
        <v>30.307166666666667</v>
      </c>
      <c r="AC394" s="300">
        <f t="shared" si="49"/>
        <v>0.18257329317269078</v>
      </c>
      <c r="AD394" s="37" t="s">
        <v>48</v>
      </c>
      <c r="AE394" s="37" t="s">
        <v>48</v>
      </c>
      <c r="AF394" s="37" t="s">
        <v>317</v>
      </c>
      <c r="AG394" s="37" t="s">
        <v>317</v>
      </c>
      <c r="AH394" s="37" t="s">
        <v>1345</v>
      </c>
      <c r="AI394" s="309"/>
      <c r="AJ394" s="309"/>
      <c r="AK394" s="37" t="s">
        <v>41</v>
      </c>
      <c r="AL394" s="37" t="s">
        <v>39</v>
      </c>
      <c r="AM394" s="299">
        <f t="shared" ca="1" si="45"/>
        <v>4.1736111111094942</v>
      </c>
      <c r="AN394" s="51"/>
      <c r="AO394" s="61" t="s">
        <v>202</v>
      </c>
      <c r="AP394" s="62" t="s">
        <v>1346</v>
      </c>
      <c r="AQ394" s="32" t="s">
        <v>1616</v>
      </c>
      <c r="AR394" s="64">
        <v>44879.555555555555</v>
      </c>
      <c r="AS394" s="61" t="s">
        <v>95</v>
      </c>
      <c r="AT394" s="61" t="s">
        <v>225</v>
      </c>
      <c r="AU394" s="59">
        <v>0.55555555555555558</v>
      </c>
      <c r="AV394" s="61">
        <v>1</v>
      </c>
      <c r="AW394" s="61" t="s">
        <v>66</v>
      </c>
      <c r="AX394" s="52"/>
      <c r="AY394" s="52"/>
      <c r="AZ394" s="52"/>
      <c r="BA394" s="52"/>
    </row>
    <row r="395" spans="1:54" x14ac:dyDescent="0.25">
      <c r="A395" s="48">
        <v>202</v>
      </c>
      <c r="B395" s="72">
        <v>44875.416666666664</v>
      </c>
      <c r="C395" s="36">
        <v>0.41666666666666669</v>
      </c>
      <c r="D395" s="36">
        <v>0.43055555555555558</v>
      </c>
      <c r="E395" s="36">
        <v>0.4375</v>
      </c>
      <c r="F395" s="37" t="s">
        <v>171</v>
      </c>
      <c r="G395" s="37" t="s">
        <v>304</v>
      </c>
      <c r="H395" s="26" t="s">
        <v>342</v>
      </c>
      <c r="I395" s="60" t="s">
        <v>342</v>
      </c>
      <c r="J395" s="60" t="s">
        <v>37</v>
      </c>
      <c r="K395" s="26" t="s">
        <v>180</v>
      </c>
      <c r="L395" s="26" t="s">
        <v>206</v>
      </c>
      <c r="M395" s="37" t="s">
        <v>1351</v>
      </c>
      <c r="N395" s="37" t="s">
        <v>175</v>
      </c>
      <c r="O395" s="37">
        <v>33</v>
      </c>
      <c r="P395" s="37">
        <v>29545469</v>
      </c>
      <c r="Q395" s="303">
        <f t="shared" si="46"/>
        <v>3</v>
      </c>
      <c r="R395" s="303">
        <f t="shared" si="47"/>
        <v>1969</v>
      </c>
      <c r="S395" s="37">
        <v>0</v>
      </c>
      <c r="T395" s="37">
        <v>0</v>
      </c>
      <c r="U395" s="37">
        <v>3</v>
      </c>
      <c r="V395" s="37">
        <f>657+653+659</f>
        <v>1969</v>
      </c>
      <c r="W395" s="37">
        <v>1800</v>
      </c>
      <c r="X395" s="37">
        <v>99</v>
      </c>
      <c r="Y395" s="37">
        <v>99</v>
      </c>
      <c r="Z395" s="37">
        <v>76</v>
      </c>
      <c r="AA395" s="37">
        <v>3</v>
      </c>
      <c r="AB395" s="300">
        <f t="shared" si="48"/>
        <v>372.43799999999999</v>
      </c>
      <c r="AC395" s="300">
        <f t="shared" si="49"/>
        <v>2.2436024096385543</v>
      </c>
      <c r="AD395" s="37">
        <v>19874</v>
      </c>
      <c r="AE395" s="37" t="s">
        <v>109</v>
      </c>
      <c r="AF395" s="37" t="s">
        <v>317</v>
      </c>
      <c r="AG395" s="37" t="s">
        <v>317</v>
      </c>
      <c r="AH395" s="37" t="s">
        <v>1348</v>
      </c>
      <c r="AI395" s="309"/>
      <c r="AJ395" s="309"/>
      <c r="AK395" s="37" t="s">
        <v>37</v>
      </c>
      <c r="AL395" s="37" t="s">
        <v>39</v>
      </c>
      <c r="AM395" s="299">
        <f t="shared" ca="1" si="45"/>
        <v>4.2708333333357587</v>
      </c>
      <c r="AN395" s="51"/>
      <c r="AO395" s="61" t="s">
        <v>181</v>
      </c>
      <c r="AP395" s="62" t="s">
        <v>1351</v>
      </c>
      <c r="AQ395" s="61" t="s">
        <v>1619</v>
      </c>
      <c r="AR395" s="64">
        <v>44879.6875</v>
      </c>
      <c r="AS395" s="61" t="s">
        <v>117</v>
      </c>
      <c r="AT395" s="61" t="s">
        <v>225</v>
      </c>
      <c r="AU395" s="59">
        <v>0.6875</v>
      </c>
      <c r="AV395" s="61">
        <v>2</v>
      </c>
      <c r="AW395" s="61" t="s">
        <v>66</v>
      </c>
      <c r="AX395" s="52"/>
      <c r="AY395" s="52"/>
      <c r="AZ395" s="52"/>
      <c r="BA395" s="52"/>
    </row>
    <row r="396" spans="1:54" x14ac:dyDescent="0.25">
      <c r="A396" s="48">
        <v>203</v>
      </c>
      <c r="B396" s="72">
        <v>44875.416666666664</v>
      </c>
      <c r="C396" s="67">
        <v>0.41666666666666669</v>
      </c>
      <c r="D396" s="67">
        <v>0.43055555555555558</v>
      </c>
      <c r="E396" s="67">
        <v>0.4375</v>
      </c>
      <c r="F396" s="68" t="s">
        <v>171</v>
      </c>
      <c r="G396" s="68" t="s">
        <v>304</v>
      </c>
      <c r="H396" s="60" t="s">
        <v>342</v>
      </c>
      <c r="I396" s="60" t="s">
        <v>342</v>
      </c>
      <c r="J396" s="60" t="s">
        <v>37</v>
      </c>
      <c r="K396" s="60" t="s">
        <v>180</v>
      </c>
      <c r="L396" s="60" t="s">
        <v>206</v>
      </c>
      <c r="M396" s="68" t="s">
        <v>1350</v>
      </c>
      <c r="N396" s="68" t="s">
        <v>231</v>
      </c>
      <c r="O396" s="37">
        <v>34</v>
      </c>
      <c r="P396" s="37">
        <v>29545469</v>
      </c>
      <c r="Q396" s="303">
        <f t="shared" si="46"/>
        <v>4</v>
      </c>
      <c r="R396" s="303">
        <f t="shared" si="47"/>
        <v>2632</v>
      </c>
      <c r="S396" s="37">
        <v>0</v>
      </c>
      <c r="T396" s="37">
        <v>0</v>
      </c>
      <c r="U396" s="37">
        <v>4</v>
      </c>
      <c r="V396" s="37">
        <f>661+655+659+657</f>
        <v>2632</v>
      </c>
      <c r="W396" s="37">
        <v>2400</v>
      </c>
      <c r="X396" s="37">
        <v>99</v>
      </c>
      <c r="Y396" s="37">
        <v>99</v>
      </c>
      <c r="Z396" s="37">
        <v>76</v>
      </c>
      <c r="AA396" s="37">
        <v>4</v>
      </c>
      <c r="AB396" s="300">
        <f t="shared" si="48"/>
        <v>496.584</v>
      </c>
      <c r="AC396" s="300">
        <f t="shared" si="49"/>
        <v>2.9914698795180725</v>
      </c>
      <c r="AD396" s="37">
        <v>26499</v>
      </c>
      <c r="AE396" s="68" t="s">
        <v>109</v>
      </c>
      <c r="AF396" s="68" t="s">
        <v>317</v>
      </c>
      <c r="AG396" s="68" t="s">
        <v>317</v>
      </c>
      <c r="AH396" s="37" t="s">
        <v>1349</v>
      </c>
      <c r="AI396" s="309"/>
      <c r="AJ396" s="309"/>
      <c r="AK396" s="68" t="s">
        <v>37</v>
      </c>
      <c r="AL396" s="68" t="s">
        <v>39</v>
      </c>
      <c r="AM396" s="299">
        <f t="shared" ca="1" si="45"/>
        <v>5.9027777781011537E-2</v>
      </c>
      <c r="AN396" s="51"/>
      <c r="AO396" s="61" t="s">
        <v>53</v>
      </c>
      <c r="AP396" s="62" t="s">
        <v>1350</v>
      </c>
      <c r="AQ396" s="61" t="s">
        <v>1388</v>
      </c>
      <c r="AR396" s="64">
        <v>44875.475694444445</v>
      </c>
      <c r="AS396" s="61" t="s">
        <v>126</v>
      </c>
      <c r="AT396" s="61" t="s">
        <v>225</v>
      </c>
      <c r="AU396" s="63">
        <v>0.47569444444444442</v>
      </c>
      <c r="AV396" s="61">
        <v>1</v>
      </c>
      <c r="AW396" s="61" t="s">
        <v>66</v>
      </c>
      <c r="AX396" s="52"/>
      <c r="AY396" s="52"/>
      <c r="AZ396" s="52"/>
      <c r="BA396" s="52"/>
    </row>
    <row r="397" spans="1:54" x14ac:dyDescent="0.25">
      <c r="A397" s="48">
        <v>204</v>
      </c>
      <c r="B397" s="72">
        <v>44875.4375</v>
      </c>
      <c r="C397" s="36">
        <v>0.44444444444444442</v>
      </c>
      <c r="D397" s="36">
        <v>0.4513888888888889</v>
      </c>
      <c r="E397" s="36">
        <v>0.4548611111111111</v>
      </c>
      <c r="F397" s="37" t="s">
        <v>171</v>
      </c>
      <c r="G397" s="37" t="s">
        <v>484</v>
      </c>
      <c r="H397" s="26" t="s">
        <v>85</v>
      </c>
      <c r="I397" s="26" t="s">
        <v>86</v>
      </c>
      <c r="J397" s="26" t="s">
        <v>37</v>
      </c>
      <c r="K397" s="26" t="s">
        <v>180</v>
      </c>
      <c r="L397" s="26" t="s">
        <v>206</v>
      </c>
      <c r="M397" s="37" t="s">
        <v>1354</v>
      </c>
      <c r="N397" s="37" t="s">
        <v>42</v>
      </c>
      <c r="O397" s="37" t="s">
        <v>1352</v>
      </c>
      <c r="P397" s="37">
        <v>8869</v>
      </c>
      <c r="Q397" s="303">
        <f t="shared" si="46"/>
        <v>1</v>
      </c>
      <c r="R397" s="303">
        <f t="shared" si="47"/>
        <v>224</v>
      </c>
      <c r="S397" s="37">
        <v>0</v>
      </c>
      <c r="T397" s="37">
        <v>0</v>
      </c>
      <c r="U397" s="37">
        <v>1</v>
      </c>
      <c r="V397" s="37">
        <v>224</v>
      </c>
      <c r="W397" s="37">
        <v>220</v>
      </c>
      <c r="X397" s="37">
        <v>120</v>
      </c>
      <c r="Y397" s="37">
        <v>80</v>
      </c>
      <c r="Z397" s="37">
        <v>72</v>
      </c>
      <c r="AA397" s="37">
        <v>1</v>
      </c>
      <c r="AB397" s="300">
        <f t="shared" si="48"/>
        <v>115.2</v>
      </c>
      <c r="AC397" s="300">
        <f t="shared" si="49"/>
        <v>0.69397590361445782</v>
      </c>
      <c r="AD397" s="37">
        <v>691</v>
      </c>
      <c r="AE397" s="37" t="s">
        <v>109</v>
      </c>
      <c r="AF397" s="37" t="s">
        <v>317</v>
      </c>
      <c r="AG397" s="37" t="s">
        <v>317</v>
      </c>
      <c r="AH397" s="37" t="s">
        <v>1353</v>
      </c>
      <c r="AI397" s="309"/>
      <c r="AJ397" s="309"/>
      <c r="AK397" s="68" t="s">
        <v>37</v>
      </c>
      <c r="AL397" s="68" t="s">
        <v>39</v>
      </c>
      <c r="AM397" s="299">
        <f t="shared" ca="1" si="45"/>
        <v>1.0381944444452529</v>
      </c>
      <c r="AN397" s="51"/>
      <c r="AO397" s="61" t="s">
        <v>87</v>
      </c>
      <c r="AP397" s="62" t="s">
        <v>1354</v>
      </c>
      <c r="AQ397" s="61" t="s">
        <v>1506</v>
      </c>
      <c r="AR397" s="64">
        <v>44876.475694444445</v>
      </c>
      <c r="AS397" s="61" t="s">
        <v>136</v>
      </c>
      <c r="AT397" s="61" t="s">
        <v>225</v>
      </c>
      <c r="AU397" s="63">
        <v>0.47569444444444442</v>
      </c>
      <c r="AV397" s="61">
        <v>1</v>
      </c>
      <c r="AW397" s="61" t="s">
        <v>66</v>
      </c>
      <c r="AX397" s="52"/>
      <c r="AY397" s="52"/>
      <c r="AZ397" s="52"/>
      <c r="BA397" s="52"/>
    </row>
    <row r="398" spans="1:54" x14ac:dyDescent="0.25">
      <c r="A398" s="48">
        <v>205</v>
      </c>
      <c r="B398" s="72">
        <v>44875.5</v>
      </c>
      <c r="C398" s="36">
        <v>0.50694444444444442</v>
      </c>
      <c r="D398" s="36">
        <v>0.51736111111111105</v>
      </c>
      <c r="E398" s="36">
        <v>0.52430555555555558</v>
      </c>
      <c r="F398" s="37" t="s">
        <v>170</v>
      </c>
      <c r="G398" s="37" t="s">
        <v>1355</v>
      </c>
      <c r="H398" s="26" t="s">
        <v>356</v>
      </c>
      <c r="I398" s="26" t="s">
        <v>40</v>
      </c>
      <c r="J398" s="26" t="s">
        <v>41</v>
      </c>
      <c r="K398" s="26" t="s">
        <v>63</v>
      </c>
      <c r="L398" s="26" t="s">
        <v>206</v>
      </c>
      <c r="M398" s="37" t="s">
        <v>1365</v>
      </c>
      <c r="N398" s="37" t="s">
        <v>42</v>
      </c>
      <c r="O398" s="37">
        <v>5275002431</v>
      </c>
      <c r="P398" s="37">
        <v>4513595105</v>
      </c>
      <c r="Q398" s="303">
        <f t="shared" si="46"/>
        <v>2</v>
      </c>
      <c r="R398" s="303">
        <f t="shared" si="47"/>
        <v>65</v>
      </c>
      <c r="S398" s="37">
        <v>0</v>
      </c>
      <c r="T398" s="37">
        <v>0</v>
      </c>
      <c r="U398" s="37">
        <v>2</v>
      </c>
      <c r="V398" s="37">
        <f>32+33</f>
        <v>65</v>
      </c>
      <c r="W398" s="37">
        <v>62</v>
      </c>
      <c r="X398" s="37">
        <v>103</v>
      </c>
      <c r="Y398" s="37">
        <v>33</v>
      </c>
      <c r="Z398" s="37">
        <v>36</v>
      </c>
      <c r="AA398" s="37">
        <v>2</v>
      </c>
      <c r="AB398" s="300">
        <f t="shared" si="48"/>
        <v>40.787999999999997</v>
      </c>
      <c r="AC398" s="300">
        <f t="shared" si="49"/>
        <v>0.24571084337349394</v>
      </c>
      <c r="AD398" s="37">
        <v>776</v>
      </c>
      <c r="AE398" s="37" t="s">
        <v>109</v>
      </c>
      <c r="AF398" s="37" t="s">
        <v>317</v>
      </c>
      <c r="AG398" s="37" t="s">
        <v>317</v>
      </c>
      <c r="AH398" s="37" t="s">
        <v>1356</v>
      </c>
      <c r="AI398" s="309"/>
      <c r="AJ398" s="309"/>
      <c r="AK398" s="37" t="s">
        <v>37</v>
      </c>
      <c r="AL398" s="37" t="s">
        <v>49</v>
      </c>
      <c r="AM398" s="299">
        <f t="shared" ca="1" si="45"/>
        <v>1.2291666666642413</v>
      </c>
      <c r="AN398" s="51"/>
      <c r="AO398" s="61" t="s">
        <v>120</v>
      </c>
      <c r="AP398" s="62" t="s">
        <v>1365</v>
      </c>
      <c r="AQ398" s="61" t="s">
        <v>1524</v>
      </c>
      <c r="AR398" s="64">
        <v>44876.729166666664</v>
      </c>
      <c r="AS398" s="57" t="s">
        <v>173</v>
      </c>
      <c r="AT398" s="61" t="s">
        <v>225</v>
      </c>
      <c r="AU398" s="63">
        <v>0.72916666666666663</v>
      </c>
      <c r="AV398" s="61">
        <v>2</v>
      </c>
      <c r="AW398" s="61" t="s">
        <v>66</v>
      </c>
      <c r="AX398" s="52"/>
      <c r="AY398" s="52"/>
      <c r="AZ398" s="52"/>
      <c r="BA398" s="52"/>
    </row>
    <row r="399" spans="1:54" x14ac:dyDescent="0.25">
      <c r="A399" s="48">
        <v>206</v>
      </c>
      <c r="B399" s="72">
        <v>44875.5</v>
      </c>
      <c r="C399" s="67">
        <v>0.50694444444444442</v>
      </c>
      <c r="D399" s="67">
        <v>0.51736111111111105</v>
      </c>
      <c r="E399" s="67">
        <v>0.52430555555555558</v>
      </c>
      <c r="F399" s="68" t="s">
        <v>170</v>
      </c>
      <c r="G399" s="68" t="s">
        <v>1355</v>
      </c>
      <c r="H399" s="26" t="s">
        <v>459</v>
      </c>
      <c r="I399" s="26" t="s">
        <v>1357</v>
      </c>
      <c r="J399" s="26" t="s">
        <v>37</v>
      </c>
      <c r="K399" s="60" t="s">
        <v>63</v>
      </c>
      <c r="L399" s="60" t="s">
        <v>206</v>
      </c>
      <c r="M399" s="37" t="s">
        <v>1364</v>
      </c>
      <c r="N399" s="37" t="s">
        <v>1358</v>
      </c>
      <c r="O399" s="37">
        <v>422</v>
      </c>
      <c r="P399" s="37">
        <v>5944</v>
      </c>
      <c r="Q399" s="303">
        <f t="shared" si="46"/>
        <v>2</v>
      </c>
      <c r="R399" s="303">
        <f t="shared" si="47"/>
        <v>259</v>
      </c>
      <c r="S399" s="37">
        <v>0</v>
      </c>
      <c r="T399" s="37">
        <v>0</v>
      </c>
      <c r="U399" s="37">
        <v>2</v>
      </c>
      <c r="V399" s="37">
        <f>129+130</f>
        <v>259</v>
      </c>
      <c r="W399" s="37">
        <v>234</v>
      </c>
      <c r="X399" s="37">
        <v>60</v>
      </c>
      <c r="Y399" s="37">
        <v>59</v>
      </c>
      <c r="Z399" s="37">
        <v>74</v>
      </c>
      <c r="AA399" s="37">
        <v>2</v>
      </c>
      <c r="AB399" s="300">
        <f t="shared" si="48"/>
        <v>87.32</v>
      </c>
      <c r="AC399" s="300">
        <f t="shared" si="49"/>
        <v>0.52602409638554215</v>
      </c>
      <c r="AD399" s="37">
        <v>2842</v>
      </c>
      <c r="AE399" s="37" t="s">
        <v>111</v>
      </c>
      <c r="AF399" s="68" t="s">
        <v>317</v>
      </c>
      <c r="AG399" s="68" t="s">
        <v>317</v>
      </c>
      <c r="AH399" s="37" t="s">
        <v>1359</v>
      </c>
      <c r="AI399" s="309"/>
      <c r="AJ399" s="309"/>
      <c r="AK399" s="37" t="s">
        <v>41</v>
      </c>
      <c r="AL399" s="37" t="s">
        <v>49</v>
      </c>
      <c r="AM399" s="299">
        <f t="shared" ca="1" si="45"/>
        <v>1.0520833333357587</v>
      </c>
      <c r="AN399" s="51"/>
      <c r="AO399" s="61" t="s">
        <v>1508</v>
      </c>
      <c r="AP399" s="62" t="s">
        <v>1364</v>
      </c>
      <c r="AQ399" s="61" t="s">
        <v>1509</v>
      </c>
      <c r="AR399" s="64">
        <v>44876.552083333336</v>
      </c>
      <c r="AS399" s="61" t="s">
        <v>117</v>
      </c>
      <c r="AT399" s="61" t="s">
        <v>225</v>
      </c>
      <c r="AU399" s="59">
        <v>0.55208333333333337</v>
      </c>
      <c r="AV399" s="61">
        <v>1</v>
      </c>
      <c r="AW399" s="61" t="s">
        <v>66</v>
      </c>
      <c r="AX399" s="52"/>
      <c r="AY399" s="52"/>
      <c r="AZ399" s="52"/>
      <c r="BA399" s="52"/>
    </row>
    <row r="400" spans="1:54" x14ac:dyDescent="0.25">
      <c r="A400" s="48">
        <v>207</v>
      </c>
      <c r="B400" s="72">
        <v>44875.5</v>
      </c>
      <c r="C400" s="67">
        <v>0.50694444444444442</v>
      </c>
      <c r="D400" s="67">
        <v>0.51736111111111105</v>
      </c>
      <c r="E400" s="67">
        <v>0.52430555555555558</v>
      </c>
      <c r="F400" s="68" t="s">
        <v>170</v>
      </c>
      <c r="G400" s="68" t="s">
        <v>1355</v>
      </c>
      <c r="H400" s="26" t="s">
        <v>57</v>
      </c>
      <c r="I400" s="26" t="s">
        <v>1360</v>
      </c>
      <c r="J400" s="60" t="s">
        <v>37</v>
      </c>
      <c r="K400" s="60" t="s">
        <v>63</v>
      </c>
      <c r="L400" s="26" t="s">
        <v>209</v>
      </c>
      <c r="M400" s="37" t="s">
        <v>1363</v>
      </c>
      <c r="N400" s="37" t="s">
        <v>42</v>
      </c>
      <c r="O400" s="37" t="s">
        <v>1361</v>
      </c>
      <c r="P400" s="37">
        <v>81953346</v>
      </c>
      <c r="Q400" s="303">
        <f t="shared" si="46"/>
        <v>1</v>
      </c>
      <c r="R400" s="303">
        <f t="shared" si="47"/>
        <v>804</v>
      </c>
      <c r="S400" s="37">
        <v>0</v>
      </c>
      <c r="T400" s="37">
        <v>0</v>
      </c>
      <c r="U400" s="37">
        <v>1</v>
      </c>
      <c r="V400" s="37">
        <f>871-67</f>
        <v>804</v>
      </c>
      <c r="W400" s="37">
        <v>804</v>
      </c>
      <c r="X400" s="37">
        <v>183</v>
      </c>
      <c r="Y400" s="37">
        <v>84</v>
      </c>
      <c r="Z400" s="37">
        <v>92</v>
      </c>
      <c r="AA400" s="37">
        <v>1</v>
      </c>
      <c r="AB400" s="300">
        <f t="shared" si="48"/>
        <v>235.70400000000001</v>
      </c>
      <c r="AC400" s="300">
        <f t="shared" si="49"/>
        <v>1.4199036144578314</v>
      </c>
      <c r="AD400" s="37">
        <v>42123</v>
      </c>
      <c r="AE400" s="37" t="s">
        <v>109</v>
      </c>
      <c r="AF400" s="68" t="s">
        <v>317</v>
      </c>
      <c r="AG400" s="68" t="s">
        <v>317</v>
      </c>
      <c r="AH400" s="37" t="s">
        <v>1362</v>
      </c>
      <c r="AI400" s="309"/>
      <c r="AJ400" s="309"/>
      <c r="AK400" s="37" t="s">
        <v>37</v>
      </c>
      <c r="AL400" s="68" t="s">
        <v>49</v>
      </c>
      <c r="AM400" s="299">
        <f t="shared" ca="1" si="45"/>
        <v>1.2256944444452529</v>
      </c>
      <c r="AN400" s="51"/>
      <c r="AO400" s="61" t="s">
        <v>242</v>
      </c>
      <c r="AP400" s="62" t="s">
        <v>1363</v>
      </c>
      <c r="AQ400" s="61" t="s">
        <v>1515</v>
      </c>
      <c r="AR400" s="64">
        <v>44876.725694444445</v>
      </c>
      <c r="AS400" s="61" t="s">
        <v>126</v>
      </c>
      <c r="AT400" s="61" t="s">
        <v>225</v>
      </c>
      <c r="AU400" s="59">
        <v>0.72569444444444453</v>
      </c>
      <c r="AV400" s="61">
        <v>1</v>
      </c>
      <c r="AW400" s="61" t="s">
        <v>66</v>
      </c>
      <c r="AX400" s="52"/>
      <c r="AY400" s="52"/>
      <c r="AZ400" s="52"/>
      <c r="BA400" s="52"/>
    </row>
    <row r="401" spans="1:53" x14ac:dyDescent="0.25">
      <c r="A401" s="48">
        <v>208</v>
      </c>
      <c r="B401" s="72">
        <v>44875.486111111109</v>
      </c>
      <c r="C401" s="36">
        <v>0.48958333333333331</v>
      </c>
      <c r="D401" s="36">
        <v>0.60416666666666663</v>
      </c>
      <c r="E401" s="36">
        <v>0.60416666666666663</v>
      </c>
      <c r="F401" s="37" t="s">
        <v>170</v>
      </c>
      <c r="G401" s="37" t="s">
        <v>1366</v>
      </c>
      <c r="H401" s="26" t="s">
        <v>227</v>
      </c>
      <c r="I401" s="26" t="s">
        <v>189</v>
      </c>
      <c r="J401" s="26" t="s">
        <v>37</v>
      </c>
      <c r="K401" s="60" t="s">
        <v>63</v>
      </c>
      <c r="L401" s="26" t="s">
        <v>206</v>
      </c>
      <c r="M401" s="37" t="s">
        <v>1415</v>
      </c>
      <c r="N401" s="37" t="s">
        <v>43</v>
      </c>
      <c r="O401" s="37" t="s">
        <v>1367</v>
      </c>
      <c r="P401" s="37" t="s">
        <v>1368</v>
      </c>
      <c r="Q401" s="303">
        <f t="shared" si="46"/>
        <v>7</v>
      </c>
      <c r="R401" s="303">
        <f t="shared" si="47"/>
        <v>1660</v>
      </c>
      <c r="S401" s="37">
        <v>0</v>
      </c>
      <c r="T401" s="37">
        <v>0</v>
      </c>
      <c r="U401" s="37">
        <v>7</v>
      </c>
      <c r="V401" s="38">
        <f>452+201+201+202+203+200+201</f>
        <v>1660</v>
      </c>
      <c r="W401" s="38">
        <v>1461</v>
      </c>
      <c r="X401" s="37">
        <v>160</v>
      </c>
      <c r="Y401" s="37">
        <v>137</v>
      </c>
      <c r="Z401" s="37">
        <v>79</v>
      </c>
      <c r="AA401" s="37">
        <v>1</v>
      </c>
      <c r="AB401" s="300">
        <f t="shared" si="48"/>
        <v>288.61333333333334</v>
      </c>
      <c r="AC401" s="300">
        <f t="shared" si="49"/>
        <v>1.7386345381526105</v>
      </c>
      <c r="AD401" s="37" t="s">
        <v>48</v>
      </c>
      <c r="AE401" s="37" t="s">
        <v>48</v>
      </c>
      <c r="AF401" s="68" t="s">
        <v>317</v>
      </c>
      <c r="AG401" s="68" t="s">
        <v>317</v>
      </c>
      <c r="AH401" s="37" t="s">
        <v>1369</v>
      </c>
      <c r="AI401" s="309"/>
      <c r="AJ401" s="309"/>
      <c r="AK401" s="68" t="s">
        <v>37</v>
      </c>
      <c r="AL401" s="37" t="s">
        <v>39</v>
      </c>
      <c r="AM401" s="299">
        <f t="shared" ca="1" si="45"/>
        <v>1.1666666666715173</v>
      </c>
      <c r="AN401" s="51"/>
      <c r="AO401" s="61" t="s">
        <v>179</v>
      </c>
      <c r="AP401" s="62" t="s">
        <v>1512</v>
      </c>
      <c r="AQ401" s="61" t="s">
        <v>1513</v>
      </c>
      <c r="AR401" s="64">
        <v>44876.652777777781</v>
      </c>
      <c r="AS401" s="61" t="s">
        <v>117</v>
      </c>
      <c r="AT401" s="61" t="s">
        <v>225</v>
      </c>
      <c r="AU401" s="59">
        <v>0.65277777777777779</v>
      </c>
      <c r="AV401" s="61">
        <v>2</v>
      </c>
      <c r="AW401" s="61" t="s">
        <v>66</v>
      </c>
      <c r="AX401" s="52"/>
      <c r="AY401" s="52"/>
      <c r="AZ401" s="52"/>
      <c r="BA401" s="52"/>
    </row>
    <row r="402" spans="1:53" x14ac:dyDescent="0.25">
      <c r="A402" s="73">
        <v>208</v>
      </c>
      <c r="B402" s="72">
        <v>44875.486111111109</v>
      </c>
      <c r="C402" s="67">
        <v>0.48958333333333331</v>
      </c>
      <c r="D402" s="67">
        <v>0.60416666666666663</v>
      </c>
      <c r="E402" s="67">
        <v>0.60416666666666663</v>
      </c>
      <c r="F402" s="68" t="s">
        <v>170</v>
      </c>
      <c r="G402" s="68" t="s">
        <v>1366</v>
      </c>
      <c r="H402" s="60" t="s">
        <v>227</v>
      </c>
      <c r="I402" s="60" t="s">
        <v>189</v>
      </c>
      <c r="J402" s="60" t="s">
        <v>37</v>
      </c>
      <c r="K402" s="60" t="s">
        <v>63</v>
      </c>
      <c r="L402" s="60" t="s">
        <v>206</v>
      </c>
      <c r="M402" s="68" t="s">
        <v>1415</v>
      </c>
      <c r="N402" s="68" t="s">
        <v>43</v>
      </c>
      <c r="O402" s="68" t="s">
        <v>1367</v>
      </c>
      <c r="P402" s="68" t="s">
        <v>1368</v>
      </c>
      <c r="Q402" s="303">
        <f t="shared" si="46"/>
        <v>0</v>
      </c>
      <c r="R402" s="303">
        <f t="shared" si="47"/>
        <v>0</v>
      </c>
      <c r="S402" s="37">
        <v>0</v>
      </c>
      <c r="T402" s="37">
        <v>0</v>
      </c>
      <c r="U402" s="37">
        <v>0</v>
      </c>
      <c r="V402" s="37">
        <v>0</v>
      </c>
      <c r="W402" s="37">
        <v>0</v>
      </c>
      <c r="X402" s="37">
        <v>170</v>
      </c>
      <c r="Y402" s="37">
        <v>97</v>
      </c>
      <c r="Z402" s="37">
        <v>95</v>
      </c>
      <c r="AA402" s="37">
        <v>6</v>
      </c>
      <c r="AB402" s="300">
        <f t="shared" si="48"/>
        <v>1566.55</v>
      </c>
      <c r="AC402" s="300">
        <f t="shared" si="49"/>
        <v>9.4370481927710834</v>
      </c>
      <c r="AD402" s="37">
        <v>0</v>
      </c>
      <c r="AE402" s="37">
        <v>0</v>
      </c>
      <c r="AF402" s="37">
        <v>0</v>
      </c>
      <c r="AG402" s="37">
        <v>0</v>
      </c>
      <c r="AH402" s="37">
        <v>0</v>
      </c>
      <c r="AI402" s="309"/>
      <c r="AJ402" s="309"/>
      <c r="AK402" s="68" t="s">
        <v>37</v>
      </c>
      <c r="AL402" s="68" t="s">
        <v>39</v>
      </c>
      <c r="AM402" s="299">
        <f t="shared" ca="1" si="45"/>
        <v>1.1666666666715173</v>
      </c>
      <c r="AN402" s="51"/>
      <c r="AO402" s="61" t="s">
        <v>179</v>
      </c>
      <c r="AP402" s="62" t="s">
        <v>1512</v>
      </c>
      <c r="AQ402" s="61" t="s">
        <v>1513</v>
      </c>
      <c r="AR402" s="64">
        <v>44876.652777777781</v>
      </c>
      <c r="AS402" s="61" t="s">
        <v>117</v>
      </c>
      <c r="AT402" s="61" t="s">
        <v>225</v>
      </c>
      <c r="AU402" s="59">
        <v>0.65277777777777779</v>
      </c>
      <c r="AV402" s="61">
        <v>2</v>
      </c>
      <c r="AW402" s="61" t="s">
        <v>66</v>
      </c>
      <c r="AX402" s="52"/>
      <c r="AY402" s="52"/>
      <c r="AZ402" s="52"/>
      <c r="BA402" s="52"/>
    </row>
    <row r="403" spans="1:53" x14ac:dyDescent="0.25">
      <c r="A403" s="48">
        <v>209</v>
      </c>
      <c r="B403" s="72">
        <v>44875.597222222219</v>
      </c>
      <c r="C403" s="36">
        <v>0.59722222222222221</v>
      </c>
      <c r="D403" s="36">
        <v>0.60416666666666663</v>
      </c>
      <c r="E403" s="67">
        <v>0.60416666666666663</v>
      </c>
      <c r="F403" s="68" t="s">
        <v>170</v>
      </c>
      <c r="G403" s="68" t="s">
        <v>796</v>
      </c>
      <c r="H403" s="60" t="s">
        <v>227</v>
      </c>
      <c r="I403" s="60" t="s">
        <v>189</v>
      </c>
      <c r="J403" s="60" t="s">
        <v>37</v>
      </c>
      <c r="K403" s="60" t="s">
        <v>63</v>
      </c>
      <c r="L403" s="60" t="s">
        <v>206</v>
      </c>
      <c r="M403" s="68" t="s">
        <v>1416</v>
      </c>
      <c r="N403" s="37" t="s">
        <v>42</v>
      </c>
      <c r="O403" s="37" t="s">
        <v>1370</v>
      </c>
      <c r="P403" s="37" t="s">
        <v>1371</v>
      </c>
      <c r="Q403" s="303">
        <f t="shared" si="46"/>
        <v>1</v>
      </c>
      <c r="R403" s="303">
        <f t="shared" si="47"/>
        <v>443</v>
      </c>
      <c r="S403" s="37">
        <v>0</v>
      </c>
      <c r="T403" s="37">
        <v>0</v>
      </c>
      <c r="U403" s="37">
        <v>1</v>
      </c>
      <c r="V403" s="38">
        <v>443</v>
      </c>
      <c r="W403" s="38">
        <v>342</v>
      </c>
      <c r="X403" s="37">
        <v>160</v>
      </c>
      <c r="Y403" s="37">
        <v>137</v>
      </c>
      <c r="Z403" s="37">
        <v>77</v>
      </c>
      <c r="AA403" s="37">
        <v>1</v>
      </c>
      <c r="AB403" s="300">
        <f t="shared" si="48"/>
        <v>281.30666666666667</v>
      </c>
      <c r="AC403" s="300">
        <f t="shared" si="49"/>
        <v>1.6946184738955823</v>
      </c>
      <c r="AD403" s="37" t="s">
        <v>48</v>
      </c>
      <c r="AE403" s="37" t="s">
        <v>48</v>
      </c>
      <c r="AF403" s="37" t="s">
        <v>317</v>
      </c>
      <c r="AG403" s="37" t="s">
        <v>317</v>
      </c>
      <c r="AH403" s="37" t="s">
        <v>1372</v>
      </c>
      <c r="AI403" s="309"/>
      <c r="AJ403" s="309"/>
      <c r="AK403" s="68" t="s">
        <v>37</v>
      </c>
      <c r="AL403" s="68" t="s">
        <v>39</v>
      </c>
      <c r="AM403" s="299">
        <f t="shared" ca="1" si="45"/>
        <v>1.0555555555620231</v>
      </c>
      <c r="AN403" s="51"/>
      <c r="AO403" s="61" t="s">
        <v>89</v>
      </c>
      <c r="AP403" s="62" t="s">
        <v>1416</v>
      </c>
      <c r="AQ403" s="61" t="s">
        <v>1514</v>
      </c>
      <c r="AR403" s="64">
        <v>44876.652777777781</v>
      </c>
      <c r="AS403" s="61" t="s">
        <v>117</v>
      </c>
      <c r="AT403" s="61" t="s">
        <v>225</v>
      </c>
      <c r="AU403" s="59">
        <v>0.65277777777777779</v>
      </c>
      <c r="AV403" s="61">
        <v>2</v>
      </c>
      <c r="AW403" s="61" t="s">
        <v>66</v>
      </c>
      <c r="AX403" s="52"/>
      <c r="AY403" s="52"/>
      <c r="AZ403" s="52"/>
      <c r="BA403" s="52"/>
    </row>
    <row r="404" spans="1:53" x14ac:dyDescent="0.25">
      <c r="A404" s="48">
        <v>210</v>
      </c>
      <c r="B404" s="46">
        <v>44875.600694444445</v>
      </c>
      <c r="C404" s="36">
        <v>0.60416666666666663</v>
      </c>
      <c r="D404" s="36">
        <v>0.61458333333333337</v>
      </c>
      <c r="E404" s="36">
        <v>0.62152777777777779</v>
      </c>
      <c r="F404" s="37" t="s">
        <v>169</v>
      </c>
      <c r="G404" s="37" t="s">
        <v>1373</v>
      </c>
      <c r="H404" s="26" t="s">
        <v>1374</v>
      </c>
      <c r="I404" s="26" t="s">
        <v>1375</v>
      </c>
      <c r="J404" s="26" t="s">
        <v>41</v>
      </c>
      <c r="K404" s="26" t="s">
        <v>241</v>
      </c>
      <c r="L404" s="26">
        <v>0</v>
      </c>
      <c r="M404" s="37" t="s">
        <v>1376</v>
      </c>
      <c r="N404" s="37" t="s">
        <v>42</v>
      </c>
      <c r="O404" s="37" t="s">
        <v>1377</v>
      </c>
      <c r="P404" s="37" t="s">
        <v>1378</v>
      </c>
      <c r="Q404" s="303">
        <f t="shared" si="46"/>
        <v>25</v>
      </c>
      <c r="R404" s="303">
        <f t="shared" si="47"/>
        <v>306</v>
      </c>
      <c r="S404" s="37">
        <v>25</v>
      </c>
      <c r="T404" s="37">
        <f>333-27</f>
        <v>306</v>
      </c>
      <c r="U404" s="37">
        <v>0</v>
      </c>
      <c r="V404" s="37">
        <v>0</v>
      </c>
      <c r="W404" s="37">
        <v>299.64999999999998</v>
      </c>
      <c r="X404" s="37">
        <v>60</v>
      </c>
      <c r="Y404" s="37">
        <v>36</v>
      </c>
      <c r="Z404" s="37">
        <v>35</v>
      </c>
      <c r="AA404" s="37">
        <v>25</v>
      </c>
      <c r="AB404" s="300">
        <f t="shared" si="48"/>
        <v>315</v>
      </c>
      <c r="AC404" s="300">
        <f t="shared" si="49"/>
        <v>1.8975903614457832</v>
      </c>
      <c r="AD404" s="37">
        <v>10323.76</v>
      </c>
      <c r="AE404" s="37" t="s">
        <v>109</v>
      </c>
      <c r="AF404" s="37" t="s">
        <v>1379</v>
      </c>
      <c r="AG404" s="37" t="s">
        <v>1380</v>
      </c>
      <c r="AH404" s="37" t="s">
        <v>1381</v>
      </c>
      <c r="AI404" s="309"/>
      <c r="AJ404" s="309"/>
      <c r="AK404" s="37" t="s">
        <v>48</v>
      </c>
      <c r="AL404" s="37" t="s">
        <v>56</v>
      </c>
      <c r="AM404" s="299">
        <f t="shared" ca="1" si="45"/>
        <v>1.125</v>
      </c>
      <c r="AN404" s="51"/>
      <c r="AO404" s="61" t="s">
        <v>1516</v>
      </c>
      <c r="AP404" s="62" t="s">
        <v>1376</v>
      </c>
      <c r="AQ404" s="61" t="s">
        <v>1515</v>
      </c>
      <c r="AR404" s="64">
        <v>44876.725694444445</v>
      </c>
      <c r="AS404" s="61" t="s">
        <v>126</v>
      </c>
      <c r="AT404" s="61" t="s">
        <v>225</v>
      </c>
      <c r="AU404" s="59">
        <v>0.72569444444444453</v>
      </c>
      <c r="AV404" s="61">
        <v>1</v>
      </c>
      <c r="AW404" s="61" t="s">
        <v>66</v>
      </c>
      <c r="AX404" s="52"/>
      <c r="AY404" s="52"/>
      <c r="AZ404" s="52"/>
      <c r="BA404" s="52"/>
    </row>
    <row r="405" spans="1:53" x14ac:dyDescent="0.25">
      <c r="A405" s="48">
        <v>211</v>
      </c>
      <c r="B405" s="72">
        <v>44875.701388888891</v>
      </c>
      <c r="C405" s="36">
        <v>0.70138888888888884</v>
      </c>
      <c r="D405" s="36">
        <v>0.70833333333333337</v>
      </c>
      <c r="E405" s="36">
        <v>0.70833333333333337</v>
      </c>
      <c r="F405" s="37" t="s">
        <v>171</v>
      </c>
      <c r="G405" s="37" t="s">
        <v>392</v>
      </c>
      <c r="H405" s="26" t="s">
        <v>217</v>
      </c>
      <c r="I405" s="26" t="s">
        <v>141</v>
      </c>
      <c r="J405" s="26" t="s">
        <v>41</v>
      </c>
      <c r="K405" s="26" t="s">
        <v>180</v>
      </c>
      <c r="L405" s="26" t="s">
        <v>206</v>
      </c>
      <c r="M405" s="37" t="s">
        <v>1400</v>
      </c>
      <c r="N405" s="37" t="s">
        <v>426</v>
      </c>
      <c r="O405" s="37" t="s">
        <v>1398</v>
      </c>
      <c r="P405" s="37">
        <v>4501169484</v>
      </c>
      <c r="Q405" s="303">
        <f t="shared" si="46"/>
        <v>1</v>
      </c>
      <c r="R405" s="303">
        <f t="shared" si="47"/>
        <v>204</v>
      </c>
      <c r="S405" s="37">
        <v>0</v>
      </c>
      <c r="T405" s="37">
        <v>0</v>
      </c>
      <c r="U405" s="37">
        <v>1</v>
      </c>
      <c r="V405" s="37">
        <v>204</v>
      </c>
      <c r="W405" s="37">
        <v>203</v>
      </c>
      <c r="X405" s="37">
        <v>121</v>
      </c>
      <c r="Y405" s="37">
        <v>101</v>
      </c>
      <c r="Z405" s="37">
        <v>99</v>
      </c>
      <c r="AA405" s="37">
        <v>1</v>
      </c>
      <c r="AB405" s="300">
        <f t="shared" si="48"/>
        <v>201.6465</v>
      </c>
      <c r="AC405" s="300">
        <f t="shared" si="49"/>
        <v>1.214737951807229</v>
      </c>
      <c r="AD405" s="37">
        <v>11244</v>
      </c>
      <c r="AE405" s="37" t="s">
        <v>109</v>
      </c>
      <c r="AF405" s="37" t="s">
        <v>317</v>
      </c>
      <c r="AG405" s="37" t="s">
        <v>317</v>
      </c>
      <c r="AH405" s="37" t="s">
        <v>1399</v>
      </c>
      <c r="AI405" s="309"/>
      <c r="AJ405" s="309"/>
      <c r="AK405" s="37" t="s">
        <v>37</v>
      </c>
      <c r="AL405" s="37" t="s">
        <v>39</v>
      </c>
      <c r="AM405" s="299">
        <f t="shared" ca="1" si="45"/>
        <v>1.0277777777737356</v>
      </c>
      <c r="AN405" s="51"/>
      <c r="AO405" s="61" t="s">
        <v>120</v>
      </c>
      <c r="AP405" s="62" t="s">
        <v>1525</v>
      </c>
      <c r="AQ405" s="61" t="s">
        <v>1524</v>
      </c>
      <c r="AR405" s="64">
        <v>44876.729166666664</v>
      </c>
      <c r="AS405" s="57" t="s">
        <v>173</v>
      </c>
      <c r="AT405" s="61" t="s">
        <v>225</v>
      </c>
      <c r="AU405" s="63">
        <v>0.72916666666666663</v>
      </c>
      <c r="AV405" s="61">
        <v>2</v>
      </c>
      <c r="AW405" s="61" t="s">
        <v>66</v>
      </c>
      <c r="AX405" s="52"/>
      <c r="AY405" s="52"/>
      <c r="AZ405" s="52"/>
      <c r="BA405" s="52"/>
    </row>
    <row r="406" spans="1:53" x14ac:dyDescent="0.25">
      <c r="A406" s="48">
        <v>212</v>
      </c>
      <c r="B406" s="72">
        <v>44875.694444444445</v>
      </c>
      <c r="C406" s="36">
        <v>0.69791666666666663</v>
      </c>
      <c r="D406" s="36">
        <v>0.70833333333333337</v>
      </c>
      <c r="E406" s="36">
        <v>0.71527777777777779</v>
      </c>
      <c r="F406" s="68" t="s">
        <v>171</v>
      </c>
      <c r="G406" s="37" t="s">
        <v>321</v>
      </c>
      <c r="H406" s="26" t="s">
        <v>91</v>
      </c>
      <c r="I406" s="26" t="s">
        <v>318</v>
      </c>
      <c r="J406" s="26" t="s">
        <v>41</v>
      </c>
      <c r="K406" s="60" t="s">
        <v>180</v>
      </c>
      <c r="L406" s="60" t="s">
        <v>206</v>
      </c>
      <c r="M406" s="37" t="s">
        <v>1404</v>
      </c>
      <c r="N406" s="37" t="s">
        <v>53</v>
      </c>
      <c r="O406" s="37">
        <v>1054969024</v>
      </c>
      <c r="P406" s="37">
        <v>1213936532</v>
      </c>
      <c r="Q406" s="303">
        <f t="shared" si="46"/>
        <v>5</v>
      </c>
      <c r="R406" s="303">
        <f t="shared" si="47"/>
        <v>1065</v>
      </c>
      <c r="S406" s="37">
        <v>0</v>
      </c>
      <c r="T406" s="37">
        <v>0</v>
      </c>
      <c r="U406" s="37">
        <v>5</v>
      </c>
      <c r="V406" s="37">
        <f>425+427+213</f>
        <v>1065</v>
      </c>
      <c r="W406" s="37">
        <v>1059</v>
      </c>
      <c r="X406" s="37">
        <v>120</v>
      </c>
      <c r="Y406" s="37">
        <v>80</v>
      </c>
      <c r="Z406" s="37">
        <v>78</v>
      </c>
      <c r="AA406" s="37">
        <v>5</v>
      </c>
      <c r="AB406" s="300">
        <f t="shared" si="48"/>
        <v>624</v>
      </c>
      <c r="AC406" s="300">
        <f t="shared" si="49"/>
        <v>3.7590361445783134</v>
      </c>
      <c r="AD406" s="37">
        <v>47106</v>
      </c>
      <c r="AE406" s="37" t="s">
        <v>109</v>
      </c>
      <c r="AF406" s="37" t="s">
        <v>317</v>
      </c>
      <c r="AG406" s="37" t="s">
        <v>317</v>
      </c>
      <c r="AH406" s="37" t="s">
        <v>1401</v>
      </c>
      <c r="AI406" s="309"/>
      <c r="AJ406" s="309"/>
      <c r="AK406" s="37" t="s">
        <v>37</v>
      </c>
      <c r="AL406" s="37" t="s">
        <v>49</v>
      </c>
      <c r="AM406" s="299">
        <f t="shared" ca="1" si="45"/>
        <v>0.74652777777373558</v>
      </c>
      <c r="AN406" s="51"/>
      <c r="AO406" s="61" t="s">
        <v>323</v>
      </c>
      <c r="AP406" s="62" t="s">
        <v>1404</v>
      </c>
      <c r="AQ406" s="61" t="s">
        <v>1505</v>
      </c>
      <c r="AR406" s="64">
        <v>44876.440972222219</v>
      </c>
      <c r="AS406" s="57" t="s">
        <v>173</v>
      </c>
      <c r="AT406" s="61" t="s">
        <v>225</v>
      </c>
      <c r="AU406" s="63">
        <v>0.44097222222222227</v>
      </c>
      <c r="AV406" s="61">
        <v>1</v>
      </c>
      <c r="AW406" s="61" t="s">
        <v>66</v>
      </c>
      <c r="AX406" s="52"/>
      <c r="AY406" s="52"/>
      <c r="AZ406" s="52"/>
      <c r="BA406" s="52"/>
    </row>
    <row r="407" spans="1:53" x14ac:dyDescent="0.25">
      <c r="A407" s="48">
        <v>213</v>
      </c>
      <c r="B407" s="72">
        <v>44875.694444444445</v>
      </c>
      <c r="C407" s="67">
        <v>0.69791666666666663</v>
      </c>
      <c r="D407" s="67">
        <v>0.70833333333333337</v>
      </c>
      <c r="E407" s="67">
        <v>0.71527777777777779</v>
      </c>
      <c r="F407" s="68" t="s">
        <v>171</v>
      </c>
      <c r="G407" s="68" t="s">
        <v>321</v>
      </c>
      <c r="H407" s="60" t="s">
        <v>91</v>
      </c>
      <c r="I407" s="60" t="s">
        <v>318</v>
      </c>
      <c r="J407" s="60" t="s">
        <v>41</v>
      </c>
      <c r="K407" s="60" t="s">
        <v>180</v>
      </c>
      <c r="L407" s="60" t="s">
        <v>206</v>
      </c>
      <c r="M407" s="68" t="s">
        <v>1404</v>
      </c>
      <c r="N407" s="68" t="s">
        <v>53</v>
      </c>
      <c r="O407" s="37">
        <v>1054969022</v>
      </c>
      <c r="P407" s="37">
        <v>1213936278</v>
      </c>
      <c r="Q407" s="303">
        <f t="shared" si="46"/>
        <v>5</v>
      </c>
      <c r="R407" s="303">
        <f t="shared" si="47"/>
        <v>1067</v>
      </c>
      <c r="S407" s="37">
        <v>0</v>
      </c>
      <c r="T407" s="37">
        <v>0</v>
      </c>
      <c r="U407" s="37">
        <v>5</v>
      </c>
      <c r="V407" s="37">
        <f>426+427+214</f>
        <v>1067</v>
      </c>
      <c r="W407" s="37">
        <v>1068</v>
      </c>
      <c r="X407" s="37">
        <v>120</v>
      </c>
      <c r="Y407" s="37">
        <v>80</v>
      </c>
      <c r="Z407" s="37">
        <v>78</v>
      </c>
      <c r="AA407" s="37">
        <v>5</v>
      </c>
      <c r="AB407" s="300">
        <f t="shared" si="48"/>
        <v>624</v>
      </c>
      <c r="AC407" s="300">
        <f t="shared" si="49"/>
        <v>3.7590361445783134</v>
      </c>
      <c r="AD407" s="68">
        <v>47106</v>
      </c>
      <c r="AE407" s="68" t="s">
        <v>109</v>
      </c>
      <c r="AF407" s="68" t="s">
        <v>317</v>
      </c>
      <c r="AG407" s="68" t="s">
        <v>317</v>
      </c>
      <c r="AH407" s="37" t="s">
        <v>1402</v>
      </c>
      <c r="AI407" s="309"/>
      <c r="AJ407" s="309"/>
      <c r="AK407" s="68" t="s">
        <v>37</v>
      </c>
      <c r="AL407" s="68" t="s">
        <v>49</v>
      </c>
      <c r="AM407" s="299">
        <f t="shared" ca="1" si="45"/>
        <v>0.74652777777373558</v>
      </c>
      <c r="AN407" s="51"/>
      <c r="AO407" s="61" t="s">
        <v>323</v>
      </c>
      <c r="AP407" s="62" t="s">
        <v>1404</v>
      </c>
      <c r="AQ407" s="61" t="s">
        <v>1505</v>
      </c>
      <c r="AR407" s="64">
        <v>44876.440972222219</v>
      </c>
      <c r="AS407" s="57" t="s">
        <v>173</v>
      </c>
      <c r="AT407" s="61" t="s">
        <v>225</v>
      </c>
      <c r="AU407" s="63">
        <v>0.44097222222222227</v>
      </c>
      <c r="AV407" s="61">
        <v>1</v>
      </c>
      <c r="AW407" s="61" t="s">
        <v>66</v>
      </c>
      <c r="AX407" s="52"/>
      <c r="AY407" s="52"/>
      <c r="AZ407" s="52"/>
      <c r="BA407" s="52"/>
    </row>
    <row r="408" spans="1:53" x14ac:dyDescent="0.25">
      <c r="A408" s="48">
        <v>214</v>
      </c>
      <c r="B408" s="72">
        <v>44875.694444444445</v>
      </c>
      <c r="C408" s="67">
        <v>0.69791666666666663</v>
      </c>
      <c r="D408" s="67">
        <v>0.70833333333333337</v>
      </c>
      <c r="E408" s="67">
        <v>0.71527777777777779</v>
      </c>
      <c r="F408" s="68" t="s">
        <v>171</v>
      </c>
      <c r="G408" s="68" t="s">
        <v>321</v>
      </c>
      <c r="H408" s="60" t="s">
        <v>91</v>
      </c>
      <c r="I408" s="60" t="s">
        <v>318</v>
      </c>
      <c r="J408" s="60" t="s">
        <v>41</v>
      </c>
      <c r="K408" s="60" t="s">
        <v>180</v>
      </c>
      <c r="L408" s="60" t="s">
        <v>206</v>
      </c>
      <c r="M408" s="68" t="s">
        <v>1404</v>
      </c>
      <c r="N408" s="68" t="s">
        <v>53</v>
      </c>
      <c r="O408" s="37">
        <v>1054969017</v>
      </c>
      <c r="P408" s="37">
        <v>1213934548</v>
      </c>
      <c r="Q408" s="303">
        <f t="shared" si="46"/>
        <v>5</v>
      </c>
      <c r="R408" s="303">
        <f t="shared" si="47"/>
        <v>1065</v>
      </c>
      <c r="S408" s="37">
        <v>0</v>
      </c>
      <c r="T408" s="37">
        <v>0</v>
      </c>
      <c r="U408" s="37">
        <v>5</v>
      </c>
      <c r="V408" s="37">
        <f>211+214+212+214+214</f>
        <v>1065</v>
      </c>
      <c r="W408" s="37">
        <v>1072</v>
      </c>
      <c r="X408" s="37">
        <v>120</v>
      </c>
      <c r="Y408" s="37">
        <v>80</v>
      </c>
      <c r="Z408" s="37">
        <v>78</v>
      </c>
      <c r="AA408" s="37">
        <v>5</v>
      </c>
      <c r="AB408" s="300">
        <f t="shared" si="48"/>
        <v>624</v>
      </c>
      <c r="AC408" s="300">
        <f t="shared" si="49"/>
        <v>3.7590361445783134</v>
      </c>
      <c r="AD408" s="68">
        <v>47106</v>
      </c>
      <c r="AE408" s="68" t="s">
        <v>109</v>
      </c>
      <c r="AF408" s="68" t="s">
        <v>317</v>
      </c>
      <c r="AG408" s="68" t="s">
        <v>317</v>
      </c>
      <c r="AH408" s="68" t="s">
        <v>1403</v>
      </c>
      <c r="AI408" s="309"/>
      <c r="AJ408" s="309"/>
      <c r="AK408" s="68" t="s">
        <v>37</v>
      </c>
      <c r="AL408" s="68" t="s">
        <v>49</v>
      </c>
      <c r="AM408" s="299">
        <f t="shared" ca="1" si="45"/>
        <v>0.74652777777373558</v>
      </c>
      <c r="AN408" s="51"/>
      <c r="AO408" s="61" t="s">
        <v>323</v>
      </c>
      <c r="AP408" s="62" t="s">
        <v>1404</v>
      </c>
      <c r="AQ408" s="61" t="s">
        <v>1505</v>
      </c>
      <c r="AR408" s="64">
        <v>44876.440972222219</v>
      </c>
      <c r="AS408" s="57" t="s">
        <v>173</v>
      </c>
      <c r="AT408" s="61" t="s">
        <v>225</v>
      </c>
      <c r="AU408" s="63">
        <v>0.44097222222222227</v>
      </c>
      <c r="AV408" s="61">
        <v>1</v>
      </c>
      <c r="AW408" s="61" t="s">
        <v>66</v>
      </c>
      <c r="AX408" s="52"/>
      <c r="AY408" s="52"/>
      <c r="AZ408" s="52"/>
      <c r="BA408" s="52"/>
    </row>
    <row r="409" spans="1:53" x14ac:dyDescent="0.25">
      <c r="A409" s="48">
        <v>215</v>
      </c>
      <c r="B409" s="46">
        <v>44875.708333333336</v>
      </c>
      <c r="C409" s="36">
        <v>0.71527777777777779</v>
      </c>
      <c r="D409" s="36">
        <v>0.76388888888888884</v>
      </c>
      <c r="E409" s="36">
        <v>0.76736111111111116</v>
      </c>
      <c r="F409" s="37" t="s">
        <v>169</v>
      </c>
      <c r="G409" s="37" t="s">
        <v>1405</v>
      </c>
      <c r="H409" s="66" t="s">
        <v>479</v>
      </c>
      <c r="I409" s="26" t="s">
        <v>1406</v>
      </c>
      <c r="J409" s="26" t="s">
        <v>37</v>
      </c>
      <c r="K409" s="26" t="s">
        <v>241</v>
      </c>
      <c r="L409" s="26" t="s">
        <v>1407</v>
      </c>
      <c r="M409" s="37" t="s">
        <v>1409</v>
      </c>
      <c r="N409" s="37" t="s">
        <v>42</v>
      </c>
      <c r="O409" s="37">
        <v>521</v>
      </c>
      <c r="P409" s="37">
        <v>10472163</v>
      </c>
      <c r="Q409" s="303">
        <f t="shared" si="46"/>
        <v>452</v>
      </c>
      <c r="R409" s="303">
        <f t="shared" si="47"/>
        <v>2994</v>
      </c>
      <c r="S409" s="37">
        <v>452</v>
      </c>
      <c r="T409" s="37">
        <f>283+299+282+293+304+296+297+306+309+288+81+211-(20+23+19+20+22+24+26+15+23+23+19+21)</f>
        <v>2994</v>
      </c>
      <c r="U409" s="37">
        <v>0</v>
      </c>
      <c r="V409" s="37">
        <v>0</v>
      </c>
      <c r="W409" s="37">
        <v>2903</v>
      </c>
      <c r="X409" s="37">
        <v>56</v>
      </c>
      <c r="Y409" s="37">
        <v>36</v>
      </c>
      <c r="Z409" s="37">
        <v>18</v>
      </c>
      <c r="AA409" s="37">
        <v>297</v>
      </c>
      <c r="AB409" s="300">
        <f t="shared" si="48"/>
        <v>1796.2560000000001</v>
      </c>
      <c r="AC409" s="300">
        <f t="shared" si="49"/>
        <v>10.820819277108434</v>
      </c>
      <c r="AD409" s="37" t="s">
        <v>48</v>
      </c>
      <c r="AE409" s="37" t="s">
        <v>48</v>
      </c>
      <c r="AF409" s="37" t="s">
        <v>241</v>
      </c>
      <c r="AG409" s="68" t="s">
        <v>241</v>
      </c>
      <c r="AH409" s="37" t="s">
        <v>1408</v>
      </c>
      <c r="AI409" s="309"/>
      <c r="AJ409" s="309"/>
      <c r="AK409" s="37" t="s">
        <v>48</v>
      </c>
      <c r="AL409" s="37" t="s">
        <v>50</v>
      </c>
      <c r="AM409" s="299">
        <f t="shared" ca="1" si="45"/>
        <v>5.8333333333284827</v>
      </c>
      <c r="AN409" s="51"/>
      <c r="AO409" s="61" t="s">
        <v>128</v>
      </c>
      <c r="AP409" s="61" t="s">
        <v>1409</v>
      </c>
      <c r="AQ409" s="61" t="s">
        <v>1793</v>
      </c>
      <c r="AR409" s="64">
        <v>44881.541666666664</v>
      </c>
      <c r="AS409" s="61" t="s">
        <v>117</v>
      </c>
      <c r="AT409" s="61" t="s">
        <v>225</v>
      </c>
      <c r="AU409" s="59">
        <v>0.54166666666666663</v>
      </c>
      <c r="AV409" s="61">
        <v>1</v>
      </c>
      <c r="AW409" s="61" t="s">
        <v>66</v>
      </c>
      <c r="AX409" s="52"/>
      <c r="AY409" s="52"/>
      <c r="AZ409" s="52"/>
      <c r="BA409" s="52"/>
    </row>
    <row r="410" spans="1:53" x14ac:dyDescent="0.25">
      <c r="A410" s="73">
        <v>215</v>
      </c>
      <c r="B410" s="72">
        <v>44875.708333333336</v>
      </c>
      <c r="C410" s="67">
        <v>0.71527777777777779</v>
      </c>
      <c r="D410" s="67">
        <v>0.76388888888888884</v>
      </c>
      <c r="E410" s="67">
        <v>0.76736111111111116</v>
      </c>
      <c r="F410" s="68" t="s">
        <v>169</v>
      </c>
      <c r="G410" s="68" t="s">
        <v>1405</v>
      </c>
      <c r="H410" s="66" t="s">
        <v>479</v>
      </c>
      <c r="I410" s="60" t="s">
        <v>1406</v>
      </c>
      <c r="J410" s="60" t="s">
        <v>37</v>
      </c>
      <c r="K410" s="60" t="s">
        <v>241</v>
      </c>
      <c r="L410" s="60" t="s">
        <v>1407</v>
      </c>
      <c r="M410" s="68" t="s">
        <v>1409</v>
      </c>
      <c r="N410" s="68" t="s">
        <v>42</v>
      </c>
      <c r="O410" s="68">
        <v>521</v>
      </c>
      <c r="P410" s="68">
        <v>10472163</v>
      </c>
      <c r="Q410" s="303">
        <f t="shared" si="46"/>
        <v>0</v>
      </c>
      <c r="R410" s="303">
        <f t="shared" si="47"/>
        <v>0</v>
      </c>
      <c r="S410" s="68">
        <v>0</v>
      </c>
      <c r="T410" s="68">
        <v>0</v>
      </c>
      <c r="U410" s="68">
        <v>0</v>
      </c>
      <c r="V410" s="68">
        <v>0</v>
      </c>
      <c r="W410" s="68">
        <v>0</v>
      </c>
      <c r="X410" s="37">
        <v>56</v>
      </c>
      <c r="Y410" s="37">
        <v>36</v>
      </c>
      <c r="Z410" s="37">
        <v>24</v>
      </c>
      <c r="AA410" s="37">
        <v>133</v>
      </c>
      <c r="AB410" s="300">
        <f t="shared" si="48"/>
        <v>1072.5119999999999</v>
      </c>
      <c r="AC410" s="300">
        <f t="shared" si="49"/>
        <v>6.4609156626506019</v>
      </c>
      <c r="AD410" s="68">
        <v>0</v>
      </c>
      <c r="AE410" s="68">
        <v>0</v>
      </c>
      <c r="AF410" s="68">
        <v>0</v>
      </c>
      <c r="AG410" s="68">
        <v>0</v>
      </c>
      <c r="AH410" s="37">
        <v>0</v>
      </c>
      <c r="AI410" s="309"/>
      <c r="AJ410" s="309"/>
      <c r="AK410" s="68" t="s">
        <v>48</v>
      </c>
      <c r="AL410" s="68" t="s">
        <v>50</v>
      </c>
      <c r="AM410" s="299">
        <f t="shared" ca="1" si="45"/>
        <v>5.8333333333284827</v>
      </c>
      <c r="AN410" s="51"/>
      <c r="AO410" s="61" t="s">
        <v>128</v>
      </c>
      <c r="AP410" s="61" t="s">
        <v>1409</v>
      </c>
      <c r="AQ410" s="61" t="s">
        <v>1793</v>
      </c>
      <c r="AR410" s="64">
        <v>44881.541666666664</v>
      </c>
      <c r="AS410" s="61" t="s">
        <v>117</v>
      </c>
      <c r="AT410" s="61" t="s">
        <v>225</v>
      </c>
      <c r="AU410" s="59">
        <v>0.54166666666666663</v>
      </c>
      <c r="AV410" s="61">
        <v>1</v>
      </c>
      <c r="AW410" s="61" t="s">
        <v>66</v>
      </c>
      <c r="AX410" s="52"/>
      <c r="AY410" s="52"/>
      <c r="AZ410" s="52"/>
      <c r="BA410" s="52"/>
    </row>
    <row r="411" spans="1:53" x14ac:dyDescent="0.25">
      <c r="A411" s="73">
        <v>215</v>
      </c>
      <c r="B411" s="72">
        <v>44875.708333333336</v>
      </c>
      <c r="C411" s="67">
        <v>0.71527777777777779</v>
      </c>
      <c r="D411" s="67">
        <v>0.76388888888888884</v>
      </c>
      <c r="E411" s="67">
        <v>0.76736111111111116</v>
      </c>
      <c r="F411" s="68" t="s">
        <v>169</v>
      </c>
      <c r="G411" s="68" t="s">
        <v>1405</v>
      </c>
      <c r="H411" s="66" t="s">
        <v>479</v>
      </c>
      <c r="I411" s="60" t="s">
        <v>1406</v>
      </c>
      <c r="J411" s="60" t="s">
        <v>37</v>
      </c>
      <c r="K411" s="60" t="s">
        <v>241</v>
      </c>
      <c r="L411" s="60" t="s">
        <v>1407</v>
      </c>
      <c r="M411" s="68" t="s">
        <v>1409</v>
      </c>
      <c r="N411" s="68" t="s">
        <v>42</v>
      </c>
      <c r="O411" s="68">
        <v>521</v>
      </c>
      <c r="P411" s="68">
        <v>10472163</v>
      </c>
      <c r="Q411" s="303">
        <f t="shared" si="46"/>
        <v>0</v>
      </c>
      <c r="R411" s="303">
        <f t="shared" si="47"/>
        <v>0</v>
      </c>
      <c r="S411" s="68">
        <v>0</v>
      </c>
      <c r="T411" s="68">
        <v>0</v>
      </c>
      <c r="U411" s="68">
        <v>0</v>
      </c>
      <c r="V411" s="68">
        <v>0</v>
      </c>
      <c r="W411" s="68">
        <v>0</v>
      </c>
      <c r="X411" s="37">
        <v>36</v>
      </c>
      <c r="Y411" s="37">
        <v>29</v>
      </c>
      <c r="Z411" s="37">
        <v>18</v>
      </c>
      <c r="AA411" s="37">
        <v>22</v>
      </c>
      <c r="AB411" s="300">
        <f t="shared" si="48"/>
        <v>68.903999999999996</v>
      </c>
      <c r="AC411" s="300">
        <f t="shared" si="49"/>
        <v>0.41508433734939759</v>
      </c>
      <c r="AD411" s="68">
        <v>0</v>
      </c>
      <c r="AE411" s="68">
        <v>0</v>
      </c>
      <c r="AF411" s="68">
        <v>0</v>
      </c>
      <c r="AG411" s="68">
        <v>0</v>
      </c>
      <c r="AH411" s="68">
        <v>0</v>
      </c>
      <c r="AI411" s="309"/>
      <c r="AJ411" s="309"/>
      <c r="AK411" s="68" t="s">
        <v>48</v>
      </c>
      <c r="AL411" s="68" t="s">
        <v>50</v>
      </c>
      <c r="AM411" s="299">
        <f t="shared" ca="1" si="45"/>
        <v>5.8333333333284827</v>
      </c>
      <c r="AN411" s="51"/>
      <c r="AO411" s="61" t="s">
        <v>128</v>
      </c>
      <c r="AP411" s="61" t="s">
        <v>1409</v>
      </c>
      <c r="AQ411" s="61" t="s">
        <v>1793</v>
      </c>
      <c r="AR411" s="64">
        <v>44881.541666666664</v>
      </c>
      <c r="AS411" s="61" t="s">
        <v>117</v>
      </c>
      <c r="AT411" s="61" t="s">
        <v>225</v>
      </c>
      <c r="AU411" s="59">
        <v>0.54166666666666663</v>
      </c>
      <c r="AV411" s="61">
        <v>1</v>
      </c>
      <c r="AW411" s="61" t="s">
        <v>66</v>
      </c>
      <c r="AX411" s="52"/>
      <c r="AY411" s="52"/>
      <c r="AZ411" s="52"/>
      <c r="BA411" s="52"/>
    </row>
    <row r="412" spans="1:53" x14ac:dyDescent="0.25">
      <c r="A412" s="48">
        <v>216</v>
      </c>
      <c r="B412" s="72">
        <v>44875.763888888891</v>
      </c>
      <c r="C412" s="36">
        <v>0.76736111111111116</v>
      </c>
      <c r="D412" s="36">
        <v>0.77083333333333337</v>
      </c>
      <c r="E412" s="36">
        <v>0.78125</v>
      </c>
      <c r="F412" s="37" t="s">
        <v>171</v>
      </c>
      <c r="G412" s="37" t="s">
        <v>463</v>
      </c>
      <c r="H412" s="26" t="s">
        <v>1410</v>
      </c>
      <c r="I412" s="26" t="s">
        <v>1411</v>
      </c>
      <c r="J412" s="26" t="s">
        <v>41</v>
      </c>
      <c r="K412" s="26" t="s">
        <v>180</v>
      </c>
      <c r="L412" s="26" t="s">
        <v>206</v>
      </c>
      <c r="M412" s="37" t="s">
        <v>1413</v>
      </c>
      <c r="N412" s="37" t="s">
        <v>42</v>
      </c>
      <c r="O412" s="37">
        <v>7</v>
      </c>
      <c r="P412" s="37">
        <v>25847</v>
      </c>
      <c r="Q412" s="303">
        <f t="shared" si="46"/>
        <v>1</v>
      </c>
      <c r="R412" s="303">
        <f t="shared" si="47"/>
        <v>32</v>
      </c>
      <c r="S412" s="37">
        <v>0</v>
      </c>
      <c r="T412" s="37">
        <v>0</v>
      </c>
      <c r="U412" s="37">
        <v>1</v>
      </c>
      <c r="V412" s="37">
        <v>32</v>
      </c>
      <c r="W412" s="37">
        <v>29</v>
      </c>
      <c r="X412" s="37">
        <v>93</v>
      </c>
      <c r="Y412" s="37">
        <v>68</v>
      </c>
      <c r="Z412" s="37">
        <v>35</v>
      </c>
      <c r="AA412" s="37">
        <v>1</v>
      </c>
      <c r="AB412" s="300">
        <f t="shared" si="48"/>
        <v>36.89</v>
      </c>
      <c r="AC412" s="300">
        <f t="shared" si="49"/>
        <v>0.2222289156626506</v>
      </c>
      <c r="AD412" s="37">
        <v>30000</v>
      </c>
      <c r="AE412" s="37" t="s">
        <v>109</v>
      </c>
      <c r="AF412" s="37" t="s">
        <v>317</v>
      </c>
      <c r="AG412" s="37" t="s">
        <v>317</v>
      </c>
      <c r="AH412" s="37" t="s">
        <v>1412</v>
      </c>
      <c r="AI412" s="309"/>
      <c r="AJ412" s="309"/>
      <c r="AK412" s="37" t="s">
        <v>406</v>
      </c>
      <c r="AL412" s="37" t="s">
        <v>94</v>
      </c>
      <c r="AM412" s="299">
        <f t="shared" ca="1" si="45"/>
        <v>0.96180555555474712</v>
      </c>
      <c r="AN412" s="51"/>
      <c r="AO412" s="61" t="s">
        <v>127</v>
      </c>
      <c r="AP412" s="62" t="s">
        <v>1413</v>
      </c>
      <c r="AQ412" s="61" t="s">
        <v>1523</v>
      </c>
      <c r="AR412" s="64">
        <v>44876.725694444445</v>
      </c>
      <c r="AS412" s="61" t="s">
        <v>126</v>
      </c>
      <c r="AT412" s="61" t="s">
        <v>225</v>
      </c>
      <c r="AU412" s="59">
        <v>0.72569444444444453</v>
      </c>
      <c r="AV412" s="61">
        <v>1</v>
      </c>
      <c r="AW412" s="61" t="s">
        <v>66</v>
      </c>
      <c r="AX412" s="52"/>
      <c r="AY412" s="52"/>
      <c r="AZ412" s="52"/>
      <c r="BA412" s="52"/>
    </row>
    <row r="413" spans="1:53" x14ac:dyDescent="0.25">
      <c r="A413" s="48">
        <v>217</v>
      </c>
      <c r="B413" s="72">
        <v>44875.763888888891</v>
      </c>
      <c r="C413" s="36">
        <v>0.77083333333333337</v>
      </c>
      <c r="D413" s="36">
        <v>0.77430555555555547</v>
      </c>
      <c r="E413" s="36">
        <v>0.78472222222222221</v>
      </c>
      <c r="F413" s="68" t="s">
        <v>171</v>
      </c>
      <c r="G413" s="37" t="s">
        <v>136</v>
      </c>
      <c r="H413" s="60" t="s">
        <v>393</v>
      </c>
      <c r="I413" s="60" t="s">
        <v>394</v>
      </c>
      <c r="J413" s="26" t="s">
        <v>41</v>
      </c>
      <c r="K413" s="26" t="s">
        <v>180</v>
      </c>
      <c r="L413" s="26" t="s">
        <v>206</v>
      </c>
      <c r="M413" s="37" t="s">
        <v>1418</v>
      </c>
      <c r="N413" s="37" t="s">
        <v>1414</v>
      </c>
      <c r="O413" s="37">
        <v>8240336487</v>
      </c>
      <c r="P413" s="68">
        <v>4543668783</v>
      </c>
      <c r="Q413" s="303">
        <f t="shared" si="46"/>
        <v>3</v>
      </c>
      <c r="R413" s="303">
        <f t="shared" si="47"/>
        <v>705</v>
      </c>
      <c r="S413" s="37">
        <v>0</v>
      </c>
      <c r="T413" s="37">
        <v>0</v>
      </c>
      <c r="U413" s="37">
        <v>3</v>
      </c>
      <c r="V413" s="37">
        <f>92+375+367-129</f>
        <v>705</v>
      </c>
      <c r="W413" s="37">
        <v>717</v>
      </c>
      <c r="X413" s="37">
        <v>80</v>
      </c>
      <c r="Y413" s="37">
        <v>60</v>
      </c>
      <c r="Z413" s="37">
        <v>97</v>
      </c>
      <c r="AA413" s="37">
        <v>1</v>
      </c>
      <c r="AB413" s="300">
        <f t="shared" si="48"/>
        <v>77.599999999999994</v>
      </c>
      <c r="AC413" s="300">
        <f t="shared" si="49"/>
        <v>0.46746987951807223</v>
      </c>
      <c r="AD413" s="37">
        <v>48888</v>
      </c>
      <c r="AE413" s="37" t="s">
        <v>111</v>
      </c>
      <c r="AF413" s="37" t="s">
        <v>317</v>
      </c>
      <c r="AG413" s="37" t="s">
        <v>317</v>
      </c>
      <c r="AH413" s="37" t="s">
        <v>1417</v>
      </c>
      <c r="AI413" s="309"/>
      <c r="AJ413" s="309"/>
      <c r="AK413" s="37" t="s">
        <v>37</v>
      </c>
      <c r="AL413" s="37" t="s">
        <v>39</v>
      </c>
      <c r="AM413" s="299">
        <f t="shared" ca="1" si="45"/>
        <v>0.96180555555474712</v>
      </c>
      <c r="AN413" s="51"/>
      <c r="AO413" s="61" t="s">
        <v>467</v>
      </c>
      <c r="AP413" s="62" t="s">
        <v>1418</v>
      </c>
      <c r="AQ413" s="61" t="s">
        <v>1522</v>
      </c>
      <c r="AR413" s="64">
        <v>44876.725694444445</v>
      </c>
      <c r="AS413" s="61" t="s">
        <v>126</v>
      </c>
      <c r="AT413" s="61" t="s">
        <v>225</v>
      </c>
      <c r="AU413" s="59">
        <v>0.72569444444444453</v>
      </c>
      <c r="AV413" s="61">
        <v>1</v>
      </c>
      <c r="AW413" s="61" t="s">
        <v>66</v>
      </c>
      <c r="AX413" s="52"/>
      <c r="AY413" s="52"/>
      <c r="AZ413" s="52"/>
      <c r="BA413" s="52"/>
    </row>
    <row r="414" spans="1:53" x14ac:dyDescent="0.25">
      <c r="A414" s="73">
        <v>217</v>
      </c>
      <c r="B414" s="72">
        <v>44875.763888888891</v>
      </c>
      <c r="C414" s="67">
        <v>0.77083333333333337</v>
      </c>
      <c r="D414" s="67">
        <v>0.77430555555555547</v>
      </c>
      <c r="E414" s="67">
        <v>0.78472222222222221</v>
      </c>
      <c r="F414" s="68" t="s">
        <v>171</v>
      </c>
      <c r="G414" s="68" t="s">
        <v>136</v>
      </c>
      <c r="H414" s="60" t="s">
        <v>393</v>
      </c>
      <c r="I414" s="60" t="s">
        <v>394</v>
      </c>
      <c r="J414" s="60" t="s">
        <v>41</v>
      </c>
      <c r="K414" s="60" t="s">
        <v>180</v>
      </c>
      <c r="L414" s="60" t="s">
        <v>206</v>
      </c>
      <c r="M414" s="68" t="s">
        <v>1418</v>
      </c>
      <c r="N414" s="68" t="s">
        <v>1414</v>
      </c>
      <c r="O414" s="68">
        <v>8240336487</v>
      </c>
      <c r="P414" s="68">
        <v>4543668783</v>
      </c>
      <c r="Q414" s="303">
        <f t="shared" si="46"/>
        <v>0</v>
      </c>
      <c r="R414" s="303">
        <f t="shared" si="47"/>
        <v>0</v>
      </c>
      <c r="S414" s="37">
        <v>0</v>
      </c>
      <c r="T414" s="37">
        <v>0</v>
      </c>
      <c r="U414" s="37">
        <v>0</v>
      </c>
      <c r="V414" s="37">
        <v>0</v>
      </c>
      <c r="W414" s="37">
        <v>0</v>
      </c>
      <c r="X414" s="37">
        <v>60</v>
      </c>
      <c r="Y414" s="37">
        <v>79</v>
      </c>
      <c r="Z414" s="37">
        <v>117</v>
      </c>
      <c r="AA414" s="37">
        <v>2</v>
      </c>
      <c r="AB414" s="300">
        <f t="shared" si="48"/>
        <v>184.86</v>
      </c>
      <c r="AC414" s="300">
        <f t="shared" si="49"/>
        <v>1.1136144578313254</v>
      </c>
      <c r="AD414" s="37">
        <v>0</v>
      </c>
      <c r="AE414" s="37">
        <v>0</v>
      </c>
      <c r="AF414" s="37">
        <v>0</v>
      </c>
      <c r="AG414" s="37">
        <v>0</v>
      </c>
      <c r="AH414" s="37">
        <v>0</v>
      </c>
      <c r="AI414" s="309"/>
      <c r="AJ414" s="309"/>
      <c r="AK414" s="68" t="s">
        <v>37</v>
      </c>
      <c r="AL414" s="68" t="s">
        <v>39</v>
      </c>
      <c r="AM414" s="299">
        <f t="shared" ca="1" si="45"/>
        <v>0.96180555555474712</v>
      </c>
      <c r="AN414" s="51"/>
      <c r="AO414" s="61" t="s">
        <v>467</v>
      </c>
      <c r="AP414" s="62" t="s">
        <v>1418</v>
      </c>
      <c r="AQ414" s="61" t="s">
        <v>1522</v>
      </c>
      <c r="AR414" s="64">
        <v>44876.725694444445</v>
      </c>
      <c r="AS414" s="61" t="s">
        <v>126</v>
      </c>
      <c r="AT414" s="61" t="s">
        <v>225</v>
      </c>
      <c r="AU414" s="59">
        <v>0.72569444444444453</v>
      </c>
      <c r="AV414" s="61">
        <v>1</v>
      </c>
      <c r="AW414" s="61" t="s">
        <v>66</v>
      </c>
      <c r="AX414" s="52"/>
      <c r="AY414" s="52"/>
      <c r="AZ414" s="52"/>
      <c r="BA414" s="52"/>
    </row>
    <row r="415" spans="1:53" x14ac:dyDescent="0.25">
      <c r="A415" s="48">
        <v>218</v>
      </c>
      <c r="B415" s="72">
        <v>44875.763888888891</v>
      </c>
      <c r="C415" s="36">
        <v>0.77083333333333337</v>
      </c>
      <c r="D415" s="36">
        <v>0.77777777777777779</v>
      </c>
      <c r="E415" s="36">
        <v>0.78819444444444453</v>
      </c>
      <c r="F415" s="37" t="s">
        <v>169</v>
      </c>
      <c r="G415" s="37" t="s">
        <v>1419</v>
      </c>
      <c r="H415" s="26" t="s">
        <v>1420</v>
      </c>
      <c r="I415" s="26" t="s">
        <v>1421</v>
      </c>
      <c r="J415" s="26" t="s">
        <v>37</v>
      </c>
      <c r="K415" s="26" t="s">
        <v>233</v>
      </c>
      <c r="L415" s="60">
        <v>0</v>
      </c>
      <c r="M415" s="37" t="s">
        <v>1424</v>
      </c>
      <c r="N415" s="37" t="s">
        <v>42</v>
      </c>
      <c r="O415" s="37">
        <v>140</v>
      </c>
      <c r="P415" s="37" t="s">
        <v>1422</v>
      </c>
      <c r="Q415" s="303">
        <f t="shared" si="46"/>
        <v>1</v>
      </c>
      <c r="R415" s="303">
        <f t="shared" si="47"/>
        <v>387</v>
      </c>
      <c r="S415" s="37">
        <v>0</v>
      </c>
      <c r="T415" s="37">
        <v>0</v>
      </c>
      <c r="U415" s="37">
        <v>1</v>
      </c>
      <c r="V415" s="37">
        <v>387</v>
      </c>
      <c r="W415" s="37">
        <v>358</v>
      </c>
      <c r="X415" s="37">
        <v>117</v>
      </c>
      <c r="Y415" s="37">
        <v>114</v>
      </c>
      <c r="Z415" s="37">
        <v>100</v>
      </c>
      <c r="AA415" s="37">
        <v>1</v>
      </c>
      <c r="AB415" s="300">
        <f t="shared" si="48"/>
        <v>222.3</v>
      </c>
      <c r="AC415" s="300">
        <f t="shared" si="49"/>
        <v>1.3391566265060242</v>
      </c>
      <c r="AD415" s="37" t="s">
        <v>48</v>
      </c>
      <c r="AE415" s="37" t="s">
        <v>48</v>
      </c>
      <c r="AF415" s="37">
        <v>5371352</v>
      </c>
      <c r="AG415" s="37" t="s">
        <v>1423</v>
      </c>
      <c r="AH415" s="37" t="s">
        <v>48</v>
      </c>
      <c r="AI415" s="309"/>
      <c r="AJ415" s="309"/>
      <c r="AK415" s="37" t="s">
        <v>37</v>
      </c>
      <c r="AL415" s="37" t="s">
        <v>52</v>
      </c>
      <c r="AM415" s="299">
        <f t="shared" ca="1" si="45"/>
        <v>0.96180555555474712</v>
      </c>
      <c r="AN415" s="51"/>
      <c r="AO415" s="61" t="s">
        <v>79</v>
      </c>
      <c r="AP415" s="62" t="s">
        <v>1424</v>
      </c>
      <c r="AQ415" s="61" t="s">
        <v>1517</v>
      </c>
      <c r="AR415" s="64">
        <v>44876.725694444445</v>
      </c>
      <c r="AS415" s="61" t="s">
        <v>126</v>
      </c>
      <c r="AT415" s="61" t="s">
        <v>225</v>
      </c>
      <c r="AU415" s="59">
        <v>0.72569444444444453</v>
      </c>
      <c r="AV415" s="61">
        <v>1</v>
      </c>
      <c r="AW415" s="61" t="s">
        <v>66</v>
      </c>
      <c r="AX415" s="52"/>
      <c r="AY415" s="52"/>
      <c r="AZ415" s="52"/>
      <c r="BA415" s="52"/>
    </row>
    <row r="416" spans="1:53" x14ac:dyDescent="0.25">
      <c r="A416" s="48">
        <v>219</v>
      </c>
      <c r="B416" s="72">
        <v>44875.777777777781</v>
      </c>
      <c r="C416" s="36">
        <v>0.78472222222222221</v>
      </c>
      <c r="D416" s="36">
        <v>0.79166666666666663</v>
      </c>
      <c r="E416" s="36">
        <v>0.79861111111111116</v>
      </c>
      <c r="F416" s="37" t="s">
        <v>171</v>
      </c>
      <c r="G416" s="37" t="s">
        <v>327</v>
      </c>
      <c r="H416" s="26" t="s">
        <v>287</v>
      </c>
      <c r="I416" s="26" t="s">
        <v>1425</v>
      </c>
      <c r="J416" s="26" t="s">
        <v>41</v>
      </c>
      <c r="K416" s="26" t="s">
        <v>180</v>
      </c>
      <c r="L416" s="26">
        <v>0</v>
      </c>
      <c r="M416" s="37" t="s">
        <v>1429</v>
      </c>
      <c r="N416" s="37" t="s">
        <v>1426</v>
      </c>
      <c r="O416" s="37">
        <v>95000034</v>
      </c>
      <c r="P416" s="37" t="s">
        <v>420</v>
      </c>
      <c r="Q416" s="303">
        <f t="shared" si="46"/>
        <v>6</v>
      </c>
      <c r="R416" s="303">
        <f t="shared" si="47"/>
        <v>46</v>
      </c>
      <c r="S416" s="37">
        <v>6</v>
      </c>
      <c r="T416" s="37">
        <f>67-21</f>
        <v>46</v>
      </c>
      <c r="U416" s="37">
        <v>0</v>
      </c>
      <c r="V416" s="37">
        <v>0</v>
      </c>
      <c r="W416" s="37" t="s">
        <v>48</v>
      </c>
      <c r="X416" s="37">
        <v>40</v>
      </c>
      <c r="Y416" s="37">
        <v>40</v>
      </c>
      <c r="Z416" s="37">
        <v>22</v>
      </c>
      <c r="AA416" s="37">
        <v>5</v>
      </c>
      <c r="AB416" s="300">
        <f t="shared" si="48"/>
        <v>29.333333333333332</v>
      </c>
      <c r="AC416" s="300">
        <f t="shared" si="49"/>
        <v>0.17670682730923695</v>
      </c>
      <c r="AD416" s="37">
        <v>724</v>
      </c>
      <c r="AE416" s="37" t="s">
        <v>109</v>
      </c>
      <c r="AF416" s="37" t="s">
        <v>317</v>
      </c>
      <c r="AG416" s="37" t="s">
        <v>317</v>
      </c>
      <c r="AH416" s="37" t="s">
        <v>1428</v>
      </c>
      <c r="AI416" s="309"/>
      <c r="AJ416" s="309"/>
      <c r="AK416" s="37" t="s">
        <v>48</v>
      </c>
      <c r="AL416" s="37" t="s">
        <v>50</v>
      </c>
      <c r="AM416" s="299">
        <f t="shared" ca="1" si="45"/>
        <v>0.77430555555474712</v>
      </c>
      <c r="AN416" s="51" t="s">
        <v>1427</v>
      </c>
      <c r="AO416" s="61" t="s">
        <v>455</v>
      </c>
      <c r="AP416" s="62" t="s">
        <v>1429</v>
      </c>
      <c r="AQ416" s="61" t="s">
        <v>1511</v>
      </c>
      <c r="AR416" s="64">
        <v>44876.552083333336</v>
      </c>
      <c r="AS416" s="61" t="s">
        <v>117</v>
      </c>
      <c r="AT416" s="61" t="s">
        <v>225</v>
      </c>
      <c r="AU416" s="59">
        <v>0.55208333333333337</v>
      </c>
      <c r="AV416" s="61">
        <v>1</v>
      </c>
      <c r="AW416" s="61" t="s">
        <v>66</v>
      </c>
      <c r="AX416" s="52"/>
      <c r="AY416" s="52"/>
      <c r="AZ416" s="52"/>
      <c r="BA416" s="52"/>
    </row>
    <row r="417" spans="1:53" x14ac:dyDescent="0.25">
      <c r="A417" s="73">
        <v>219</v>
      </c>
      <c r="B417" s="72">
        <v>44875.777777777781</v>
      </c>
      <c r="C417" s="67">
        <v>0.78472222222222221</v>
      </c>
      <c r="D417" s="67">
        <v>0.79166666666666663</v>
      </c>
      <c r="E417" s="67">
        <v>0.79861111111111116</v>
      </c>
      <c r="F417" s="68" t="s">
        <v>171</v>
      </c>
      <c r="G417" s="68" t="s">
        <v>327</v>
      </c>
      <c r="H417" s="60" t="s">
        <v>287</v>
      </c>
      <c r="I417" s="60" t="s">
        <v>1425</v>
      </c>
      <c r="J417" s="60" t="s">
        <v>41</v>
      </c>
      <c r="K417" s="60" t="s">
        <v>180</v>
      </c>
      <c r="L417" s="60">
        <v>0</v>
      </c>
      <c r="M417" s="68" t="s">
        <v>1429</v>
      </c>
      <c r="N417" s="68" t="s">
        <v>1426</v>
      </c>
      <c r="O417" s="68">
        <v>95000034</v>
      </c>
      <c r="P417" s="68" t="s">
        <v>420</v>
      </c>
      <c r="Q417" s="303">
        <f t="shared" si="46"/>
        <v>0</v>
      </c>
      <c r="R417" s="303">
        <f t="shared" si="47"/>
        <v>0</v>
      </c>
      <c r="S417" s="37">
        <v>0</v>
      </c>
      <c r="T417" s="37">
        <v>0</v>
      </c>
      <c r="U417" s="37">
        <v>0</v>
      </c>
      <c r="V417" s="37">
        <v>0</v>
      </c>
      <c r="W417" s="37">
        <v>0</v>
      </c>
      <c r="X417" s="37">
        <v>39</v>
      </c>
      <c r="Y417" s="37">
        <v>25</v>
      </c>
      <c r="Z417" s="37">
        <v>23</v>
      </c>
      <c r="AA417" s="37">
        <v>1</v>
      </c>
      <c r="AB417" s="300">
        <f t="shared" si="48"/>
        <v>3.7374999999999998</v>
      </c>
      <c r="AC417" s="300">
        <f t="shared" si="49"/>
        <v>2.2515060240963853E-2</v>
      </c>
      <c r="AD417" s="37">
        <v>0</v>
      </c>
      <c r="AE417" s="37">
        <v>0</v>
      </c>
      <c r="AF417" s="37">
        <v>0</v>
      </c>
      <c r="AG417" s="37">
        <v>0</v>
      </c>
      <c r="AH417" s="37">
        <v>0</v>
      </c>
      <c r="AI417" s="309"/>
      <c r="AJ417" s="309"/>
      <c r="AK417" s="68" t="s">
        <v>48</v>
      </c>
      <c r="AL417" s="68" t="s">
        <v>50</v>
      </c>
      <c r="AM417" s="299">
        <f t="shared" ca="1" si="45"/>
        <v>0.77430555555474712</v>
      </c>
      <c r="AN417" s="51"/>
      <c r="AO417" s="61" t="s">
        <v>455</v>
      </c>
      <c r="AP417" s="62" t="s">
        <v>1429</v>
      </c>
      <c r="AQ417" s="61" t="s">
        <v>1511</v>
      </c>
      <c r="AR417" s="64">
        <v>44876.552083333336</v>
      </c>
      <c r="AS417" s="61" t="s">
        <v>117</v>
      </c>
      <c r="AT417" s="61" t="s">
        <v>225</v>
      </c>
      <c r="AU417" s="59">
        <v>0.55208333333333337</v>
      </c>
      <c r="AV417" s="61">
        <v>1</v>
      </c>
      <c r="AW417" s="61" t="s">
        <v>66</v>
      </c>
      <c r="AX417" s="52"/>
      <c r="AY417" s="52"/>
      <c r="AZ417" s="52"/>
      <c r="BA417" s="52"/>
    </row>
    <row r="418" spans="1:53" x14ac:dyDescent="0.25">
      <c r="A418" s="48">
        <v>220</v>
      </c>
      <c r="B418" s="72">
        <v>44875.777777777781</v>
      </c>
      <c r="C418" s="36">
        <v>0.79166666666666663</v>
      </c>
      <c r="D418" s="36">
        <v>0.79513888888888884</v>
      </c>
      <c r="E418" s="36">
        <v>0.80208333333333337</v>
      </c>
      <c r="F418" s="37" t="s">
        <v>169</v>
      </c>
      <c r="G418" s="37" t="s">
        <v>1430</v>
      </c>
      <c r="H418" s="26" t="s">
        <v>1431</v>
      </c>
      <c r="I418" s="26" t="s">
        <v>1432</v>
      </c>
      <c r="J418" s="26" t="s">
        <v>37</v>
      </c>
      <c r="K418" s="26" t="s">
        <v>241</v>
      </c>
      <c r="L418" s="26" t="s">
        <v>405</v>
      </c>
      <c r="M418" s="37" t="s">
        <v>1434</v>
      </c>
      <c r="N418" s="37" t="s">
        <v>42</v>
      </c>
      <c r="O418" s="37">
        <v>107</v>
      </c>
      <c r="P418" s="37">
        <v>2394</v>
      </c>
      <c r="Q418" s="303">
        <f t="shared" si="46"/>
        <v>3</v>
      </c>
      <c r="R418" s="303">
        <f t="shared" si="47"/>
        <v>39</v>
      </c>
      <c r="S418" s="37">
        <v>3</v>
      </c>
      <c r="T418" s="37">
        <f>39</f>
        <v>39</v>
      </c>
      <c r="U418" s="37">
        <v>0</v>
      </c>
      <c r="V418" s="37">
        <v>0</v>
      </c>
      <c r="W418" s="37">
        <v>48</v>
      </c>
      <c r="X418" s="37">
        <v>74</v>
      </c>
      <c r="Y418" s="37">
        <v>56</v>
      </c>
      <c r="Z418" s="37">
        <v>21</v>
      </c>
      <c r="AA418" s="37">
        <v>3</v>
      </c>
      <c r="AB418" s="300">
        <f t="shared" si="48"/>
        <v>43.512</v>
      </c>
      <c r="AC418" s="300">
        <f t="shared" si="49"/>
        <v>0.26212048192771087</v>
      </c>
      <c r="AD418" s="37">
        <v>2200</v>
      </c>
      <c r="AE418" s="37" t="s">
        <v>109</v>
      </c>
      <c r="AF418" s="37" t="s">
        <v>241</v>
      </c>
      <c r="AG418" s="68" t="s">
        <v>241</v>
      </c>
      <c r="AH418" s="37" t="s">
        <v>1433</v>
      </c>
      <c r="AI418" s="309"/>
      <c r="AJ418" s="309"/>
      <c r="AK418" s="37" t="s">
        <v>48</v>
      </c>
      <c r="AL418" s="37" t="s">
        <v>50</v>
      </c>
      <c r="AM418" s="299">
        <f t="shared" ca="1" si="45"/>
        <v>0.94791666666424135</v>
      </c>
      <c r="AN418" s="51"/>
      <c r="AO418" s="61" t="s">
        <v>135</v>
      </c>
      <c r="AP418" s="62" t="s">
        <v>1434</v>
      </c>
      <c r="AQ418" s="61" t="s">
        <v>1521</v>
      </c>
      <c r="AR418" s="64">
        <v>44876.725694444445</v>
      </c>
      <c r="AS418" s="61" t="s">
        <v>126</v>
      </c>
      <c r="AT418" s="61" t="s">
        <v>225</v>
      </c>
      <c r="AU418" s="59">
        <v>0.72569444444444453</v>
      </c>
      <c r="AV418" s="61">
        <v>1</v>
      </c>
      <c r="AW418" s="61" t="s">
        <v>66</v>
      </c>
      <c r="AX418" s="52"/>
      <c r="AY418" s="52"/>
      <c r="AZ418" s="52"/>
      <c r="BA418" s="52"/>
    </row>
    <row r="419" spans="1:53" x14ac:dyDescent="0.25">
      <c r="A419" s="73">
        <v>221</v>
      </c>
      <c r="B419" s="72">
        <v>44876.440972222219</v>
      </c>
      <c r="C419" s="67">
        <v>0.44444444444444442</v>
      </c>
      <c r="D419" s="67">
        <v>0.45833333333333331</v>
      </c>
      <c r="E419" s="67">
        <v>0.46527777777777773</v>
      </c>
      <c r="F419" s="68" t="s">
        <v>171</v>
      </c>
      <c r="G419" s="68" t="s">
        <v>117</v>
      </c>
      <c r="H419" s="71" t="s">
        <v>91</v>
      </c>
      <c r="I419" s="71" t="s">
        <v>318</v>
      </c>
      <c r="J419" s="71" t="s">
        <v>41</v>
      </c>
      <c r="K419" s="71" t="s">
        <v>180</v>
      </c>
      <c r="L419" s="47" t="s">
        <v>206</v>
      </c>
      <c r="M419" s="68" t="s">
        <v>1435</v>
      </c>
      <c r="N419" s="68" t="s">
        <v>44</v>
      </c>
      <c r="O419" s="68">
        <v>1054969025</v>
      </c>
      <c r="P419" s="68">
        <v>1213937596</v>
      </c>
      <c r="Q419" s="303">
        <f t="shared" si="46"/>
        <v>25</v>
      </c>
      <c r="R419" s="303">
        <f t="shared" si="47"/>
        <v>1544</v>
      </c>
      <c r="S419" s="68">
        <v>0</v>
      </c>
      <c r="T419" s="68">
        <v>0</v>
      </c>
      <c r="U419" s="68">
        <v>25</v>
      </c>
      <c r="V419" s="68">
        <v>1544</v>
      </c>
      <c r="W419" s="68">
        <v>1625</v>
      </c>
      <c r="X419" s="68">
        <v>117</v>
      </c>
      <c r="Y419" s="68">
        <v>67</v>
      </c>
      <c r="Z419" s="68">
        <v>37</v>
      </c>
      <c r="AA419" s="68">
        <v>25</v>
      </c>
      <c r="AB419" s="300">
        <f t="shared" si="48"/>
        <v>1208.5125</v>
      </c>
      <c r="AC419" s="300">
        <f t="shared" si="49"/>
        <v>7.2801957831325304</v>
      </c>
      <c r="AD419" s="68">
        <v>143910.9</v>
      </c>
      <c r="AE419" s="68" t="s">
        <v>109</v>
      </c>
      <c r="AF419" s="68" t="s">
        <v>317</v>
      </c>
      <c r="AG419" s="68" t="s">
        <v>317</v>
      </c>
      <c r="AH419" s="68" t="s">
        <v>1436</v>
      </c>
      <c r="AI419" s="309"/>
      <c r="AJ419" s="309"/>
      <c r="AK419" s="68" t="s">
        <v>41</v>
      </c>
      <c r="AL419" s="68" t="s">
        <v>54</v>
      </c>
      <c r="AM419" s="299">
        <f t="shared" ca="1" si="45"/>
        <v>0.11111111111677019</v>
      </c>
      <c r="AN419" s="51"/>
      <c r="AO419" s="61" t="s">
        <v>323</v>
      </c>
      <c r="AP419" s="62" t="s">
        <v>1435</v>
      </c>
      <c r="AQ419" s="61" t="s">
        <v>1510</v>
      </c>
      <c r="AR419" s="64">
        <v>44876.552083333336</v>
      </c>
      <c r="AS419" s="61" t="s">
        <v>117</v>
      </c>
      <c r="AT419" s="61" t="s">
        <v>225</v>
      </c>
      <c r="AU419" s="59">
        <v>0.55208333333333337</v>
      </c>
      <c r="AV419" s="61">
        <v>1</v>
      </c>
      <c r="AW419" s="61" t="s">
        <v>66</v>
      </c>
      <c r="AX419" s="52"/>
      <c r="AY419" s="52"/>
      <c r="AZ419" s="52"/>
      <c r="BA419" s="52"/>
    </row>
    <row r="420" spans="1:53" x14ac:dyDescent="0.25">
      <c r="A420" s="73">
        <v>222</v>
      </c>
      <c r="B420" s="72">
        <v>44876.465277777781</v>
      </c>
      <c r="C420" s="67">
        <v>0.47222222222222227</v>
      </c>
      <c r="D420" s="67">
        <v>0.47916666666666669</v>
      </c>
      <c r="E420" s="67">
        <v>0.4861111111111111</v>
      </c>
      <c r="F420" s="68" t="s">
        <v>170</v>
      </c>
      <c r="G420" s="68" t="s">
        <v>328</v>
      </c>
      <c r="H420" s="66" t="s">
        <v>204</v>
      </c>
      <c r="I420" s="66" t="s">
        <v>162</v>
      </c>
      <c r="J420" s="66" t="s">
        <v>37</v>
      </c>
      <c r="K420" s="70" t="s">
        <v>63</v>
      </c>
      <c r="L420" s="70" t="s">
        <v>212</v>
      </c>
      <c r="M420" s="68" t="s">
        <v>1437</v>
      </c>
      <c r="N420" s="68" t="s">
        <v>158</v>
      </c>
      <c r="O420" s="68" t="s">
        <v>1438</v>
      </c>
      <c r="P420" s="68">
        <v>5051926315</v>
      </c>
      <c r="Q420" s="303">
        <f t="shared" si="46"/>
        <v>1</v>
      </c>
      <c r="R420" s="303">
        <f t="shared" si="47"/>
        <v>116</v>
      </c>
      <c r="S420" s="68">
        <v>0</v>
      </c>
      <c r="T420" s="68">
        <v>0</v>
      </c>
      <c r="U420" s="68">
        <v>1</v>
      </c>
      <c r="V420" s="68">
        <v>116</v>
      </c>
      <c r="W420" s="68">
        <v>110.6</v>
      </c>
      <c r="X420" s="68">
        <v>66</v>
      </c>
      <c r="Y420" s="68">
        <v>39</v>
      </c>
      <c r="Z420" s="68">
        <v>45</v>
      </c>
      <c r="AA420" s="68">
        <v>1</v>
      </c>
      <c r="AB420" s="300">
        <f t="shared" si="48"/>
        <v>19.305</v>
      </c>
      <c r="AC420" s="300">
        <f t="shared" si="49"/>
        <v>0.11629518072289156</v>
      </c>
      <c r="AD420" s="68">
        <v>1375.04</v>
      </c>
      <c r="AE420" s="68" t="s">
        <v>109</v>
      </c>
      <c r="AF420" s="68" t="s">
        <v>317</v>
      </c>
      <c r="AG420" s="68" t="s">
        <v>317</v>
      </c>
      <c r="AH420" s="68" t="s">
        <v>1439</v>
      </c>
      <c r="AI420" s="309"/>
      <c r="AJ420" s="309"/>
      <c r="AK420" s="68" t="s">
        <v>41</v>
      </c>
      <c r="AL420" s="68" t="s">
        <v>49</v>
      </c>
      <c r="AM420" s="299">
        <f t="shared" ca="1" si="45"/>
        <v>4.0104166666642413</v>
      </c>
      <c r="AN420" s="51"/>
      <c r="AO420" s="61" t="s">
        <v>159</v>
      </c>
      <c r="AP420" s="62" t="s">
        <v>1437</v>
      </c>
      <c r="AQ420" s="63" t="s">
        <v>1655</v>
      </c>
      <c r="AR420" s="64">
        <v>44880.475694444445</v>
      </c>
      <c r="AS420" s="61" t="s">
        <v>117</v>
      </c>
      <c r="AT420" s="61" t="s">
        <v>225</v>
      </c>
      <c r="AU420" s="59">
        <v>0.47569444444444442</v>
      </c>
      <c r="AV420" s="61">
        <v>1</v>
      </c>
      <c r="AW420" s="58" t="s">
        <v>66</v>
      </c>
      <c r="AX420" s="52"/>
      <c r="AY420" s="52"/>
      <c r="AZ420" s="52"/>
      <c r="BA420" s="52"/>
    </row>
    <row r="421" spans="1:53" x14ac:dyDescent="0.25">
      <c r="A421" s="73">
        <v>223</v>
      </c>
      <c r="B421" s="72">
        <v>44876.5</v>
      </c>
      <c r="C421" s="67">
        <v>0.50694444444444442</v>
      </c>
      <c r="D421" s="67">
        <v>0.51388888888888895</v>
      </c>
      <c r="E421" s="67">
        <v>0.51736111111111105</v>
      </c>
      <c r="F421" s="68" t="s">
        <v>171</v>
      </c>
      <c r="G421" s="68" t="s">
        <v>280</v>
      </c>
      <c r="H421" s="66" t="s">
        <v>119</v>
      </c>
      <c r="I421" s="66" t="s">
        <v>40</v>
      </c>
      <c r="J421" s="66" t="s">
        <v>37</v>
      </c>
      <c r="K421" s="66" t="s">
        <v>180</v>
      </c>
      <c r="L421" s="70" t="s">
        <v>206</v>
      </c>
      <c r="M421" s="68" t="s">
        <v>1518</v>
      </c>
      <c r="N421" s="68" t="s">
        <v>283</v>
      </c>
      <c r="O421" s="68" t="s">
        <v>1440</v>
      </c>
      <c r="P421" s="68">
        <v>4513635143</v>
      </c>
      <c r="Q421" s="303">
        <f t="shared" si="46"/>
        <v>3</v>
      </c>
      <c r="R421" s="303">
        <f t="shared" si="47"/>
        <v>973</v>
      </c>
      <c r="S421" s="68">
        <v>0</v>
      </c>
      <c r="T421" s="68">
        <v>0</v>
      </c>
      <c r="U421" s="68">
        <v>3</v>
      </c>
      <c r="V421" s="68">
        <v>973</v>
      </c>
      <c r="W421" s="68">
        <v>1005.2</v>
      </c>
      <c r="X421" s="68">
        <v>110</v>
      </c>
      <c r="Y421" s="68">
        <v>106</v>
      </c>
      <c r="Z421" s="68">
        <v>92</v>
      </c>
      <c r="AA421" s="68">
        <v>3</v>
      </c>
      <c r="AB421" s="300">
        <f t="shared" si="48"/>
        <v>536.36</v>
      </c>
      <c r="AC421" s="300">
        <f t="shared" si="49"/>
        <v>3.2310843373493978</v>
      </c>
      <c r="AD421" s="68" t="s">
        <v>48</v>
      </c>
      <c r="AE421" s="68" t="s">
        <v>48</v>
      </c>
      <c r="AF421" s="68" t="s">
        <v>317</v>
      </c>
      <c r="AG421" s="68" t="s">
        <v>317</v>
      </c>
      <c r="AH421" s="68" t="s">
        <v>1441</v>
      </c>
      <c r="AI421" s="309"/>
      <c r="AJ421" s="309"/>
      <c r="AK421" s="68" t="s">
        <v>41</v>
      </c>
      <c r="AL421" s="68" t="s">
        <v>52</v>
      </c>
      <c r="AM421" s="299">
        <f t="shared" ca="1" si="45"/>
        <v>0.22569444444525288</v>
      </c>
      <c r="AN421" s="51"/>
      <c r="AO421" s="61" t="s">
        <v>202</v>
      </c>
      <c r="AP421" s="62" t="s">
        <v>1518</v>
      </c>
      <c r="AQ421" s="61" t="s">
        <v>1519</v>
      </c>
      <c r="AR421" s="64">
        <v>44876.725694444445</v>
      </c>
      <c r="AS421" s="61" t="s">
        <v>126</v>
      </c>
      <c r="AT421" s="61" t="s">
        <v>225</v>
      </c>
      <c r="AU421" s="59">
        <v>0.72569444444444453</v>
      </c>
      <c r="AV421" s="61">
        <v>1</v>
      </c>
      <c r="AW421" s="61" t="s">
        <v>66</v>
      </c>
      <c r="AX421" s="52"/>
      <c r="AY421" s="52"/>
      <c r="AZ421" s="52"/>
      <c r="BA421" s="52"/>
    </row>
    <row r="422" spans="1:53" x14ac:dyDescent="0.25">
      <c r="A422" s="73">
        <v>224</v>
      </c>
      <c r="B422" s="72">
        <v>44876.527777777781</v>
      </c>
      <c r="C422" s="67">
        <v>0.52777777777777779</v>
      </c>
      <c r="D422" s="67">
        <v>0.54166666666666663</v>
      </c>
      <c r="E422" s="67">
        <v>0.55208333333333337</v>
      </c>
      <c r="F422" s="68" t="s">
        <v>170</v>
      </c>
      <c r="G422" s="68" t="s">
        <v>1442</v>
      </c>
      <c r="H422" s="66" t="s">
        <v>1443</v>
      </c>
      <c r="I422" s="66" t="s">
        <v>1444</v>
      </c>
      <c r="J422" s="66" t="s">
        <v>37</v>
      </c>
      <c r="K422" s="66" t="s">
        <v>63</v>
      </c>
      <c r="L422" s="66">
        <v>0</v>
      </c>
      <c r="M422" s="68" t="s">
        <v>1445</v>
      </c>
      <c r="N422" s="68" t="s">
        <v>283</v>
      </c>
      <c r="O422" s="68" t="s">
        <v>1446</v>
      </c>
      <c r="P422" s="68">
        <v>7300</v>
      </c>
      <c r="Q422" s="303">
        <f t="shared" si="46"/>
        <v>17</v>
      </c>
      <c r="R422" s="303">
        <f t="shared" si="47"/>
        <v>4947</v>
      </c>
      <c r="S422" s="68">
        <v>0</v>
      </c>
      <c r="T422" s="68">
        <v>0</v>
      </c>
      <c r="U422" s="68">
        <v>17</v>
      </c>
      <c r="V422" s="68">
        <v>4947</v>
      </c>
      <c r="W422" s="68">
        <v>4875</v>
      </c>
      <c r="X422" s="68">
        <v>95</v>
      </c>
      <c r="Y422" s="68">
        <v>60</v>
      </c>
      <c r="Z422" s="68">
        <v>61</v>
      </c>
      <c r="AA422" s="68">
        <v>1</v>
      </c>
      <c r="AB422" s="300">
        <f t="shared" si="48"/>
        <v>57.95</v>
      </c>
      <c r="AC422" s="300">
        <f t="shared" si="49"/>
        <v>0.34909638554216871</v>
      </c>
      <c r="AD422" s="68">
        <v>23217.119999999999</v>
      </c>
      <c r="AE422" s="68" t="s">
        <v>109</v>
      </c>
      <c r="AF422" s="68" t="s">
        <v>317</v>
      </c>
      <c r="AG422" s="68" t="s">
        <v>317</v>
      </c>
      <c r="AH422" s="68" t="s">
        <v>1447</v>
      </c>
      <c r="AI422" s="309"/>
      <c r="AJ422" s="309"/>
      <c r="AK422" s="68" t="s">
        <v>41</v>
      </c>
      <c r="AL422" s="68" t="s">
        <v>54</v>
      </c>
      <c r="AM422" s="299">
        <f t="shared" ca="1" si="45"/>
        <v>0.99305555555474712</v>
      </c>
      <c r="AN422" s="51"/>
      <c r="AO422" s="61" t="s">
        <v>1575</v>
      </c>
      <c r="AP422" s="62" t="s">
        <v>1445</v>
      </c>
      <c r="AQ422" s="61" t="s">
        <v>1576</v>
      </c>
      <c r="AR422" s="64">
        <v>44877.520833333336</v>
      </c>
      <c r="AS422" s="61" t="s">
        <v>1577</v>
      </c>
      <c r="AT422" s="61" t="s">
        <v>65</v>
      </c>
      <c r="AU422" s="63">
        <v>0.52083333333333337</v>
      </c>
      <c r="AV422" s="61">
        <v>1</v>
      </c>
      <c r="AW422" s="61" t="s">
        <v>66</v>
      </c>
      <c r="AX422" s="52"/>
      <c r="AY422" s="52"/>
      <c r="AZ422" s="52"/>
      <c r="BA422" s="52"/>
    </row>
    <row r="423" spans="1:53" x14ac:dyDescent="0.25">
      <c r="A423" s="73">
        <v>224</v>
      </c>
      <c r="B423" s="72">
        <v>44876.527777777781</v>
      </c>
      <c r="C423" s="67">
        <v>0.52777777777777779</v>
      </c>
      <c r="D423" s="67">
        <v>0.54166666666666663</v>
      </c>
      <c r="E423" s="67">
        <v>0.55208333333333337</v>
      </c>
      <c r="F423" s="68" t="s">
        <v>170</v>
      </c>
      <c r="G423" s="68" t="s">
        <v>1442</v>
      </c>
      <c r="H423" s="66" t="s">
        <v>1443</v>
      </c>
      <c r="I423" s="66" t="s">
        <v>1444</v>
      </c>
      <c r="J423" s="66" t="s">
        <v>37</v>
      </c>
      <c r="K423" s="66" t="s">
        <v>63</v>
      </c>
      <c r="L423" s="66">
        <v>0</v>
      </c>
      <c r="M423" s="68" t="s">
        <v>1445</v>
      </c>
      <c r="N423" s="68" t="s">
        <v>283</v>
      </c>
      <c r="O423" s="68" t="s">
        <v>1446</v>
      </c>
      <c r="P423" s="68">
        <v>7300</v>
      </c>
      <c r="Q423" s="303">
        <f t="shared" si="46"/>
        <v>0</v>
      </c>
      <c r="R423" s="303">
        <f t="shared" si="47"/>
        <v>0</v>
      </c>
      <c r="S423" s="68">
        <v>0</v>
      </c>
      <c r="T423" s="68">
        <v>0</v>
      </c>
      <c r="U423" s="68">
        <v>0</v>
      </c>
      <c r="V423" s="68">
        <v>0</v>
      </c>
      <c r="W423" s="68">
        <v>0</v>
      </c>
      <c r="X423" s="68">
        <v>94</v>
      </c>
      <c r="Y423" s="68">
        <v>59</v>
      </c>
      <c r="Z423" s="68">
        <v>71</v>
      </c>
      <c r="AA423" s="68">
        <v>16</v>
      </c>
      <c r="AB423" s="300">
        <f t="shared" si="48"/>
        <v>1050.0426666666667</v>
      </c>
      <c r="AC423" s="300">
        <f t="shared" si="49"/>
        <v>6.3255582329317273</v>
      </c>
      <c r="AD423" s="68">
        <v>0</v>
      </c>
      <c r="AE423" s="68">
        <v>0</v>
      </c>
      <c r="AF423" s="68" t="s">
        <v>317</v>
      </c>
      <c r="AG423" s="68" t="s">
        <v>317</v>
      </c>
      <c r="AH423" s="68" t="s">
        <v>1447</v>
      </c>
      <c r="AI423" s="309"/>
      <c r="AJ423" s="309"/>
      <c r="AK423" s="68" t="s">
        <v>41</v>
      </c>
      <c r="AL423" s="68" t="s">
        <v>54</v>
      </c>
      <c r="AM423" s="299">
        <f t="shared" ca="1" si="45"/>
        <v>0.99305555555474712</v>
      </c>
      <c r="AN423" s="51"/>
      <c r="AO423" s="61" t="s">
        <v>1575</v>
      </c>
      <c r="AP423" s="62" t="s">
        <v>1445</v>
      </c>
      <c r="AQ423" s="61" t="s">
        <v>1576</v>
      </c>
      <c r="AR423" s="64">
        <v>44877.520833333336</v>
      </c>
      <c r="AS423" s="61" t="s">
        <v>1577</v>
      </c>
      <c r="AT423" s="61" t="s">
        <v>65</v>
      </c>
      <c r="AU423" s="63">
        <v>0.52083333333333337</v>
      </c>
      <c r="AV423" s="61">
        <v>1</v>
      </c>
      <c r="AW423" s="61" t="s">
        <v>66</v>
      </c>
      <c r="AX423" s="52"/>
      <c r="AY423" s="52"/>
      <c r="AZ423" s="52"/>
      <c r="BA423" s="52"/>
    </row>
    <row r="424" spans="1:53" x14ac:dyDescent="0.25">
      <c r="A424" s="73">
        <v>225</v>
      </c>
      <c r="B424" s="72">
        <v>44876.604166666664</v>
      </c>
      <c r="C424" s="67">
        <v>0.61111111111111105</v>
      </c>
      <c r="D424" s="67">
        <v>0.61805555555555558</v>
      </c>
      <c r="E424" s="67">
        <v>0.625</v>
      </c>
      <c r="F424" s="68" t="s">
        <v>170</v>
      </c>
      <c r="G424" s="68" t="s">
        <v>1448</v>
      </c>
      <c r="H424" s="66" t="s">
        <v>227</v>
      </c>
      <c r="I424" s="66" t="s">
        <v>189</v>
      </c>
      <c r="J424" s="66" t="s">
        <v>41</v>
      </c>
      <c r="K424" s="66" t="s">
        <v>63</v>
      </c>
      <c r="L424" s="66" t="s">
        <v>209</v>
      </c>
      <c r="M424" s="68" t="s">
        <v>1449</v>
      </c>
      <c r="N424" s="68" t="s">
        <v>42</v>
      </c>
      <c r="O424" s="92" t="s">
        <v>1450</v>
      </c>
      <c r="P424" s="68">
        <v>2197</v>
      </c>
      <c r="Q424" s="303">
        <f t="shared" si="46"/>
        <v>14</v>
      </c>
      <c r="R424" s="303">
        <f t="shared" si="47"/>
        <v>247</v>
      </c>
      <c r="S424" s="68">
        <v>14</v>
      </c>
      <c r="T424" s="68">
        <v>247</v>
      </c>
      <c r="U424" s="68">
        <v>0</v>
      </c>
      <c r="V424" s="68">
        <v>0</v>
      </c>
      <c r="W424" s="68">
        <v>236</v>
      </c>
      <c r="X424" s="68">
        <v>84</v>
      </c>
      <c r="Y424" s="68">
        <v>52</v>
      </c>
      <c r="Z424" s="68">
        <v>63</v>
      </c>
      <c r="AA424" s="68">
        <v>13</v>
      </c>
      <c r="AB424" s="300">
        <f t="shared" si="48"/>
        <v>596.23199999999997</v>
      </c>
      <c r="AC424" s="300">
        <f t="shared" si="49"/>
        <v>3.5917590361445781</v>
      </c>
      <c r="AD424" s="68">
        <v>8310.6</v>
      </c>
      <c r="AE424" s="68" t="s">
        <v>109</v>
      </c>
      <c r="AF424" s="68" t="s">
        <v>317</v>
      </c>
      <c r="AG424" s="68" t="s">
        <v>317</v>
      </c>
      <c r="AH424" s="68" t="s">
        <v>1451</v>
      </c>
      <c r="AI424" s="309"/>
      <c r="AJ424" s="309"/>
      <c r="AK424" s="68" t="s">
        <v>48</v>
      </c>
      <c r="AL424" s="68" t="s">
        <v>47</v>
      </c>
      <c r="AM424" s="299">
        <f t="shared" ref="AM424:AM487" ca="1" si="50">IF(AP424="",NOW()-B424,AR424-B424)</f>
        <v>1.0902777777810115</v>
      </c>
      <c r="AN424" s="51"/>
      <c r="AO424" s="61" t="s">
        <v>89</v>
      </c>
      <c r="AP424" s="62" t="s">
        <v>1579</v>
      </c>
      <c r="AQ424" s="61" t="s">
        <v>1580</v>
      </c>
      <c r="AR424" s="64">
        <v>44877.694444444445</v>
      </c>
      <c r="AS424" s="61" t="s">
        <v>488</v>
      </c>
      <c r="AT424" s="61" t="s">
        <v>225</v>
      </c>
      <c r="AU424" s="63">
        <v>0.69444444444444453</v>
      </c>
      <c r="AV424" s="58">
        <v>2</v>
      </c>
      <c r="AW424" s="61" t="s">
        <v>66</v>
      </c>
      <c r="AX424" s="52"/>
      <c r="AY424" s="52"/>
      <c r="AZ424" s="52"/>
      <c r="BA424" s="52"/>
    </row>
    <row r="425" spans="1:53" x14ac:dyDescent="0.25">
      <c r="A425" s="73">
        <v>225</v>
      </c>
      <c r="B425" s="72">
        <v>44876.604166666664</v>
      </c>
      <c r="C425" s="67">
        <v>0.61111111111111105</v>
      </c>
      <c r="D425" s="67">
        <v>0.61805555555555558</v>
      </c>
      <c r="E425" s="67">
        <v>0.625</v>
      </c>
      <c r="F425" s="68" t="s">
        <v>170</v>
      </c>
      <c r="G425" s="68" t="s">
        <v>1448</v>
      </c>
      <c r="H425" s="66" t="s">
        <v>227</v>
      </c>
      <c r="I425" s="66" t="s">
        <v>189</v>
      </c>
      <c r="J425" s="66" t="s">
        <v>41</v>
      </c>
      <c r="K425" s="66" t="s">
        <v>63</v>
      </c>
      <c r="L425" s="66" t="s">
        <v>209</v>
      </c>
      <c r="M425" s="68" t="s">
        <v>1449</v>
      </c>
      <c r="N425" s="68" t="s">
        <v>42</v>
      </c>
      <c r="O425" s="92" t="s">
        <v>1450</v>
      </c>
      <c r="P425" s="68">
        <v>2197</v>
      </c>
      <c r="Q425" s="303">
        <f t="shared" ref="Q425:Q488" si="51">S425+U425</f>
        <v>0</v>
      </c>
      <c r="R425" s="303">
        <f t="shared" ref="R425:R488" si="52">T425+V425</f>
        <v>0</v>
      </c>
      <c r="S425" s="68">
        <v>0</v>
      </c>
      <c r="T425" s="68">
        <v>0</v>
      </c>
      <c r="U425" s="68">
        <v>0</v>
      </c>
      <c r="V425" s="68">
        <v>0</v>
      </c>
      <c r="W425" s="68">
        <v>0</v>
      </c>
      <c r="X425" s="68">
        <v>60</v>
      </c>
      <c r="Y425" s="68">
        <v>51</v>
      </c>
      <c r="Z425" s="68">
        <v>46</v>
      </c>
      <c r="AA425" s="68">
        <v>1</v>
      </c>
      <c r="AB425" s="300">
        <f t="shared" ref="AB425:AB488" si="53">X425*Y425*Z425*AA425/6000</f>
        <v>23.46</v>
      </c>
      <c r="AC425" s="300">
        <f t="shared" ref="AC425:AC488" si="54">AB425/166</f>
        <v>0.14132530120481929</v>
      </c>
      <c r="AD425" s="68">
        <v>0</v>
      </c>
      <c r="AE425" s="68">
        <v>0</v>
      </c>
      <c r="AF425" s="68" t="s">
        <v>317</v>
      </c>
      <c r="AG425" s="68" t="s">
        <v>317</v>
      </c>
      <c r="AH425" s="68" t="s">
        <v>1451</v>
      </c>
      <c r="AI425" s="309"/>
      <c r="AJ425" s="309"/>
      <c r="AK425" s="68" t="s">
        <v>48</v>
      </c>
      <c r="AL425" s="68" t="s">
        <v>47</v>
      </c>
      <c r="AM425" s="299">
        <f t="shared" ca="1" si="50"/>
        <v>1.0902777777810115</v>
      </c>
      <c r="AN425" s="51"/>
      <c r="AO425" s="61" t="s">
        <v>89</v>
      </c>
      <c r="AP425" s="62" t="s">
        <v>1579</v>
      </c>
      <c r="AQ425" s="61" t="s">
        <v>1580</v>
      </c>
      <c r="AR425" s="64">
        <v>44877.694444444445</v>
      </c>
      <c r="AS425" s="61" t="s">
        <v>488</v>
      </c>
      <c r="AT425" s="61" t="s">
        <v>225</v>
      </c>
      <c r="AU425" s="63">
        <v>0.69444444444444453</v>
      </c>
      <c r="AV425" s="58">
        <v>2</v>
      </c>
      <c r="AW425" s="61" t="s">
        <v>66</v>
      </c>
      <c r="AX425" s="52"/>
      <c r="AY425" s="52"/>
      <c r="AZ425" s="52"/>
      <c r="BA425" s="52"/>
    </row>
    <row r="426" spans="1:53" x14ac:dyDescent="0.25">
      <c r="A426" s="73">
        <v>226</v>
      </c>
      <c r="B426" s="72">
        <v>44876.652777777781</v>
      </c>
      <c r="C426" s="67">
        <v>0.65277777777777779</v>
      </c>
      <c r="D426" s="67">
        <v>0.65972222222222221</v>
      </c>
      <c r="E426" s="67">
        <v>0.66666666666666663</v>
      </c>
      <c r="F426" s="68" t="s">
        <v>171</v>
      </c>
      <c r="G426" s="68" t="s">
        <v>1452</v>
      </c>
      <c r="H426" s="66" t="s">
        <v>140</v>
      </c>
      <c r="I426" s="66" t="s">
        <v>445</v>
      </c>
      <c r="J426" s="66" t="s">
        <v>37</v>
      </c>
      <c r="K426" s="66" t="s">
        <v>180</v>
      </c>
      <c r="L426" s="70" t="s">
        <v>206</v>
      </c>
      <c r="M426" s="68" t="s">
        <v>1453</v>
      </c>
      <c r="N426" s="68" t="s">
        <v>44</v>
      </c>
      <c r="O426" s="68">
        <v>1008100543</v>
      </c>
      <c r="P426" s="68">
        <v>3127521</v>
      </c>
      <c r="Q426" s="303">
        <f t="shared" si="51"/>
        <v>1</v>
      </c>
      <c r="R426" s="303">
        <f t="shared" si="52"/>
        <v>65</v>
      </c>
      <c r="S426" s="68">
        <v>0</v>
      </c>
      <c r="T426" s="68">
        <v>0</v>
      </c>
      <c r="U426" s="68">
        <v>1</v>
      </c>
      <c r="V426" s="68">
        <v>65</v>
      </c>
      <c r="W426" s="68">
        <v>55</v>
      </c>
      <c r="X426" s="68">
        <v>47</v>
      </c>
      <c r="Y426" s="68">
        <v>47</v>
      </c>
      <c r="Z426" s="68">
        <v>59</v>
      </c>
      <c r="AA426" s="68">
        <v>1</v>
      </c>
      <c r="AB426" s="300">
        <f t="shared" si="53"/>
        <v>21.721833333333333</v>
      </c>
      <c r="AC426" s="300">
        <f t="shared" si="54"/>
        <v>0.13085441767068273</v>
      </c>
      <c r="AD426" s="68">
        <v>558.5</v>
      </c>
      <c r="AE426" s="68" t="s">
        <v>109</v>
      </c>
      <c r="AF426" s="68" t="s">
        <v>317</v>
      </c>
      <c r="AG426" s="68" t="s">
        <v>317</v>
      </c>
      <c r="AH426" s="68" t="s">
        <v>1454</v>
      </c>
      <c r="AI426" s="309"/>
      <c r="AJ426" s="309"/>
      <c r="AK426" s="68" t="s">
        <v>37</v>
      </c>
      <c r="AL426" s="68" t="s">
        <v>49</v>
      </c>
      <c r="AM426" s="299">
        <f t="shared" ca="1" si="50"/>
        <v>0.85763888888322981</v>
      </c>
      <c r="AN426" s="51"/>
      <c r="AO426" s="61" t="s">
        <v>53</v>
      </c>
      <c r="AP426" s="62" t="s">
        <v>1453</v>
      </c>
      <c r="AQ426" s="61" t="s">
        <v>1573</v>
      </c>
      <c r="AR426" s="64">
        <v>44877.510416666664</v>
      </c>
      <c r="AS426" s="59" t="s">
        <v>290</v>
      </c>
      <c r="AT426" s="61" t="s">
        <v>65</v>
      </c>
      <c r="AU426" s="63">
        <v>0.51041666666666663</v>
      </c>
      <c r="AV426" s="61">
        <v>1</v>
      </c>
      <c r="AW426" s="61" t="s">
        <v>66</v>
      </c>
      <c r="AX426" s="52"/>
      <c r="AY426" s="52"/>
      <c r="AZ426" s="52"/>
      <c r="BA426" s="52"/>
    </row>
    <row r="427" spans="1:53" x14ac:dyDescent="0.25">
      <c r="A427" s="73">
        <v>227</v>
      </c>
      <c r="B427" s="72">
        <v>44876.6875</v>
      </c>
      <c r="C427" s="67">
        <v>0.69444444444444453</v>
      </c>
      <c r="D427" s="67">
        <v>0.70138888888888884</v>
      </c>
      <c r="E427" s="67">
        <v>0.70833333333333337</v>
      </c>
      <c r="F427" s="68" t="s">
        <v>169</v>
      </c>
      <c r="G427" s="68" t="s">
        <v>1455</v>
      </c>
      <c r="H427" s="66" t="s">
        <v>410</v>
      </c>
      <c r="I427" s="66" t="s">
        <v>411</v>
      </c>
      <c r="J427" s="66" t="s">
        <v>37</v>
      </c>
      <c r="K427" s="68" t="s">
        <v>233</v>
      </c>
      <c r="L427" s="66" t="s">
        <v>208</v>
      </c>
      <c r="M427" s="68" t="s">
        <v>1456</v>
      </c>
      <c r="N427" s="68" t="s">
        <v>42</v>
      </c>
      <c r="O427" s="68">
        <v>2677</v>
      </c>
      <c r="P427" s="68">
        <v>10099461</v>
      </c>
      <c r="Q427" s="303">
        <f t="shared" si="51"/>
        <v>18</v>
      </c>
      <c r="R427" s="303">
        <f t="shared" si="52"/>
        <v>279</v>
      </c>
      <c r="S427" s="68">
        <v>18</v>
      </c>
      <c r="T427" s="68">
        <v>279</v>
      </c>
      <c r="U427" s="68">
        <v>0</v>
      </c>
      <c r="V427" s="68">
        <v>0</v>
      </c>
      <c r="W427" s="68">
        <v>240</v>
      </c>
      <c r="X427" s="68">
        <v>48</v>
      </c>
      <c r="Y427" s="68">
        <v>42</v>
      </c>
      <c r="Z427" s="68">
        <v>37</v>
      </c>
      <c r="AA427" s="68">
        <v>2</v>
      </c>
      <c r="AB427" s="300">
        <f t="shared" si="53"/>
        <v>24.864000000000001</v>
      </c>
      <c r="AC427" s="300">
        <f t="shared" si="54"/>
        <v>0.14978313253012049</v>
      </c>
      <c r="AD427" s="68">
        <v>7991.46</v>
      </c>
      <c r="AE427" s="68" t="s">
        <v>109</v>
      </c>
      <c r="AF427" s="68" t="s">
        <v>1457</v>
      </c>
      <c r="AG427" s="68" t="s">
        <v>1458</v>
      </c>
      <c r="AH427" s="68" t="s">
        <v>1459</v>
      </c>
      <c r="AI427" s="309"/>
      <c r="AJ427" s="309"/>
      <c r="AK427" s="68" t="s">
        <v>48</v>
      </c>
      <c r="AL427" s="68" t="s">
        <v>50</v>
      </c>
      <c r="AM427" s="299">
        <f t="shared" ca="1" si="50"/>
        <v>3.9826388888905058</v>
      </c>
      <c r="AN427" s="51"/>
      <c r="AO427" s="61" t="s">
        <v>135</v>
      </c>
      <c r="AP427" s="62" t="s">
        <v>1456</v>
      </c>
      <c r="AQ427" s="61" t="s">
        <v>1661</v>
      </c>
      <c r="AR427" s="64">
        <v>44880.670138888891</v>
      </c>
      <c r="AS427" s="61" t="s">
        <v>117</v>
      </c>
      <c r="AT427" s="61" t="s">
        <v>225</v>
      </c>
      <c r="AU427" s="59">
        <v>0.67013888888888884</v>
      </c>
      <c r="AV427" s="61">
        <v>2</v>
      </c>
      <c r="AW427" s="61" t="s">
        <v>66</v>
      </c>
      <c r="AX427" s="52"/>
      <c r="AY427" s="52"/>
      <c r="AZ427" s="52"/>
      <c r="BA427" s="52"/>
    </row>
    <row r="428" spans="1:53" x14ac:dyDescent="0.25">
      <c r="A428" s="73">
        <v>227</v>
      </c>
      <c r="B428" s="72">
        <v>44876.6875</v>
      </c>
      <c r="C428" s="67">
        <v>0.69444444444444453</v>
      </c>
      <c r="D428" s="67">
        <v>0.70138888888888884</v>
      </c>
      <c r="E428" s="67">
        <v>0.70833333333333337</v>
      </c>
      <c r="F428" s="68" t="s">
        <v>169</v>
      </c>
      <c r="G428" s="68" t="s">
        <v>1455</v>
      </c>
      <c r="H428" s="66" t="s">
        <v>410</v>
      </c>
      <c r="I428" s="66" t="s">
        <v>411</v>
      </c>
      <c r="J428" s="66" t="s">
        <v>37</v>
      </c>
      <c r="K428" s="68" t="s">
        <v>233</v>
      </c>
      <c r="L428" s="66" t="s">
        <v>208</v>
      </c>
      <c r="M428" s="68" t="s">
        <v>1456</v>
      </c>
      <c r="N428" s="68" t="s">
        <v>42</v>
      </c>
      <c r="O428" s="68">
        <v>2677</v>
      </c>
      <c r="P428" s="68">
        <v>10099461</v>
      </c>
      <c r="Q428" s="303">
        <f t="shared" si="51"/>
        <v>0</v>
      </c>
      <c r="R428" s="303">
        <f t="shared" si="52"/>
        <v>0</v>
      </c>
      <c r="S428" s="68">
        <v>0</v>
      </c>
      <c r="T428" s="68">
        <v>0</v>
      </c>
      <c r="U428" s="68">
        <v>0</v>
      </c>
      <c r="V428" s="68">
        <v>0</v>
      </c>
      <c r="W428" s="68">
        <v>0</v>
      </c>
      <c r="X428" s="68">
        <v>57</v>
      </c>
      <c r="Y428" s="68">
        <v>48</v>
      </c>
      <c r="Z428" s="68">
        <v>39</v>
      </c>
      <c r="AA428" s="68">
        <v>1</v>
      </c>
      <c r="AB428" s="300">
        <f t="shared" si="53"/>
        <v>17.783999999999999</v>
      </c>
      <c r="AC428" s="300">
        <f t="shared" si="54"/>
        <v>0.10713253012048192</v>
      </c>
      <c r="AD428" s="68">
        <v>0</v>
      </c>
      <c r="AE428" s="68">
        <v>0</v>
      </c>
      <c r="AF428" s="68" t="s">
        <v>1457</v>
      </c>
      <c r="AG428" s="68" t="s">
        <v>1458</v>
      </c>
      <c r="AH428" s="68" t="s">
        <v>1459</v>
      </c>
      <c r="AI428" s="309"/>
      <c r="AJ428" s="309"/>
      <c r="AK428" s="68" t="s">
        <v>48</v>
      </c>
      <c r="AL428" s="68" t="s">
        <v>50</v>
      </c>
      <c r="AM428" s="299">
        <f t="shared" ca="1" si="50"/>
        <v>3.9826388888905058</v>
      </c>
      <c r="AN428" s="51"/>
      <c r="AO428" s="61" t="s">
        <v>135</v>
      </c>
      <c r="AP428" s="62" t="s">
        <v>1456</v>
      </c>
      <c r="AQ428" s="61" t="s">
        <v>1661</v>
      </c>
      <c r="AR428" s="64">
        <v>44880.670138888891</v>
      </c>
      <c r="AS428" s="61" t="s">
        <v>117</v>
      </c>
      <c r="AT428" s="61" t="s">
        <v>225</v>
      </c>
      <c r="AU428" s="59">
        <v>0.67013888888888884</v>
      </c>
      <c r="AV428" s="61">
        <v>2</v>
      </c>
      <c r="AW428" s="61" t="s">
        <v>66</v>
      </c>
      <c r="AX428" s="52"/>
      <c r="AY428" s="52"/>
      <c r="AZ428" s="52"/>
      <c r="BA428" s="52"/>
    </row>
    <row r="429" spans="1:53" x14ac:dyDescent="0.25">
      <c r="A429" s="73">
        <v>227</v>
      </c>
      <c r="B429" s="72">
        <v>44876.6875</v>
      </c>
      <c r="C429" s="67">
        <v>0.69444444444444453</v>
      </c>
      <c r="D429" s="67">
        <v>0.70138888888888884</v>
      </c>
      <c r="E429" s="67">
        <v>0.70833333333333337</v>
      </c>
      <c r="F429" s="68" t="s">
        <v>169</v>
      </c>
      <c r="G429" s="68" t="s">
        <v>1455</v>
      </c>
      <c r="H429" s="66" t="s">
        <v>410</v>
      </c>
      <c r="I429" s="66" t="s">
        <v>411</v>
      </c>
      <c r="J429" s="66" t="s">
        <v>37</v>
      </c>
      <c r="K429" s="68" t="s">
        <v>233</v>
      </c>
      <c r="L429" s="66" t="s">
        <v>208</v>
      </c>
      <c r="M429" s="68" t="s">
        <v>1456</v>
      </c>
      <c r="N429" s="68" t="s">
        <v>42</v>
      </c>
      <c r="O429" s="68">
        <v>2677</v>
      </c>
      <c r="P429" s="68">
        <v>10099461</v>
      </c>
      <c r="Q429" s="303">
        <f t="shared" si="51"/>
        <v>0</v>
      </c>
      <c r="R429" s="303">
        <f t="shared" si="52"/>
        <v>0</v>
      </c>
      <c r="S429" s="68">
        <v>0</v>
      </c>
      <c r="T429" s="68">
        <v>0</v>
      </c>
      <c r="U429" s="68">
        <v>0</v>
      </c>
      <c r="V429" s="68">
        <v>0</v>
      </c>
      <c r="W429" s="68">
        <v>0</v>
      </c>
      <c r="X429" s="68">
        <v>55</v>
      </c>
      <c r="Y429" s="68">
        <v>39</v>
      </c>
      <c r="Z429" s="68">
        <v>29</v>
      </c>
      <c r="AA429" s="68">
        <v>1</v>
      </c>
      <c r="AB429" s="300">
        <f t="shared" si="53"/>
        <v>10.3675</v>
      </c>
      <c r="AC429" s="300">
        <f t="shared" si="54"/>
        <v>6.2454819277108435E-2</v>
      </c>
      <c r="AD429" s="68">
        <v>0</v>
      </c>
      <c r="AE429" s="68">
        <v>0</v>
      </c>
      <c r="AF429" s="68" t="s">
        <v>1457</v>
      </c>
      <c r="AG429" s="68" t="s">
        <v>1458</v>
      </c>
      <c r="AH429" s="68" t="s">
        <v>1459</v>
      </c>
      <c r="AI429" s="309"/>
      <c r="AJ429" s="309"/>
      <c r="AK429" s="68" t="s">
        <v>48</v>
      </c>
      <c r="AL429" s="68" t="s">
        <v>50</v>
      </c>
      <c r="AM429" s="299">
        <f t="shared" ca="1" si="50"/>
        <v>3.9826388888905058</v>
      </c>
      <c r="AN429" s="51"/>
      <c r="AO429" s="61" t="s">
        <v>135</v>
      </c>
      <c r="AP429" s="62" t="s">
        <v>1456</v>
      </c>
      <c r="AQ429" s="61" t="s">
        <v>1661</v>
      </c>
      <c r="AR429" s="64">
        <v>44880.670138888891</v>
      </c>
      <c r="AS429" s="61" t="s">
        <v>117</v>
      </c>
      <c r="AT429" s="61" t="s">
        <v>225</v>
      </c>
      <c r="AU429" s="59">
        <v>0.67013888888888884</v>
      </c>
      <c r="AV429" s="61">
        <v>2</v>
      </c>
      <c r="AW429" s="61" t="s">
        <v>66</v>
      </c>
      <c r="AX429" s="52"/>
      <c r="AY429" s="52"/>
      <c r="AZ429" s="52"/>
      <c r="BA429" s="52"/>
    </row>
    <row r="430" spans="1:53" x14ac:dyDescent="0.25">
      <c r="A430" s="73">
        <v>227</v>
      </c>
      <c r="B430" s="72">
        <v>44876.6875</v>
      </c>
      <c r="C430" s="67">
        <v>0.69444444444444453</v>
      </c>
      <c r="D430" s="67">
        <v>0.70138888888888884</v>
      </c>
      <c r="E430" s="67">
        <v>0.70833333333333337</v>
      </c>
      <c r="F430" s="68" t="s">
        <v>169</v>
      </c>
      <c r="G430" s="68" t="s">
        <v>1455</v>
      </c>
      <c r="H430" s="66" t="s">
        <v>410</v>
      </c>
      <c r="I430" s="66" t="s">
        <v>411</v>
      </c>
      <c r="J430" s="66" t="s">
        <v>37</v>
      </c>
      <c r="K430" s="68" t="s">
        <v>233</v>
      </c>
      <c r="L430" s="66" t="s">
        <v>208</v>
      </c>
      <c r="M430" s="68" t="s">
        <v>1456</v>
      </c>
      <c r="N430" s="68" t="s">
        <v>42</v>
      </c>
      <c r="O430" s="68">
        <v>2677</v>
      </c>
      <c r="P430" s="68">
        <v>10099461</v>
      </c>
      <c r="Q430" s="303">
        <f t="shared" si="51"/>
        <v>0</v>
      </c>
      <c r="R430" s="303">
        <f t="shared" si="52"/>
        <v>0</v>
      </c>
      <c r="S430" s="68">
        <v>0</v>
      </c>
      <c r="T430" s="68">
        <v>0</v>
      </c>
      <c r="U430" s="68">
        <v>0</v>
      </c>
      <c r="V430" s="68">
        <v>0</v>
      </c>
      <c r="W430" s="68">
        <v>0</v>
      </c>
      <c r="X430" s="68">
        <v>70</v>
      </c>
      <c r="Y430" s="68">
        <v>47</v>
      </c>
      <c r="Z430" s="68">
        <v>39</v>
      </c>
      <c r="AA430" s="68">
        <v>14</v>
      </c>
      <c r="AB430" s="300">
        <f t="shared" si="53"/>
        <v>299.39</v>
      </c>
      <c r="AC430" s="300">
        <f t="shared" si="54"/>
        <v>1.8035542168674699</v>
      </c>
      <c r="AD430" s="68">
        <v>0</v>
      </c>
      <c r="AE430" s="68">
        <v>0</v>
      </c>
      <c r="AF430" s="68" t="s">
        <v>1457</v>
      </c>
      <c r="AG430" s="68" t="s">
        <v>1458</v>
      </c>
      <c r="AH430" s="68" t="s">
        <v>1459</v>
      </c>
      <c r="AI430" s="309"/>
      <c r="AJ430" s="309"/>
      <c r="AK430" s="68" t="s">
        <v>48</v>
      </c>
      <c r="AL430" s="68" t="s">
        <v>50</v>
      </c>
      <c r="AM430" s="299">
        <f t="shared" ca="1" si="50"/>
        <v>3.9826388888905058</v>
      </c>
      <c r="AN430" s="51"/>
      <c r="AO430" s="61" t="s">
        <v>135</v>
      </c>
      <c r="AP430" s="62" t="s">
        <v>1456</v>
      </c>
      <c r="AQ430" s="61" t="s">
        <v>1661</v>
      </c>
      <c r="AR430" s="64">
        <v>44880.670138888891</v>
      </c>
      <c r="AS430" s="61" t="s">
        <v>117</v>
      </c>
      <c r="AT430" s="61" t="s">
        <v>225</v>
      </c>
      <c r="AU430" s="59">
        <v>0.67013888888888884</v>
      </c>
      <c r="AV430" s="61">
        <v>2</v>
      </c>
      <c r="AW430" s="61" t="s">
        <v>66</v>
      </c>
      <c r="AX430" s="52"/>
      <c r="AY430" s="52"/>
      <c r="AZ430" s="52"/>
      <c r="BA430" s="52"/>
    </row>
    <row r="431" spans="1:53" x14ac:dyDescent="0.25">
      <c r="A431" s="73">
        <v>228</v>
      </c>
      <c r="B431" s="72">
        <v>44876.722222222219</v>
      </c>
      <c r="C431" s="67">
        <v>0.72222222222222221</v>
      </c>
      <c r="D431" s="67">
        <v>0.73958333333333337</v>
      </c>
      <c r="E431" s="67">
        <v>0.75</v>
      </c>
      <c r="F431" s="68" t="s">
        <v>170</v>
      </c>
      <c r="G431" s="68" t="s">
        <v>1460</v>
      </c>
      <c r="H431" s="66" t="s">
        <v>1461</v>
      </c>
      <c r="I431" s="66" t="s">
        <v>141</v>
      </c>
      <c r="J431" s="66" t="s">
        <v>37</v>
      </c>
      <c r="K431" s="66" t="s">
        <v>63</v>
      </c>
      <c r="L431" s="66">
        <v>0</v>
      </c>
      <c r="M431" s="68" t="s">
        <v>1462</v>
      </c>
      <c r="N431" s="68" t="s">
        <v>42</v>
      </c>
      <c r="O431" s="68" t="s">
        <v>1463</v>
      </c>
      <c r="P431" s="68">
        <v>1050133</v>
      </c>
      <c r="Q431" s="303">
        <f t="shared" si="51"/>
        <v>2</v>
      </c>
      <c r="R431" s="303">
        <f t="shared" si="52"/>
        <v>176</v>
      </c>
      <c r="S431" s="68">
        <v>0</v>
      </c>
      <c r="T431" s="68">
        <v>0</v>
      </c>
      <c r="U431" s="68">
        <v>2</v>
      </c>
      <c r="V431" s="68">
        <v>176</v>
      </c>
      <c r="W431" s="68">
        <v>170.2</v>
      </c>
      <c r="X431" s="68">
        <v>87</v>
      </c>
      <c r="Y431" s="68">
        <v>57</v>
      </c>
      <c r="Z431" s="68">
        <v>69</v>
      </c>
      <c r="AA431" s="68">
        <v>1</v>
      </c>
      <c r="AB431" s="300">
        <f t="shared" si="53"/>
        <v>57.028500000000001</v>
      </c>
      <c r="AC431" s="300">
        <f t="shared" si="54"/>
        <v>0.34354518072289159</v>
      </c>
      <c r="AD431" s="68">
        <v>2369.2199999999998</v>
      </c>
      <c r="AE431" s="68" t="s">
        <v>109</v>
      </c>
      <c r="AF431" s="68" t="s">
        <v>317</v>
      </c>
      <c r="AG431" s="68" t="s">
        <v>317</v>
      </c>
      <c r="AH431" s="68" t="s">
        <v>1464</v>
      </c>
      <c r="AI431" s="309"/>
      <c r="AJ431" s="309"/>
      <c r="AK431" s="68" t="s">
        <v>41</v>
      </c>
      <c r="AL431" s="68" t="s">
        <v>49</v>
      </c>
      <c r="AM431" s="299">
        <f t="shared" ca="1" si="50"/>
        <v>0.75694444444525288</v>
      </c>
      <c r="AN431" s="51"/>
      <c r="AO431" s="61" t="s">
        <v>78</v>
      </c>
      <c r="AP431" s="62" t="s">
        <v>1462</v>
      </c>
      <c r="AQ431" s="61" t="s">
        <v>1570</v>
      </c>
      <c r="AR431" s="64">
        <v>44877.479166666664</v>
      </c>
      <c r="AS431" s="61" t="s">
        <v>136</v>
      </c>
      <c r="AT431" s="61" t="s">
        <v>225</v>
      </c>
      <c r="AU431" s="63">
        <v>0.47916666666666669</v>
      </c>
      <c r="AV431" s="61">
        <v>1</v>
      </c>
      <c r="AW431" s="61" t="s">
        <v>66</v>
      </c>
      <c r="AX431" s="52"/>
      <c r="AY431" s="52"/>
      <c r="AZ431" s="52"/>
      <c r="BA431" s="52"/>
    </row>
    <row r="432" spans="1:53" x14ac:dyDescent="0.25">
      <c r="A432" s="73">
        <v>228</v>
      </c>
      <c r="B432" s="72">
        <v>44876.722222222219</v>
      </c>
      <c r="C432" s="67">
        <v>0.72222222222222221</v>
      </c>
      <c r="D432" s="67">
        <v>0.73958333333333337</v>
      </c>
      <c r="E432" s="67">
        <v>0.75</v>
      </c>
      <c r="F432" s="68" t="s">
        <v>170</v>
      </c>
      <c r="G432" s="68" t="s">
        <v>1460</v>
      </c>
      <c r="H432" s="66" t="s">
        <v>1461</v>
      </c>
      <c r="I432" s="66" t="s">
        <v>141</v>
      </c>
      <c r="J432" s="66" t="s">
        <v>37</v>
      </c>
      <c r="K432" s="66" t="s">
        <v>63</v>
      </c>
      <c r="L432" s="66">
        <v>0</v>
      </c>
      <c r="M432" s="68" t="s">
        <v>1462</v>
      </c>
      <c r="N432" s="68" t="s">
        <v>42</v>
      </c>
      <c r="O432" s="68" t="s">
        <v>1463</v>
      </c>
      <c r="P432" s="68">
        <v>1050133</v>
      </c>
      <c r="Q432" s="303">
        <f t="shared" si="51"/>
        <v>0</v>
      </c>
      <c r="R432" s="303">
        <f t="shared" si="52"/>
        <v>0</v>
      </c>
      <c r="S432" s="68">
        <v>0</v>
      </c>
      <c r="T432" s="68">
        <v>0</v>
      </c>
      <c r="U432" s="68">
        <v>0</v>
      </c>
      <c r="V432" s="68">
        <v>0</v>
      </c>
      <c r="W432" s="68">
        <v>0</v>
      </c>
      <c r="X432" s="68">
        <v>129</v>
      </c>
      <c r="Y432" s="68">
        <v>88</v>
      </c>
      <c r="Z432" s="68">
        <v>41</v>
      </c>
      <c r="AA432" s="68">
        <v>1</v>
      </c>
      <c r="AB432" s="300">
        <f t="shared" si="53"/>
        <v>77.572000000000003</v>
      </c>
      <c r="AC432" s="300">
        <f t="shared" si="54"/>
        <v>0.46730120481927712</v>
      </c>
      <c r="AD432" s="68">
        <v>0</v>
      </c>
      <c r="AE432" s="68">
        <v>0</v>
      </c>
      <c r="AF432" s="68" t="s">
        <v>317</v>
      </c>
      <c r="AG432" s="68" t="s">
        <v>317</v>
      </c>
      <c r="AH432" s="68" t="s">
        <v>1464</v>
      </c>
      <c r="AI432" s="309"/>
      <c r="AJ432" s="309"/>
      <c r="AK432" s="68" t="s">
        <v>41</v>
      </c>
      <c r="AL432" s="68" t="s">
        <v>49</v>
      </c>
      <c r="AM432" s="299">
        <f t="shared" ca="1" si="50"/>
        <v>0.75694444444525288</v>
      </c>
      <c r="AN432" s="51"/>
      <c r="AO432" s="61" t="s">
        <v>78</v>
      </c>
      <c r="AP432" s="62" t="s">
        <v>1462</v>
      </c>
      <c r="AQ432" s="61" t="s">
        <v>1570</v>
      </c>
      <c r="AR432" s="64">
        <v>44877.479166666664</v>
      </c>
      <c r="AS432" s="61" t="s">
        <v>136</v>
      </c>
      <c r="AT432" s="61" t="s">
        <v>225</v>
      </c>
      <c r="AU432" s="63">
        <v>0.47916666666666669</v>
      </c>
      <c r="AV432" s="61">
        <v>1</v>
      </c>
      <c r="AW432" s="61" t="s">
        <v>66</v>
      </c>
      <c r="AX432" s="52"/>
      <c r="AY432" s="52"/>
      <c r="AZ432" s="52"/>
      <c r="BA432" s="52"/>
    </row>
    <row r="433" spans="1:54" x14ac:dyDescent="0.25">
      <c r="A433" s="73">
        <v>229</v>
      </c>
      <c r="B433" s="72">
        <v>44876.722222222219</v>
      </c>
      <c r="C433" s="67">
        <v>0.72222222222222221</v>
      </c>
      <c r="D433" s="67">
        <v>0.73958333333333337</v>
      </c>
      <c r="E433" s="67">
        <v>0.75</v>
      </c>
      <c r="F433" s="68" t="s">
        <v>170</v>
      </c>
      <c r="G433" s="68" t="s">
        <v>1460</v>
      </c>
      <c r="H433" s="66" t="s">
        <v>1461</v>
      </c>
      <c r="I433" s="66" t="s">
        <v>141</v>
      </c>
      <c r="J433" s="66" t="s">
        <v>37</v>
      </c>
      <c r="K433" s="66" t="s">
        <v>63</v>
      </c>
      <c r="L433" s="66">
        <v>0</v>
      </c>
      <c r="M433" s="68" t="s">
        <v>1462</v>
      </c>
      <c r="N433" s="68" t="s">
        <v>42</v>
      </c>
      <c r="O433" s="68" t="s">
        <v>1465</v>
      </c>
      <c r="P433" s="68" t="s">
        <v>1466</v>
      </c>
      <c r="Q433" s="303">
        <f t="shared" si="51"/>
        <v>1</v>
      </c>
      <c r="R433" s="303">
        <f t="shared" si="52"/>
        <v>116</v>
      </c>
      <c r="S433" s="68">
        <v>0</v>
      </c>
      <c r="T433" s="68">
        <v>0</v>
      </c>
      <c r="U433" s="68">
        <v>1</v>
      </c>
      <c r="V433" s="68">
        <v>116</v>
      </c>
      <c r="W433" s="68">
        <v>113.4</v>
      </c>
      <c r="X433" s="68">
        <v>129</v>
      </c>
      <c r="Y433" s="68">
        <v>88</v>
      </c>
      <c r="Z433" s="68">
        <v>41</v>
      </c>
      <c r="AA433" s="68">
        <v>1</v>
      </c>
      <c r="AB433" s="300">
        <f t="shared" si="53"/>
        <v>77.572000000000003</v>
      </c>
      <c r="AC433" s="300">
        <f t="shared" si="54"/>
        <v>0.46730120481927712</v>
      </c>
      <c r="AD433" s="68">
        <v>1196.3399999999999</v>
      </c>
      <c r="AE433" s="68" t="s">
        <v>109</v>
      </c>
      <c r="AF433" s="68" t="s">
        <v>317</v>
      </c>
      <c r="AG433" s="68" t="s">
        <v>317</v>
      </c>
      <c r="AH433" s="68" t="s">
        <v>1467</v>
      </c>
      <c r="AI433" s="309"/>
      <c r="AJ433" s="309"/>
      <c r="AK433" s="68" t="s">
        <v>41</v>
      </c>
      <c r="AL433" s="68" t="s">
        <v>49</v>
      </c>
      <c r="AM433" s="299">
        <f t="shared" ca="1" si="50"/>
        <v>0.75694444444525288</v>
      </c>
      <c r="AN433" s="51"/>
      <c r="AO433" s="61" t="s">
        <v>78</v>
      </c>
      <c r="AP433" s="62" t="s">
        <v>1462</v>
      </c>
      <c r="AQ433" s="61" t="s">
        <v>1570</v>
      </c>
      <c r="AR433" s="64">
        <v>44877.479166666664</v>
      </c>
      <c r="AS433" s="61" t="s">
        <v>136</v>
      </c>
      <c r="AT433" s="61" t="s">
        <v>225</v>
      </c>
      <c r="AU433" s="63">
        <v>0.47916666666666669</v>
      </c>
      <c r="AV433" s="61">
        <v>1</v>
      </c>
      <c r="AW433" s="61" t="s">
        <v>66</v>
      </c>
      <c r="AX433" s="52"/>
      <c r="AY433" s="52"/>
      <c r="AZ433" s="52"/>
      <c r="BA433" s="52"/>
    </row>
    <row r="434" spans="1:54" x14ac:dyDescent="0.25">
      <c r="A434" s="73">
        <v>230</v>
      </c>
      <c r="B434" s="72">
        <v>44876.722222222219</v>
      </c>
      <c r="C434" s="67">
        <v>0.72222222222222221</v>
      </c>
      <c r="D434" s="67">
        <v>0.73958333333333337</v>
      </c>
      <c r="E434" s="67">
        <v>0.75</v>
      </c>
      <c r="F434" s="68" t="s">
        <v>170</v>
      </c>
      <c r="G434" s="68" t="s">
        <v>1460</v>
      </c>
      <c r="H434" s="66" t="s">
        <v>1461</v>
      </c>
      <c r="I434" s="66" t="s">
        <v>141</v>
      </c>
      <c r="J434" s="66" t="s">
        <v>37</v>
      </c>
      <c r="K434" s="66" t="s">
        <v>63</v>
      </c>
      <c r="L434" s="66">
        <v>0</v>
      </c>
      <c r="M434" s="68" t="s">
        <v>1462</v>
      </c>
      <c r="N434" s="68" t="s">
        <v>42</v>
      </c>
      <c r="O434" s="68" t="s">
        <v>1468</v>
      </c>
      <c r="P434" s="68" t="s">
        <v>1469</v>
      </c>
      <c r="Q434" s="303">
        <f t="shared" si="51"/>
        <v>1</v>
      </c>
      <c r="R434" s="303">
        <f t="shared" si="52"/>
        <v>151</v>
      </c>
      <c r="S434" s="68">
        <v>0</v>
      </c>
      <c r="T434" s="68">
        <v>0</v>
      </c>
      <c r="U434" s="68">
        <v>1</v>
      </c>
      <c r="V434" s="68">
        <v>151</v>
      </c>
      <c r="W434" s="68">
        <v>146.80000000000001</v>
      </c>
      <c r="X434" s="68">
        <v>108</v>
      </c>
      <c r="Y434" s="68">
        <v>72</v>
      </c>
      <c r="Z434" s="68">
        <v>94</v>
      </c>
      <c r="AA434" s="68">
        <v>1</v>
      </c>
      <c r="AB434" s="300">
        <f t="shared" si="53"/>
        <v>121.824</v>
      </c>
      <c r="AC434" s="300">
        <f t="shared" si="54"/>
        <v>0.73387951807228913</v>
      </c>
      <c r="AD434" s="68">
        <v>2255.16</v>
      </c>
      <c r="AE434" s="68" t="s">
        <v>109</v>
      </c>
      <c r="AF434" s="68" t="s">
        <v>317</v>
      </c>
      <c r="AG434" s="68" t="s">
        <v>317</v>
      </c>
      <c r="AH434" s="68" t="s">
        <v>1470</v>
      </c>
      <c r="AI434" s="309"/>
      <c r="AJ434" s="309"/>
      <c r="AK434" s="68" t="s">
        <v>41</v>
      </c>
      <c r="AL434" s="68" t="s">
        <v>49</v>
      </c>
      <c r="AM434" s="299">
        <f t="shared" ca="1" si="50"/>
        <v>0.75694444444525288</v>
      </c>
      <c r="AN434" s="51"/>
      <c r="AO434" s="61" t="s">
        <v>78</v>
      </c>
      <c r="AP434" s="62" t="s">
        <v>1462</v>
      </c>
      <c r="AQ434" s="61" t="s">
        <v>1570</v>
      </c>
      <c r="AR434" s="64">
        <v>44877.479166666664</v>
      </c>
      <c r="AS434" s="61" t="s">
        <v>136</v>
      </c>
      <c r="AT434" s="61" t="s">
        <v>225</v>
      </c>
      <c r="AU434" s="63">
        <v>0.47916666666666669</v>
      </c>
      <c r="AV434" s="61">
        <v>1</v>
      </c>
      <c r="AW434" s="61" t="s">
        <v>66</v>
      </c>
      <c r="AX434" s="52"/>
      <c r="AY434" s="52"/>
      <c r="AZ434" s="52"/>
      <c r="BA434" s="52"/>
    </row>
    <row r="435" spans="1:54" x14ac:dyDescent="0.25">
      <c r="A435" s="73">
        <v>231</v>
      </c>
      <c r="B435" s="72">
        <v>44876.722222222219</v>
      </c>
      <c r="C435" s="67">
        <v>0.72222222222222221</v>
      </c>
      <c r="D435" s="67">
        <v>0.73958333333333337</v>
      </c>
      <c r="E435" s="67">
        <v>0.75</v>
      </c>
      <c r="F435" s="68" t="s">
        <v>170</v>
      </c>
      <c r="G435" s="68" t="s">
        <v>1460</v>
      </c>
      <c r="H435" s="66" t="s">
        <v>156</v>
      </c>
      <c r="I435" s="66" t="s">
        <v>110</v>
      </c>
      <c r="J435" s="66" t="s">
        <v>37</v>
      </c>
      <c r="K435" s="66" t="s">
        <v>63</v>
      </c>
      <c r="L435" s="66" t="s">
        <v>212</v>
      </c>
      <c r="M435" s="68" t="s">
        <v>1471</v>
      </c>
      <c r="N435" s="68" t="s">
        <v>186</v>
      </c>
      <c r="O435" s="68" t="s">
        <v>1472</v>
      </c>
      <c r="P435" s="68" t="s">
        <v>364</v>
      </c>
      <c r="Q435" s="303">
        <f t="shared" si="51"/>
        <v>2</v>
      </c>
      <c r="R435" s="303">
        <f t="shared" si="52"/>
        <v>176</v>
      </c>
      <c r="S435" s="68">
        <v>0</v>
      </c>
      <c r="T435" s="68">
        <v>0</v>
      </c>
      <c r="U435" s="68">
        <v>2</v>
      </c>
      <c r="V435" s="68">
        <v>176</v>
      </c>
      <c r="W435" s="68">
        <v>165</v>
      </c>
      <c r="X435" s="68">
        <v>44</v>
      </c>
      <c r="Y435" s="68">
        <v>42</v>
      </c>
      <c r="Z435" s="68">
        <v>48</v>
      </c>
      <c r="AA435" s="68">
        <v>2</v>
      </c>
      <c r="AB435" s="300">
        <f t="shared" si="53"/>
        <v>29.568000000000001</v>
      </c>
      <c r="AC435" s="300">
        <f t="shared" si="54"/>
        <v>0.17812048192771085</v>
      </c>
      <c r="AD435" s="68">
        <v>996.92</v>
      </c>
      <c r="AE435" s="68" t="s">
        <v>109</v>
      </c>
      <c r="AF435" s="68" t="s">
        <v>317</v>
      </c>
      <c r="AG435" s="68" t="s">
        <v>317</v>
      </c>
      <c r="AH435" s="68" t="s">
        <v>1473</v>
      </c>
      <c r="AI435" s="309"/>
      <c r="AJ435" s="309"/>
      <c r="AK435" s="68" t="s">
        <v>37</v>
      </c>
      <c r="AL435" s="68" t="s">
        <v>49</v>
      </c>
      <c r="AM435" s="299">
        <f t="shared" ca="1" si="50"/>
        <v>5.9097222222262644</v>
      </c>
      <c r="AN435" s="51"/>
      <c r="AO435" s="78" t="s">
        <v>131</v>
      </c>
      <c r="AP435" s="62" t="s">
        <v>1471</v>
      </c>
      <c r="AQ435" s="61" t="s">
        <v>1890</v>
      </c>
      <c r="AR435" s="64">
        <v>44882.631944444445</v>
      </c>
      <c r="AS435" s="61" t="s">
        <v>117</v>
      </c>
      <c r="AT435" s="61" t="s">
        <v>225</v>
      </c>
      <c r="AU435" s="59">
        <v>0.63194444444444442</v>
      </c>
      <c r="AV435" s="61">
        <v>2</v>
      </c>
      <c r="AW435" s="61" t="s">
        <v>66</v>
      </c>
      <c r="AX435" s="52"/>
      <c r="AY435" s="52"/>
      <c r="AZ435" s="52"/>
      <c r="BA435" s="52"/>
    </row>
    <row r="436" spans="1:54" x14ac:dyDescent="0.25">
      <c r="A436" s="73">
        <v>232</v>
      </c>
      <c r="B436" s="72">
        <v>44876.722222222219</v>
      </c>
      <c r="C436" s="67">
        <v>0.72222222222222221</v>
      </c>
      <c r="D436" s="67">
        <v>0.73958333333333337</v>
      </c>
      <c r="E436" s="67">
        <v>0.75</v>
      </c>
      <c r="F436" s="68" t="s">
        <v>170</v>
      </c>
      <c r="G436" s="68" t="s">
        <v>1460</v>
      </c>
      <c r="H436" s="66" t="s">
        <v>156</v>
      </c>
      <c r="I436" s="66" t="s">
        <v>110</v>
      </c>
      <c r="J436" s="66" t="s">
        <v>37</v>
      </c>
      <c r="K436" s="66" t="s">
        <v>63</v>
      </c>
      <c r="L436" s="66" t="s">
        <v>212</v>
      </c>
      <c r="M436" s="68" t="s">
        <v>1474</v>
      </c>
      <c r="N436" s="68" t="s">
        <v>186</v>
      </c>
      <c r="O436" s="68" t="s">
        <v>1475</v>
      </c>
      <c r="P436" s="68" t="s">
        <v>316</v>
      </c>
      <c r="Q436" s="303">
        <f t="shared" si="51"/>
        <v>3</v>
      </c>
      <c r="R436" s="303">
        <f t="shared" si="52"/>
        <v>144</v>
      </c>
      <c r="S436" s="68">
        <v>0</v>
      </c>
      <c r="T436" s="68">
        <v>0</v>
      </c>
      <c r="U436" s="68">
        <v>3</v>
      </c>
      <c r="V436" s="68">
        <v>144</v>
      </c>
      <c r="W436" s="68">
        <v>141.38</v>
      </c>
      <c r="X436" s="68">
        <v>44</v>
      </c>
      <c r="Y436" s="68">
        <v>42</v>
      </c>
      <c r="Z436" s="68">
        <v>31</v>
      </c>
      <c r="AA436" s="68">
        <v>1</v>
      </c>
      <c r="AB436" s="300">
        <f t="shared" si="53"/>
        <v>9.548</v>
      </c>
      <c r="AC436" s="300">
        <f t="shared" si="54"/>
        <v>5.7518072289156626E-2</v>
      </c>
      <c r="AD436" s="68">
        <v>1482.76</v>
      </c>
      <c r="AE436" s="68" t="s">
        <v>109</v>
      </c>
      <c r="AF436" s="68" t="s">
        <v>317</v>
      </c>
      <c r="AG436" s="68" t="s">
        <v>317</v>
      </c>
      <c r="AH436" s="68" t="s">
        <v>1476</v>
      </c>
      <c r="AI436" s="309"/>
      <c r="AJ436" s="309"/>
      <c r="AK436" s="68" t="s">
        <v>37</v>
      </c>
      <c r="AL436" s="68" t="s">
        <v>49</v>
      </c>
      <c r="AM436" s="299">
        <f t="shared" ca="1" si="50"/>
        <v>5.9097222222262644</v>
      </c>
      <c r="AN436" s="51"/>
      <c r="AO436" s="78" t="s">
        <v>131</v>
      </c>
      <c r="AP436" s="62" t="s">
        <v>1474</v>
      </c>
      <c r="AQ436" s="61" t="s">
        <v>1890</v>
      </c>
      <c r="AR436" s="64">
        <v>44882.631944444445</v>
      </c>
      <c r="AS436" s="61" t="s">
        <v>117</v>
      </c>
      <c r="AT436" s="61" t="s">
        <v>225</v>
      </c>
      <c r="AU436" s="59">
        <v>0.63194444444444442</v>
      </c>
      <c r="AV436" s="61">
        <v>2</v>
      </c>
      <c r="AW436" s="61" t="s">
        <v>66</v>
      </c>
      <c r="AX436" s="52"/>
      <c r="AY436" s="52"/>
      <c r="AZ436" s="52"/>
      <c r="BA436" s="52"/>
    </row>
    <row r="437" spans="1:54" x14ac:dyDescent="0.25">
      <c r="A437" s="73">
        <v>232</v>
      </c>
      <c r="B437" s="72">
        <v>44876.722222222219</v>
      </c>
      <c r="C437" s="67">
        <v>0.72222222222222221</v>
      </c>
      <c r="D437" s="67">
        <v>0.73958333333333337</v>
      </c>
      <c r="E437" s="67">
        <v>0.75</v>
      </c>
      <c r="F437" s="68" t="s">
        <v>170</v>
      </c>
      <c r="G437" s="68" t="s">
        <v>1460</v>
      </c>
      <c r="H437" s="66" t="s">
        <v>156</v>
      </c>
      <c r="I437" s="66" t="s">
        <v>110</v>
      </c>
      <c r="J437" s="66" t="s">
        <v>37</v>
      </c>
      <c r="K437" s="66" t="s">
        <v>63</v>
      </c>
      <c r="L437" s="66" t="s">
        <v>212</v>
      </c>
      <c r="M437" s="68" t="s">
        <v>1474</v>
      </c>
      <c r="N437" s="68" t="s">
        <v>186</v>
      </c>
      <c r="O437" s="68" t="s">
        <v>1475</v>
      </c>
      <c r="P437" s="68" t="s">
        <v>316</v>
      </c>
      <c r="Q437" s="303">
        <f t="shared" si="51"/>
        <v>0</v>
      </c>
      <c r="R437" s="303">
        <f t="shared" si="52"/>
        <v>0</v>
      </c>
      <c r="S437" s="68">
        <v>0</v>
      </c>
      <c r="T437" s="68">
        <v>0</v>
      </c>
      <c r="U437" s="68">
        <v>0</v>
      </c>
      <c r="V437" s="68">
        <v>0</v>
      </c>
      <c r="W437" s="68">
        <v>0</v>
      </c>
      <c r="X437" s="68">
        <v>55</v>
      </c>
      <c r="Y437" s="68">
        <v>28</v>
      </c>
      <c r="Z437" s="68">
        <v>39</v>
      </c>
      <c r="AA437" s="68">
        <v>1</v>
      </c>
      <c r="AB437" s="300">
        <f t="shared" si="53"/>
        <v>10.01</v>
      </c>
      <c r="AC437" s="300">
        <f t="shared" si="54"/>
        <v>6.0301204819277109E-2</v>
      </c>
      <c r="AD437" s="68">
        <v>0</v>
      </c>
      <c r="AE437" s="68">
        <v>0</v>
      </c>
      <c r="AF437" s="68" t="s">
        <v>317</v>
      </c>
      <c r="AG437" s="68" t="s">
        <v>317</v>
      </c>
      <c r="AH437" s="68" t="s">
        <v>1476</v>
      </c>
      <c r="AI437" s="309"/>
      <c r="AJ437" s="309"/>
      <c r="AK437" s="68" t="s">
        <v>37</v>
      </c>
      <c r="AL437" s="68" t="s">
        <v>49</v>
      </c>
      <c r="AM437" s="299">
        <f t="shared" ca="1" si="50"/>
        <v>5.9097222222262644</v>
      </c>
      <c r="AN437" s="51"/>
      <c r="AO437" s="78" t="s">
        <v>131</v>
      </c>
      <c r="AP437" s="62" t="s">
        <v>1474</v>
      </c>
      <c r="AQ437" s="61" t="s">
        <v>1890</v>
      </c>
      <c r="AR437" s="64">
        <v>44882.631944444445</v>
      </c>
      <c r="AS437" s="61" t="s">
        <v>117</v>
      </c>
      <c r="AT437" s="61" t="s">
        <v>225</v>
      </c>
      <c r="AU437" s="59">
        <v>0.63194444444444442</v>
      </c>
      <c r="AV437" s="61">
        <v>2</v>
      </c>
      <c r="AW437" s="61" t="s">
        <v>66</v>
      </c>
      <c r="AX437" s="52"/>
      <c r="AY437" s="52"/>
      <c r="AZ437" s="52"/>
      <c r="BA437" s="52"/>
    </row>
    <row r="438" spans="1:54" ht="15.75" thickBot="1" x14ac:dyDescent="0.3">
      <c r="A438" s="73">
        <v>232</v>
      </c>
      <c r="B438" s="72">
        <v>44876.722222222219</v>
      </c>
      <c r="C438" s="67">
        <v>0.72222222222222221</v>
      </c>
      <c r="D438" s="67">
        <v>0.73958333333333337</v>
      </c>
      <c r="E438" s="67">
        <v>0.75</v>
      </c>
      <c r="F438" s="68" t="s">
        <v>170</v>
      </c>
      <c r="G438" s="68" t="s">
        <v>1460</v>
      </c>
      <c r="H438" s="66" t="s">
        <v>156</v>
      </c>
      <c r="I438" s="66" t="s">
        <v>110</v>
      </c>
      <c r="J438" s="66" t="s">
        <v>37</v>
      </c>
      <c r="K438" s="66" t="s">
        <v>63</v>
      </c>
      <c r="L438" s="66" t="s">
        <v>212</v>
      </c>
      <c r="M438" s="68" t="s">
        <v>1474</v>
      </c>
      <c r="N438" s="68" t="s">
        <v>186</v>
      </c>
      <c r="O438" s="68" t="s">
        <v>1475</v>
      </c>
      <c r="P438" s="68" t="s">
        <v>316</v>
      </c>
      <c r="Q438" s="303">
        <f t="shared" si="51"/>
        <v>0</v>
      </c>
      <c r="R438" s="303">
        <f t="shared" si="52"/>
        <v>0</v>
      </c>
      <c r="S438" s="68">
        <v>0</v>
      </c>
      <c r="T438" s="68">
        <v>0</v>
      </c>
      <c r="U438" s="68">
        <v>0</v>
      </c>
      <c r="V438" s="68">
        <v>0</v>
      </c>
      <c r="W438" s="68">
        <v>0</v>
      </c>
      <c r="X438" s="68">
        <v>31</v>
      </c>
      <c r="Y438" s="68">
        <v>26</v>
      </c>
      <c r="Z438" s="68">
        <v>29</v>
      </c>
      <c r="AA438" s="68">
        <v>1</v>
      </c>
      <c r="AB438" s="300">
        <f t="shared" si="53"/>
        <v>3.8956666666666666</v>
      </c>
      <c r="AC438" s="300">
        <f t="shared" si="54"/>
        <v>2.3467871485943776E-2</v>
      </c>
      <c r="AD438" s="68">
        <v>0</v>
      </c>
      <c r="AE438" s="68">
        <v>0</v>
      </c>
      <c r="AF438" s="68" t="s">
        <v>317</v>
      </c>
      <c r="AG438" s="68" t="s">
        <v>317</v>
      </c>
      <c r="AH438" s="68" t="s">
        <v>1476</v>
      </c>
      <c r="AI438" s="309"/>
      <c r="AJ438" s="309"/>
      <c r="AK438" s="68" t="s">
        <v>37</v>
      </c>
      <c r="AL438" s="68" t="s">
        <v>49</v>
      </c>
      <c r="AM438" s="299">
        <f t="shared" ca="1" si="50"/>
        <v>5.9097222222262644</v>
      </c>
      <c r="AN438" s="51"/>
      <c r="AO438" s="78" t="s">
        <v>131</v>
      </c>
      <c r="AP438" s="62" t="s">
        <v>1474</v>
      </c>
      <c r="AQ438" s="61" t="s">
        <v>1890</v>
      </c>
      <c r="AR438" s="64">
        <v>44882.631944444445</v>
      </c>
      <c r="AS438" s="61" t="s">
        <v>117</v>
      </c>
      <c r="AT438" s="61" t="s">
        <v>225</v>
      </c>
      <c r="AU438" s="59">
        <v>0.63194444444444442</v>
      </c>
      <c r="AV438" s="61">
        <v>2</v>
      </c>
      <c r="AW438" s="61" t="s">
        <v>66</v>
      </c>
      <c r="AX438" s="52"/>
      <c r="AY438" s="52"/>
      <c r="AZ438" s="52"/>
      <c r="BA438" s="52"/>
    </row>
    <row r="439" spans="1:54" ht="15.75" thickBot="1" x14ac:dyDescent="0.3">
      <c r="A439" s="73">
        <v>233</v>
      </c>
      <c r="B439" s="72">
        <v>44876.739583333336</v>
      </c>
      <c r="C439" s="67">
        <v>0.74305555555555547</v>
      </c>
      <c r="D439" s="67">
        <v>0.75</v>
      </c>
      <c r="E439" s="67">
        <v>0.76736111111111116</v>
      </c>
      <c r="F439" s="68" t="s">
        <v>171</v>
      </c>
      <c r="G439" s="68" t="s">
        <v>173</v>
      </c>
      <c r="H439" s="71" t="s">
        <v>195</v>
      </c>
      <c r="I439" s="71" t="s">
        <v>195</v>
      </c>
      <c r="J439" s="71" t="s">
        <v>37</v>
      </c>
      <c r="K439" s="66" t="s">
        <v>180</v>
      </c>
      <c r="L439" s="66" t="s">
        <v>209</v>
      </c>
      <c r="M439" s="68" t="s">
        <v>1477</v>
      </c>
      <c r="N439" s="68" t="s">
        <v>42</v>
      </c>
      <c r="O439" s="68" t="s">
        <v>1478</v>
      </c>
      <c r="P439" s="68">
        <v>2101072830</v>
      </c>
      <c r="Q439" s="303">
        <f t="shared" si="51"/>
        <v>4</v>
      </c>
      <c r="R439" s="303">
        <f t="shared" si="52"/>
        <v>851</v>
      </c>
      <c r="S439" s="68">
        <v>0</v>
      </c>
      <c r="T439" s="68">
        <v>0</v>
      </c>
      <c r="U439" s="68">
        <v>4</v>
      </c>
      <c r="V439" s="68">
        <v>851</v>
      </c>
      <c r="W439" s="68">
        <v>955</v>
      </c>
      <c r="X439" s="68">
        <v>114</v>
      </c>
      <c r="Y439" s="68">
        <v>80</v>
      </c>
      <c r="Z439" s="68">
        <v>112</v>
      </c>
      <c r="AA439" s="68">
        <v>2</v>
      </c>
      <c r="AB439" s="300">
        <f t="shared" si="53"/>
        <v>340.48</v>
      </c>
      <c r="AC439" s="300">
        <f t="shared" si="54"/>
        <v>2.0510843373493977</v>
      </c>
      <c r="AD439" s="68">
        <v>31014.18</v>
      </c>
      <c r="AE439" s="68" t="s">
        <v>109</v>
      </c>
      <c r="AF439" s="68" t="s">
        <v>317</v>
      </c>
      <c r="AG439" s="68" t="s">
        <v>317</v>
      </c>
      <c r="AH439" s="68" t="s">
        <v>1479</v>
      </c>
      <c r="AI439" s="309"/>
      <c r="AJ439" s="309"/>
      <c r="AK439" s="68" t="s">
        <v>41</v>
      </c>
      <c r="AL439" s="68" t="s">
        <v>39</v>
      </c>
      <c r="AM439" s="299">
        <f t="shared" ca="1" si="50"/>
        <v>0.72222222221898846</v>
      </c>
      <c r="AN439" s="75"/>
      <c r="AO439" s="61" t="s">
        <v>128</v>
      </c>
      <c r="AP439" s="62" t="s">
        <v>1477</v>
      </c>
      <c r="AQ439" s="61" t="s">
        <v>1570</v>
      </c>
      <c r="AR439" s="64">
        <v>44877.461805555555</v>
      </c>
      <c r="AS439" s="57" t="s">
        <v>173</v>
      </c>
      <c r="AT439" s="61" t="s">
        <v>225</v>
      </c>
      <c r="AU439" s="63">
        <v>0.46180555555555558</v>
      </c>
      <c r="AV439" s="61">
        <v>1</v>
      </c>
      <c r="AW439" s="61" t="s">
        <v>66</v>
      </c>
      <c r="AX439" s="76"/>
      <c r="AY439" s="76"/>
      <c r="AZ439" s="76"/>
      <c r="BA439" s="76"/>
      <c r="BB439" s="74"/>
    </row>
    <row r="440" spans="1:54" ht="15.75" thickBot="1" x14ac:dyDescent="0.3">
      <c r="A440" s="73">
        <v>233</v>
      </c>
      <c r="B440" s="72">
        <v>44876.739583333336</v>
      </c>
      <c r="C440" s="67">
        <v>0.74305555555555547</v>
      </c>
      <c r="D440" s="67">
        <v>0.75</v>
      </c>
      <c r="E440" s="67">
        <v>0.76736111111111116</v>
      </c>
      <c r="F440" s="68" t="s">
        <v>171</v>
      </c>
      <c r="G440" s="68" t="s">
        <v>173</v>
      </c>
      <c r="H440" s="66" t="s">
        <v>195</v>
      </c>
      <c r="I440" s="66" t="s">
        <v>195</v>
      </c>
      <c r="J440" s="66" t="s">
        <v>37</v>
      </c>
      <c r="K440" s="66" t="s">
        <v>180</v>
      </c>
      <c r="L440" s="66" t="s">
        <v>209</v>
      </c>
      <c r="M440" s="68" t="s">
        <v>1477</v>
      </c>
      <c r="N440" s="68" t="s">
        <v>42</v>
      </c>
      <c r="O440" s="68" t="s">
        <v>1478</v>
      </c>
      <c r="P440" s="68">
        <v>2101072830</v>
      </c>
      <c r="Q440" s="303">
        <f t="shared" si="51"/>
        <v>0</v>
      </c>
      <c r="R440" s="303">
        <f t="shared" si="52"/>
        <v>0</v>
      </c>
      <c r="S440" s="68">
        <v>0</v>
      </c>
      <c r="T440" s="68">
        <v>0</v>
      </c>
      <c r="U440" s="68">
        <v>0</v>
      </c>
      <c r="V440" s="68">
        <v>0</v>
      </c>
      <c r="W440" s="68">
        <v>0</v>
      </c>
      <c r="X440" s="68">
        <v>114</v>
      </c>
      <c r="Y440" s="68">
        <v>80</v>
      </c>
      <c r="Z440" s="68">
        <v>110</v>
      </c>
      <c r="AA440" s="68">
        <v>1</v>
      </c>
      <c r="AB440" s="300">
        <f t="shared" si="53"/>
        <v>167.2</v>
      </c>
      <c r="AC440" s="300">
        <f t="shared" si="54"/>
        <v>1.0072289156626506</v>
      </c>
      <c r="AD440" s="68">
        <v>0</v>
      </c>
      <c r="AE440" s="68">
        <v>0</v>
      </c>
      <c r="AF440" s="68" t="s">
        <v>317</v>
      </c>
      <c r="AG440" s="68" t="s">
        <v>317</v>
      </c>
      <c r="AH440" s="68" t="s">
        <v>1479</v>
      </c>
      <c r="AI440" s="309"/>
      <c r="AJ440" s="309"/>
      <c r="AK440" s="68" t="s">
        <v>41</v>
      </c>
      <c r="AL440" s="68" t="s">
        <v>39</v>
      </c>
      <c r="AM440" s="299">
        <f t="shared" ca="1" si="50"/>
        <v>0.72222222221898846</v>
      </c>
      <c r="AN440" s="75"/>
      <c r="AO440" s="61" t="s">
        <v>128</v>
      </c>
      <c r="AP440" s="62" t="s">
        <v>1477</v>
      </c>
      <c r="AQ440" s="61" t="s">
        <v>1570</v>
      </c>
      <c r="AR440" s="64">
        <v>44877.461805555555</v>
      </c>
      <c r="AS440" s="57" t="s">
        <v>173</v>
      </c>
      <c r="AT440" s="61" t="s">
        <v>225</v>
      </c>
      <c r="AU440" s="63">
        <v>0.46180555555555558</v>
      </c>
      <c r="AV440" s="61">
        <v>1</v>
      </c>
      <c r="AW440" s="61" t="s">
        <v>66</v>
      </c>
      <c r="AX440" s="76"/>
      <c r="AY440" s="76"/>
      <c r="AZ440" s="76"/>
      <c r="BA440" s="76"/>
      <c r="BB440" s="74"/>
    </row>
    <row r="441" spans="1:54" ht="15.75" thickBot="1" x14ac:dyDescent="0.3">
      <c r="A441" s="73">
        <v>233</v>
      </c>
      <c r="B441" s="72">
        <v>44876.739583333336</v>
      </c>
      <c r="C441" s="67">
        <v>0.74305555555555547</v>
      </c>
      <c r="D441" s="67">
        <v>0.75</v>
      </c>
      <c r="E441" s="67">
        <v>0.76736111111111116</v>
      </c>
      <c r="F441" s="68" t="s">
        <v>171</v>
      </c>
      <c r="G441" s="68" t="s">
        <v>173</v>
      </c>
      <c r="H441" s="66" t="s">
        <v>195</v>
      </c>
      <c r="I441" s="66" t="s">
        <v>195</v>
      </c>
      <c r="J441" s="66" t="s">
        <v>37</v>
      </c>
      <c r="K441" s="66" t="s">
        <v>180</v>
      </c>
      <c r="L441" s="66" t="s">
        <v>209</v>
      </c>
      <c r="M441" s="68" t="s">
        <v>1477</v>
      </c>
      <c r="N441" s="68" t="s">
        <v>42</v>
      </c>
      <c r="O441" s="68" t="s">
        <v>1478</v>
      </c>
      <c r="P441" s="68">
        <v>2101072830</v>
      </c>
      <c r="Q441" s="303">
        <f t="shared" si="51"/>
        <v>0</v>
      </c>
      <c r="R441" s="303">
        <f t="shared" si="52"/>
        <v>0</v>
      </c>
      <c r="S441" s="68">
        <v>0</v>
      </c>
      <c r="T441" s="68">
        <v>0</v>
      </c>
      <c r="U441" s="68">
        <v>0</v>
      </c>
      <c r="V441" s="68">
        <v>0</v>
      </c>
      <c r="W441" s="68">
        <v>0</v>
      </c>
      <c r="X441" s="68">
        <v>114</v>
      </c>
      <c r="Y441" s="68">
        <v>80</v>
      </c>
      <c r="Z441" s="68">
        <v>68</v>
      </c>
      <c r="AA441" s="68">
        <v>1</v>
      </c>
      <c r="AB441" s="300">
        <f t="shared" si="53"/>
        <v>103.36</v>
      </c>
      <c r="AC441" s="300">
        <f t="shared" si="54"/>
        <v>0.62265060240963854</v>
      </c>
      <c r="AD441" s="68">
        <v>0</v>
      </c>
      <c r="AE441" s="68">
        <v>0</v>
      </c>
      <c r="AF441" s="68" t="s">
        <v>317</v>
      </c>
      <c r="AG441" s="68" t="s">
        <v>317</v>
      </c>
      <c r="AH441" s="68" t="s">
        <v>1479</v>
      </c>
      <c r="AI441" s="309"/>
      <c r="AJ441" s="309"/>
      <c r="AK441" s="68" t="s">
        <v>41</v>
      </c>
      <c r="AL441" s="68" t="s">
        <v>39</v>
      </c>
      <c r="AM441" s="299">
        <f t="shared" ca="1" si="50"/>
        <v>0.72222222221898846</v>
      </c>
      <c r="AN441" s="75"/>
      <c r="AO441" s="61" t="s">
        <v>128</v>
      </c>
      <c r="AP441" s="62" t="s">
        <v>1477</v>
      </c>
      <c r="AQ441" s="61" t="s">
        <v>1570</v>
      </c>
      <c r="AR441" s="64">
        <v>44877.461805555555</v>
      </c>
      <c r="AS441" s="57" t="s">
        <v>173</v>
      </c>
      <c r="AT441" s="61" t="s">
        <v>225</v>
      </c>
      <c r="AU441" s="63">
        <v>0.46180555555555558</v>
      </c>
      <c r="AV441" s="61">
        <v>1</v>
      </c>
      <c r="AW441" s="61" t="s">
        <v>66</v>
      </c>
      <c r="AX441" s="76"/>
      <c r="AY441" s="76"/>
      <c r="AZ441" s="76"/>
      <c r="BA441" s="76"/>
      <c r="BB441" s="74"/>
    </row>
    <row r="442" spans="1:54" ht="15.75" thickBot="1" x14ac:dyDescent="0.3">
      <c r="A442" s="73">
        <v>234</v>
      </c>
      <c r="B442" s="72">
        <v>44876.739583333336</v>
      </c>
      <c r="C442" s="67">
        <v>0.74305555555555547</v>
      </c>
      <c r="D442" s="67">
        <v>0.75</v>
      </c>
      <c r="E442" s="67">
        <v>0.76736111111111116</v>
      </c>
      <c r="F442" s="68" t="s">
        <v>171</v>
      </c>
      <c r="G442" s="68" t="s">
        <v>173</v>
      </c>
      <c r="H442" s="66" t="s">
        <v>195</v>
      </c>
      <c r="I442" s="66" t="s">
        <v>195</v>
      </c>
      <c r="J442" s="66" t="s">
        <v>37</v>
      </c>
      <c r="K442" s="66" t="s">
        <v>180</v>
      </c>
      <c r="L442" s="66" t="s">
        <v>209</v>
      </c>
      <c r="M442" s="68" t="s">
        <v>1477</v>
      </c>
      <c r="N442" s="68" t="s">
        <v>42</v>
      </c>
      <c r="O442" s="68" t="s">
        <v>1480</v>
      </c>
      <c r="P442" s="68">
        <v>2101072831</v>
      </c>
      <c r="Q442" s="303">
        <f t="shared" si="51"/>
        <v>1</v>
      </c>
      <c r="R442" s="303">
        <f t="shared" si="52"/>
        <v>92</v>
      </c>
      <c r="S442" s="68">
        <v>0</v>
      </c>
      <c r="T442" s="68">
        <v>0</v>
      </c>
      <c r="U442" s="68">
        <v>1</v>
      </c>
      <c r="V442" s="68">
        <v>92</v>
      </c>
      <c r="W442" s="68">
        <v>120</v>
      </c>
      <c r="X442" s="68">
        <v>114</v>
      </c>
      <c r="Y442" s="68">
        <v>80</v>
      </c>
      <c r="Z442" s="68">
        <v>65</v>
      </c>
      <c r="AA442" s="68">
        <v>1</v>
      </c>
      <c r="AB442" s="300">
        <f t="shared" si="53"/>
        <v>98.8</v>
      </c>
      <c r="AC442" s="300">
        <f t="shared" si="54"/>
        <v>0.59518072289156621</v>
      </c>
      <c r="AD442" s="68">
        <v>3165</v>
      </c>
      <c r="AE442" s="68" t="s">
        <v>109</v>
      </c>
      <c r="AF442" s="68" t="s">
        <v>317</v>
      </c>
      <c r="AG442" s="68" t="s">
        <v>317</v>
      </c>
      <c r="AH442" s="68" t="s">
        <v>1481</v>
      </c>
      <c r="AI442" s="309"/>
      <c r="AJ442" s="309"/>
      <c r="AK442" s="68" t="s">
        <v>41</v>
      </c>
      <c r="AL442" s="68" t="s">
        <v>39</v>
      </c>
      <c r="AM442" s="299">
        <f t="shared" ca="1" si="50"/>
        <v>0.72222222221898846</v>
      </c>
      <c r="AN442" s="75"/>
      <c r="AO442" s="61" t="s">
        <v>128</v>
      </c>
      <c r="AP442" s="62" t="s">
        <v>1477</v>
      </c>
      <c r="AQ442" s="61" t="s">
        <v>1570</v>
      </c>
      <c r="AR442" s="64">
        <v>44877.461805555555</v>
      </c>
      <c r="AS442" s="57" t="s">
        <v>173</v>
      </c>
      <c r="AT442" s="61" t="s">
        <v>225</v>
      </c>
      <c r="AU442" s="63">
        <v>0.46180555555555558</v>
      </c>
      <c r="AV442" s="61">
        <v>1</v>
      </c>
      <c r="AW442" s="61" t="s">
        <v>66</v>
      </c>
      <c r="AX442" s="76"/>
      <c r="AY442" s="76"/>
      <c r="AZ442" s="76"/>
      <c r="BA442" s="76"/>
      <c r="BB442" s="74"/>
    </row>
    <row r="443" spans="1:54" ht="15.75" thickBot="1" x14ac:dyDescent="0.3">
      <c r="A443" s="73">
        <v>235</v>
      </c>
      <c r="B443" s="72">
        <v>44876.739583333336</v>
      </c>
      <c r="C443" s="67">
        <v>0.74305555555555547</v>
      </c>
      <c r="D443" s="67">
        <v>0.75</v>
      </c>
      <c r="E443" s="67">
        <v>0.76736111111111116</v>
      </c>
      <c r="F443" s="68" t="s">
        <v>171</v>
      </c>
      <c r="G443" s="68" t="s">
        <v>173</v>
      </c>
      <c r="H443" s="66" t="s">
        <v>195</v>
      </c>
      <c r="I443" s="66" t="s">
        <v>195</v>
      </c>
      <c r="J443" s="66" t="s">
        <v>37</v>
      </c>
      <c r="K443" s="66" t="s">
        <v>180</v>
      </c>
      <c r="L443" s="66" t="s">
        <v>209</v>
      </c>
      <c r="M443" s="68" t="s">
        <v>1482</v>
      </c>
      <c r="N443" s="68" t="s">
        <v>42</v>
      </c>
      <c r="O443" s="68" t="s">
        <v>1483</v>
      </c>
      <c r="P443" s="68">
        <v>2101072833</v>
      </c>
      <c r="Q443" s="303">
        <f t="shared" si="51"/>
        <v>9</v>
      </c>
      <c r="R443" s="303">
        <f t="shared" si="52"/>
        <v>1891</v>
      </c>
      <c r="S443" s="68">
        <v>0</v>
      </c>
      <c r="T443" s="68">
        <v>0</v>
      </c>
      <c r="U443" s="68">
        <v>9</v>
      </c>
      <c r="V443" s="68">
        <v>1891</v>
      </c>
      <c r="W443" s="68">
        <v>2094</v>
      </c>
      <c r="X443" s="68">
        <v>114</v>
      </c>
      <c r="Y443" s="68">
        <v>80</v>
      </c>
      <c r="Z443" s="68">
        <v>112</v>
      </c>
      <c r="AA443" s="68">
        <v>8</v>
      </c>
      <c r="AB443" s="300">
        <f t="shared" si="53"/>
        <v>1361.92</v>
      </c>
      <c r="AC443" s="300">
        <f t="shared" si="54"/>
        <v>8.2043373493975906</v>
      </c>
      <c r="AD443" s="68" t="s">
        <v>48</v>
      </c>
      <c r="AE443" s="68" t="s">
        <v>48</v>
      </c>
      <c r="AF443" s="68" t="s">
        <v>317</v>
      </c>
      <c r="AG443" s="68" t="s">
        <v>317</v>
      </c>
      <c r="AH443" s="68" t="s">
        <v>1484</v>
      </c>
      <c r="AI443" s="309"/>
      <c r="AJ443" s="309"/>
      <c r="AK443" s="68" t="s">
        <v>41</v>
      </c>
      <c r="AL443" s="68" t="s">
        <v>39</v>
      </c>
      <c r="AM443" s="299">
        <f t="shared" ca="1" si="50"/>
        <v>0.72222222221898846</v>
      </c>
      <c r="AN443" s="75"/>
      <c r="AO443" s="61" t="s">
        <v>132</v>
      </c>
      <c r="AP443" s="62" t="s">
        <v>1482</v>
      </c>
      <c r="AQ443" s="61" t="s">
        <v>1570</v>
      </c>
      <c r="AR443" s="64">
        <v>44877.461805555555</v>
      </c>
      <c r="AS443" s="57" t="s">
        <v>173</v>
      </c>
      <c r="AT443" s="61" t="s">
        <v>225</v>
      </c>
      <c r="AU443" s="63">
        <v>0.46180555555555558</v>
      </c>
      <c r="AV443" s="61">
        <v>1</v>
      </c>
      <c r="AW443" s="61" t="s">
        <v>66</v>
      </c>
      <c r="AX443" s="76"/>
      <c r="AY443" s="76"/>
      <c r="AZ443" s="76"/>
      <c r="BA443" s="76"/>
      <c r="BB443" s="74"/>
    </row>
    <row r="444" spans="1:54" ht="15.75" thickBot="1" x14ac:dyDescent="0.3">
      <c r="A444" s="73">
        <v>235</v>
      </c>
      <c r="B444" s="72">
        <v>44876.739583333336</v>
      </c>
      <c r="C444" s="67">
        <v>0.74305555555555547</v>
      </c>
      <c r="D444" s="67">
        <v>0.75</v>
      </c>
      <c r="E444" s="67">
        <v>0.76736111111111116</v>
      </c>
      <c r="F444" s="68" t="s">
        <v>171</v>
      </c>
      <c r="G444" s="68" t="s">
        <v>173</v>
      </c>
      <c r="H444" s="66" t="s">
        <v>195</v>
      </c>
      <c r="I444" s="66" t="s">
        <v>195</v>
      </c>
      <c r="J444" s="66" t="s">
        <v>37</v>
      </c>
      <c r="K444" s="66" t="s">
        <v>180</v>
      </c>
      <c r="L444" s="66" t="s">
        <v>209</v>
      </c>
      <c r="M444" s="68" t="s">
        <v>1482</v>
      </c>
      <c r="N444" s="68" t="s">
        <v>42</v>
      </c>
      <c r="O444" s="68" t="s">
        <v>1483</v>
      </c>
      <c r="P444" s="68">
        <v>2101072833</v>
      </c>
      <c r="Q444" s="303">
        <f t="shared" si="51"/>
        <v>0</v>
      </c>
      <c r="R444" s="303">
        <f t="shared" si="52"/>
        <v>0</v>
      </c>
      <c r="S444" s="68">
        <v>0</v>
      </c>
      <c r="T444" s="68">
        <v>0</v>
      </c>
      <c r="U444" s="68">
        <v>0</v>
      </c>
      <c r="V444" s="68">
        <v>0</v>
      </c>
      <c r="W444" s="68">
        <v>0</v>
      </c>
      <c r="X444" s="68">
        <v>114</v>
      </c>
      <c r="Y444" s="68">
        <v>80</v>
      </c>
      <c r="Z444" s="68">
        <v>74</v>
      </c>
      <c r="AA444" s="68">
        <v>1</v>
      </c>
      <c r="AB444" s="300">
        <f t="shared" si="53"/>
        <v>112.48</v>
      </c>
      <c r="AC444" s="300">
        <f t="shared" si="54"/>
        <v>0.67759036144578311</v>
      </c>
      <c r="AD444" s="68">
        <v>0</v>
      </c>
      <c r="AE444" s="68">
        <v>0</v>
      </c>
      <c r="AF444" s="68" t="s">
        <v>317</v>
      </c>
      <c r="AG444" s="68" t="s">
        <v>317</v>
      </c>
      <c r="AH444" s="68" t="s">
        <v>1484</v>
      </c>
      <c r="AI444" s="309"/>
      <c r="AJ444" s="309"/>
      <c r="AK444" s="68" t="s">
        <v>41</v>
      </c>
      <c r="AL444" s="68" t="s">
        <v>39</v>
      </c>
      <c r="AM444" s="299">
        <f t="shared" ca="1" si="50"/>
        <v>0.72222222221898846</v>
      </c>
      <c r="AN444" s="75"/>
      <c r="AO444" s="61" t="s">
        <v>132</v>
      </c>
      <c r="AP444" s="62" t="s">
        <v>1482</v>
      </c>
      <c r="AQ444" s="61" t="s">
        <v>1570</v>
      </c>
      <c r="AR444" s="64">
        <v>44877.461805555555</v>
      </c>
      <c r="AS444" s="57" t="s">
        <v>173</v>
      </c>
      <c r="AT444" s="61" t="s">
        <v>225</v>
      </c>
      <c r="AU444" s="63">
        <v>0.46180555555555558</v>
      </c>
      <c r="AV444" s="61">
        <v>1</v>
      </c>
      <c r="AW444" s="61" t="s">
        <v>66</v>
      </c>
      <c r="AX444" s="76"/>
      <c r="AY444" s="76"/>
      <c r="AZ444" s="76"/>
      <c r="BA444" s="76"/>
      <c r="BB444" s="74"/>
    </row>
    <row r="445" spans="1:54" ht="15.75" thickBot="1" x14ac:dyDescent="0.3">
      <c r="A445" s="73">
        <v>236</v>
      </c>
      <c r="B445" s="72">
        <v>44876.739583333336</v>
      </c>
      <c r="C445" s="67">
        <v>0.74305555555555547</v>
      </c>
      <c r="D445" s="67">
        <v>0.75</v>
      </c>
      <c r="E445" s="67">
        <v>0.76736111111111116</v>
      </c>
      <c r="F445" s="68" t="s">
        <v>171</v>
      </c>
      <c r="G445" s="68" t="s">
        <v>173</v>
      </c>
      <c r="H445" s="66" t="s">
        <v>195</v>
      </c>
      <c r="I445" s="66" t="s">
        <v>195</v>
      </c>
      <c r="J445" s="66" t="s">
        <v>37</v>
      </c>
      <c r="K445" s="66" t="s">
        <v>180</v>
      </c>
      <c r="L445" s="66" t="s">
        <v>209</v>
      </c>
      <c r="M445" s="68" t="s">
        <v>1482</v>
      </c>
      <c r="N445" s="68" t="s">
        <v>42</v>
      </c>
      <c r="O445" s="68" t="s">
        <v>1485</v>
      </c>
      <c r="P445" s="68">
        <v>2101072834</v>
      </c>
      <c r="Q445" s="303">
        <f t="shared" si="51"/>
        <v>1</v>
      </c>
      <c r="R445" s="303">
        <f t="shared" si="52"/>
        <v>8</v>
      </c>
      <c r="S445" s="68">
        <v>1</v>
      </c>
      <c r="T445" s="68">
        <v>8</v>
      </c>
      <c r="U445" s="68">
        <v>0</v>
      </c>
      <c r="V445" s="68">
        <v>0</v>
      </c>
      <c r="W445" s="68">
        <v>8</v>
      </c>
      <c r="X445" s="68">
        <v>41</v>
      </c>
      <c r="Y445" s="68">
        <v>39</v>
      </c>
      <c r="Z445" s="68">
        <v>30</v>
      </c>
      <c r="AA445" s="68">
        <v>1</v>
      </c>
      <c r="AB445" s="300">
        <f t="shared" si="53"/>
        <v>7.9950000000000001</v>
      </c>
      <c r="AC445" s="300">
        <f t="shared" si="54"/>
        <v>4.8162650602409637E-2</v>
      </c>
      <c r="AD445" s="68">
        <v>342</v>
      </c>
      <c r="AE445" s="68" t="s">
        <v>109</v>
      </c>
      <c r="AF445" s="68" t="s">
        <v>317</v>
      </c>
      <c r="AG445" s="68" t="s">
        <v>317</v>
      </c>
      <c r="AH445" s="68">
        <v>0</v>
      </c>
      <c r="AI445" s="309"/>
      <c r="AJ445" s="309"/>
      <c r="AK445" s="68" t="s">
        <v>48</v>
      </c>
      <c r="AL445" s="68" t="s">
        <v>39</v>
      </c>
      <c r="AM445" s="299">
        <f t="shared" ca="1" si="50"/>
        <v>0.72222222221898846</v>
      </c>
      <c r="AN445" s="75"/>
      <c r="AO445" s="61" t="s">
        <v>132</v>
      </c>
      <c r="AP445" s="62" t="s">
        <v>1482</v>
      </c>
      <c r="AQ445" s="61" t="s">
        <v>1570</v>
      </c>
      <c r="AR445" s="64">
        <v>44877.461805555555</v>
      </c>
      <c r="AS445" s="57" t="s">
        <v>173</v>
      </c>
      <c r="AT445" s="61" t="s">
        <v>225</v>
      </c>
      <c r="AU445" s="63">
        <v>0.46180555555555558</v>
      </c>
      <c r="AV445" s="61">
        <v>1</v>
      </c>
      <c r="AW445" s="61" t="s">
        <v>66</v>
      </c>
      <c r="AX445" s="76"/>
      <c r="AY445" s="76"/>
      <c r="AZ445" s="76"/>
      <c r="BA445" s="76"/>
      <c r="BB445" s="74"/>
    </row>
    <row r="446" spans="1:54" ht="15.75" thickBot="1" x14ac:dyDescent="0.3">
      <c r="A446" s="73">
        <v>237</v>
      </c>
      <c r="B446" s="72">
        <v>44876.607638888891</v>
      </c>
      <c r="C446" s="67">
        <v>0.61111111111111105</v>
      </c>
      <c r="D446" s="67">
        <v>0.78819444444444453</v>
      </c>
      <c r="E446" s="67">
        <v>0.80555555555555547</v>
      </c>
      <c r="F446" s="68" t="s">
        <v>170</v>
      </c>
      <c r="G446" s="68" t="s">
        <v>1486</v>
      </c>
      <c r="H446" s="66" t="s">
        <v>227</v>
      </c>
      <c r="I446" s="66" t="s">
        <v>189</v>
      </c>
      <c r="J446" s="66" t="s">
        <v>37</v>
      </c>
      <c r="K446" s="66" t="s">
        <v>63</v>
      </c>
      <c r="L446" s="66" t="s">
        <v>209</v>
      </c>
      <c r="M446" s="68" t="s">
        <v>1449</v>
      </c>
      <c r="N446" s="68" t="s">
        <v>42</v>
      </c>
      <c r="O446" s="92" t="s">
        <v>1526</v>
      </c>
      <c r="P446" s="68" t="s">
        <v>1487</v>
      </c>
      <c r="Q446" s="303">
        <f t="shared" si="51"/>
        <v>10</v>
      </c>
      <c r="R446" s="303">
        <f t="shared" si="52"/>
        <v>2448</v>
      </c>
      <c r="S446" s="68">
        <v>0</v>
      </c>
      <c r="T446" s="68">
        <v>0</v>
      </c>
      <c r="U446" s="68">
        <v>10</v>
      </c>
      <c r="V446" s="68">
        <v>2448</v>
      </c>
      <c r="W446" s="68">
        <v>2375</v>
      </c>
      <c r="X446" s="68">
        <v>160</v>
      </c>
      <c r="Y446" s="68">
        <v>97</v>
      </c>
      <c r="Z446" s="68">
        <v>95</v>
      </c>
      <c r="AA446" s="68">
        <v>9</v>
      </c>
      <c r="AB446" s="300">
        <f t="shared" si="53"/>
        <v>2211.6</v>
      </c>
      <c r="AC446" s="300">
        <f t="shared" si="54"/>
        <v>13.32289156626506</v>
      </c>
      <c r="AD446" s="68" t="s">
        <v>48</v>
      </c>
      <c r="AE446" s="68" t="s">
        <v>48</v>
      </c>
      <c r="AF446" s="68" t="s">
        <v>317</v>
      </c>
      <c r="AG446" s="68" t="s">
        <v>317</v>
      </c>
      <c r="AH446" s="68" t="s">
        <v>1488</v>
      </c>
      <c r="AI446" s="309"/>
      <c r="AJ446" s="309"/>
      <c r="AK446" s="68" t="s">
        <v>37</v>
      </c>
      <c r="AL446" s="68" t="s">
        <v>58</v>
      </c>
      <c r="AM446" s="299">
        <f t="shared" ca="1" si="50"/>
        <v>1.0868055555547471</v>
      </c>
      <c r="AN446" s="75" t="s">
        <v>1569</v>
      </c>
      <c r="AO446" s="61" t="s">
        <v>89</v>
      </c>
      <c r="AP446" s="62" t="s">
        <v>1579</v>
      </c>
      <c r="AQ446" s="61" t="s">
        <v>1580</v>
      </c>
      <c r="AR446" s="64">
        <v>44877.694444444445</v>
      </c>
      <c r="AS446" s="61" t="s">
        <v>488</v>
      </c>
      <c r="AT446" s="61" t="s">
        <v>225</v>
      </c>
      <c r="AU446" s="63">
        <v>0.69444444444444453</v>
      </c>
      <c r="AV446" s="58">
        <v>2</v>
      </c>
      <c r="AW446" s="61" t="s">
        <v>66</v>
      </c>
      <c r="AX446" s="76"/>
      <c r="AY446" s="76"/>
      <c r="AZ446" s="76"/>
      <c r="BA446" s="76"/>
      <c r="BB446" s="74"/>
    </row>
    <row r="447" spans="1:54" ht="15.75" thickBot="1" x14ac:dyDescent="0.3">
      <c r="A447" s="73">
        <v>237</v>
      </c>
      <c r="B447" s="72">
        <v>44876.607638888891</v>
      </c>
      <c r="C447" s="67">
        <v>0.61111111111111105</v>
      </c>
      <c r="D447" s="67">
        <v>0.78819444444444453</v>
      </c>
      <c r="E447" s="67">
        <v>0.80555555555555547</v>
      </c>
      <c r="F447" s="68" t="s">
        <v>170</v>
      </c>
      <c r="G447" s="68" t="s">
        <v>1486</v>
      </c>
      <c r="H447" s="66" t="s">
        <v>227</v>
      </c>
      <c r="I447" s="66" t="s">
        <v>189</v>
      </c>
      <c r="J447" s="66" t="s">
        <v>37</v>
      </c>
      <c r="K447" s="66" t="s">
        <v>63</v>
      </c>
      <c r="L447" s="66" t="s">
        <v>209</v>
      </c>
      <c r="M447" s="68" t="s">
        <v>1449</v>
      </c>
      <c r="N447" s="68" t="s">
        <v>42</v>
      </c>
      <c r="O447" s="92" t="s">
        <v>1526</v>
      </c>
      <c r="P447" s="68" t="s">
        <v>1487</v>
      </c>
      <c r="Q447" s="303">
        <f t="shared" si="51"/>
        <v>0</v>
      </c>
      <c r="R447" s="303">
        <f t="shared" si="52"/>
        <v>0</v>
      </c>
      <c r="S447" s="68">
        <v>0</v>
      </c>
      <c r="T447" s="68">
        <v>0</v>
      </c>
      <c r="U447" s="68">
        <v>0</v>
      </c>
      <c r="V447" s="68">
        <v>0</v>
      </c>
      <c r="W447" s="68">
        <v>0</v>
      </c>
      <c r="X447" s="68">
        <v>163</v>
      </c>
      <c r="Y447" s="68">
        <v>140</v>
      </c>
      <c r="Z447" s="68">
        <v>81</v>
      </c>
      <c r="AA447" s="68">
        <v>1</v>
      </c>
      <c r="AB447" s="300">
        <f t="shared" si="53"/>
        <v>308.07</v>
      </c>
      <c r="AC447" s="300">
        <f t="shared" si="54"/>
        <v>1.8558433734939759</v>
      </c>
      <c r="AD447" s="68" t="s">
        <v>48</v>
      </c>
      <c r="AE447" s="68" t="s">
        <v>109</v>
      </c>
      <c r="AF447" s="68" t="s">
        <v>317</v>
      </c>
      <c r="AG447" s="68" t="s">
        <v>317</v>
      </c>
      <c r="AH447" s="68">
        <v>0</v>
      </c>
      <c r="AI447" s="309"/>
      <c r="AJ447" s="309"/>
      <c r="AK447" s="68" t="s">
        <v>37</v>
      </c>
      <c r="AL447" s="68" t="s">
        <v>58</v>
      </c>
      <c r="AM447" s="299">
        <f t="shared" ca="1" si="50"/>
        <v>1.0868055555547471</v>
      </c>
      <c r="AN447" s="75" t="s">
        <v>1569</v>
      </c>
      <c r="AO447" s="61" t="s">
        <v>89</v>
      </c>
      <c r="AP447" s="62" t="s">
        <v>1579</v>
      </c>
      <c r="AQ447" s="61" t="s">
        <v>1580</v>
      </c>
      <c r="AR447" s="64">
        <v>44877.694444444445</v>
      </c>
      <c r="AS447" s="61" t="s">
        <v>488</v>
      </c>
      <c r="AT447" s="61" t="s">
        <v>225</v>
      </c>
      <c r="AU447" s="63">
        <v>0.69444444444444453</v>
      </c>
      <c r="AV447" s="58">
        <v>2</v>
      </c>
      <c r="AW447" s="61" t="s">
        <v>66</v>
      </c>
      <c r="AX447" s="76"/>
      <c r="AY447" s="76"/>
      <c r="AZ447" s="76"/>
      <c r="BA447" s="76"/>
      <c r="BB447" s="74"/>
    </row>
    <row r="448" spans="1:54" ht="15.75" thickBot="1" x14ac:dyDescent="0.3">
      <c r="A448" s="73">
        <v>238</v>
      </c>
      <c r="B448" s="72">
        <v>44876.75</v>
      </c>
      <c r="C448" s="67">
        <v>0.75694444444444453</v>
      </c>
      <c r="D448" s="67">
        <v>0.78819444444444453</v>
      </c>
      <c r="E448" s="67">
        <v>0.80555555555555547</v>
      </c>
      <c r="F448" s="68" t="s">
        <v>170</v>
      </c>
      <c r="G448" s="68" t="s">
        <v>362</v>
      </c>
      <c r="H448" s="66" t="s">
        <v>227</v>
      </c>
      <c r="I448" s="66" t="s">
        <v>189</v>
      </c>
      <c r="J448" s="66" t="s">
        <v>37</v>
      </c>
      <c r="K448" s="66" t="s">
        <v>63</v>
      </c>
      <c r="L448" s="66" t="s">
        <v>209</v>
      </c>
      <c r="M448" s="68" t="s">
        <v>1489</v>
      </c>
      <c r="N448" s="68" t="s">
        <v>43</v>
      </c>
      <c r="O448" s="77">
        <v>896897898899</v>
      </c>
      <c r="P448" s="68">
        <v>31802</v>
      </c>
      <c r="Q448" s="303">
        <f t="shared" si="51"/>
        <v>1</v>
      </c>
      <c r="R448" s="303">
        <f t="shared" si="52"/>
        <v>433</v>
      </c>
      <c r="S448" s="68">
        <v>0</v>
      </c>
      <c r="T448" s="68">
        <v>0</v>
      </c>
      <c r="U448" s="68">
        <v>1</v>
      </c>
      <c r="V448" s="68">
        <v>433</v>
      </c>
      <c r="W448" s="68">
        <v>265.35000000000002</v>
      </c>
      <c r="X448" s="68">
        <v>163</v>
      </c>
      <c r="Y448" s="68">
        <v>140</v>
      </c>
      <c r="Z448" s="68">
        <v>81</v>
      </c>
      <c r="AA448" s="68">
        <v>1</v>
      </c>
      <c r="AB448" s="300">
        <f t="shared" si="53"/>
        <v>308.07</v>
      </c>
      <c r="AC448" s="300">
        <f t="shared" si="54"/>
        <v>1.8558433734939759</v>
      </c>
      <c r="AD448" s="68" t="s">
        <v>48</v>
      </c>
      <c r="AE448" s="68" t="s">
        <v>48</v>
      </c>
      <c r="AF448" s="68" t="s">
        <v>317</v>
      </c>
      <c r="AG448" s="68" t="s">
        <v>317</v>
      </c>
      <c r="AH448" s="68" t="s">
        <v>1490</v>
      </c>
      <c r="AI448" s="309"/>
      <c r="AJ448" s="309"/>
      <c r="AK448" s="68" t="s">
        <v>37</v>
      </c>
      <c r="AL448" s="68" t="s">
        <v>58</v>
      </c>
      <c r="AM448" s="299">
        <f t="shared" ca="1" si="50"/>
        <v>0.94444444444525288</v>
      </c>
      <c r="AN448" s="75" t="s">
        <v>1569</v>
      </c>
      <c r="AO448" s="61" t="s">
        <v>179</v>
      </c>
      <c r="AP448" s="62" t="s">
        <v>1489</v>
      </c>
      <c r="AQ448" s="61" t="s">
        <v>1578</v>
      </c>
      <c r="AR448" s="64">
        <v>44877.694444444445</v>
      </c>
      <c r="AS448" s="61" t="s">
        <v>136</v>
      </c>
      <c r="AT448" s="61" t="s">
        <v>225</v>
      </c>
      <c r="AU448" s="63">
        <v>0.69444444444444453</v>
      </c>
      <c r="AV448" s="58">
        <v>2</v>
      </c>
      <c r="AW448" s="61" t="s">
        <v>66</v>
      </c>
      <c r="AX448" s="76"/>
      <c r="AY448" s="76"/>
      <c r="AZ448" s="76"/>
      <c r="BA448" s="76"/>
      <c r="BB448" s="74"/>
    </row>
    <row r="449" spans="1:54" ht="15.75" thickBot="1" x14ac:dyDescent="0.3">
      <c r="A449" s="73">
        <v>239</v>
      </c>
      <c r="B449" s="72">
        <v>44876.784722222219</v>
      </c>
      <c r="C449" s="67">
        <v>0.78472222222222221</v>
      </c>
      <c r="D449" s="67">
        <v>0.79861111111111116</v>
      </c>
      <c r="E449" s="67">
        <v>0.80902777777777779</v>
      </c>
      <c r="F449" s="68" t="s">
        <v>171</v>
      </c>
      <c r="G449" s="68" t="s">
        <v>307</v>
      </c>
      <c r="H449" s="66" t="s">
        <v>344</v>
      </c>
      <c r="I449" s="66" t="s">
        <v>71</v>
      </c>
      <c r="J449" s="66" t="s">
        <v>37</v>
      </c>
      <c r="K449" s="66" t="s">
        <v>180</v>
      </c>
      <c r="L449" s="70" t="s">
        <v>206</v>
      </c>
      <c r="M449" s="68" t="s">
        <v>1493</v>
      </c>
      <c r="N449" s="68" t="s">
        <v>139</v>
      </c>
      <c r="O449" s="68">
        <v>2533</v>
      </c>
      <c r="P449" s="68">
        <v>5051944714</v>
      </c>
      <c r="Q449" s="303">
        <f t="shared" si="51"/>
        <v>2</v>
      </c>
      <c r="R449" s="303">
        <f t="shared" si="52"/>
        <v>116</v>
      </c>
      <c r="S449" s="68">
        <v>0</v>
      </c>
      <c r="T449" s="68">
        <v>0</v>
      </c>
      <c r="U449" s="68">
        <v>2</v>
      </c>
      <c r="V449" s="68">
        <v>116</v>
      </c>
      <c r="W449" s="68">
        <v>115</v>
      </c>
      <c r="X449" s="68">
        <v>72</v>
      </c>
      <c r="Y449" s="68">
        <v>37</v>
      </c>
      <c r="Z449" s="68">
        <v>38</v>
      </c>
      <c r="AA449" s="68">
        <v>1</v>
      </c>
      <c r="AB449" s="300">
        <f t="shared" si="53"/>
        <v>16.872</v>
      </c>
      <c r="AC449" s="300">
        <f t="shared" si="54"/>
        <v>0.10163855421686747</v>
      </c>
      <c r="AD449" s="68">
        <v>3044.08</v>
      </c>
      <c r="AE449" s="68" t="s">
        <v>109</v>
      </c>
      <c r="AF449" s="68" t="s">
        <v>317</v>
      </c>
      <c r="AG449" s="68" t="s">
        <v>317</v>
      </c>
      <c r="AH449" s="68" t="s">
        <v>1492</v>
      </c>
      <c r="AI449" s="309"/>
      <c r="AJ449" s="309"/>
      <c r="AK449" s="68" t="s">
        <v>37</v>
      </c>
      <c r="AL449" s="68" t="s">
        <v>49</v>
      </c>
      <c r="AM449" s="299">
        <f t="shared" ca="1" si="50"/>
        <v>5.6631944444452529</v>
      </c>
      <c r="AN449" s="75"/>
      <c r="AO449" s="61" t="s">
        <v>72</v>
      </c>
      <c r="AP449" s="62" t="s">
        <v>1493</v>
      </c>
      <c r="AQ449" s="78" t="s">
        <v>1879</v>
      </c>
      <c r="AR449" s="64">
        <v>44882.447916666664</v>
      </c>
      <c r="AS449" s="61" t="s">
        <v>117</v>
      </c>
      <c r="AT449" s="61" t="s">
        <v>225</v>
      </c>
      <c r="AU449" s="59">
        <v>0.44791666666666669</v>
      </c>
      <c r="AV449" s="61">
        <v>1</v>
      </c>
      <c r="AW449" s="61" t="s">
        <v>66</v>
      </c>
      <c r="AX449" s="76"/>
      <c r="AY449" s="76"/>
      <c r="AZ449" s="76"/>
      <c r="BA449" s="76"/>
      <c r="BB449" s="74"/>
    </row>
    <row r="450" spans="1:54" ht="15.75" thickBot="1" x14ac:dyDescent="0.3">
      <c r="A450" s="73">
        <v>239</v>
      </c>
      <c r="B450" s="72">
        <v>44876.784722222219</v>
      </c>
      <c r="C450" s="67">
        <v>0.78472222222222221</v>
      </c>
      <c r="D450" s="67">
        <v>0.79861111111111116</v>
      </c>
      <c r="E450" s="67">
        <v>0.80902777777777779</v>
      </c>
      <c r="F450" s="68" t="s">
        <v>171</v>
      </c>
      <c r="G450" s="68" t="s">
        <v>307</v>
      </c>
      <c r="H450" s="66" t="s">
        <v>344</v>
      </c>
      <c r="I450" s="66" t="s">
        <v>71</v>
      </c>
      <c r="J450" s="66" t="s">
        <v>37</v>
      </c>
      <c r="K450" s="66" t="s">
        <v>180</v>
      </c>
      <c r="L450" s="70" t="s">
        <v>206</v>
      </c>
      <c r="M450" s="68" t="s">
        <v>1493</v>
      </c>
      <c r="N450" s="68" t="s">
        <v>139</v>
      </c>
      <c r="O450" s="68">
        <v>2533</v>
      </c>
      <c r="P450" s="68">
        <v>5051944714</v>
      </c>
      <c r="Q450" s="303">
        <f t="shared" si="51"/>
        <v>0</v>
      </c>
      <c r="R450" s="303">
        <f t="shared" si="52"/>
        <v>0</v>
      </c>
      <c r="S450" s="68">
        <v>0</v>
      </c>
      <c r="T450" s="68">
        <v>0</v>
      </c>
      <c r="U450" s="68">
        <v>0</v>
      </c>
      <c r="V450" s="68">
        <v>0</v>
      </c>
      <c r="W450" s="68">
        <v>0</v>
      </c>
      <c r="X450" s="68">
        <v>143</v>
      </c>
      <c r="Y450" s="68">
        <v>47</v>
      </c>
      <c r="Z450" s="68">
        <v>28</v>
      </c>
      <c r="AA450" s="68">
        <v>1</v>
      </c>
      <c r="AB450" s="300">
        <f t="shared" si="53"/>
        <v>31.364666666666668</v>
      </c>
      <c r="AC450" s="300">
        <f t="shared" si="54"/>
        <v>0.18894377510040161</v>
      </c>
      <c r="AD450" s="68">
        <v>0</v>
      </c>
      <c r="AE450" s="68">
        <v>0</v>
      </c>
      <c r="AF450" s="68" t="s">
        <v>317</v>
      </c>
      <c r="AG450" s="68" t="s">
        <v>317</v>
      </c>
      <c r="AH450" s="68" t="s">
        <v>1492</v>
      </c>
      <c r="AI450" s="309"/>
      <c r="AJ450" s="309"/>
      <c r="AK450" s="68" t="s">
        <v>37</v>
      </c>
      <c r="AL450" s="68" t="s">
        <v>49</v>
      </c>
      <c r="AM450" s="299">
        <f t="shared" ca="1" si="50"/>
        <v>5.6631944444452529</v>
      </c>
      <c r="AN450" s="75"/>
      <c r="AO450" s="61" t="s">
        <v>72</v>
      </c>
      <c r="AP450" s="62" t="s">
        <v>1493</v>
      </c>
      <c r="AQ450" s="78" t="s">
        <v>1879</v>
      </c>
      <c r="AR450" s="64">
        <v>44882.447916666664</v>
      </c>
      <c r="AS450" s="61" t="s">
        <v>117</v>
      </c>
      <c r="AT450" s="61" t="s">
        <v>225</v>
      </c>
      <c r="AU450" s="59">
        <v>0.44791666666666669</v>
      </c>
      <c r="AV450" s="61">
        <v>1</v>
      </c>
      <c r="AW450" s="61" t="s">
        <v>66</v>
      </c>
      <c r="AX450" s="76"/>
      <c r="AY450" s="76"/>
      <c r="AZ450" s="76"/>
      <c r="BA450" s="76"/>
      <c r="BB450" s="74"/>
    </row>
    <row r="451" spans="1:54" ht="15.75" thickBot="1" x14ac:dyDescent="0.3">
      <c r="A451" s="73">
        <v>240</v>
      </c>
      <c r="B451" s="72">
        <v>44876.784722222219</v>
      </c>
      <c r="C451" s="67">
        <v>0.78472222222222221</v>
      </c>
      <c r="D451" s="67">
        <v>0.79861111111111116</v>
      </c>
      <c r="E451" s="67">
        <v>0.80902777777777779</v>
      </c>
      <c r="F451" s="68" t="s">
        <v>171</v>
      </c>
      <c r="G451" s="68" t="s">
        <v>307</v>
      </c>
      <c r="H451" s="66" t="s">
        <v>344</v>
      </c>
      <c r="I451" s="66" t="s">
        <v>92</v>
      </c>
      <c r="J451" s="66" t="s">
        <v>37</v>
      </c>
      <c r="K451" s="66" t="s">
        <v>180</v>
      </c>
      <c r="L451" s="70" t="s">
        <v>206</v>
      </c>
      <c r="M451" s="68" t="s">
        <v>1491</v>
      </c>
      <c r="N451" s="68" t="s">
        <v>42</v>
      </c>
      <c r="O451" s="68">
        <v>2509</v>
      </c>
      <c r="P451" s="68">
        <v>5051936655</v>
      </c>
      <c r="Q451" s="303">
        <f t="shared" si="51"/>
        <v>2</v>
      </c>
      <c r="R451" s="303">
        <f t="shared" si="52"/>
        <v>154</v>
      </c>
      <c r="S451" s="68">
        <v>0</v>
      </c>
      <c r="T451" s="68">
        <v>0</v>
      </c>
      <c r="U451" s="68">
        <v>2</v>
      </c>
      <c r="V451" s="68">
        <v>154</v>
      </c>
      <c r="W451" s="68">
        <v>152.9</v>
      </c>
      <c r="X451" s="68">
        <v>95</v>
      </c>
      <c r="Y451" s="68">
        <v>38</v>
      </c>
      <c r="Z451" s="68">
        <v>41</v>
      </c>
      <c r="AA451" s="68">
        <v>1</v>
      </c>
      <c r="AB451" s="300">
        <f t="shared" si="53"/>
        <v>24.668333333333333</v>
      </c>
      <c r="AC451" s="300">
        <f t="shared" si="54"/>
        <v>0.14860441767068272</v>
      </c>
      <c r="AD451" s="68">
        <v>12578.19</v>
      </c>
      <c r="AE451" s="68" t="s">
        <v>109</v>
      </c>
      <c r="AF451" s="68" t="s">
        <v>317</v>
      </c>
      <c r="AG451" s="68" t="s">
        <v>317</v>
      </c>
      <c r="AH451" s="68" t="s">
        <v>1494</v>
      </c>
      <c r="AI451" s="309"/>
      <c r="AJ451" s="309"/>
      <c r="AK451" s="68" t="s">
        <v>37</v>
      </c>
      <c r="AL451" s="68" t="s">
        <v>49</v>
      </c>
      <c r="AM451" s="299">
        <f t="shared" ca="1" si="50"/>
        <v>5.6631944444452529</v>
      </c>
      <c r="AN451" s="75"/>
      <c r="AO451" s="61" t="s">
        <v>83</v>
      </c>
      <c r="AP451" s="62" t="s">
        <v>1491</v>
      </c>
      <c r="AQ451" s="78" t="s">
        <v>1876</v>
      </c>
      <c r="AR451" s="64">
        <v>44882.447916666664</v>
      </c>
      <c r="AS451" s="61" t="s">
        <v>117</v>
      </c>
      <c r="AT451" s="61" t="s">
        <v>225</v>
      </c>
      <c r="AU451" s="59">
        <v>0.44791666666666669</v>
      </c>
      <c r="AV451" s="61">
        <v>1</v>
      </c>
      <c r="AW451" s="61" t="s">
        <v>66</v>
      </c>
      <c r="AX451" s="76"/>
      <c r="AY451" s="76"/>
      <c r="AZ451" s="76"/>
      <c r="BA451" s="76"/>
      <c r="BB451" s="74"/>
    </row>
    <row r="452" spans="1:54" ht="15.75" thickBot="1" x14ac:dyDescent="0.3">
      <c r="A452" s="73">
        <v>240</v>
      </c>
      <c r="B452" s="72">
        <v>44876.784722222219</v>
      </c>
      <c r="C452" s="67">
        <v>0.78472222222222221</v>
      </c>
      <c r="D452" s="67">
        <v>0.79861111111111116</v>
      </c>
      <c r="E452" s="67">
        <v>0.80902777777777779</v>
      </c>
      <c r="F452" s="68" t="s">
        <v>171</v>
      </c>
      <c r="G452" s="68" t="s">
        <v>307</v>
      </c>
      <c r="H452" s="66" t="s">
        <v>344</v>
      </c>
      <c r="I452" s="66" t="s">
        <v>92</v>
      </c>
      <c r="J452" s="66" t="s">
        <v>37</v>
      </c>
      <c r="K452" s="66" t="s">
        <v>180</v>
      </c>
      <c r="L452" s="70" t="s">
        <v>206</v>
      </c>
      <c r="M452" s="68" t="s">
        <v>1491</v>
      </c>
      <c r="N452" s="68" t="s">
        <v>42</v>
      </c>
      <c r="O452" s="68">
        <v>2509</v>
      </c>
      <c r="P452" s="68">
        <v>5051936655</v>
      </c>
      <c r="Q452" s="303">
        <f t="shared" si="51"/>
        <v>0</v>
      </c>
      <c r="R452" s="303">
        <f t="shared" si="52"/>
        <v>0</v>
      </c>
      <c r="S452" s="68">
        <v>0</v>
      </c>
      <c r="T452" s="68">
        <v>0</v>
      </c>
      <c r="U452" s="68">
        <v>0</v>
      </c>
      <c r="V452" s="68">
        <v>0</v>
      </c>
      <c r="W452" s="68">
        <v>0</v>
      </c>
      <c r="X452" s="68">
        <v>143</v>
      </c>
      <c r="Y452" s="68">
        <v>47</v>
      </c>
      <c r="Z452" s="68">
        <v>28</v>
      </c>
      <c r="AA452" s="68">
        <v>1</v>
      </c>
      <c r="AB452" s="300">
        <f t="shared" si="53"/>
        <v>31.364666666666668</v>
      </c>
      <c r="AC452" s="300">
        <f t="shared" si="54"/>
        <v>0.18894377510040161</v>
      </c>
      <c r="AD452" s="68">
        <v>0</v>
      </c>
      <c r="AE452" s="68">
        <v>0</v>
      </c>
      <c r="AF452" s="68" t="s">
        <v>317</v>
      </c>
      <c r="AG452" s="68" t="s">
        <v>317</v>
      </c>
      <c r="AH452" s="68" t="s">
        <v>1494</v>
      </c>
      <c r="AI452" s="309"/>
      <c r="AJ452" s="309"/>
      <c r="AK452" s="68" t="s">
        <v>37</v>
      </c>
      <c r="AL452" s="68" t="s">
        <v>49</v>
      </c>
      <c r="AM452" s="299">
        <f t="shared" ca="1" si="50"/>
        <v>5.6631944444452529</v>
      </c>
      <c r="AN452" s="75"/>
      <c r="AO452" s="61" t="s">
        <v>83</v>
      </c>
      <c r="AP452" s="62" t="s">
        <v>1491</v>
      </c>
      <c r="AQ452" s="78" t="s">
        <v>1876</v>
      </c>
      <c r="AR452" s="64">
        <v>44882.447916666664</v>
      </c>
      <c r="AS452" s="61" t="s">
        <v>117</v>
      </c>
      <c r="AT452" s="61" t="s">
        <v>225</v>
      </c>
      <c r="AU452" s="59">
        <v>0.44791666666666669</v>
      </c>
      <c r="AV452" s="61">
        <v>1</v>
      </c>
      <c r="AW452" s="61" t="s">
        <v>66</v>
      </c>
      <c r="AX452" s="76"/>
      <c r="AY452" s="76"/>
      <c r="AZ452" s="76"/>
      <c r="BA452" s="76"/>
      <c r="BB452" s="74"/>
    </row>
    <row r="453" spans="1:54" ht="15.75" thickBot="1" x14ac:dyDescent="0.3">
      <c r="A453" s="73">
        <v>241</v>
      </c>
      <c r="B453" s="72">
        <v>44876.805555555555</v>
      </c>
      <c r="C453" s="67">
        <v>0.80902777777777779</v>
      </c>
      <c r="D453" s="67">
        <v>0.8125</v>
      </c>
      <c r="E453" s="67">
        <v>0.81597222222222221</v>
      </c>
      <c r="F453" s="68" t="s">
        <v>171</v>
      </c>
      <c r="G453" s="68" t="s">
        <v>151</v>
      </c>
      <c r="H453" s="66" t="s">
        <v>342</v>
      </c>
      <c r="I453" s="66" t="s">
        <v>342</v>
      </c>
      <c r="J453" s="66" t="s">
        <v>37</v>
      </c>
      <c r="K453" s="66" t="s">
        <v>180</v>
      </c>
      <c r="L453" s="70" t="s">
        <v>206</v>
      </c>
      <c r="M453" s="68" t="s">
        <v>1495</v>
      </c>
      <c r="N453" s="68" t="s">
        <v>42</v>
      </c>
      <c r="O453" s="68" t="s">
        <v>1496</v>
      </c>
      <c r="P453" s="68">
        <v>29563477</v>
      </c>
      <c r="Q453" s="303">
        <f t="shared" si="51"/>
        <v>2</v>
      </c>
      <c r="R453" s="303">
        <f t="shared" si="52"/>
        <v>538</v>
      </c>
      <c r="S453" s="68">
        <v>0</v>
      </c>
      <c r="T453" s="68">
        <v>0</v>
      </c>
      <c r="U453" s="68">
        <v>2</v>
      </c>
      <c r="V453" s="68">
        <v>538</v>
      </c>
      <c r="W453" s="68">
        <v>484</v>
      </c>
      <c r="X453" s="68">
        <v>122</v>
      </c>
      <c r="Y453" s="68">
        <v>115</v>
      </c>
      <c r="Z453" s="68">
        <v>88</v>
      </c>
      <c r="AA453" s="68">
        <v>2</v>
      </c>
      <c r="AB453" s="300">
        <f t="shared" si="53"/>
        <v>411.54666666666668</v>
      </c>
      <c r="AC453" s="300">
        <f t="shared" si="54"/>
        <v>2.4791967871485943</v>
      </c>
      <c r="AD453" s="68">
        <v>1986.12</v>
      </c>
      <c r="AE453" s="68" t="s">
        <v>109</v>
      </c>
      <c r="AF453" s="68" t="s">
        <v>317</v>
      </c>
      <c r="AG453" s="68" t="s">
        <v>317</v>
      </c>
      <c r="AH453" s="68" t="s">
        <v>1497</v>
      </c>
      <c r="AI453" s="309"/>
      <c r="AJ453" s="309"/>
      <c r="AK453" s="68" t="s">
        <v>41</v>
      </c>
      <c r="AL453" s="68" t="s">
        <v>39</v>
      </c>
      <c r="AM453" s="299">
        <f t="shared" ca="1" si="50"/>
        <v>0.67361111110949423</v>
      </c>
      <c r="AN453" s="75"/>
      <c r="AO453" s="61" t="s">
        <v>107</v>
      </c>
      <c r="AP453" s="62" t="s">
        <v>1495</v>
      </c>
      <c r="AQ453" s="61" t="s">
        <v>1571</v>
      </c>
      <c r="AR453" s="64">
        <v>44877.479166666664</v>
      </c>
      <c r="AS453" s="61" t="s">
        <v>136</v>
      </c>
      <c r="AT453" s="61" t="s">
        <v>225</v>
      </c>
      <c r="AU453" s="63">
        <v>0.47916666666666669</v>
      </c>
      <c r="AV453" s="61">
        <v>1</v>
      </c>
      <c r="AW453" s="61" t="s">
        <v>66</v>
      </c>
      <c r="AX453" s="76"/>
      <c r="AY453" s="76"/>
      <c r="AZ453" s="76"/>
      <c r="BA453" s="76"/>
      <c r="BB453" s="74"/>
    </row>
    <row r="454" spans="1:54" ht="15.75" thickBot="1" x14ac:dyDescent="0.3">
      <c r="A454" s="73">
        <v>242</v>
      </c>
      <c r="B454" s="72">
        <v>44876.819444444445</v>
      </c>
      <c r="C454" s="67">
        <v>0.81944444444444453</v>
      </c>
      <c r="D454" s="67">
        <v>0.83333333333333337</v>
      </c>
      <c r="E454" s="67">
        <v>0.83333333333333337</v>
      </c>
      <c r="F454" s="68" t="s">
        <v>171</v>
      </c>
      <c r="G454" s="68" t="s">
        <v>136</v>
      </c>
      <c r="H454" s="66" t="s">
        <v>91</v>
      </c>
      <c r="I454" s="66" t="s">
        <v>318</v>
      </c>
      <c r="J454" s="66" t="s">
        <v>41</v>
      </c>
      <c r="K454" s="66" t="s">
        <v>180</v>
      </c>
      <c r="L454" s="70" t="s">
        <v>206</v>
      </c>
      <c r="M454" s="68" t="s">
        <v>1498</v>
      </c>
      <c r="N454" s="68" t="s">
        <v>44</v>
      </c>
      <c r="O454" s="68">
        <v>1054969066</v>
      </c>
      <c r="P454" s="68">
        <v>1213941834</v>
      </c>
      <c r="Q454" s="303">
        <f t="shared" si="51"/>
        <v>5</v>
      </c>
      <c r="R454" s="303">
        <f t="shared" si="52"/>
        <v>1058</v>
      </c>
      <c r="S454" s="68">
        <v>0</v>
      </c>
      <c r="T454" s="68">
        <v>0</v>
      </c>
      <c r="U454" s="68">
        <v>5</v>
      </c>
      <c r="V454" s="68">
        <v>1058</v>
      </c>
      <c r="W454" s="68">
        <v>1071</v>
      </c>
      <c r="X454" s="68">
        <v>120</v>
      </c>
      <c r="Y454" s="68">
        <v>80</v>
      </c>
      <c r="Z454" s="68">
        <v>78</v>
      </c>
      <c r="AA454" s="68">
        <v>5</v>
      </c>
      <c r="AB454" s="300">
        <f t="shared" si="53"/>
        <v>624</v>
      </c>
      <c r="AC454" s="300">
        <f t="shared" si="54"/>
        <v>3.7590361445783134</v>
      </c>
      <c r="AD454" s="68">
        <v>47106.52</v>
      </c>
      <c r="AE454" s="68" t="s">
        <v>109</v>
      </c>
      <c r="AF454" s="68" t="s">
        <v>317</v>
      </c>
      <c r="AG454" s="68" t="s">
        <v>317</v>
      </c>
      <c r="AH454" s="68" t="s">
        <v>1499</v>
      </c>
      <c r="AI454" s="309"/>
      <c r="AJ454" s="309"/>
      <c r="AK454" s="68" t="s">
        <v>37</v>
      </c>
      <c r="AL454" s="68" t="s">
        <v>47</v>
      </c>
      <c r="AM454" s="299">
        <f t="shared" ca="1" si="50"/>
        <v>0.69097222221898846</v>
      </c>
      <c r="AN454" s="75"/>
      <c r="AO454" s="61" t="s">
        <v>323</v>
      </c>
      <c r="AP454" s="62" t="s">
        <v>1574</v>
      </c>
      <c r="AQ454" s="61" t="s">
        <v>1573</v>
      </c>
      <c r="AR454" s="64">
        <v>44877.510416666664</v>
      </c>
      <c r="AS454" s="59" t="s">
        <v>290</v>
      </c>
      <c r="AT454" s="61" t="s">
        <v>65</v>
      </c>
      <c r="AU454" s="63">
        <v>0.51041666666666663</v>
      </c>
      <c r="AV454" s="61">
        <v>1</v>
      </c>
      <c r="AW454" s="61" t="s">
        <v>66</v>
      </c>
      <c r="AX454" s="76"/>
      <c r="AY454" s="76"/>
      <c r="AZ454" s="76"/>
      <c r="BA454" s="76"/>
      <c r="BB454" s="74"/>
    </row>
    <row r="455" spans="1:54" ht="15.75" thickBot="1" x14ac:dyDescent="0.3">
      <c r="A455" s="73">
        <v>243</v>
      </c>
      <c r="B455" s="72">
        <v>44876.819444444445</v>
      </c>
      <c r="C455" s="67">
        <v>0.81944444444444453</v>
      </c>
      <c r="D455" s="67">
        <v>0.83333333333333337</v>
      </c>
      <c r="E455" s="67">
        <v>0.83333333333333337</v>
      </c>
      <c r="F455" s="68" t="s">
        <v>171</v>
      </c>
      <c r="G455" s="68" t="s">
        <v>136</v>
      </c>
      <c r="H455" s="66" t="s">
        <v>91</v>
      </c>
      <c r="I455" s="66" t="s">
        <v>318</v>
      </c>
      <c r="J455" s="66" t="s">
        <v>41</v>
      </c>
      <c r="K455" s="66" t="s">
        <v>180</v>
      </c>
      <c r="L455" s="70" t="s">
        <v>206</v>
      </c>
      <c r="M455" s="68" t="s">
        <v>1498</v>
      </c>
      <c r="N455" s="68" t="s">
        <v>44</v>
      </c>
      <c r="O455" s="68">
        <v>1054969061</v>
      </c>
      <c r="P455" s="68">
        <v>1213940801</v>
      </c>
      <c r="Q455" s="303">
        <f t="shared" si="51"/>
        <v>5</v>
      </c>
      <c r="R455" s="303">
        <f t="shared" si="52"/>
        <v>1064</v>
      </c>
      <c r="S455" s="68">
        <v>0</v>
      </c>
      <c r="T455" s="68">
        <v>0</v>
      </c>
      <c r="U455" s="68">
        <v>5</v>
      </c>
      <c r="V455" s="68">
        <v>1064</v>
      </c>
      <c r="W455" s="68">
        <v>1071</v>
      </c>
      <c r="X455" s="68">
        <v>120</v>
      </c>
      <c r="Y455" s="68">
        <v>80</v>
      </c>
      <c r="Z455" s="68">
        <v>78</v>
      </c>
      <c r="AA455" s="68">
        <v>5</v>
      </c>
      <c r="AB455" s="300">
        <f t="shared" si="53"/>
        <v>624</v>
      </c>
      <c r="AC455" s="300">
        <f t="shared" si="54"/>
        <v>3.7590361445783134</v>
      </c>
      <c r="AD455" s="68">
        <v>47106.52</v>
      </c>
      <c r="AE455" s="68" t="s">
        <v>109</v>
      </c>
      <c r="AF455" s="68" t="s">
        <v>317</v>
      </c>
      <c r="AG455" s="68" t="s">
        <v>317</v>
      </c>
      <c r="AH455" s="68" t="s">
        <v>1500</v>
      </c>
      <c r="AI455" s="309"/>
      <c r="AJ455" s="309"/>
      <c r="AK455" s="68" t="s">
        <v>37</v>
      </c>
      <c r="AL455" s="68" t="s">
        <v>47</v>
      </c>
      <c r="AM455" s="299">
        <f t="shared" ca="1" si="50"/>
        <v>0.69097222221898846</v>
      </c>
      <c r="AN455" s="75"/>
      <c r="AO455" s="61" t="s">
        <v>323</v>
      </c>
      <c r="AP455" s="62" t="s">
        <v>1574</v>
      </c>
      <c r="AQ455" s="61" t="s">
        <v>1573</v>
      </c>
      <c r="AR455" s="64">
        <v>44877.510416666664</v>
      </c>
      <c r="AS455" s="59" t="s">
        <v>290</v>
      </c>
      <c r="AT455" s="61" t="s">
        <v>65</v>
      </c>
      <c r="AU455" s="63">
        <v>0.51041666666666663</v>
      </c>
      <c r="AV455" s="61">
        <v>1</v>
      </c>
      <c r="AW455" s="61" t="s">
        <v>66</v>
      </c>
      <c r="AX455" s="76"/>
      <c r="AY455" s="76"/>
      <c r="AZ455" s="76"/>
      <c r="BA455" s="76"/>
      <c r="BB455" s="74"/>
    </row>
    <row r="456" spans="1:54" ht="15.75" thickBot="1" x14ac:dyDescent="0.3">
      <c r="A456" s="73">
        <v>244</v>
      </c>
      <c r="B456" s="72">
        <v>44876.819444444445</v>
      </c>
      <c r="C456" s="67">
        <v>0.81944444444444453</v>
      </c>
      <c r="D456" s="67">
        <v>0.83333333333333337</v>
      </c>
      <c r="E456" s="67">
        <v>0.83333333333333337</v>
      </c>
      <c r="F456" s="68" t="s">
        <v>171</v>
      </c>
      <c r="G456" s="68" t="s">
        <v>136</v>
      </c>
      <c r="H456" s="66" t="s">
        <v>91</v>
      </c>
      <c r="I456" s="66" t="s">
        <v>318</v>
      </c>
      <c r="J456" s="66" t="s">
        <v>41</v>
      </c>
      <c r="K456" s="66" t="s">
        <v>180</v>
      </c>
      <c r="L456" s="70" t="s">
        <v>206</v>
      </c>
      <c r="M456" s="68" t="s">
        <v>1498</v>
      </c>
      <c r="N456" s="68" t="s">
        <v>44</v>
      </c>
      <c r="O456" s="68">
        <v>1054969049</v>
      </c>
      <c r="P456" s="68">
        <v>1213940408</v>
      </c>
      <c r="Q456" s="303">
        <f t="shared" si="51"/>
        <v>5</v>
      </c>
      <c r="R456" s="303">
        <f t="shared" si="52"/>
        <v>1058</v>
      </c>
      <c r="S456" s="68">
        <v>0</v>
      </c>
      <c r="T456" s="68">
        <v>0</v>
      </c>
      <c r="U456" s="68">
        <v>5</v>
      </c>
      <c r="V456" s="68">
        <v>1058</v>
      </c>
      <c r="W456" s="68">
        <v>1068</v>
      </c>
      <c r="X456" s="68">
        <v>120</v>
      </c>
      <c r="Y456" s="68">
        <v>80</v>
      </c>
      <c r="Z456" s="68">
        <v>78</v>
      </c>
      <c r="AA456" s="68">
        <v>5</v>
      </c>
      <c r="AB456" s="300">
        <f t="shared" si="53"/>
        <v>624</v>
      </c>
      <c r="AC456" s="300">
        <f t="shared" si="54"/>
        <v>3.7590361445783134</v>
      </c>
      <c r="AD456" s="68">
        <v>47106.52</v>
      </c>
      <c r="AE456" s="68" t="s">
        <v>109</v>
      </c>
      <c r="AF456" s="68" t="s">
        <v>317</v>
      </c>
      <c r="AG456" s="68" t="s">
        <v>317</v>
      </c>
      <c r="AH456" s="68" t="s">
        <v>1501</v>
      </c>
      <c r="AI456" s="309"/>
      <c r="AJ456" s="309"/>
      <c r="AK456" s="68" t="s">
        <v>37</v>
      </c>
      <c r="AL456" s="68" t="s">
        <v>47</v>
      </c>
      <c r="AM456" s="299">
        <f t="shared" ca="1" si="50"/>
        <v>0.69097222221898846</v>
      </c>
      <c r="AN456" s="75"/>
      <c r="AO456" s="61" t="s">
        <v>323</v>
      </c>
      <c r="AP456" s="62" t="s">
        <v>1574</v>
      </c>
      <c r="AQ456" s="61" t="s">
        <v>1573</v>
      </c>
      <c r="AR456" s="64">
        <v>44877.510416666664</v>
      </c>
      <c r="AS456" s="59" t="s">
        <v>290</v>
      </c>
      <c r="AT456" s="61" t="s">
        <v>65</v>
      </c>
      <c r="AU456" s="63">
        <v>0.51041666666666663</v>
      </c>
      <c r="AV456" s="61">
        <v>1</v>
      </c>
      <c r="AW456" s="61" t="s">
        <v>66</v>
      </c>
      <c r="AX456" s="76"/>
      <c r="AY456" s="76"/>
      <c r="AZ456" s="76"/>
      <c r="BA456" s="76"/>
      <c r="BB456" s="74"/>
    </row>
    <row r="457" spans="1:54" ht="15.75" thickBot="1" x14ac:dyDescent="0.3">
      <c r="A457" s="73">
        <v>245</v>
      </c>
      <c r="B457" s="72">
        <v>44876.819444444445</v>
      </c>
      <c r="C457" s="67">
        <v>0.81944444444444453</v>
      </c>
      <c r="D457" s="67">
        <v>0.83333333333333337</v>
      </c>
      <c r="E457" s="67">
        <v>0.83333333333333337</v>
      </c>
      <c r="F457" s="68" t="s">
        <v>171</v>
      </c>
      <c r="G457" s="68" t="s">
        <v>136</v>
      </c>
      <c r="H457" s="66" t="s">
        <v>91</v>
      </c>
      <c r="I457" s="66" t="s">
        <v>318</v>
      </c>
      <c r="J457" s="66" t="s">
        <v>41</v>
      </c>
      <c r="K457" s="66" t="s">
        <v>180</v>
      </c>
      <c r="L457" s="70" t="s">
        <v>206</v>
      </c>
      <c r="M457" s="68" t="s">
        <v>1498</v>
      </c>
      <c r="N457" s="68" t="s">
        <v>44</v>
      </c>
      <c r="O457" s="68">
        <v>1054969048</v>
      </c>
      <c r="P457" s="68">
        <v>1213939475</v>
      </c>
      <c r="Q457" s="303">
        <f t="shared" si="51"/>
        <v>5</v>
      </c>
      <c r="R457" s="303">
        <f t="shared" si="52"/>
        <v>1063</v>
      </c>
      <c r="S457" s="68">
        <v>0</v>
      </c>
      <c r="T457" s="68">
        <v>0</v>
      </c>
      <c r="U457" s="68">
        <v>5</v>
      </c>
      <c r="V457" s="68">
        <v>1063</v>
      </c>
      <c r="W457" s="68">
        <v>1068</v>
      </c>
      <c r="X457" s="68">
        <v>120</v>
      </c>
      <c r="Y457" s="68">
        <v>80</v>
      </c>
      <c r="Z457" s="68">
        <v>78</v>
      </c>
      <c r="AA457" s="68">
        <v>5</v>
      </c>
      <c r="AB457" s="300">
        <f t="shared" si="53"/>
        <v>624</v>
      </c>
      <c r="AC457" s="300">
        <f t="shared" si="54"/>
        <v>3.7590361445783134</v>
      </c>
      <c r="AD457" s="68">
        <v>47106.52</v>
      </c>
      <c r="AE457" s="68" t="s">
        <v>109</v>
      </c>
      <c r="AF457" s="68" t="s">
        <v>317</v>
      </c>
      <c r="AG457" s="68" t="s">
        <v>317</v>
      </c>
      <c r="AH457" s="68" t="s">
        <v>1502</v>
      </c>
      <c r="AI457" s="309"/>
      <c r="AJ457" s="309"/>
      <c r="AK457" s="68" t="s">
        <v>37</v>
      </c>
      <c r="AL457" s="68" t="s">
        <v>47</v>
      </c>
      <c r="AM457" s="299">
        <f t="shared" ca="1" si="50"/>
        <v>0.69097222221898846</v>
      </c>
      <c r="AN457" s="75"/>
      <c r="AO457" s="61" t="s">
        <v>323</v>
      </c>
      <c r="AP457" s="62" t="s">
        <v>1574</v>
      </c>
      <c r="AQ457" s="61" t="s">
        <v>1573</v>
      </c>
      <c r="AR457" s="64">
        <v>44877.510416666664</v>
      </c>
      <c r="AS457" s="59" t="s">
        <v>290</v>
      </c>
      <c r="AT457" s="61" t="s">
        <v>65</v>
      </c>
      <c r="AU457" s="63">
        <v>0.51041666666666663</v>
      </c>
      <c r="AV457" s="61">
        <v>1</v>
      </c>
      <c r="AW457" s="61" t="s">
        <v>66</v>
      </c>
      <c r="AX457" s="76"/>
      <c r="AY457" s="76"/>
      <c r="AZ457" s="76"/>
      <c r="BA457" s="76"/>
      <c r="BB457" s="74"/>
    </row>
    <row r="458" spans="1:54" ht="15.75" thickBot="1" x14ac:dyDescent="0.3">
      <c r="A458" s="73">
        <v>246</v>
      </c>
      <c r="B458" s="72">
        <v>44876.819444444445</v>
      </c>
      <c r="C458" s="67">
        <v>0.81944444444444453</v>
      </c>
      <c r="D458" s="67">
        <v>0.83333333333333337</v>
      </c>
      <c r="E458" s="67">
        <v>0.83333333333333337</v>
      </c>
      <c r="F458" s="68" t="s">
        <v>171</v>
      </c>
      <c r="G458" s="68" t="s">
        <v>136</v>
      </c>
      <c r="H458" s="66" t="s">
        <v>91</v>
      </c>
      <c r="I458" s="66" t="s">
        <v>318</v>
      </c>
      <c r="J458" s="66" t="s">
        <v>41</v>
      </c>
      <c r="K458" s="66" t="s">
        <v>180</v>
      </c>
      <c r="L458" s="70" t="s">
        <v>206</v>
      </c>
      <c r="M458" s="68" t="s">
        <v>1503</v>
      </c>
      <c r="N458" s="68" t="s">
        <v>175</v>
      </c>
      <c r="O458" s="68">
        <v>1054969016</v>
      </c>
      <c r="P458" s="68">
        <v>1213923236</v>
      </c>
      <c r="Q458" s="303">
        <f t="shared" si="51"/>
        <v>1</v>
      </c>
      <c r="R458" s="303">
        <f t="shared" si="52"/>
        <v>48</v>
      </c>
      <c r="S458" s="68">
        <v>0</v>
      </c>
      <c r="T458" s="68">
        <v>0</v>
      </c>
      <c r="U458" s="68">
        <v>1</v>
      </c>
      <c r="V458" s="68">
        <v>48</v>
      </c>
      <c r="W458" s="68">
        <v>49</v>
      </c>
      <c r="X458" s="68">
        <v>100</v>
      </c>
      <c r="Y458" s="68">
        <v>77</v>
      </c>
      <c r="Z458" s="68">
        <v>53</v>
      </c>
      <c r="AA458" s="68">
        <v>1</v>
      </c>
      <c r="AB458" s="300">
        <f t="shared" si="53"/>
        <v>68.016666666666666</v>
      </c>
      <c r="AC458" s="300">
        <f t="shared" si="54"/>
        <v>0.40973895582329317</v>
      </c>
      <c r="AD458" s="68">
        <v>24915.1</v>
      </c>
      <c r="AE458" s="68" t="s">
        <v>109</v>
      </c>
      <c r="AF458" s="68" t="s">
        <v>317</v>
      </c>
      <c r="AG458" s="68" t="s">
        <v>317</v>
      </c>
      <c r="AH458" s="68" t="s">
        <v>1504</v>
      </c>
      <c r="AI458" s="309"/>
      <c r="AJ458" s="309"/>
      <c r="AK458" s="68" t="s">
        <v>37</v>
      </c>
      <c r="AL458" s="68" t="s">
        <v>47</v>
      </c>
      <c r="AM458" s="299">
        <f t="shared" ca="1" si="50"/>
        <v>4.9756944444452529</v>
      </c>
      <c r="AN458" s="75"/>
      <c r="AO458" s="61" t="s">
        <v>181</v>
      </c>
      <c r="AP458" s="62" t="s">
        <v>1503</v>
      </c>
      <c r="AQ458" s="61" t="s">
        <v>1803</v>
      </c>
      <c r="AR458" s="64">
        <v>44881.795138888891</v>
      </c>
      <c r="AS458" s="57" t="s">
        <v>173</v>
      </c>
      <c r="AT458" s="61" t="s">
        <v>225</v>
      </c>
      <c r="AU458" s="63">
        <v>0.79513888888888884</v>
      </c>
      <c r="AV458" s="61">
        <v>2</v>
      </c>
      <c r="AW458" s="61" t="s">
        <v>66</v>
      </c>
      <c r="AX458" s="76"/>
      <c r="AY458" s="76"/>
      <c r="AZ458" s="76"/>
      <c r="BA458" s="76"/>
      <c r="BB458" s="74"/>
    </row>
    <row r="459" spans="1:54" ht="15.75" thickBot="1" x14ac:dyDescent="0.3">
      <c r="A459" s="73">
        <v>247</v>
      </c>
      <c r="B459" s="72">
        <v>44877.402777777781</v>
      </c>
      <c r="C459" s="67">
        <v>0.40277777777777773</v>
      </c>
      <c r="D459" s="67">
        <v>0.41666666666666669</v>
      </c>
      <c r="E459" s="67">
        <v>0.42708333333333331</v>
      </c>
      <c r="F459" s="68" t="s">
        <v>171</v>
      </c>
      <c r="G459" s="68" t="s">
        <v>1527</v>
      </c>
      <c r="H459" s="71" t="s">
        <v>199</v>
      </c>
      <c r="I459" s="71" t="s">
        <v>174</v>
      </c>
      <c r="J459" s="71" t="s">
        <v>37</v>
      </c>
      <c r="K459" s="71" t="s">
        <v>180</v>
      </c>
      <c r="L459" s="47" t="s">
        <v>206</v>
      </c>
      <c r="M459" s="68" t="s">
        <v>1528</v>
      </c>
      <c r="N459" s="68" t="s">
        <v>42</v>
      </c>
      <c r="O459" s="68">
        <v>274010680</v>
      </c>
      <c r="P459" s="68" t="s">
        <v>1529</v>
      </c>
      <c r="Q459" s="303">
        <f t="shared" si="51"/>
        <v>2</v>
      </c>
      <c r="R459" s="303">
        <f t="shared" si="52"/>
        <v>340</v>
      </c>
      <c r="S459" s="68">
        <v>0</v>
      </c>
      <c r="T459" s="68">
        <v>0</v>
      </c>
      <c r="U459" s="68">
        <v>2</v>
      </c>
      <c r="V459" s="68">
        <v>340</v>
      </c>
      <c r="W459" s="68">
        <v>347.14</v>
      </c>
      <c r="X459" s="68">
        <v>123</v>
      </c>
      <c r="Y459" s="68">
        <v>83</v>
      </c>
      <c r="Z459" s="68">
        <v>76</v>
      </c>
      <c r="AA459" s="68">
        <v>2</v>
      </c>
      <c r="AB459" s="300">
        <f t="shared" si="53"/>
        <v>258.62799999999999</v>
      </c>
      <c r="AC459" s="300">
        <f t="shared" si="54"/>
        <v>1.5579999999999998</v>
      </c>
      <c r="AD459" s="68">
        <v>7378.56</v>
      </c>
      <c r="AE459" s="68" t="s">
        <v>109</v>
      </c>
      <c r="AF459" s="68" t="s">
        <v>317</v>
      </c>
      <c r="AG459" s="68" t="s">
        <v>317</v>
      </c>
      <c r="AH459" s="68" t="s">
        <v>1530</v>
      </c>
      <c r="AI459" s="309"/>
      <c r="AJ459" s="309"/>
      <c r="AK459" s="68" t="s">
        <v>37</v>
      </c>
      <c r="AL459" s="68" t="s">
        <v>58</v>
      </c>
      <c r="AM459" s="299">
        <f t="shared" ca="1" si="50"/>
        <v>2.2013888888832298</v>
      </c>
      <c r="AN459" s="75"/>
      <c r="AO459" s="61" t="s">
        <v>232</v>
      </c>
      <c r="AP459" s="62" t="s">
        <v>1528</v>
      </c>
      <c r="AQ459" s="61" t="s">
        <v>1617</v>
      </c>
      <c r="AR459" s="64">
        <v>44879.604166666664</v>
      </c>
      <c r="AS459" s="61" t="s">
        <v>136</v>
      </c>
      <c r="AT459" s="61" t="s">
        <v>225</v>
      </c>
      <c r="AU459" s="63">
        <v>0.60416666666666663</v>
      </c>
      <c r="AV459" s="61">
        <v>1</v>
      </c>
      <c r="AW459" s="61" t="s">
        <v>66</v>
      </c>
      <c r="AX459" s="76"/>
      <c r="AY459" s="76"/>
      <c r="AZ459" s="76"/>
      <c r="BA459" s="76"/>
      <c r="BB459" s="74"/>
    </row>
    <row r="460" spans="1:54" ht="15.75" thickBot="1" x14ac:dyDescent="0.3">
      <c r="A460" s="73">
        <v>248</v>
      </c>
      <c r="B460" s="72">
        <v>44877.402777777781</v>
      </c>
      <c r="C460" s="67">
        <v>0.40277777777777773</v>
      </c>
      <c r="D460" s="67">
        <v>0.41666666666666669</v>
      </c>
      <c r="E460" s="67">
        <v>0.42708333333333331</v>
      </c>
      <c r="F460" s="68" t="s">
        <v>171</v>
      </c>
      <c r="G460" s="68" t="s">
        <v>1527</v>
      </c>
      <c r="H460" s="66" t="s">
        <v>199</v>
      </c>
      <c r="I460" s="66" t="s">
        <v>174</v>
      </c>
      <c r="J460" s="66" t="s">
        <v>37</v>
      </c>
      <c r="K460" s="66" t="s">
        <v>180</v>
      </c>
      <c r="L460" s="70" t="s">
        <v>206</v>
      </c>
      <c r="M460" s="68" t="s">
        <v>1528</v>
      </c>
      <c r="N460" s="68" t="s">
        <v>42</v>
      </c>
      <c r="O460" s="68">
        <v>274010700</v>
      </c>
      <c r="P460" s="68" t="s">
        <v>1531</v>
      </c>
      <c r="Q460" s="303">
        <f t="shared" si="51"/>
        <v>12</v>
      </c>
      <c r="R460" s="303">
        <f t="shared" si="52"/>
        <v>784</v>
      </c>
      <c r="S460" s="68">
        <v>8</v>
      </c>
      <c r="T460" s="68">
        <v>105</v>
      </c>
      <c r="U460" s="68">
        <v>4</v>
      </c>
      <c r="V460" s="68">
        <v>679</v>
      </c>
      <c r="W460" s="68">
        <v>788.94</v>
      </c>
      <c r="X460" s="68">
        <v>123</v>
      </c>
      <c r="Y460" s="68">
        <v>83</v>
      </c>
      <c r="Z460" s="68">
        <v>76</v>
      </c>
      <c r="AA460" s="68">
        <v>4</v>
      </c>
      <c r="AB460" s="300">
        <f t="shared" si="53"/>
        <v>517.25599999999997</v>
      </c>
      <c r="AC460" s="300">
        <f t="shared" si="54"/>
        <v>3.1159999999999997</v>
      </c>
      <c r="AD460" s="68">
        <v>21408.48</v>
      </c>
      <c r="AE460" s="68" t="s">
        <v>109</v>
      </c>
      <c r="AF460" s="68" t="s">
        <v>317</v>
      </c>
      <c r="AG460" s="68" t="s">
        <v>317</v>
      </c>
      <c r="AH460" s="68" t="s">
        <v>1532</v>
      </c>
      <c r="AI460" s="309"/>
      <c r="AJ460" s="309"/>
      <c r="AK460" s="68" t="s">
        <v>37</v>
      </c>
      <c r="AL460" s="68" t="s">
        <v>58</v>
      </c>
      <c r="AM460" s="299">
        <f t="shared" ca="1" si="50"/>
        <v>2.2013888888832298</v>
      </c>
      <c r="AN460" s="75"/>
      <c r="AO460" s="61" t="s">
        <v>232</v>
      </c>
      <c r="AP460" s="62" t="s">
        <v>1528</v>
      </c>
      <c r="AQ460" s="61" t="s">
        <v>1617</v>
      </c>
      <c r="AR460" s="64">
        <v>44879.604166666664</v>
      </c>
      <c r="AS460" s="61" t="s">
        <v>136</v>
      </c>
      <c r="AT460" s="61" t="s">
        <v>225</v>
      </c>
      <c r="AU460" s="63">
        <v>0.60416666666666663</v>
      </c>
      <c r="AV460" s="61">
        <v>1</v>
      </c>
      <c r="AW460" s="61" t="s">
        <v>66</v>
      </c>
      <c r="AX460" s="76"/>
      <c r="AY460" s="76"/>
      <c r="AZ460" s="76"/>
      <c r="BA460" s="76"/>
      <c r="BB460" s="74"/>
    </row>
    <row r="461" spans="1:54" ht="15.75" thickBot="1" x14ac:dyDescent="0.3">
      <c r="A461" s="73">
        <v>248</v>
      </c>
      <c r="B461" s="72">
        <v>44877.402777777781</v>
      </c>
      <c r="C461" s="67">
        <v>0.40277777777777773</v>
      </c>
      <c r="D461" s="67">
        <v>0.41666666666666669</v>
      </c>
      <c r="E461" s="67">
        <v>0.42708333333333331</v>
      </c>
      <c r="F461" s="68" t="s">
        <v>171</v>
      </c>
      <c r="G461" s="68" t="s">
        <v>1527</v>
      </c>
      <c r="H461" s="66" t="s">
        <v>199</v>
      </c>
      <c r="I461" s="66" t="s">
        <v>174</v>
      </c>
      <c r="J461" s="66" t="s">
        <v>37</v>
      </c>
      <c r="K461" s="66" t="s">
        <v>180</v>
      </c>
      <c r="L461" s="70" t="s">
        <v>206</v>
      </c>
      <c r="M461" s="68" t="s">
        <v>1528</v>
      </c>
      <c r="N461" s="68" t="s">
        <v>42</v>
      </c>
      <c r="O461" s="68">
        <v>274010700</v>
      </c>
      <c r="P461" s="68" t="s">
        <v>1531</v>
      </c>
      <c r="Q461" s="303">
        <f t="shared" si="51"/>
        <v>0</v>
      </c>
      <c r="R461" s="303">
        <f t="shared" si="52"/>
        <v>0</v>
      </c>
      <c r="S461" s="68">
        <v>0</v>
      </c>
      <c r="T461" s="68">
        <v>0</v>
      </c>
      <c r="U461" s="68">
        <v>0</v>
      </c>
      <c r="V461" s="68">
        <v>0</v>
      </c>
      <c r="W461" s="68">
        <v>0</v>
      </c>
      <c r="X461" s="68">
        <v>60</v>
      </c>
      <c r="Y461" s="68">
        <v>40</v>
      </c>
      <c r="Z461" s="68">
        <v>30</v>
      </c>
      <c r="AA461" s="68">
        <v>8</v>
      </c>
      <c r="AB461" s="300">
        <f t="shared" si="53"/>
        <v>96</v>
      </c>
      <c r="AC461" s="300">
        <f t="shared" si="54"/>
        <v>0.57831325301204817</v>
      </c>
      <c r="AD461" s="68">
        <v>0</v>
      </c>
      <c r="AE461" s="68">
        <v>0</v>
      </c>
      <c r="AF461" s="68" t="s">
        <v>317</v>
      </c>
      <c r="AG461" s="68" t="s">
        <v>317</v>
      </c>
      <c r="AH461" s="68" t="s">
        <v>1532</v>
      </c>
      <c r="AI461" s="309"/>
      <c r="AJ461" s="309"/>
      <c r="AK461" s="68" t="s">
        <v>48</v>
      </c>
      <c r="AL461" s="68" t="s">
        <v>58</v>
      </c>
      <c r="AM461" s="299">
        <f t="shared" ca="1" si="50"/>
        <v>2.2013888888832298</v>
      </c>
      <c r="AN461" s="75"/>
      <c r="AO461" s="61" t="s">
        <v>232</v>
      </c>
      <c r="AP461" s="62" t="s">
        <v>1528</v>
      </c>
      <c r="AQ461" s="61" t="s">
        <v>1617</v>
      </c>
      <c r="AR461" s="64">
        <v>44879.604166666664</v>
      </c>
      <c r="AS461" s="61" t="s">
        <v>136</v>
      </c>
      <c r="AT461" s="61" t="s">
        <v>225</v>
      </c>
      <c r="AU461" s="63">
        <v>0.60416666666666663</v>
      </c>
      <c r="AV461" s="61">
        <v>1</v>
      </c>
      <c r="AW461" s="61" t="s">
        <v>66</v>
      </c>
      <c r="AX461" s="76"/>
      <c r="AY461" s="76"/>
      <c r="AZ461" s="76"/>
      <c r="BA461" s="76"/>
      <c r="BB461" s="74"/>
    </row>
    <row r="462" spans="1:54" ht="15.75" thickBot="1" x14ac:dyDescent="0.3">
      <c r="A462" s="73">
        <v>249</v>
      </c>
      <c r="B462" s="72">
        <v>44877.402777777781</v>
      </c>
      <c r="C462" s="67">
        <v>0.40277777777777773</v>
      </c>
      <c r="D462" s="67">
        <v>0.41666666666666669</v>
      </c>
      <c r="E462" s="67">
        <v>0.42708333333333331</v>
      </c>
      <c r="F462" s="68" t="s">
        <v>171</v>
      </c>
      <c r="G462" s="68" t="s">
        <v>1527</v>
      </c>
      <c r="H462" s="66" t="s">
        <v>199</v>
      </c>
      <c r="I462" s="66" t="s">
        <v>174</v>
      </c>
      <c r="J462" s="66" t="s">
        <v>37</v>
      </c>
      <c r="K462" s="66" t="s">
        <v>180</v>
      </c>
      <c r="L462" s="70" t="s">
        <v>206</v>
      </c>
      <c r="M462" s="68" t="s">
        <v>1528</v>
      </c>
      <c r="N462" s="68" t="s">
        <v>42</v>
      </c>
      <c r="O462" s="68">
        <v>274010682</v>
      </c>
      <c r="P462" s="68">
        <v>2000073452</v>
      </c>
      <c r="Q462" s="303">
        <f t="shared" si="51"/>
        <v>1</v>
      </c>
      <c r="R462" s="303">
        <f t="shared" si="52"/>
        <v>166</v>
      </c>
      <c r="S462" s="68">
        <v>0</v>
      </c>
      <c r="T462" s="68">
        <v>0</v>
      </c>
      <c r="U462" s="68">
        <v>1</v>
      </c>
      <c r="V462" s="68">
        <v>166</v>
      </c>
      <c r="W462" s="68">
        <v>162.22</v>
      </c>
      <c r="X462" s="68">
        <v>123</v>
      </c>
      <c r="Y462" s="68">
        <v>83</v>
      </c>
      <c r="Z462" s="68">
        <v>76</v>
      </c>
      <c r="AA462" s="68">
        <v>1</v>
      </c>
      <c r="AB462" s="300">
        <f t="shared" si="53"/>
        <v>129.31399999999999</v>
      </c>
      <c r="AC462" s="300">
        <f t="shared" si="54"/>
        <v>0.77899999999999991</v>
      </c>
      <c r="AD462" s="68">
        <v>4502.3999999999996</v>
      </c>
      <c r="AE462" s="68" t="s">
        <v>109</v>
      </c>
      <c r="AF462" s="68" t="s">
        <v>317</v>
      </c>
      <c r="AG462" s="68" t="s">
        <v>317</v>
      </c>
      <c r="AH462" s="68" t="s">
        <v>1533</v>
      </c>
      <c r="AI462" s="309"/>
      <c r="AJ462" s="309"/>
      <c r="AK462" s="68" t="s">
        <v>48</v>
      </c>
      <c r="AL462" s="68" t="s">
        <v>58</v>
      </c>
      <c r="AM462" s="299">
        <f t="shared" ca="1" si="50"/>
        <v>2.2013888888832298</v>
      </c>
      <c r="AN462" s="75"/>
      <c r="AO462" s="61" t="s">
        <v>232</v>
      </c>
      <c r="AP462" s="62" t="s">
        <v>1528</v>
      </c>
      <c r="AQ462" s="61" t="s">
        <v>1617</v>
      </c>
      <c r="AR462" s="64">
        <v>44879.604166666664</v>
      </c>
      <c r="AS462" s="61" t="s">
        <v>136</v>
      </c>
      <c r="AT462" s="61" t="s">
        <v>225</v>
      </c>
      <c r="AU462" s="63">
        <v>0.60416666666666663</v>
      </c>
      <c r="AV462" s="61">
        <v>1</v>
      </c>
      <c r="AW462" s="61" t="s">
        <v>66</v>
      </c>
      <c r="AX462" s="76"/>
      <c r="AY462" s="76"/>
      <c r="AZ462" s="76"/>
      <c r="BA462" s="76"/>
      <c r="BB462" s="74"/>
    </row>
    <row r="463" spans="1:54" ht="15.75" thickBot="1" x14ac:dyDescent="0.3">
      <c r="A463" s="73">
        <v>250</v>
      </c>
      <c r="B463" s="72">
        <v>44877.402777777781</v>
      </c>
      <c r="C463" s="67">
        <v>0.40277777777777773</v>
      </c>
      <c r="D463" s="67">
        <v>0.41666666666666669</v>
      </c>
      <c r="E463" s="67">
        <v>0.42708333333333331</v>
      </c>
      <c r="F463" s="68" t="s">
        <v>171</v>
      </c>
      <c r="G463" s="68" t="s">
        <v>1527</v>
      </c>
      <c r="H463" s="66" t="s">
        <v>199</v>
      </c>
      <c r="I463" s="66" t="s">
        <v>174</v>
      </c>
      <c r="J463" s="66" t="s">
        <v>37</v>
      </c>
      <c r="K463" s="66" t="s">
        <v>180</v>
      </c>
      <c r="L463" s="70" t="s">
        <v>206</v>
      </c>
      <c r="M463" s="68" t="s">
        <v>1528</v>
      </c>
      <c r="N463" s="68" t="s">
        <v>42</v>
      </c>
      <c r="O463" s="68">
        <v>274010685</v>
      </c>
      <c r="P463" s="68">
        <v>2000073456</v>
      </c>
      <c r="Q463" s="303">
        <f t="shared" si="51"/>
        <v>1</v>
      </c>
      <c r="R463" s="303">
        <f t="shared" si="52"/>
        <v>165</v>
      </c>
      <c r="S463" s="68">
        <v>0</v>
      </c>
      <c r="T463" s="68">
        <v>0</v>
      </c>
      <c r="U463" s="68">
        <v>1</v>
      </c>
      <c r="V463" s="68">
        <v>165</v>
      </c>
      <c r="W463" s="68">
        <v>167.7</v>
      </c>
      <c r="X463" s="68">
        <v>123</v>
      </c>
      <c r="Y463" s="68">
        <v>83</v>
      </c>
      <c r="Z463" s="68">
        <v>76</v>
      </c>
      <c r="AA463" s="68">
        <v>1</v>
      </c>
      <c r="AB463" s="300">
        <f t="shared" si="53"/>
        <v>129.31399999999999</v>
      </c>
      <c r="AC463" s="300">
        <f t="shared" si="54"/>
        <v>0.77899999999999991</v>
      </c>
      <c r="AD463" s="68">
        <v>4821.6000000000004</v>
      </c>
      <c r="AE463" s="68" t="s">
        <v>109</v>
      </c>
      <c r="AF463" s="68" t="s">
        <v>317</v>
      </c>
      <c r="AG463" s="68" t="s">
        <v>317</v>
      </c>
      <c r="AH463" s="68" t="s">
        <v>1534</v>
      </c>
      <c r="AI463" s="309"/>
      <c r="AJ463" s="309"/>
      <c r="AK463" s="68" t="s">
        <v>48</v>
      </c>
      <c r="AL463" s="68" t="s">
        <v>58</v>
      </c>
      <c r="AM463" s="299">
        <f t="shared" ca="1" si="50"/>
        <v>2.2013888888832298</v>
      </c>
      <c r="AN463" s="75"/>
      <c r="AO463" s="61" t="s">
        <v>232</v>
      </c>
      <c r="AP463" s="62" t="s">
        <v>1528</v>
      </c>
      <c r="AQ463" s="61" t="s">
        <v>1617</v>
      </c>
      <c r="AR463" s="64">
        <v>44879.604166666664</v>
      </c>
      <c r="AS463" s="61" t="s">
        <v>136</v>
      </c>
      <c r="AT463" s="61" t="s">
        <v>225</v>
      </c>
      <c r="AU463" s="63">
        <v>0.60416666666666663</v>
      </c>
      <c r="AV463" s="61">
        <v>1</v>
      </c>
      <c r="AW463" s="61" t="s">
        <v>66</v>
      </c>
      <c r="AX463" s="76"/>
      <c r="AY463" s="76"/>
      <c r="AZ463" s="76"/>
      <c r="BA463" s="76"/>
      <c r="BB463" s="74"/>
    </row>
    <row r="464" spans="1:54" ht="15.75" thickBot="1" x14ac:dyDescent="0.3">
      <c r="A464" s="73">
        <v>251</v>
      </c>
      <c r="B464" s="72">
        <v>44877.402777777781</v>
      </c>
      <c r="C464" s="67">
        <v>0.40277777777777773</v>
      </c>
      <c r="D464" s="67">
        <v>0.41666666666666669</v>
      </c>
      <c r="E464" s="67">
        <v>0.42708333333333331</v>
      </c>
      <c r="F464" s="68" t="s">
        <v>171</v>
      </c>
      <c r="G464" s="68" t="s">
        <v>1527</v>
      </c>
      <c r="H464" s="66" t="s">
        <v>199</v>
      </c>
      <c r="I464" s="66" t="s">
        <v>174</v>
      </c>
      <c r="J464" s="66" t="s">
        <v>37</v>
      </c>
      <c r="K464" s="66" t="s">
        <v>180</v>
      </c>
      <c r="L464" s="70" t="s">
        <v>206</v>
      </c>
      <c r="M464" s="68" t="s">
        <v>1528</v>
      </c>
      <c r="N464" s="68" t="s">
        <v>42</v>
      </c>
      <c r="O464" s="68">
        <v>274010683</v>
      </c>
      <c r="P464" s="68" t="s">
        <v>1535</v>
      </c>
      <c r="Q464" s="303">
        <f t="shared" si="51"/>
        <v>2</v>
      </c>
      <c r="R464" s="303">
        <f t="shared" si="52"/>
        <v>364</v>
      </c>
      <c r="S464" s="68">
        <v>0</v>
      </c>
      <c r="T464" s="68">
        <v>0</v>
      </c>
      <c r="U464" s="68">
        <v>2</v>
      </c>
      <c r="V464" s="68">
        <v>364</v>
      </c>
      <c r="W464" s="68">
        <v>368.84</v>
      </c>
      <c r="X464" s="68">
        <v>123</v>
      </c>
      <c r="Y464" s="68">
        <v>83</v>
      </c>
      <c r="Z464" s="68">
        <v>76</v>
      </c>
      <c r="AA464" s="68">
        <v>2</v>
      </c>
      <c r="AB464" s="300">
        <f t="shared" si="53"/>
        <v>258.62799999999999</v>
      </c>
      <c r="AC464" s="300">
        <f t="shared" si="54"/>
        <v>1.5579999999999998</v>
      </c>
      <c r="AD464" s="68">
        <v>12606.72</v>
      </c>
      <c r="AE464" s="68" t="s">
        <v>109</v>
      </c>
      <c r="AF464" s="68" t="s">
        <v>317</v>
      </c>
      <c r="AG464" s="68" t="s">
        <v>317</v>
      </c>
      <c r="AH464" s="68" t="s">
        <v>1536</v>
      </c>
      <c r="AI464" s="309"/>
      <c r="AJ464" s="309"/>
      <c r="AK464" s="68" t="s">
        <v>48</v>
      </c>
      <c r="AL464" s="68" t="s">
        <v>58</v>
      </c>
      <c r="AM464" s="299">
        <f t="shared" ca="1" si="50"/>
        <v>2.2013888888832298</v>
      </c>
      <c r="AN464" s="75"/>
      <c r="AO464" s="61" t="s">
        <v>232</v>
      </c>
      <c r="AP464" s="62" t="s">
        <v>1528</v>
      </c>
      <c r="AQ464" s="61" t="s">
        <v>1617</v>
      </c>
      <c r="AR464" s="64">
        <v>44879.604166666664</v>
      </c>
      <c r="AS464" s="61" t="s">
        <v>136</v>
      </c>
      <c r="AT464" s="61" t="s">
        <v>225</v>
      </c>
      <c r="AU464" s="63">
        <v>0.60416666666666663</v>
      </c>
      <c r="AV464" s="61">
        <v>1</v>
      </c>
      <c r="AW464" s="61" t="s">
        <v>66</v>
      </c>
      <c r="AX464" s="76"/>
      <c r="AY464" s="76"/>
      <c r="AZ464" s="76"/>
      <c r="BA464" s="76"/>
      <c r="BB464" s="74"/>
    </row>
    <row r="465" spans="1:54" ht="15.75" thickBot="1" x14ac:dyDescent="0.3">
      <c r="A465" s="73">
        <v>252</v>
      </c>
      <c r="B465" s="72">
        <v>44877.416666666664</v>
      </c>
      <c r="C465" s="67">
        <v>0.41666666666666669</v>
      </c>
      <c r="D465" s="67">
        <v>0.42708333333333331</v>
      </c>
      <c r="E465" s="67">
        <v>0.4375</v>
      </c>
      <c r="F465" s="68" t="s">
        <v>170</v>
      </c>
      <c r="G465" s="68" t="s">
        <v>1537</v>
      </c>
      <c r="H465" s="66" t="s">
        <v>46</v>
      </c>
      <c r="I465" s="66" t="s">
        <v>162</v>
      </c>
      <c r="J465" s="66" t="s">
        <v>41</v>
      </c>
      <c r="K465" s="66" t="s">
        <v>63</v>
      </c>
      <c r="L465" s="66" t="s">
        <v>214</v>
      </c>
      <c r="M465" s="68" t="s">
        <v>1538</v>
      </c>
      <c r="N465" s="68" t="s">
        <v>158</v>
      </c>
      <c r="O465" s="68" t="s">
        <v>1539</v>
      </c>
      <c r="P465" s="68" t="s">
        <v>1540</v>
      </c>
      <c r="Q465" s="303">
        <f t="shared" si="51"/>
        <v>2</v>
      </c>
      <c r="R465" s="303">
        <f t="shared" si="52"/>
        <v>549</v>
      </c>
      <c r="S465" s="68">
        <v>0</v>
      </c>
      <c r="T465" s="68">
        <v>0</v>
      </c>
      <c r="U465" s="68">
        <v>2</v>
      </c>
      <c r="V465" s="68">
        <v>549</v>
      </c>
      <c r="W465" s="68">
        <v>540.5</v>
      </c>
      <c r="X465" s="68">
        <v>85</v>
      </c>
      <c r="Y465" s="68">
        <v>60</v>
      </c>
      <c r="Z465" s="68">
        <v>73</v>
      </c>
      <c r="AA465" s="68">
        <v>1</v>
      </c>
      <c r="AB465" s="300">
        <f t="shared" si="53"/>
        <v>62.05</v>
      </c>
      <c r="AC465" s="300">
        <f t="shared" si="54"/>
        <v>0.37379518072289153</v>
      </c>
      <c r="AD465" s="68" t="s">
        <v>48</v>
      </c>
      <c r="AE465" s="68" t="s">
        <v>48</v>
      </c>
      <c r="AF465" s="68" t="s">
        <v>317</v>
      </c>
      <c r="AG465" s="68" t="s">
        <v>317</v>
      </c>
      <c r="AH465" s="68" t="s">
        <v>1541</v>
      </c>
      <c r="AI465" s="309"/>
      <c r="AJ465" s="309"/>
      <c r="AK465" s="68" t="s">
        <v>41</v>
      </c>
      <c r="AL465" s="68" t="s">
        <v>49</v>
      </c>
      <c r="AM465" s="299">
        <f t="shared" ca="1" si="50"/>
        <v>3.0590277777810115</v>
      </c>
      <c r="AN465" s="75"/>
      <c r="AO465" s="61" t="s">
        <v>159</v>
      </c>
      <c r="AP465" s="61" t="s">
        <v>1538</v>
      </c>
      <c r="AQ465" s="63" t="s">
        <v>1655</v>
      </c>
      <c r="AR465" s="64">
        <v>44880.475694444445</v>
      </c>
      <c r="AS465" s="61" t="s">
        <v>117</v>
      </c>
      <c r="AT465" s="61" t="s">
        <v>225</v>
      </c>
      <c r="AU465" s="59">
        <v>0.47569444444444442</v>
      </c>
      <c r="AV465" s="61">
        <v>1</v>
      </c>
      <c r="AW465" s="58" t="s">
        <v>66</v>
      </c>
      <c r="AX465" s="76"/>
      <c r="AY465" s="76"/>
      <c r="AZ465" s="76"/>
      <c r="BA465" s="76"/>
      <c r="BB465" s="74"/>
    </row>
    <row r="466" spans="1:54" ht="15.75" thickBot="1" x14ac:dyDescent="0.3">
      <c r="A466" s="73">
        <v>252</v>
      </c>
      <c r="B466" s="72">
        <v>44877.416666666664</v>
      </c>
      <c r="C466" s="67">
        <v>0.41666666666666669</v>
      </c>
      <c r="D466" s="67">
        <v>0.42708333333333331</v>
      </c>
      <c r="E466" s="67">
        <v>0.4375</v>
      </c>
      <c r="F466" s="68" t="s">
        <v>170</v>
      </c>
      <c r="G466" s="68" t="s">
        <v>1537</v>
      </c>
      <c r="H466" s="66" t="s">
        <v>46</v>
      </c>
      <c r="I466" s="66" t="s">
        <v>162</v>
      </c>
      <c r="J466" s="66" t="s">
        <v>41</v>
      </c>
      <c r="K466" s="66" t="s">
        <v>63</v>
      </c>
      <c r="L466" s="66" t="s">
        <v>214</v>
      </c>
      <c r="M466" s="68" t="s">
        <v>1538</v>
      </c>
      <c r="N466" s="68" t="s">
        <v>158</v>
      </c>
      <c r="O466" s="68" t="s">
        <v>1539</v>
      </c>
      <c r="P466" s="68" t="s">
        <v>1540</v>
      </c>
      <c r="Q466" s="303">
        <f t="shared" si="51"/>
        <v>0</v>
      </c>
      <c r="R466" s="303">
        <f t="shared" si="52"/>
        <v>0</v>
      </c>
      <c r="S466" s="68">
        <v>0</v>
      </c>
      <c r="T466" s="68">
        <v>0</v>
      </c>
      <c r="U466" s="68">
        <v>0</v>
      </c>
      <c r="V466" s="68">
        <v>0</v>
      </c>
      <c r="W466" s="68">
        <v>0</v>
      </c>
      <c r="X466" s="68">
        <v>93</v>
      </c>
      <c r="Y466" s="68">
        <v>50</v>
      </c>
      <c r="Z466" s="68">
        <v>52</v>
      </c>
      <c r="AA466" s="68">
        <v>1</v>
      </c>
      <c r="AB466" s="300">
        <f t="shared" si="53"/>
        <v>40.299999999999997</v>
      </c>
      <c r="AC466" s="300">
        <f t="shared" si="54"/>
        <v>0.24277108433734937</v>
      </c>
      <c r="AD466" s="68">
        <v>0</v>
      </c>
      <c r="AE466" s="68">
        <v>0</v>
      </c>
      <c r="AF466" s="68" t="s">
        <v>317</v>
      </c>
      <c r="AG466" s="68" t="s">
        <v>317</v>
      </c>
      <c r="AH466" s="68" t="s">
        <v>1541</v>
      </c>
      <c r="AI466" s="309"/>
      <c r="AJ466" s="309"/>
      <c r="AK466" s="68" t="s">
        <v>41</v>
      </c>
      <c r="AL466" s="68" t="s">
        <v>49</v>
      </c>
      <c r="AM466" s="299">
        <f t="shared" ca="1" si="50"/>
        <v>3.0590277777810115</v>
      </c>
      <c r="AN466" s="75"/>
      <c r="AO466" s="61" t="s">
        <v>159</v>
      </c>
      <c r="AP466" s="61" t="s">
        <v>1538</v>
      </c>
      <c r="AQ466" s="63" t="s">
        <v>1655</v>
      </c>
      <c r="AR466" s="64">
        <v>44880.475694444445</v>
      </c>
      <c r="AS466" s="61" t="s">
        <v>117</v>
      </c>
      <c r="AT466" s="61" t="s">
        <v>225</v>
      </c>
      <c r="AU466" s="59">
        <v>0.47569444444444442</v>
      </c>
      <c r="AV466" s="61">
        <v>1</v>
      </c>
      <c r="AW466" s="58" t="s">
        <v>66</v>
      </c>
      <c r="AX466" s="76"/>
      <c r="AY466" s="76"/>
      <c r="AZ466" s="76"/>
      <c r="BA466" s="76"/>
      <c r="BB466" s="74"/>
    </row>
    <row r="467" spans="1:54" ht="15.75" thickBot="1" x14ac:dyDescent="0.3">
      <c r="A467" s="73">
        <v>253</v>
      </c>
      <c r="B467" s="72">
        <v>44877.416666666664</v>
      </c>
      <c r="C467" s="67">
        <v>0.41666666666666669</v>
      </c>
      <c r="D467" s="67">
        <v>0.42708333333333331</v>
      </c>
      <c r="E467" s="67">
        <v>0.4375</v>
      </c>
      <c r="F467" s="68" t="s">
        <v>170</v>
      </c>
      <c r="G467" s="68" t="s">
        <v>1537</v>
      </c>
      <c r="H467" s="66" t="s">
        <v>357</v>
      </c>
      <c r="I467" s="66" t="s">
        <v>358</v>
      </c>
      <c r="J467" s="66" t="s">
        <v>37</v>
      </c>
      <c r="K467" s="66" t="s">
        <v>63</v>
      </c>
      <c r="L467" s="70" t="s">
        <v>206</v>
      </c>
      <c r="M467" s="68" t="s">
        <v>1542</v>
      </c>
      <c r="N467" s="68" t="s">
        <v>42</v>
      </c>
      <c r="O467" s="68" t="s">
        <v>1543</v>
      </c>
      <c r="P467" s="68" t="s">
        <v>359</v>
      </c>
      <c r="Q467" s="303">
        <f t="shared" si="51"/>
        <v>1</v>
      </c>
      <c r="R467" s="303">
        <f t="shared" si="52"/>
        <v>164</v>
      </c>
      <c r="S467" s="68">
        <v>0</v>
      </c>
      <c r="T467" s="68">
        <v>0</v>
      </c>
      <c r="U467" s="68">
        <v>1</v>
      </c>
      <c r="V467" s="68">
        <v>164</v>
      </c>
      <c r="W467" s="68">
        <v>164</v>
      </c>
      <c r="X467" s="68">
        <v>89</v>
      </c>
      <c r="Y467" s="68">
        <v>46</v>
      </c>
      <c r="Z467" s="68">
        <v>57</v>
      </c>
      <c r="AA467" s="68">
        <v>1</v>
      </c>
      <c r="AB467" s="300">
        <f t="shared" si="53"/>
        <v>38.893000000000001</v>
      </c>
      <c r="AC467" s="300">
        <f t="shared" si="54"/>
        <v>0.23429518072289157</v>
      </c>
      <c r="AD467" s="68">
        <v>2421.81</v>
      </c>
      <c r="AE467" s="68" t="s">
        <v>109</v>
      </c>
      <c r="AF467" s="68" t="s">
        <v>317</v>
      </c>
      <c r="AG467" s="68" t="s">
        <v>317</v>
      </c>
      <c r="AH467" s="68" t="s">
        <v>1544</v>
      </c>
      <c r="AI467" s="309"/>
      <c r="AJ467" s="309"/>
      <c r="AK467" s="68" t="s">
        <v>37</v>
      </c>
      <c r="AL467" s="68" t="s">
        <v>49</v>
      </c>
      <c r="AM467" s="299">
        <f t="shared" ca="1" si="50"/>
        <v>6.25E-2</v>
      </c>
      <c r="AN467" s="75"/>
      <c r="AO467" s="61" t="s">
        <v>120</v>
      </c>
      <c r="AP467" s="62" t="s">
        <v>1542</v>
      </c>
      <c r="AQ467" s="61" t="s">
        <v>1572</v>
      </c>
      <c r="AR467" s="64">
        <v>44877.479166666664</v>
      </c>
      <c r="AS467" s="61" t="s">
        <v>136</v>
      </c>
      <c r="AT467" s="61" t="s">
        <v>225</v>
      </c>
      <c r="AU467" s="63">
        <v>0.47916666666666669</v>
      </c>
      <c r="AV467" s="61">
        <v>1</v>
      </c>
      <c r="AW467" s="61" t="s">
        <v>66</v>
      </c>
      <c r="AX467" s="76"/>
      <c r="AY467" s="76"/>
      <c r="AZ467" s="76"/>
      <c r="BA467" s="76"/>
      <c r="BB467" s="74"/>
    </row>
    <row r="468" spans="1:54" ht="15.75" thickBot="1" x14ac:dyDescent="0.3">
      <c r="A468" s="73">
        <v>254</v>
      </c>
      <c r="B468" s="72">
        <v>44877.423611111109</v>
      </c>
      <c r="C468" s="67">
        <v>0.42708333333333331</v>
      </c>
      <c r="D468" s="67">
        <v>0.43055555555555558</v>
      </c>
      <c r="E468" s="67">
        <v>0.44097222222222227</v>
      </c>
      <c r="F468" s="68" t="s">
        <v>171</v>
      </c>
      <c r="G468" s="68" t="s">
        <v>327</v>
      </c>
      <c r="H468" s="66" t="s">
        <v>1420</v>
      </c>
      <c r="I468" s="66" t="s">
        <v>1420</v>
      </c>
      <c r="J468" s="66" t="s">
        <v>37</v>
      </c>
      <c r="K468" s="66" t="s">
        <v>233</v>
      </c>
      <c r="L468" s="66">
        <v>0</v>
      </c>
      <c r="M468" s="68" t="s">
        <v>1545</v>
      </c>
      <c r="N468" s="68" t="s">
        <v>158</v>
      </c>
      <c r="O468" s="68" t="s">
        <v>1546</v>
      </c>
      <c r="P468" s="68">
        <v>799</v>
      </c>
      <c r="Q468" s="303">
        <f t="shared" si="51"/>
        <v>1</v>
      </c>
      <c r="R468" s="303">
        <f t="shared" si="52"/>
        <v>211</v>
      </c>
      <c r="S468" s="68">
        <v>0</v>
      </c>
      <c r="T468" s="68">
        <v>0</v>
      </c>
      <c r="U468" s="68">
        <v>1</v>
      </c>
      <c r="V468" s="68">
        <v>211</v>
      </c>
      <c r="W468" s="68">
        <v>207</v>
      </c>
      <c r="X468" s="68">
        <v>117</v>
      </c>
      <c r="Y468" s="68">
        <v>71</v>
      </c>
      <c r="Z468" s="68">
        <v>104</v>
      </c>
      <c r="AA468" s="68">
        <v>1</v>
      </c>
      <c r="AB468" s="300">
        <f t="shared" si="53"/>
        <v>143.988</v>
      </c>
      <c r="AC468" s="300">
        <f t="shared" si="54"/>
        <v>0.86739759036144581</v>
      </c>
      <c r="AD468" s="68" t="s">
        <v>48</v>
      </c>
      <c r="AE468" s="68" t="s">
        <v>48</v>
      </c>
      <c r="AF468" s="68" t="s">
        <v>317</v>
      </c>
      <c r="AG468" s="68" t="s">
        <v>317</v>
      </c>
      <c r="AH468" s="68" t="s">
        <v>1547</v>
      </c>
      <c r="AI468" s="309"/>
      <c r="AJ468" s="309"/>
      <c r="AK468" s="68" t="s">
        <v>37</v>
      </c>
      <c r="AL468" s="68" t="s">
        <v>49</v>
      </c>
      <c r="AM468" s="299">
        <f t="shared" ca="1" si="50"/>
        <v>0.28472222222626442</v>
      </c>
      <c r="AN468" s="75"/>
      <c r="AO468" s="61" t="s">
        <v>509</v>
      </c>
      <c r="AP468" s="62" t="s">
        <v>1545</v>
      </c>
      <c r="AQ468" s="61" t="s">
        <v>1581</v>
      </c>
      <c r="AR468" s="64">
        <v>44877.708333333336</v>
      </c>
      <c r="AS468" s="61" t="s">
        <v>95</v>
      </c>
      <c r="AT468" s="61" t="s">
        <v>225</v>
      </c>
      <c r="AU468" s="59">
        <v>0.70833333333333337</v>
      </c>
      <c r="AV468" s="58">
        <v>1</v>
      </c>
      <c r="AW468" s="61" t="s">
        <v>66</v>
      </c>
      <c r="AX468" s="76"/>
      <c r="AY468" s="76"/>
      <c r="AZ468" s="76"/>
      <c r="BA468" s="76"/>
      <c r="BB468" s="74"/>
    </row>
    <row r="469" spans="1:54" ht="15.75" thickBot="1" x14ac:dyDescent="0.3">
      <c r="A469" s="73">
        <v>255</v>
      </c>
      <c r="B469" s="72">
        <v>44877.434027777781</v>
      </c>
      <c r="C469" s="67">
        <v>0.4375</v>
      </c>
      <c r="D469" s="67">
        <v>0.44097222222222227</v>
      </c>
      <c r="E469" s="67">
        <v>0.4548611111111111</v>
      </c>
      <c r="F469" s="68" t="s">
        <v>171</v>
      </c>
      <c r="G469" s="68" t="s">
        <v>278</v>
      </c>
      <c r="H469" s="66" t="s">
        <v>234</v>
      </c>
      <c r="I469" s="66" t="s">
        <v>234</v>
      </c>
      <c r="J469" s="66" t="s">
        <v>37</v>
      </c>
      <c r="K469" s="66" t="s">
        <v>233</v>
      </c>
      <c r="L469" s="70" t="s">
        <v>206</v>
      </c>
      <c r="M469" s="68" t="s">
        <v>1548</v>
      </c>
      <c r="N469" s="68" t="s">
        <v>42</v>
      </c>
      <c r="O469" s="68" t="s">
        <v>1549</v>
      </c>
      <c r="P469" s="68">
        <v>6491580</v>
      </c>
      <c r="Q469" s="303">
        <f t="shared" si="51"/>
        <v>1</v>
      </c>
      <c r="R469" s="303">
        <f t="shared" si="52"/>
        <v>198</v>
      </c>
      <c r="S469" s="68">
        <v>0</v>
      </c>
      <c r="T469" s="68">
        <v>0</v>
      </c>
      <c r="U469" s="68">
        <v>1</v>
      </c>
      <c r="V469" s="68">
        <v>198</v>
      </c>
      <c r="W469" s="68">
        <v>195</v>
      </c>
      <c r="X469" s="68">
        <v>123</v>
      </c>
      <c r="Y469" s="68">
        <v>69</v>
      </c>
      <c r="Z469" s="68">
        <v>62</v>
      </c>
      <c r="AA469" s="68">
        <v>1</v>
      </c>
      <c r="AB469" s="300">
        <f t="shared" si="53"/>
        <v>87.698999999999998</v>
      </c>
      <c r="AC469" s="300">
        <f t="shared" si="54"/>
        <v>0.52830722891566262</v>
      </c>
      <c r="AD469" s="68">
        <v>5233.09</v>
      </c>
      <c r="AE469" s="68" t="s">
        <v>109</v>
      </c>
      <c r="AF469" s="68" t="s">
        <v>317</v>
      </c>
      <c r="AG469" s="68" t="s">
        <v>317</v>
      </c>
      <c r="AH469" s="68" t="s">
        <v>1550</v>
      </c>
      <c r="AI469" s="309"/>
      <c r="AJ469" s="309"/>
      <c r="AK469" s="68" t="s">
        <v>41</v>
      </c>
      <c r="AL469" s="68" t="s">
        <v>49</v>
      </c>
      <c r="AM469" s="299">
        <f t="shared" ca="1" si="50"/>
        <v>4.2708333333284827</v>
      </c>
      <c r="AN469" s="75"/>
      <c r="AO469" s="61" t="s">
        <v>120</v>
      </c>
      <c r="AP469" s="62" t="s">
        <v>1548</v>
      </c>
      <c r="AQ469" s="61" t="s">
        <v>1798</v>
      </c>
      <c r="AR469" s="64">
        <v>44881.704861111109</v>
      </c>
      <c r="AS469" s="61" t="s">
        <v>304</v>
      </c>
      <c r="AT469" s="61" t="s">
        <v>65</v>
      </c>
      <c r="AU469" s="59">
        <v>0.70486111111111116</v>
      </c>
      <c r="AV469" s="61">
        <v>1</v>
      </c>
      <c r="AW469" s="61" t="s">
        <v>66</v>
      </c>
      <c r="AX469" s="76"/>
      <c r="AY469" s="76"/>
      <c r="AZ469" s="76"/>
      <c r="BA469" s="76"/>
      <c r="BB469" s="74"/>
    </row>
    <row r="470" spans="1:54" ht="15.75" thickBot="1" x14ac:dyDescent="0.3">
      <c r="A470" s="73">
        <v>256</v>
      </c>
      <c r="B470" s="72">
        <v>44877.434027777781</v>
      </c>
      <c r="C470" s="67">
        <v>0.4375</v>
      </c>
      <c r="D470" s="67">
        <v>0.44097222222222227</v>
      </c>
      <c r="E470" s="67">
        <v>0.4548611111111111</v>
      </c>
      <c r="F470" s="68" t="s">
        <v>171</v>
      </c>
      <c r="G470" s="68" t="s">
        <v>278</v>
      </c>
      <c r="H470" s="66" t="s">
        <v>234</v>
      </c>
      <c r="I470" s="66" t="s">
        <v>234</v>
      </c>
      <c r="J470" s="66" t="s">
        <v>37</v>
      </c>
      <c r="K470" s="66" t="s">
        <v>233</v>
      </c>
      <c r="L470" s="70" t="s">
        <v>206</v>
      </c>
      <c r="M470" s="68" t="s">
        <v>1551</v>
      </c>
      <c r="N470" s="68" t="s">
        <v>1552</v>
      </c>
      <c r="O470" s="68" t="s">
        <v>1553</v>
      </c>
      <c r="P470" s="68">
        <v>7620400</v>
      </c>
      <c r="Q470" s="303">
        <f t="shared" si="51"/>
        <v>1</v>
      </c>
      <c r="R470" s="303">
        <f t="shared" si="52"/>
        <v>84</v>
      </c>
      <c r="S470" s="68">
        <v>0</v>
      </c>
      <c r="T470" s="68">
        <v>0</v>
      </c>
      <c r="U470" s="68">
        <v>1</v>
      </c>
      <c r="V470" s="68">
        <v>84</v>
      </c>
      <c r="W470" s="68">
        <v>76</v>
      </c>
      <c r="X470" s="68">
        <v>69</v>
      </c>
      <c r="Y470" s="68">
        <v>66</v>
      </c>
      <c r="Z470" s="68">
        <v>56</v>
      </c>
      <c r="AA470" s="68">
        <v>1</v>
      </c>
      <c r="AB470" s="300">
        <f t="shared" si="53"/>
        <v>42.503999999999998</v>
      </c>
      <c r="AC470" s="300">
        <f t="shared" si="54"/>
        <v>0.25604819277108432</v>
      </c>
      <c r="AD470" s="68">
        <v>1564.6</v>
      </c>
      <c r="AE470" s="68" t="s">
        <v>109</v>
      </c>
      <c r="AF470" s="68" t="s">
        <v>317</v>
      </c>
      <c r="AG470" s="68" t="s">
        <v>317</v>
      </c>
      <c r="AH470" s="68" t="s">
        <v>1554</v>
      </c>
      <c r="AI470" s="309"/>
      <c r="AJ470" s="309"/>
      <c r="AK470" s="68" t="s">
        <v>41</v>
      </c>
      <c r="AL470" s="68" t="s">
        <v>49</v>
      </c>
      <c r="AM470" s="299">
        <f t="shared" ca="1" si="50"/>
        <v>4.2708333333284827</v>
      </c>
      <c r="AN470" s="75"/>
      <c r="AO470" s="61" t="s">
        <v>1799</v>
      </c>
      <c r="AP470" s="62" t="s">
        <v>1551</v>
      </c>
      <c r="AQ470" s="61" t="s">
        <v>1800</v>
      </c>
      <c r="AR470" s="64">
        <v>44881.704861111109</v>
      </c>
      <c r="AS470" s="61" t="s">
        <v>304</v>
      </c>
      <c r="AT470" s="61" t="s">
        <v>65</v>
      </c>
      <c r="AU470" s="59">
        <v>0.70486111111111116</v>
      </c>
      <c r="AV470" s="61">
        <v>1</v>
      </c>
      <c r="AW470" s="61" t="s">
        <v>66</v>
      </c>
      <c r="AX470" s="76"/>
      <c r="AY470" s="76"/>
      <c r="AZ470" s="76"/>
      <c r="BA470" s="76"/>
      <c r="BB470" s="74"/>
    </row>
    <row r="471" spans="1:54" ht="15.75" thickBot="1" x14ac:dyDescent="0.3">
      <c r="A471" s="73">
        <v>257</v>
      </c>
      <c r="B471" s="72">
        <v>44877.451388888891</v>
      </c>
      <c r="C471" s="67">
        <v>0.4513888888888889</v>
      </c>
      <c r="D471" s="67">
        <v>0.45833333333333331</v>
      </c>
      <c r="E471" s="67">
        <v>0.46527777777777773</v>
      </c>
      <c r="F471" s="68" t="s">
        <v>169</v>
      </c>
      <c r="G471" s="68" t="s">
        <v>770</v>
      </c>
      <c r="H471" s="66" t="s">
        <v>312</v>
      </c>
      <c r="I471" s="66" t="s">
        <v>313</v>
      </c>
      <c r="J471" s="66" t="s">
        <v>37</v>
      </c>
      <c r="K471" s="66" t="s">
        <v>233</v>
      </c>
      <c r="L471" s="66" t="s">
        <v>306</v>
      </c>
      <c r="M471" s="68" t="s">
        <v>1555</v>
      </c>
      <c r="N471" s="68" t="s">
        <v>76</v>
      </c>
      <c r="O471" s="68" t="s">
        <v>1556</v>
      </c>
      <c r="P471" s="68" t="s">
        <v>1557</v>
      </c>
      <c r="Q471" s="303">
        <f t="shared" si="51"/>
        <v>10</v>
      </c>
      <c r="R471" s="303">
        <f t="shared" si="52"/>
        <v>76</v>
      </c>
      <c r="S471" s="68">
        <v>10</v>
      </c>
      <c r="T471" s="68">
        <v>76</v>
      </c>
      <c r="U471" s="68">
        <v>0</v>
      </c>
      <c r="V471" s="68">
        <v>0</v>
      </c>
      <c r="W471" s="68">
        <v>74</v>
      </c>
      <c r="X471" s="68">
        <v>63</v>
      </c>
      <c r="Y471" s="68">
        <v>52</v>
      </c>
      <c r="Z471" s="68">
        <v>21</v>
      </c>
      <c r="AA471" s="68">
        <v>10</v>
      </c>
      <c r="AB471" s="300">
        <f t="shared" si="53"/>
        <v>114.66</v>
      </c>
      <c r="AC471" s="300">
        <f t="shared" si="54"/>
        <v>0.69072289156626498</v>
      </c>
      <c r="AD471" s="68">
        <v>730</v>
      </c>
      <c r="AE471" s="68" t="s">
        <v>109</v>
      </c>
      <c r="AF471" s="68" t="s">
        <v>317</v>
      </c>
      <c r="AG471" s="68" t="s">
        <v>317</v>
      </c>
      <c r="AH471" s="68" t="s">
        <v>1558</v>
      </c>
      <c r="AI471" s="309"/>
      <c r="AJ471" s="309"/>
      <c r="AK471" s="68" t="s">
        <v>48</v>
      </c>
      <c r="AL471" s="68" t="s">
        <v>50</v>
      </c>
      <c r="AM471" s="299">
        <f t="shared" ca="1" si="50"/>
        <v>6.1527777777737356</v>
      </c>
      <c r="AN471" s="75"/>
      <c r="AO471" s="78" t="s">
        <v>123</v>
      </c>
      <c r="AP471" s="62" t="s">
        <v>1555</v>
      </c>
      <c r="AQ471" s="61" t="s">
        <v>1932</v>
      </c>
      <c r="AR471" s="64">
        <v>44883.604166666664</v>
      </c>
      <c r="AS471" s="57" t="s">
        <v>117</v>
      </c>
      <c r="AT471" s="61" t="s">
        <v>225</v>
      </c>
      <c r="AU471" s="63">
        <v>0.60416666666666663</v>
      </c>
      <c r="AV471" s="61">
        <v>1</v>
      </c>
      <c r="AW471" s="61" t="s">
        <v>66</v>
      </c>
      <c r="AX471" s="76"/>
      <c r="AY471" s="76"/>
      <c r="AZ471" s="76"/>
      <c r="BA471" s="76"/>
      <c r="BB471" s="74"/>
    </row>
    <row r="472" spans="1:54" ht="15.75" thickBot="1" x14ac:dyDescent="0.3">
      <c r="A472" s="73">
        <v>258</v>
      </c>
      <c r="B472" s="72">
        <v>44877.645833333336</v>
      </c>
      <c r="C472" s="67">
        <v>0.64930555555555558</v>
      </c>
      <c r="D472" s="67">
        <v>0.65625</v>
      </c>
      <c r="E472" s="67">
        <v>0.65972222222222221</v>
      </c>
      <c r="F472" s="68" t="s">
        <v>170</v>
      </c>
      <c r="G472" s="68" t="s">
        <v>1559</v>
      </c>
      <c r="H472" s="66" t="s">
        <v>227</v>
      </c>
      <c r="I472" s="66" t="s">
        <v>189</v>
      </c>
      <c r="J472" s="66" t="s">
        <v>37</v>
      </c>
      <c r="K472" s="66" t="s">
        <v>63</v>
      </c>
      <c r="L472" s="66" t="s">
        <v>209</v>
      </c>
      <c r="M472" s="68">
        <v>0</v>
      </c>
      <c r="N472" s="68" t="s">
        <v>42</v>
      </c>
      <c r="O472" s="68">
        <v>909</v>
      </c>
      <c r="P472" s="68">
        <v>2197</v>
      </c>
      <c r="Q472" s="303">
        <f t="shared" si="51"/>
        <v>5</v>
      </c>
      <c r="R472" s="303">
        <f t="shared" si="52"/>
        <v>82</v>
      </c>
      <c r="S472" s="68">
        <v>5</v>
      </c>
      <c r="T472" s="68">
        <v>82</v>
      </c>
      <c r="U472" s="68">
        <v>0</v>
      </c>
      <c r="V472" s="68">
        <v>0</v>
      </c>
      <c r="W472" s="68">
        <v>76</v>
      </c>
      <c r="X472" s="68">
        <v>84</v>
      </c>
      <c r="Y472" s="68">
        <v>53</v>
      </c>
      <c r="Z472" s="68">
        <v>63</v>
      </c>
      <c r="AA472" s="68">
        <v>4</v>
      </c>
      <c r="AB472" s="300">
        <f t="shared" si="53"/>
        <v>186.98400000000001</v>
      </c>
      <c r="AC472" s="300">
        <f t="shared" si="54"/>
        <v>1.1264096385542168</v>
      </c>
      <c r="AD472" s="68" t="s">
        <v>48</v>
      </c>
      <c r="AE472" s="68" t="s">
        <v>48</v>
      </c>
      <c r="AF472" s="68" t="s">
        <v>317</v>
      </c>
      <c r="AG472" s="68" t="s">
        <v>317</v>
      </c>
      <c r="AH472" s="68" t="s">
        <v>1560</v>
      </c>
      <c r="AI472" s="309"/>
      <c r="AJ472" s="309"/>
      <c r="AK472" s="68" t="s">
        <v>48</v>
      </c>
      <c r="AL472" s="68" t="s">
        <v>39</v>
      </c>
      <c r="AM472" s="299">
        <f t="shared" ca="1" si="50"/>
        <v>1.9097222222189885</v>
      </c>
      <c r="AN472" s="75"/>
      <c r="AO472" s="61" t="s">
        <v>89</v>
      </c>
      <c r="AP472" s="61" t="s">
        <v>1614</v>
      </c>
      <c r="AQ472" s="61" t="s">
        <v>1615</v>
      </c>
      <c r="AR472" s="64">
        <v>44879.555555555555</v>
      </c>
      <c r="AS472" s="61" t="s">
        <v>95</v>
      </c>
      <c r="AT472" s="61" t="s">
        <v>225</v>
      </c>
      <c r="AU472" s="59">
        <v>0.55555555555555558</v>
      </c>
      <c r="AV472" s="61">
        <v>1</v>
      </c>
      <c r="AW472" s="61" t="s">
        <v>66</v>
      </c>
      <c r="AX472" s="76"/>
      <c r="AY472" s="76"/>
      <c r="AZ472" s="76"/>
      <c r="BA472" s="76"/>
      <c r="BB472" s="74"/>
    </row>
    <row r="473" spans="1:54" ht="15.75" thickBot="1" x14ac:dyDescent="0.3">
      <c r="A473" s="73">
        <v>258</v>
      </c>
      <c r="B473" s="72">
        <v>44877.645833333336</v>
      </c>
      <c r="C473" s="67">
        <v>0.64930555555555558</v>
      </c>
      <c r="D473" s="67">
        <v>0.65625</v>
      </c>
      <c r="E473" s="67">
        <v>0.65972222222222221</v>
      </c>
      <c r="F473" s="68" t="s">
        <v>170</v>
      </c>
      <c r="G473" s="68" t="s">
        <v>1559</v>
      </c>
      <c r="H473" s="66" t="s">
        <v>227</v>
      </c>
      <c r="I473" s="66" t="s">
        <v>189</v>
      </c>
      <c r="J473" s="66" t="s">
        <v>37</v>
      </c>
      <c r="K473" s="66" t="s">
        <v>63</v>
      </c>
      <c r="L473" s="66" t="s">
        <v>209</v>
      </c>
      <c r="M473" s="68">
        <v>0</v>
      </c>
      <c r="N473" s="68" t="s">
        <v>42</v>
      </c>
      <c r="O473" s="68">
        <v>909</v>
      </c>
      <c r="P473" s="68">
        <v>2197</v>
      </c>
      <c r="Q473" s="303">
        <f t="shared" si="51"/>
        <v>0</v>
      </c>
      <c r="R473" s="303">
        <f t="shared" si="52"/>
        <v>0</v>
      </c>
      <c r="S473" s="68">
        <v>0</v>
      </c>
      <c r="T473" s="68">
        <v>0</v>
      </c>
      <c r="U473" s="68">
        <v>0</v>
      </c>
      <c r="V473" s="68">
        <v>0</v>
      </c>
      <c r="W473" s="68">
        <v>0</v>
      </c>
      <c r="X473" s="68">
        <v>60</v>
      </c>
      <c r="Y473" s="68">
        <v>51</v>
      </c>
      <c r="Z473" s="68">
        <v>46</v>
      </c>
      <c r="AA473" s="68">
        <v>1</v>
      </c>
      <c r="AB473" s="300">
        <f t="shared" si="53"/>
        <v>23.46</v>
      </c>
      <c r="AC473" s="300">
        <f t="shared" si="54"/>
        <v>0.14132530120481929</v>
      </c>
      <c r="AD473" s="68">
        <v>0</v>
      </c>
      <c r="AE473" s="68">
        <v>0</v>
      </c>
      <c r="AF473" s="68" t="s">
        <v>317</v>
      </c>
      <c r="AG473" s="68" t="s">
        <v>317</v>
      </c>
      <c r="AH473" s="68" t="s">
        <v>1560</v>
      </c>
      <c r="AI473" s="309"/>
      <c r="AJ473" s="309"/>
      <c r="AK473" s="68" t="s">
        <v>48</v>
      </c>
      <c r="AL473" s="68" t="s">
        <v>39</v>
      </c>
      <c r="AM473" s="299">
        <f t="shared" ca="1" si="50"/>
        <v>1.9097222222189885</v>
      </c>
      <c r="AN473" s="75"/>
      <c r="AO473" s="61" t="s">
        <v>89</v>
      </c>
      <c r="AP473" s="61" t="s">
        <v>1614</v>
      </c>
      <c r="AQ473" s="61" t="s">
        <v>1615</v>
      </c>
      <c r="AR473" s="64">
        <v>44879.555555555555</v>
      </c>
      <c r="AS473" s="61" t="s">
        <v>95</v>
      </c>
      <c r="AT473" s="61" t="s">
        <v>225</v>
      </c>
      <c r="AU473" s="59">
        <v>0.55555555555555558</v>
      </c>
      <c r="AV473" s="61">
        <v>1</v>
      </c>
      <c r="AW473" s="61" t="s">
        <v>66</v>
      </c>
      <c r="AX473" s="76"/>
      <c r="AY473" s="76"/>
      <c r="AZ473" s="76"/>
      <c r="BA473" s="76"/>
      <c r="BB473" s="74"/>
    </row>
    <row r="474" spans="1:54" ht="15.75" thickBot="1" x14ac:dyDescent="0.3">
      <c r="A474" s="73">
        <v>259</v>
      </c>
      <c r="B474" s="72">
        <v>44877.645833333336</v>
      </c>
      <c r="C474" s="67">
        <v>0.64930555555555558</v>
      </c>
      <c r="D474" s="67">
        <v>0.65625</v>
      </c>
      <c r="E474" s="67">
        <v>0.65972222222222221</v>
      </c>
      <c r="F474" s="68" t="s">
        <v>170</v>
      </c>
      <c r="G474" s="68" t="s">
        <v>1559</v>
      </c>
      <c r="H474" s="66" t="s">
        <v>227</v>
      </c>
      <c r="I474" s="66" t="s">
        <v>189</v>
      </c>
      <c r="J474" s="66" t="s">
        <v>37</v>
      </c>
      <c r="K474" s="66" t="s">
        <v>63</v>
      </c>
      <c r="L474" s="66" t="s">
        <v>209</v>
      </c>
      <c r="M474" s="68">
        <v>0</v>
      </c>
      <c r="N474" s="68" t="s">
        <v>42</v>
      </c>
      <c r="O474" s="77">
        <v>902908</v>
      </c>
      <c r="P474" s="68">
        <v>3729</v>
      </c>
      <c r="Q474" s="303">
        <f t="shared" si="51"/>
        <v>6</v>
      </c>
      <c r="R474" s="303">
        <f t="shared" si="52"/>
        <v>818</v>
      </c>
      <c r="S474" s="68">
        <v>0</v>
      </c>
      <c r="T474" s="68">
        <v>0</v>
      </c>
      <c r="U474" s="68">
        <v>6</v>
      </c>
      <c r="V474" s="68">
        <v>818</v>
      </c>
      <c r="W474" s="68">
        <v>835.47</v>
      </c>
      <c r="X474" s="68">
        <v>160</v>
      </c>
      <c r="Y474" s="68">
        <v>74</v>
      </c>
      <c r="Z474" s="68">
        <v>79</v>
      </c>
      <c r="AA474" s="68">
        <v>6</v>
      </c>
      <c r="AB474" s="300">
        <f t="shared" si="53"/>
        <v>935.36</v>
      </c>
      <c r="AC474" s="300">
        <f t="shared" si="54"/>
        <v>5.6346987951807233</v>
      </c>
      <c r="AD474" s="68" t="s">
        <v>48</v>
      </c>
      <c r="AE474" s="68" t="s">
        <v>48</v>
      </c>
      <c r="AF474" s="68" t="s">
        <v>317</v>
      </c>
      <c r="AG474" s="68" t="s">
        <v>317</v>
      </c>
      <c r="AH474" s="68" t="s">
        <v>1561</v>
      </c>
      <c r="AI474" s="309"/>
      <c r="AJ474" s="309"/>
      <c r="AK474" s="68" t="s">
        <v>37</v>
      </c>
      <c r="AL474" s="68" t="s">
        <v>39</v>
      </c>
      <c r="AM474" s="299">
        <f t="shared" ca="1" si="50"/>
        <v>1.9097222222189885</v>
      </c>
      <c r="AN474" s="75"/>
      <c r="AO474" s="61" t="s">
        <v>89</v>
      </c>
      <c r="AP474" s="61" t="s">
        <v>1614</v>
      </c>
      <c r="AQ474" s="61" t="s">
        <v>1615</v>
      </c>
      <c r="AR474" s="64">
        <v>44879.555555555555</v>
      </c>
      <c r="AS474" s="61" t="s">
        <v>95</v>
      </c>
      <c r="AT474" s="61" t="s">
        <v>225</v>
      </c>
      <c r="AU474" s="59">
        <v>0.55555555555555558</v>
      </c>
      <c r="AV474" s="61">
        <v>1</v>
      </c>
      <c r="AW474" s="61" t="s">
        <v>66</v>
      </c>
      <c r="AX474" s="76"/>
      <c r="AY474" s="76"/>
      <c r="AZ474" s="76"/>
      <c r="BA474" s="76"/>
      <c r="BB474" s="74"/>
    </row>
    <row r="475" spans="1:54" ht="15.75" thickBot="1" x14ac:dyDescent="0.3">
      <c r="A475" s="95">
        <v>260</v>
      </c>
      <c r="B475" s="72">
        <v>44877.645833333336</v>
      </c>
      <c r="C475" s="67">
        <v>0.64930555555555558</v>
      </c>
      <c r="D475" s="67">
        <v>0.65625</v>
      </c>
      <c r="E475" s="67">
        <v>0.65972222222222221</v>
      </c>
      <c r="F475" s="68" t="s">
        <v>170</v>
      </c>
      <c r="G475" s="68" t="s">
        <v>1559</v>
      </c>
      <c r="H475" s="66" t="s">
        <v>227</v>
      </c>
      <c r="I475" s="66" t="s">
        <v>189</v>
      </c>
      <c r="J475" s="66" t="s">
        <v>37</v>
      </c>
      <c r="K475" s="66" t="s">
        <v>63</v>
      </c>
      <c r="L475" s="66" t="s">
        <v>209</v>
      </c>
      <c r="M475" s="68" t="s">
        <v>1657</v>
      </c>
      <c r="N475" s="68" t="s">
        <v>43</v>
      </c>
      <c r="O475" s="77">
        <v>901904905906910</v>
      </c>
      <c r="P475" s="68">
        <v>29720</v>
      </c>
      <c r="Q475" s="303">
        <f t="shared" si="51"/>
        <v>5</v>
      </c>
      <c r="R475" s="303">
        <f t="shared" si="52"/>
        <v>1156</v>
      </c>
      <c r="S475" s="68">
        <v>0</v>
      </c>
      <c r="T475" s="68">
        <v>0</v>
      </c>
      <c r="U475" s="68">
        <v>5</v>
      </c>
      <c r="V475" s="68">
        <f>207+208+209+338+194</f>
        <v>1156</v>
      </c>
      <c r="W475" s="68">
        <v>1157</v>
      </c>
      <c r="X475" s="68">
        <v>171</v>
      </c>
      <c r="Y475" s="68">
        <v>98</v>
      </c>
      <c r="Z475" s="68">
        <v>94</v>
      </c>
      <c r="AA475" s="68">
        <v>3</v>
      </c>
      <c r="AB475" s="300">
        <f t="shared" si="53"/>
        <v>787.62599999999998</v>
      </c>
      <c r="AC475" s="300">
        <f t="shared" si="54"/>
        <v>4.7447349397590362</v>
      </c>
      <c r="AD475" s="68" t="s">
        <v>48</v>
      </c>
      <c r="AE475" s="68" t="s">
        <v>48</v>
      </c>
      <c r="AF475" s="68" t="s">
        <v>317</v>
      </c>
      <c r="AG475" s="68" t="s">
        <v>317</v>
      </c>
      <c r="AH475" s="68" t="s">
        <v>1562</v>
      </c>
      <c r="AI475" s="309"/>
      <c r="AJ475" s="309"/>
      <c r="AK475" s="68" t="s">
        <v>37</v>
      </c>
      <c r="AL475" s="68" t="s">
        <v>39</v>
      </c>
      <c r="AM475" s="299">
        <f t="shared" ca="1" si="50"/>
        <v>2.8298611111094942</v>
      </c>
      <c r="AN475" s="75" t="s">
        <v>1613</v>
      </c>
      <c r="AO475" s="61" t="s">
        <v>179</v>
      </c>
      <c r="AP475" s="62" t="s">
        <v>1657</v>
      </c>
      <c r="AQ475" s="61" t="s">
        <v>1658</v>
      </c>
      <c r="AR475" s="64">
        <v>44880.475694444445</v>
      </c>
      <c r="AS475" s="57" t="s">
        <v>173</v>
      </c>
      <c r="AT475" s="61" t="s">
        <v>225</v>
      </c>
      <c r="AU475" s="63">
        <v>0.47569444444444442</v>
      </c>
      <c r="AV475" s="61">
        <v>1</v>
      </c>
      <c r="AW475" s="61" t="s">
        <v>66</v>
      </c>
      <c r="AX475" s="76"/>
      <c r="AY475" s="76"/>
      <c r="AZ475" s="76"/>
      <c r="BA475" s="76"/>
      <c r="BB475" s="74"/>
    </row>
    <row r="476" spans="1:54" ht="15.75" thickBot="1" x14ac:dyDescent="0.3">
      <c r="A476" s="95">
        <v>260</v>
      </c>
      <c r="B476" s="72">
        <v>44877.645833333336</v>
      </c>
      <c r="C476" s="67">
        <v>0.64930555555555558</v>
      </c>
      <c r="D476" s="67">
        <v>0.65625</v>
      </c>
      <c r="E476" s="67">
        <v>0.65972222222222221</v>
      </c>
      <c r="F476" s="68" t="s">
        <v>170</v>
      </c>
      <c r="G476" s="68" t="s">
        <v>1559</v>
      </c>
      <c r="H476" s="66" t="s">
        <v>227</v>
      </c>
      <c r="I476" s="66" t="s">
        <v>189</v>
      </c>
      <c r="J476" s="66" t="s">
        <v>37</v>
      </c>
      <c r="K476" s="66" t="s">
        <v>63</v>
      </c>
      <c r="L476" s="66" t="s">
        <v>209</v>
      </c>
      <c r="M476" s="68" t="s">
        <v>1657</v>
      </c>
      <c r="N476" s="68" t="s">
        <v>43</v>
      </c>
      <c r="O476" s="77">
        <v>901904905906910</v>
      </c>
      <c r="P476" s="68">
        <v>29720</v>
      </c>
      <c r="Q476" s="303">
        <f t="shared" si="51"/>
        <v>0</v>
      </c>
      <c r="R476" s="303">
        <f t="shared" si="52"/>
        <v>0</v>
      </c>
      <c r="S476" s="68">
        <v>0</v>
      </c>
      <c r="T476" s="68">
        <v>0</v>
      </c>
      <c r="U476" s="68">
        <v>0</v>
      </c>
      <c r="V476" s="68">
        <v>0</v>
      </c>
      <c r="W476" s="68">
        <v>0</v>
      </c>
      <c r="X476" s="68">
        <v>160</v>
      </c>
      <c r="Y476" s="68">
        <v>73</v>
      </c>
      <c r="Z476" s="68">
        <v>79</v>
      </c>
      <c r="AA476" s="68">
        <v>2</v>
      </c>
      <c r="AB476" s="300">
        <f t="shared" si="53"/>
        <v>307.57333333333332</v>
      </c>
      <c r="AC476" s="300">
        <f t="shared" si="54"/>
        <v>1.8528514056224898</v>
      </c>
      <c r="AD476" s="68">
        <v>0</v>
      </c>
      <c r="AE476" s="68">
        <v>0</v>
      </c>
      <c r="AF476" s="68">
        <v>0</v>
      </c>
      <c r="AG476" s="68">
        <v>0</v>
      </c>
      <c r="AH476" s="68">
        <v>0</v>
      </c>
      <c r="AI476" s="309"/>
      <c r="AJ476" s="309"/>
      <c r="AK476" s="68" t="s">
        <v>37</v>
      </c>
      <c r="AL476" s="68" t="s">
        <v>39</v>
      </c>
      <c r="AM476" s="299">
        <f t="shared" ca="1" si="50"/>
        <v>2.8298611111094942</v>
      </c>
      <c r="AN476" s="75" t="s">
        <v>1613</v>
      </c>
      <c r="AO476" s="61" t="s">
        <v>179</v>
      </c>
      <c r="AP476" s="62" t="s">
        <v>1657</v>
      </c>
      <c r="AQ476" s="61" t="s">
        <v>1658</v>
      </c>
      <c r="AR476" s="64">
        <v>44880.475694444445</v>
      </c>
      <c r="AS476" s="57" t="s">
        <v>173</v>
      </c>
      <c r="AT476" s="61" t="s">
        <v>225</v>
      </c>
      <c r="AU476" s="63">
        <v>0.47569444444444442</v>
      </c>
      <c r="AV476" s="61">
        <v>1</v>
      </c>
      <c r="AW476" s="61" t="s">
        <v>66</v>
      </c>
      <c r="AX476" s="76"/>
      <c r="AY476" s="76"/>
      <c r="AZ476" s="76"/>
      <c r="BA476" s="76"/>
      <c r="BB476" s="74"/>
    </row>
    <row r="477" spans="1:54" ht="15.75" thickBot="1" x14ac:dyDescent="0.3">
      <c r="A477" s="73">
        <v>261</v>
      </c>
      <c r="B477" s="72">
        <v>44877.652777777781</v>
      </c>
      <c r="C477" s="67">
        <v>0.65972222222222221</v>
      </c>
      <c r="D477" s="67">
        <v>0.66319444444444442</v>
      </c>
      <c r="E477" s="67">
        <v>0.66666666666666663</v>
      </c>
      <c r="F477" s="68" t="s">
        <v>169</v>
      </c>
      <c r="G477" s="68" t="s">
        <v>1563</v>
      </c>
      <c r="H477" s="66" t="s">
        <v>1564</v>
      </c>
      <c r="I477" s="66" t="s">
        <v>1565</v>
      </c>
      <c r="J477" s="66" t="s">
        <v>37</v>
      </c>
      <c r="K477" s="66" t="s">
        <v>1566</v>
      </c>
      <c r="L477" s="66">
        <v>0</v>
      </c>
      <c r="M477" s="68">
        <v>0</v>
      </c>
      <c r="N477" s="68" t="s">
        <v>44</v>
      </c>
      <c r="O477" s="68">
        <v>7</v>
      </c>
      <c r="P477" s="68" t="s">
        <v>1567</v>
      </c>
      <c r="Q477" s="303">
        <f t="shared" si="51"/>
        <v>1</v>
      </c>
      <c r="R477" s="303">
        <f t="shared" si="52"/>
        <v>549</v>
      </c>
      <c r="S477" s="68">
        <v>0</v>
      </c>
      <c r="T477" s="68">
        <v>0</v>
      </c>
      <c r="U477" s="68">
        <v>1</v>
      </c>
      <c r="V477" s="68">
        <v>549</v>
      </c>
      <c r="W477" s="68">
        <v>532</v>
      </c>
      <c r="X477" s="68">
        <v>128</v>
      </c>
      <c r="Y477" s="68">
        <v>106</v>
      </c>
      <c r="Z477" s="68">
        <v>105</v>
      </c>
      <c r="AA477" s="68">
        <v>1</v>
      </c>
      <c r="AB477" s="300">
        <f t="shared" si="53"/>
        <v>237.44</v>
      </c>
      <c r="AC477" s="300">
        <f t="shared" si="54"/>
        <v>1.4303614457831326</v>
      </c>
      <c r="AD477" s="68">
        <v>28500</v>
      </c>
      <c r="AE477" s="68" t="s">
        <v>109</v>
      </c>
      <c r="AF477" s="68" t="s">
        <v>317</v>
      </c>
      <c r="AG477" s="68" t="s">
        <v>317</v>
      </c>
      <c r="AH477" s="68" t="s">
        <v>1568</v>
      </c>
      <c r="AI477" s="309"/>
      <c r="AJ477" s="309"/>
      <c r="AK477" s="68" t="s">
        <v>37</v>
      </c>
      <c r="AL477" s="68" t="s">
        <v>39</v>
      </c>
      <c r="AM477" s="299">
        <f t="shared" ca="1" si="50"/>
        <v>2.0590277777737356</v>
      </c>
      <c r="AN477" s="75" t="s">
        <v>1612</v>
      </c>
      <c r="AO477" s="61" t="s">
        <v>1622</v>
      </c>
      <c r="AP477" s="61">
        <v>3650002878</v>
      </c>
      <c r="AQ477" s="61" t="s">
        <v>1623</v>
      </c>
      <c r="AR477" s="64">
        <v>44879.711805555555</v>
      </c>
      <c r="AS477" s="61" t="s">
        <v>136</v>
      </c>
      <c r="AT477" s="61" t="s">
        <v>225</v>
      </c>
      <c r="AU477" s="63">
        <v>0.71180555555555547</v>
      </c>
      <c r="AV477" s="61">
        <v>2</v>
      </c>
      <c r="AW477" s="61" t="s">
        <v>152</v>
      </c>
      <c r="AX477" s="76"/>
      <c r="AY477" s="76"/>
      <c r="AZ477" s="76"/>
      <c r="BA477" s="76"/>
      <c r="BB477" s="74"/>
    </row>
    <row r="478" spans="1:54" x14ac:dyDescent="0.25">
      <c r="A478" s="73">
        <v>262</v>
      </c>
      <c r="B478" s="72">
        <v>44879.385416666664</v>
      </c>
      <c r="C478" s="67">
        <v>0.39583333333333331</v>
      </c>
      <c r="D478" s="67">
        <v>0.40625</v>
      </c>
      <c r="E478" s="67">
        <v>0.41666666666666669</v>
      </c>
      <c r="F478" s="68" t="s">
        <v>170</v>
      </c>
      <c r="G478" s="68" t="s">
        <v>1582</v>
      </c>
      <c r="H478" s="60" t="s">
        <v>46</v>
      </c>
      <c r="I478" s="60" t="s">
        <v>162</v>
      </c>
      <c r="J478" s="60" t="s">
        <v>41</v>
      </c>
      <c r="K478" s="60" t="s">
        <v>63</v>
      </c>
      <c r="L478" s="60" t="s">
        <v>214</v>
      </c>
      <c r="M478" s="68" t="s">
        <v>1583</v>
      </c>
      <c r="N478" s="68" t="s">
        <v>159</v>
      </c>
      <c r="O478" s="68" t="s">
        <v>1584</v>
      </c>
      <c r="P478" s="68">
        <v>5179</v>
      </c>
      <c r="Q478" s="303">
        <f t="shared" si="51"/>
        <v>1</v>
      </c>
      <c r="R478" s="303">
        <f t="shared" si="52"/>
        <v>108</v>
      </c>
      <c r="S478" s="68">
        <v>0</v>
      </c>
      <c r="T478" s="68">
        <v>0</v>
      </c>
      <c r="U478" s="68">
        <v>1</v>
      </c>
      <c r="V478" s="68">
        <v>108</v>
      </c>
      <c r="W478" s="68">
        <v>106</v>
      </c>
      <c r="X478" s="68">
        <v>81</v>
      </c>
      <c r="Y478" s="68">
        <v>44</v>
      </c>
      <c r="Z478" s="68">
        <v>47</v>
      </c>
      <c r="AA478" s="68">
        <v>1</v>
      </c>
      <c r="AB478" s="300">
        <f t="shared" si="53"/>
        <v>27.917999999999999</v>
      </c>
      <c r="AC478" s="300">
        <f t="shared" si="54"/>
        <v>0.16818072289156627</v>
      </c>
      <c r="AD478" s="68" t="s">
        <v>48</v>
      </c>
      <c r="AE478" s="68" t="s">
        <v>48</v>
      </c>
      <c r="AF478" s="68" t="s">
        <v>317</v>
      </c>
      <c r="AG478" s="68" t="s">
        <v>317</v>
      </c>
      <c r="AH478" s="68" t="s">
        <v>1585</v>
      </c>
      <c r="AI478" s="309"/>
      <c r="AJ478" s="309"/>
      <c r="AK478" s="68" t="s">
        <v>41</v>
      </c>
      <c r="AL478" s="68" t="s">
        <v>49</v>
      </c>
      <c r="AM478" s="299">
        <f t="shared" ca="1" si="50"/>
        <v>1.0902777777810115</v>
      </c>
      <c r="AN478" s="75"/>
      <c r="AO478" s="61" t="s">
        <v>159</v>
      </c>
      <c r="AP478" s="62" t="s">
        <v>1583</v>
      </c>
      <c r="AQ478" s="63" t="s">
        <v>1655</v>
      </c>
      <c r="AR478" s="64">
        <v>44880.475694444445</v>
      </c>
      <c r="AS478" s="61" t="s">
        <v>117</v>
      </c>
      <c r="AT478" s="61" t="s">
        <v>225</v>
      </c>
      <c r="AU478" s="59">
        <v>0.47569444444444442</v>
      </c>
      <c r="AV478" s="61">
        <v>1</v>
      </c>
      <c r="AW478" s="58" t="s">
        <v>66</v>
      </c>
      <c r="AX478" s="76"/>
      <c r="AY478" s="76"/>
      <c r="AZ478" s="76"/>
      <c r="BA478" s="76"/>
    </row>
    <row r="479" spans="1:54" x14ac:dyDescent="0.25">
      <c r="A479" s="73">
        <v>263</v>
      </c>
      <c r="B479" s="72">
        <v>44879.385416666664</v>
      </c>
      <c r="C479" s="67">
        <v>0.39583333333333331</v>
      </c>
      <c r="D479" s="67">
        <v>0.40625</v>
      </c>
      <c r="E479" s="67">
        <v>0.41666666666666669</v>
      </c>
      <c r="F479" s="68" t="s">
        <v>170</v>
      </c>
      <c r="G479" s="68" t="s">
        <v>1582</v>
      </c>
      <c r="H479" s="60" t="s">
        <v>46</v>
      </c>
      <c r="I479" s="60" t="s">
        <v>71</v>
      </c>
      <c r="J479" s="60" t="s">
        <v>41</v>
      </c>
      <c r="K479" s="60" t="s">
        <v>63</v>
      </c>
      <c r="L479" s="60" t="s">
        <v>214</v>
      </c>
      <c r="M479" s="68" t="s">
        <v>1586</v>
      </c>
      <c r="N479" s="68" t="s">
        <v>72</v>
      </c>
      <c r="O479" s="68" t="s">
        <v>1587</v>
      </c>
      <c r="P479" s="68" t="s">
        <v>1588</v>
      </c>
      <c r="Q479" s="303">
        <f t="shared" si="51"/>
        <v>3</v>
      </c>
      <c r="R479" s="303">
        <f t="shared" si="52"/>
        <v>441</v>
      </c>
      <c r="S479" s="68">
        <v>0</v>
      </c>
      <c r="T479" s="68">
        <v>0</v>
      </c>
      <c r="U479" s="68">
        <v>3</v>
      </c>
      <c r="V479" s="68">
        <f>129+197+115</f>
        <v>441</v>
      </c>
      <c r="W479" s="68">
        <v>447</v>
      </c>
      <c r="X479" s="68">
        <v>81</v>
      </c>
      <c r="Y479" s="68">
        <v>44</v>
      </c>
      <c r="Z479" s="68">
        <v>48</v>
      </c>
      <c r="AA479" s="68">
        <v>1</v>
      </c>
      <c r="AB479" s="300">
        <f t="shared" si="53"/>
        <v>28.512</v>
      </c>
      <c r="AC479" s="300">
        <f t="shared" si="54"/>
        <v>0.17175903614457833</v>
      </c>
      <c r="AD479" s="68" t="s">
        <v>48</v>
      </c>
      <c r="AE479" s="68" t="s">
        <v>48</v>
      </c>
      <c r="AF479" s="68" t="s">
        <v>317</v>
      </c>
      <c r="AG479" s="68" t="s">
        <v>317</v>
      </c>
      <c r="AH479" s="68" t="s">
        <v>1589</v>
      </c>
      <c r="AI479" s="309"/>
      <c r="AJ479" s="309"/>
      <c r="AK479" s="68" t="s">
        <v>41</v>
      </c>
      <c r="AL479" s="68" t="s">
        <v>49</v>
      </c>
      <c r="AM479" s="299">
        <f t="shared" ca="1" si="50"/>
        <v>1.0902777777810115</v>
      </c>
      <c r="AN479" s="75"/>
      <c r="AO479" s="61" t="s">
        <v>72</v>
      </c>
      <c r="AP479" s="62" t="s">
        <v>1586</v>
      </c>
      <c r="AQ479" s="61" t="s">
        <v>1656</v>
      </c>
      <c r="AR479" s="64">
        <v>44880.475694444445</v>
      </c>
      <c r="AS479" s="57" t="s">
        <v>173</v>
      </c>
      <c r="AT479" s="61" t="s">
        <v>225</v>
      </c>
      <c r="AU479" s="63">
        <v>0.47569444444444442</v>
      </c>
      <c r="AV479" s="61">
        <v>1</v>
      </c>
      <c r="AW479" s="61" t="s">
        <v>66</v>
      </c>
      <c r="AX479" s="76"/>
      <c r="AY479" s="76"/>
      <c r="AZ479" s="76"/>
      <c r="BA479" s="76"/>
    </row>
    <row r="480" spans="1:54" x14ac:dyDescent="0.25">
      <c r="A480" s="73">
        <v>263</v>
      </c>
      <c r="B480" s="72">
        <v>44879.385416666664</v>
      </c>
      <c r="C480" s="67">
        <v>0.39583333333333331</v>
      </c>
      <c r="D480" s="67">
        <v>0.40625</v>
      </c>
      <c r="E480" s="67">
        <v>0.41666666666666669</v>
      </c>
      <c r="F480" s="68" t="s">
        <v>170</v>
      </c>
      <c r="G480" s="68" t="s">
        <v>1582</v>
      </c>
      <c r="H480" s="60" t="s">
        <v>46</v>
      </c>
      <c r="I480" s="60" t="s">
        <v>71</v>
      </c>
      <c r="J480" s="60" t="s">
        <v>41</v>
      </c>
      <c r="K480" s="60" t="s">
        <v>63</v>
      </c>
      <c r="L480" s="60" t="s">
        <v>214</v>
      </c>
      <c r="M480" s="68" t="s">
        <v>1586</v>
      </c>
      <c r="N480" s="68" t="s">
        <v>72</v>
      </c>
      <c r="O480" s="68" t="s">
        <v>1587</v>
      </c>
      <c r="P480" s="68" t="s">
        <v>1588</v>
      </c>
      <c r="Q480" s="303">
        <f t="shared" si="51"/>
        <v>0</v>
      </c>
      <c r="R480" s="303">
        <f t="shared" si="52"/>
        <v>0</v>
      </c>
      <c r="S480" s="68">
        <v>0</v>
      </c>
      <c r="T480" s="68">
        <v>0</v>
      </c>
      <c r="U480" s="68">
        <v>0</v>
      </c>
      <c r="V480" s="68">
        <v>0</v>
      </c>
      <c r="W480" s="68">
        <v>0</v>
      </c>
      <c r="X480" s="68">
        <v>59</v>
      </c>
      <c r="Y480" s="68">
        <v>59</v>
      </c>
      <c r="Z480" s="68">
        <v>57</v>
      </c>
      <c r="AA480" s="68">
        <v>2</v>
      </c>
      <c r="AB480" s="300">
        <f t="shared" si="53"/>
        <v>66.138999999999996</v>
      </c>
      <c r="AC480" s="300">
        <f t="shared" si="54"/>
        <v>0.39842771084337347</v>
      </c>
      <c r="AD480" s="68">
        <v>0</v>
      </c>
      <c r="AE480" s="68">
        <v>0</v>
      </c>
      <c r="AF480" s="68">
        <v>0</v>
      </c>
      <c r="AG480" s="68">
        <v>0</v>
      </c>
      <c r="AH480" s="68">
        <v>0</v>
      </c>
      <c r="AI480" s="309"/>
      <c r="AJ480" s="309"/>
      <c r="AK480" s="68" t="s">
        <v>41</v>
      </c>
      <c r="AL480" s="68" t="s">
        <v>49</v>
      </c>
      <c r="AM480" s="299">
        <f t="shared" ca="1" si="50"/>
        <v>1.0902777777810115</v>
      </c>
      <c r="AN480" s="75"/>
      <c r="AO480" s="61" t="s">
        <v>72</v>
      </c>
      <c r="AP480" s="62" t="s">
        <v>1586</v>
      </c>
      <c r="AQ480" s="61" t="s">
        <v>1656</v>
      </c>
      <c r="AR480" s="64">
        <v>44880.475694444445</v>
      </c>
      <c r="AS480" s="57" t="s">
        <v>173</v>
      </c>
      <c r="AT480" s="61" t="s">
        <v>225</v>
      </c>
      <c r="AU480" s="63">
        <v>0.47569444444444442</v>
      </c>
      <c r="AV480" s="61">
        <v>1</v>
      </c>
      <c r="AW480" s="61" t="s">
        <v>66</v>
      </c>
      <c r="AX480" s="76"/>
      <c r="AY480" s="76"/>
      <c r="AZ480" s="76"/>
      <c r="BA480" s="76"/>
    </row>
    <row r="481" spans="1:53" x14ac:dyDescent="0.25">
      <c r="A481" s="73">
        <v>264</v>
      </c>
      <c r="B481" s="72">
        <v>44879.385416666664</v>
      </c>
      <c r="C481" s="67">
        <v>0.39583333333333331</v>
      </c>
      <c r="D481" s="67">
        <v>0.40625</v>
      </c>
      <c r="E481" s="67">
        <v>0.41666666666666669</v>
      </c>
      <c r="F481" s="68" t="s">
        <v>170</v>
      </c>
      <c r="G481" s="68" t="s">
        <v>1582</v>
      </c>
      <c r="H481" s="60" t="s">
        <v>459</v>
      </c>
      <c r="I481" s="60" t="s">
        <v>1590</v>
      </c>
      <c r="J481" s="60" t="s">
        <v>37</v>
      </c>
      <c r="K481" s="60" t="s">
        <v>63</v>
      </c>
      <c r="L481" s="60" t="s">
        <v>206</v>
      </c>
      <c r="M481" s="68" t="s">
        <v>1591</v>
      </c>
      <c r="N481" s="68" t="s">
        <v>72</v>
      </c>
      <c r="O481" s="68">
        <v>399</v>
      </c>
      <c r="P481" s="68">
        <v>850003165</v>
      </c>
      <c r="Q481" s="303">
        <f t="shared" si="51"/>
        <v>1</v>
      </c>
      <c r="R481" s="303">
        <f t="shared" si="52"/>
        <v>416</v>
      </c>
      <c r="S481" s="68">
        <v>0</v>
      </c>
      <c r="T481" s="68">
        <v>0</v>
      </c>
      <c r="U481" s="68">
        <v>1</v>
      </c>
      <c r="V481" s="68">
        <v>416</v>
      </c>
      <c r="W481" s="68">
        <v>426</v>
      </c>
      <c r="X481" s="68">
        <v>98</v>
      </c>
      <c r="Y481" s="68">
        <v>97</v>
      </c>
      <c r="Z481" s="68">
        <v>50</v>
      </c>
      <c r="AA481" s="68">
        <v>1</v>
      </c>
      <c r="AB481" s="300">
        <f t="shared" si="53"/>
        <v>79.216666666666669</v>
      </c>
      <c r="AC481" s="300">
        <f t="shared" si="54"/>
        <v>0.47720883534136549</v>
      </c>
      <c r="AD481" s="68">
        <v>2184</v>
      </c>
      <c r="AE481" s="68" t="s">
        <v>111</v>
      </c>
      <c r="AF481" s="68" t="s">
        <v>317</v>
      </c>
      <c r="AG481" s="68" t="s">
        <v>317</v>
      </c>
      <c r="AH481" s="68" t="s">
        <v>1592</v>
      </c>
      <c r="AI481" s="309"/>
      <c r="AJ481" s="309"/>
      <c r="AK481" s="68" t="s">
        <v>41</v>
      </c>
      <c r="AL481" s="68" t="s">
        <v>49</v>
      </c>
      <c r="AM481" s="299">
        <f t="shared" ca="1" si="50"/>
        <v>1.0902777777810115</v>
      </c>
      <c r="AN481" s="75"/>
      <c r="AO481" s="61" t="s">
        <v>286</v>
      </c>
      <c r="AP481" s="62" t="s">
        <v>1591</v>
      </c>
      <c r="AQ481" s="61" t="s">
        <v>1656</v>
      </c>
      <c r="AR481" s="64">
        <v>44880.475694444445</v>
      </c>
      <c r="AS481" s="57" t="s">
        <v>173</v>
      </c>
      <c r="AT481" s="61" t="s">
        <v>225</v>
      </c>
      <c r="AU481" s="63">
        <v>0.47569444444444442</v>
      </c>
      <c r="AV481" s="61">
        <v>1</v>
      </c>
      <c r="AW481" s="61" t="s">
        <v>66</v>
      </c>
      <c r="AX481" s="76"/>
      <c r="AY481" s="76"/>
      <c r="AZ481" s="76"/>
      <c r="BA481" s="76"/>
    </row>
    <row r="482" spans="1:53" x14ac:dyDescent="0.25">
      <c r="A482" s="73">
        <v>265</v>
      </c>
      <c r="B482" s="72">
        <v>44879.385416666664</v>
      </c>
      <c r="C482" s="67">
        <v>0.39583333333333331</v>
      </c>
      <c r="D482" s="67">
        <v>0.40625</v>
      </c>
      <c r="E482" s="67">
        <v>0.41666666666666669</v>
      </c>
      <c r="F482" s="68" t="s">
        <v>170</v>
      </c>
      <c r="G482" s="68" t="s">
        <v>1582</v>
      </c>
      <c r="H482" s="60" t="s">
        <v>57</v>
      </c>
      <c r="I482" s="60" t="s">
        <v>162</v>
      </c>
      <c r="J482" s="60" t="s">
        <v>37</v>
      </c>
      <c r="K482" s="60" t="s">
        <v>63</v>
      </c>
      <c r="L482" s="60" t="s">
        <v>209</v>
      </c>
      <c r="M482" s="68" t="s">
        <v>1593</v>
      </c>
      <c r="N482" s="68" t="s">
        <v>159</v>
      </c>
      <c r="O482" s="68" t="s">
        <v>1594</v>
      </c>
      <c r="P482" s="68">
        <v>81946053</v>
      </c>
      <c r="Q482" s="303">
        <f t="shared" si="51"/>
        <v>2</v>
      </c>
      <c r="R482" s="303">
        <f t="shared" si="52"/>
        <v>1133</v>
      </c>
      <c r="S482" s="68">
        <v>0</v>
      </c>
      <c r="T482" s="68">
        <v>0</v>
      </c>
      <c r="U482" s="68">
        <v>2</v>
      </c>
      <c r="V482" s="68">
        <f>627+636-130</f>
        <v>1133</v>
      </c>
      <c r="W482" s="68">
        <v>1122</v>
      </c>
      <c r="X482" s="68">
        <v>183</v>
      </c>
      <c r="Y482" s="68">
        <v>84</v>
      </c>
      <c r="Z482" s="68">
        <v>93</v>
      </c>
      <c r="AA482" s="68">
        <v>2</v>
      </c>
      <c r="AB482" s="300">
        <f t="shared" si="53"/>
        <v>476.53199999999998</v>
      </c>
      <c r="AC482" s="300">
        <f t="shared" si="54"/>
        <v>2.8706746987951806</v>
      </c>
      <c r="AD482" s="68">
        <v>6396</v>
      </c>
      <c r="AE482" s="68" t="s">
        <v>109</v>
      </c>
      <c r="AF482" s="68" t="s">
        <v>317</v>
      </c>
      <c r="AG482" s="68" t="s">
        <v>317</v>
      </c>
      <c r="AH482" s="68" t="s">
        <v>1595</v>
      </c>
      <c r="AI482" s="309"/>
      <c r="AJ482" s="309"/>
      <c r="AK482" s="68" t="s">
        <v>37</v>
      </c>
      <c r="AL482" s="68" t="s">
        <v>49</v>
      </c>
      <c r="AM482" s="299">
        <f t="shared" ca="1" si="50"/>
        <v>1.0902777777810115</v>
      </c>
      <c r="AN482" s="75"/>
      <c r="AO482" s="61" t="s">
        <v>159</v>
      </c>
      <c r="AP482" s="62" t="s">
        <v>1593</v>
      </c>
      <c r="AQ482" s="63" t="s">
        <v>1655</v>
      </c>
      <c r="AR482" s="64">
        <v>44880.475694444445</v>
      </c>
      <c r="AS482" s="61" t="s">
        <v>117</v>
      </c>
      <c r="AT482" s="61" t="s">
        <v>225</v>
      </c>
      <c r="AU482" s="59">
        <v>0.47569444444444442</v>
      </c>
      <c r="AV482" s="61">
        <v>1</v>
      </c>
      <c r="AW482" s="58" t="s">
        <v>66</v>
      </c>
      <c r="AX482" s="76"/>
      <c r="AY482" s="76"/>
      <c r="AZ482" s="76"/>
      <c r="BA482" s="76"/>
    </row>
    <row r="483" spans="1:53" x14ac:dyDescent="0.25">
      <c r="A483" s="73">
        <v>266</v>
      </c>
      <c r="B483" s="72">
        <v>44879.399305555555</v>
      </c>
      <c r="C483" s="67">
        <v>0.40972222222222227</v>
      </c>
      <c r="D483" s="67">
        <v>0.41666666666666669</v>
      </c>
      <c r="E483" s="67">
        <v>0.4236111111111111</v>
      </c>
      <c r="F483" s="68" t="s">
        <v>171</v>
      </c>
      <c r="G483" s="68" t="s">
        <v>117</v>
      </c>
      <c r="H483" s="60" t="s">
        <v>91</v>
      </c>
      <c r="I483" s="60" t="s">
        <v>318</v>
      </c>
      <c r="J483" s="60" t="s">
        <v>41</v>
      </c>
      <c r="K483" s="60" t="s">
        <v>180</v>
      </c>
      <c r="L483" s="60" t="s">
        <v>206</v>
      </c>
      <c r="M483" s="68" t="s">
        <v>1596</v>
      </c>
      <c r="N483" s="68" t="s">
        <v>53</v>
      </c>
      <c r="O483" s="68">
        <v>1054969132</v>
      </c>
      <c r="P483" s="68">
        <v>1213943487</v>
      </c>
      <c r="Q483" s="303">
        <f t="shared" si="51"/>
        <v>2</v>
      </c>
      <c r="R483" s="303">
        <f t="shared" si="52"/>
        <v>424</v>
      </c>
      <c r="S483" s="68">
        <v>0</v>
      </c>
      <c r="T483" s="68">
        <v>0</v>
      </c>
      <c r="U483" s="68">
        <v>2</v>
      </c>
      <c r="V483" s="68">
        <f>212+212</f>
        <v>424</v>
      </c>
      <c r="W483" s="68">
        <v>425</v>
      </c>
      <c r="X483" s="68">
        <v>120</v>
      </c>
      <c r="Y483" s="68">
        <v>80</v>
      </c>
      <c r="Z483" s="68">
        <v>80</v>
      </c>
      <c r="AA483" s="68">
        <v>2</v>
      </c>
      <c r="AB483" s="300">
        <f t="shared" si="53"/>
        <v>256</v>
      </c>
      <c r="AC483" s="300">
        <f t="shared" si="54"/>
        <v>1.5421686746987953</v>
      </c>
      <c r="AD483" s="68">
        <v>18881</v>
      </c>
      <c r="AE483" s="68" t="s">
        <v>109</v>
      </c>
      <c r="AF483" s="68" t="s">
        <v>317</v>
      </c>
      <c r="AG483" s="68" t="s">
        <v>317</v>
      </c>
      <c r="AH483" s="68" t="s">
        <v>1597</v>
      </c>
      <c r="AI483" s="309"/>
      <c r="AJ483" s="309"/>
      <c r="AK483" s="68" t="s">
        <v>37</v>
      </c>
      <c r="AL483" s="68" t="s">
        <v>39</v>
      </c>
      <c r="AM483" s="299">
        <f t="shared" ca="1" si="50"/>
        <v>0.28819444444525288</v>
      </c>
      <c r="AN483" s="75"/>
      <c r="AO483" s="61" t="s">
        <v>323</v>
      </c>
      <c r="AP483" s="62" t="s">
        <v>1596</v>
      </c>
      <c r="AQ483" s="61" t="s">
        <v>1620</v>
      </c>
      <c r="AR483" s="64">
        <v>44879.6875</v>
      </c>
      <c r="AS483" s="61" t="s">
        <v>117</v>
      </c>
      <c r="AT483" s="61" t="s">
        <v>225</v>
      </c>
      <c r="AU483" s="59">
        <v>0.6875</v>
      </c>
      <c r="AV483" s="61">
        <v>2</v>
      </c>
      <c r="AW483" s="61" t="s">
        <v>66</v>
      </c>
      <c r="AX483" s="76"/>
      <c r="AY483" s="76"/>
      <c r="AZ483" s="76"/>
      <c r="BA483" s="76"/>
    </row>
    <row r="484" spans="1:53" x14ac:dyDescent="0.25">
      <c r="A484" s="73">
        <v>267</v>
      </c>
      <c r="B484" s="72">
        <v>44879.399305555555</v>
      </c>
      <c r="C484" s="67">
        <v>0.40972222222222227</v>
      </c>
      <c r="D484" s="67">
        <v>0.41666666666666669</v>
      </c>
      <c r="E484" s="67">
        <v>0.4236111111111111</v>
      </c>
      <c r="F484" s="68" t="s">
        <v>171</v>
      </c>
      <c r="G484" s="68" t="s">
        <v>117</v>
      </c>
      <c r="H484" s="60" t="s">
        <v>91</v>
      </c>
      <c r="I484" s="60" t="s">
        <v>318</v>
      </c>
      <c r="J484" s="60" t="s">
        <v>41</v>
      </c>
      <c r="K484" s="60" t="s">
        <v>180</v>
      </c>
      <c r="L484" s="60" t="s">
        <v>206</v>
      </c>
      <c r="M484" s="68" t="s">
        <v>1596</v>
      </c>
      <c r="N484" s="68" t="s">
        <v>53</v>
      </c>
      <c r="O484" s="68">
        <v>1054969122</v>
      </c>
      <c r="P484" s="68">
        <v>1213942274</v>
      </c>
      <c r="Q484" s="303">
        <f t="shared" si="51"/>
        <v>5</v>
      </c>
      <c r="R484" s="303">
        <f t="shared" si="52"/>
        <v>1058</v>
      </c>
      <c r="S484" s="68">
        <v>0</v>
      </c>
      <c r="T484" s="68">
        <v>0</v>
      </c>
      <c r="U484" s="68">
        <v>5</v>
      </c>
      <c r="V484" s="68">
        <f>212+212+211+211+212</f>
        <v>1058</v>
      </c>
      <c r="W484" s="68">
        <v>1070</v>
      </c>
      <c r="X484" s="68">
        <v>120</v>
      </c>
      <c r="Y484" s="68">
        <v>80</v>
      </c>
      <c r="Z484" s="68">
        <v>80</v>
      </c>
      <c r="AA484" s="68">
        <v>5</v>
      </c>
      <c r="AB484" s="300">
        <f t="shared" si="53"/>
        <v>640</v>
      </c>
      <c r="AC484" s="300">
        <f t="shared" si="54"/>
        <v>3.8554216867469879</v>
      </c>
      <c r="AD484" s="68">
        <v>47106</v>
      </c>
      <c r="AE484" s="68" t="s">
        <v>109</v>
      </c>
      <c r="AF484" s="68" t="s">
        <v>317</v>
      </c>
      <c r="AG484" s="68" t="s">
        <v>317</v>
      </c>
      <c r="AH484" s="68" t="s">
        <v>1598</v>
      </c>
      <c r="AI484" s="309"/>
      <c r="AJ484" s="309"/>
      <c r="AK484" s="68" t="s">
        <v>37</v>
      </c>
      <c r="AL484" s="68" t="s">
        <v>39</v>
      </c>
      <c r="AM484" s="299">
        <f t="shared" ca="1" si="50"/>
        <v>0.28819444444525288</v>
      </c>
      <c r="AN484" s="75"/>
      <c r="AO484" s="61" t="s">
        <v>323</v>
      </c>
      <c r="AP484" s="62" t="s">
        <v>1596</v>
      </c>
      <c r="AQ484" s="61" t="s">
        <v>1620</v>
      </c>
      <c r="AR484" s="64">
        <v>44879.6875</v>
      </c>
      <c r="AS484" s="61" t="s">
        <v>117</v>
      </c>
      <c r="AT484" s="61" t="s">
        <v>225</v>
      </c>
      <c r="AU484" s="59">
        <v>0.6875</v>
      </c>
      <c r="AV484" s="61">
        <v>2</v>
      </c>
      <c r="AW484" s="61" t="s">
        <v>66</v>
      </c>
      <c r="AX484" s="76"/>
      <c r="AY484" s="76"/>
      <c r="AZ484" s="76"/>
      <c r="BA484" s="76"/>
    </row>
    <row r="485" spans="1:53" x14ac:dyDescent="0.25">
      <c r="A485" s="73">
        <v>268</v>
      </c>
      <c r="B485" s="72">
        <v>44879.413194444445</v>
      </c>
      <c r="C485" s="67">
        <v>0.4236111111111111</v>
      </c>
      <c r="D485" s="67">
        <v>0.4375</v>
      </c>
      <c r="E485" s="67">
        <v>0.44791666666666669</v>
      </c>
      <c r="F485" s="68" t="s">
        <v>170</v>
      </c>
      <c r="G485" s="68" t="s">
        <v>1599</v>
      </c>
      <c r="H485" s="60" t="s">
        <v>227</v>
      </c>
      <c r="I485" s="60" t="s">
        <v>189</v>
      </c>
      <c r="J485" s="60" t="s">
        <v>37</v>
      </c>
      <c r="K485" s="60" t="s">
        <v>63</v>
      </c>
      <c r="L485" s="60" t="s">
        <v>206</v>
      </c>
      <c r="M485" s="68" t="s">
        <v>1604</v>
      </c>
      <c r="N485" s="68" t="s">
        <v>42</v>
      </c>
      <c r="O485" s="68">
        <v>911</v>
      </c>
      <c r="P485" s="68">
        <v>3729</v>
      </c>
      <c r="Q485" s="303">
        <f t="shared" si="51"/>
        <v>5</v>
      </c>
      <c r="R485" s="303">
        <f t="shared" si="52"/>
        <v>765</v>
      </c>
      <c r="S485" s="68">
        <v>0</v>
      </c>
      <c r="T485" s="68">
        <v>0</v>
      </c>
      <c r="U485" s="68">
        <v>5</v>
      </c>
      <c r="V485" s="68">
        <f>168+167+111+211+108</f>
        <v>765</v>
      </c>
      <c r="W485" s="68">
        <v>781</v>
      </c>
      <c r="X485" s="68">
        <v>171</v>
      </c>
      <c r="Y485" s="68">
        <v>97</v>
      </c>
      <c r="Z485" s="68">
        <v>94</v>
      </c>
      <c r="AA485" s="68">
        <v>2</v>
      </c>
      <c r="AB485" s="300">
        <f t="shared" si="53"/>
        <v>519.726</v>
      </c>
      <c r="AC485" s="300">
        <f t="shared" si="54"/>
        <v>3.1308795180722893</v>
      </c>
      <c r="AD485" s="68">
        <v>7700</v>
      </c>
      <c r="AE485" s="68" t="s">
        <v>109</v>
      </c>
      <c r="AF485" s="68" t="s">
        <v>317</v>
      </c>
      <c r="AG485" s="68" t="s">
        <v>317</v>
      </c>
      <c r="AH485" s="68" t="s">
        <v>1600</v>
      </c>
      <c r="AI485" s="309"/>
      <c r="AJ485" s="309"/>
      <c r="AK485" s="68" t="s">
        <v>37</v>
      </c>
      <c r="AL485" s="68" t="s">
        <v>47</v>
      </c>
      <c r="AM485" s="299">
        <f t="shared" ca="1" si="50"/>
        <v>0.29861111110949423</v>
      </c>
      <c r="AN485" s="75"/>
      <c r="AO485" s="61" t="s">
        <v>89</v>
      </c>
      <c r="AP485" s="61" t="s">
        <v>1605</v>
      </c>
      <c r="AQ485" s="61" t="s">
        <v>1621</v>
      </c>
      <c r="AR485" s="64">
        <v>44879.711805555555</v>
      </c>
      <c r="AS485" s="61" t="s">
        <v>136</v>
      </c>
      <c r="AT485" s="61" t="s">
        <v>225</v>
      </c>
      <c r="AU485" s="63">
        <v>0.71180555555555547</v>
      </c>
      <c r="AV485" s="61">
        <v>2</v>
      </c>
      <c r="AW485" s="61" t="s">
        <v>66</v>
      </c>
      <c r="AX485" s="76"/>
      <c r="AY485" s="76"/>
      <c r="AZ485" s="76"/>
      <c r="BA485" s="76"/>
    </row>
    <row r="486" spans="1:53" x14ac:dyDescent="0.25">
      <c r="A486" s="73">
        <v>268</v>
      </c>
      <c r="B486" s="72">
        <v>44879.413194444445</v>
      </c>
      <c r="C486" s="67">
        <v>0.4236111111111111</v>
      </c>
      <c r="D486" s="67">
        <v>0.4375</v>
      </c>
      <c r="E486" s="67">
        <v>0.44791666666666669</v>
      </c>
      <c r="F486" s="68" t="s">
        <v>170</v>
      </c>
      <c r="G486" s="68" t="s">
        <v>1599</v>
      </c>
      <c r="H486" s="60" t="s">
        <v>227</v>
      </c>
      <c r="I486" s="60" t="s">
        <v>189</v>
      </c>
      <c r="J486" s="60" t="s">
        <v>37</v>
      </c>
      <c r="K486" s="60" t="s">
        <v>63</v>
      </c>
      <c r="L486" s="60" t="s">
        <v>206</v>
      </c>
      <c r="M486" s="68" t="s">
        <v>1604</v>
      </c>
      <c r="N486" s="68" t="s">
        <v>42</v>
      </c>
      <c r="O486" s="68">
        <v>911</v>
      </c>
      <c r="P486" s="68">
        <v>3729</v>
      </c>
      <c r="Q486" s="303">
        <f t="shared" si="51"/>
        <v>0</v>
      </c>
      <c r="R486" s="303">
        <f t="shared" si="52"/>
        <v>0</v>
      </c>
      <c r="S486" s="68">
        <v>0</v>
      </c>
      <c r="T486" s="68">
        <v>0</v>
      </c>
      <c r="U486" s="68">
        <v>0</v>
      </c>
      <c r="V486" s="68">
        <v>0</v>
      </c>
      <c r="W486" s="68">
        <v>0</v>
      </c>
      <c r="X486" s="68">
        <v>159</v>
      </c>
      <c r="Y486" s="68">
        <v>73</v>
      </c>
      <c r="Z486" s="68">
        <v>79</v>
      </c>
      <c r="AA486" s="68">
        <v>2</v>
      </c>
      <c r="AB486" s="300">
        <f t="shared" si="53"/>
        <v>305.65100000000001</v>
      </c>
      <c r="AC486" s="300">
        <f t="shared" si="54"/>
        <v>1.8412710843373494</v>
      </c>
      <c r="AD486" s="68">
        <v>0</v>
      </c>
      <c r="AE486" s="68">
        <v>0</v>
      </c>
      <c r="AF486" s="68">
        <v>0</v>
      </c>
      <c r="AG486" s="68">
        <v>0</v>
      </c>
      <c r="AH486" s="68">
        <v>0</v>
      </c>
      <c r="AI486" s="309"/>
      <c r="AJ486" s="309"/>
      <c r="AK486" s="68" t="s">
        <v>37</v>
      </c>
      <c r="AL486" s="68" t="s">
        <v>47</v>
      </c>
      <c r="AM486" s="299">
        <f t="shared" ca="1" si="50"/>
        <v>0.29861111110949423</v>
      </c>
      <c r="AN486" s="75"/>
      <c r="AO486" s="61" t="s">
        <v>89</v>
      </c>
      <c r="AP486" s="61" t="s">
        <v>1605</v>
      </c>
      <c r="AQ486" s="61" t="s">
        <v>1621</v>
      </c>
      <c r="AR486" s="64">
        <v>44879.711805555555</v>
      </c>
      <c r="AS486" s="61" t="s">
        <v>136</v>
      </c>
      <c r="AT486" s="61" t="s">
        <v>225</v>
      </c>
      <c r="AU486" s="63">
        <v>0.71180555555555547</v>
      </c>
      <c r="AV486" s="61">
        <v>2</v>
      </c>
      <c r="AW486" s="61" t="s">
        <v>66</v>
      </c>
      <c r="AX486" s="76"/>
      <c r="AY486" s="76"/>
      <c r="AZ486" s="76"/>
      <c r="BA486" s="76"/>
    </row>
    <row r="487" spans="1:53" x14ac:dyDescent="0.25">
      <c r="A487" s="73">
        <v>268</v>
      </c>
      <c r="B487" s="72">
        <v>44879.413194444445</v>
      </c>
      <c r="C487" s="67">
        <v>0.4236111111111111</v>
      </c>
      <c r="D487" s="67">
        <v>0.4375</v>
      </c>
      <c r="E487" s="67">
        <v>0.44791666666666669</v>
      </c>
      <c r="F487" s="68" t="s">
        <v>170</v>
      </c>
      <c r="G487" s="68" t="s">
        <v>1599</v>
      </c>
      <c r="H487" s="60" t="s">
        <v>227</v>
      </c>
      <c r="I487" s="60" t="s">
        <v>189</v>
      </c>
      <c r="J487" s="60" t="s">
        <v>37</v>
      </c>
      <c r="K487" s="60" t="s">
        <v>63</v>
      </c>
      <c r="L487" s="60" t="s">
        <v>206</v>
      </c>
      <c r="M487" s="68" t="s">
        <v>1604</v>
      </c>
      <c r="N487" s="68" t="s">
        <v>42</v>
      </c>
      <c r="O487" s="68">
        <v>911</v>
      </c>
      <c r="P487" s="68">
        <v>3729</v>
      </c>
      <c r="Q487" s="303">
        <f t="shared" si="51"/>
        <v>0</v>
      </c>
      <c r="R487" s="303">
        <f t="shared" si="52"/>
        <v>0</v>
      </c>
      <c r="S487" s="68">
        <v>0</v>
      </c>
      <c r="T487" s="68">
        <v>0</v>
      </c>
      <c r="U487" s="68">
        <v>0</v>
      </c>
      <c r="V487" s="68">
        <v>0</v>
      </c>
      <c r="W487" s="68">
        <v>0</v>
      </c>
      <c r="X487" s="68">
        <v>160</v>
      </c>
      <c r="Y487" s="68">
        <v>137</v>
      </c>
      <c r="Z487" s="68">
        <v>79</v>
      </c>
      <c r="AA487" s="68">
        <v>1</v>
      </c>
      <c r="AB487" s="300">
        <f t="shared" si="53"/>
        <v>288.61333333333334</v>
      </c>
      <c r="AC487" s="300">
        <f t="shared" si="54"/>
        <v>1.7386345381526105</v>
      </c>
      <c r="AD487" s="68">
        <v>0</v>
      </c>
      <c r="AE487" s="68">
        <v>0</v>
      </c>
      <c r="AF487" s="68">
        <v>0</v>
      </c>
      <c r="AG487" s="68">
        <v>0</v>
      </c>
      <c r="AH487" s="68">
        <v>0</v>
      </c>
      <c r="AI487" s="309"/>
      <c r="AJ487" s="309"/>
      <c r="AK487" s="68" t="s">
        <v>37</v>
      </c>
      <c r="AL487" s="68" t="s">
        <v>47</v>
      </c>
      <c r="AM487" s="299">
        <f t="shared" ca="1" si="50"/>
        <v>0.29861111110949423</v>
      </c>
      <c r="AN487" s="75"/>
      <c r="AO487" s="61" t="s">
        <v>89</v>
      </c>
      <c r="AP487" s="61" t="s">
        <v>1605</v>
      </c>
      <c r="AQ487" s="61" t="s">
        <v>1621</v>
      </c>
      <c r="AR487" s="64">
        <v>44879.711805555555</v>
      </c>
      <c r="AS487" s="61" t="s">
        <v>136</v>
      </c>
      <c r="AT487" s="61" t="s">
        <v>225</v>
      </c>
      <c r="AU487" s="63">
        <v>0.71180555555555547</v>
      </c>
      <c r="AV487" s="61">
        <v>2</v>
      </c>
      <c r="AW487" s="61" t="s">
        <v>66</v>
      </c>
      <c r="AX487" s="76"/>
      <c r="AY487" s="76"/>
      <c r="AZ487" s="76"/>
      <c r="BA487" s="76"/>
    </row>
    <row r="488" spans="1:53" x14ac:dyDescent="0.25">
      <c r="A488" s="73">
        <v>269</v>
      </c>
      <c r="B488" s="72">
        <v>44879.413194444445</v>
      </c>
      <c r="C488" s="67">
        <v>0.4236111111111111</v>
      </c>
      <c r="D488" s="67">
        <v>0.4375</v>
      </c>
      <c r="E488" s="67">
        <v>0.44791666666666669</v>
      </c>
      <c r="F488" s="68" t="s">
        <v>170</v>
      </c>
      <c r="G488" s="68" t="s">
        <v>1599</v>
      </c>
      <c r="H488" s="60" t="s">
        <v>227</v>
      </c>
      <c r="I488" s="60" t="s">
        <v>189</v>
      </c>
      <c r="J488" s="60" t="s">
        <v>37</v>
      </c>
      <c r="K488" s="60" t="s">
        <v>63</v>
      </c>
      <c r="L488" s="60" t="s">
        <v>206</v>
      </c>
      <c r="M488" s="68" t="s">
        <v>1605</v>
      </c>
      <c r="N488" s="68" t="s">
        <v>42</v>
      </c>
      <c r="O488" s="68">
        <v>912</v>
      </c>
      <c r="P488" s="68">
        <v>2197</v>
      </c>
      <c r="Q488" s="303">
        <f t="shared" si="51"/>
        <v>16</v>
      </c>
      <c r="R488" s="303">
        <f t="shared" si="52"/>
        <v>199</v>
      </c>
      <c r="S488" s="68">
        <v>16</v>
      </c>
      <c r="T488" s="68">
        <f>136+109-46</f>
        <v>199</v>
      </c>
      <c r="U488" s="68">
        <v>0</v>
      </c>
      <c r="V488" s="68">
        <v>0</v>
      </c>
      <c r="W488" s="68">
        <v>192</v>
      </c>
      <c r="X488" s="68">
        <v>83</v>
      </c>
      <c r="Y488" s="68">
        <v>52</v>
      </c>
      <c r="Z488" s="68">
        <v>61</v>
      </c>
      <c r="AA488" s="68">
        <v>5</v>
      </c>
      <c r="AB488" s="300">
        <f t="shared" si="53"/>
        <v>219.39666666666668</v>
      </c>
      <c r="AC488" s="300">
        <f t="shared" si="54"/>
        <v>1.3216666666666668</v>
      </c>
      <c r="AD488" s="68">
        <v>14061</v>
      </c>
      <c r="AE488" s="68" t="s">
        <v>109</v>
      </c>
      <c r="AF488" s="68" t="s">
        <v>317</v>
      </c>
      <c r="AG488" s="68" t="s">
        <v>317</v>
      </c>
      <c r="AH488" s="68" t="s">
        <v>1601</v>
      </c>
      <c r="AI488" s="309"/>
      <c r="AJ488" s="309"/>
      <c r="AK488" s="68" t="s">
        <v>48</v>
      </c>
      <c r="AL488" s="68" t="s">
        <v>47</v>
      </c>
      <c r="AM488" s="299">
        <f t="shared" ref="AM488:AM551" ca="1" si="55">IF(AP488="",NOW()-B488,AR488-B488)</f>
        <v>0.29861111110949423</v>
      </c>
      <c r="AN488" s="75"/>
      <c r="AO488" s="61" t="s">
        <v>89</v>
      </c>
      <c r="AP488" s="61" t="s">
        <v>1605</v>
      </c>
      <c r="AQ488" s="61" t="s">
        <v>1621</v>
      </c>
      <c r="AR488" s="64">
        <v>44879.711805555555</v>
      </c>
      <c r="AS488" s="61" t="s">
        <v>136</v>
      </c>
      <c r="AT488" s="61" t="s">
        <v>225</v>
      </c>
      <c r="AU488" s="63">
        <v>0.71180555555555547</v>
      </c>
      <c r="AV488" s="61">
        <v>2</v>
      </c>
      <c r="AW488" s="61" t="s">
        <v>66</v>
      </c>
      <c r="AX488" s="76"/>
      <c r="AY488" s="76"/>
      <c r="AZ488" s="76"/>
      <c r="BA488" s="76"/>
    </row>
    <row r="489" spans="1:53" x14ac:dyDescent="0.25">
      <c r="A489" s="73">
        <v>269</v>
      </c>
      <c r="B489" s="72">
        <v>44879.413194444445</v>
      </c>
      <c r="C489" s="67">
        <v>0.4236111111111111</v>
      </c>
      <c r="D489" s="67">
        <v>0.4375</v>
      </c>
      <c r="E489" s="67">
        <v>0.44791666666666669</v>
      </c>
      <c r="F489" s="68" t="s">
        <v>170</v>
      </c>
      <c r="G489" s="68" t="s">
        <v>1599</v>
      </c>
      <c r="H489" s="60" t="s">
        <v>227</v>
      </c>
      <c r="I489" s="60" t="s">
        <v>189</v>
      </c>
      <c r="J489" s="60" t="s">
        <v>37</v>
      </c>
      <c r="K489" s="60" t="s">
        <v>63</v>
      </c>
      <c r="L489" s="60" t="s">
        <v>206</v>
      </c>
      <c r="M489" s="68" t="s">
        <v>1605</v>
      </c>
      <c r="N489" s="68" t="s">
        <v>42</v>
      </c>
      <c r="O489" s="68">
        <v>912</v>
      </c>
      <c r="P489" s="68">
        <v>2197</v>
      </c>
      <c r="Q489" s="303">
        <f t="shared" ref="Q489:Q552" si="56">S489+U489</f>
        <v>0</v>
      </c>
      <c r="R489" s="303">
        <f t="shared" ref="R489:R552" si="57">T489+V489</f>
        <v>0</v>
      </c>
      <c r="S489" s="68">
        <v>0</v>
      </c>
      <c r="T489" s="68">
        <v>0</v>
      </c>
      <c r="U489" s="68">
        <v>0</v>
      </c>
      <c r="V489" s="68">
        <v>0</v>
      </c>
      <c r="W489" s="68">
        <v>0</v>
      </c>
      <c r="X489" s="68">
        <v>60</v>
      </c>
      <c r="Y489" s="68">
        <v>51</v>
      </c>
      <c r="Z489" s="68">
        <v>45</v>
      </c>
      <c r="AA489" s="68">
        <v>11</v>
      </c>
      <c r="AB489" s="300">
        <f t="shared" ref="AB489:AB552" si="58">X489*Y489*Z489*AA489/6000</f>
        <v>252.45</v>
      </c>
      <c r="AC489" s="300">
        <f t="shared" ref="AC489:AC552" si="59">AB489/166</f>
        <v>1.5207831325301204</v>
      </c>
      <c r="AD489" s="68">
        <v>0</v>
      </c>
      <c r="AE489" s="68">
        <v>0</v>
      </c>
      <c r="AF489" s="68">
        <v>0</v>
      </c>
      <c r="AG489" s="68">
        <v>0</v>
      </c>
      <c r="AH489" s="68">
        <v>0</v>
      </c>
      <c r="AI489" s="309"/>
      <c r="AJ489" s="309"/>
      <c r="AK489" s="68" t="s">
        <v>48</v>
      </c>
      <c r="AL489" s="68" t="s">
        <v>47</v>
      </c>
      <c r="AM489" s="299">
        <f t="shared" ca="1" si="55"/>
        <v>0.29861111110949423</v>
      </c>
      <c r="AN489" s="75"/>
      <c r="AO489" s="61" t="s">
        <v>89</v>
      </c>
      <c r="AP489" s="61" t="s">
        <v>1605</v>
      </c>
      <c r="AQ489" s="61" t="s">
        <v>1621</v>
      </c>
      <c r="AR489" s="64">
        <v>44879.711805555555</v>
      </c>
      <c r="AS489" s="61" t="s">
        <v>136</v>
      </c>
      <c r="AT489" s="61" t="s">
        <v>225</v>
      </c>
      <c r="AU489" s="63">
        <v>0.71180555555555547</v>
      </c>
      <c r="AV489" s="61">
        <v>2</v>
      </c>
      <c r="AW489" s="61" t="s">
        <v>66</v>
      </c>
      <c r="AX489" s="76"/>
      <c r="AY489" s="76"/>
      <c r="AZ489" s="76"/>
      <c r="BA489" s="76"/>
    </row>
    <row r="490" spans="1:53" x14ac:dyDescent="0.25">
      <c r="A490" s="73">
        <v>270</v>
      </c>
      <c r="B490" s="72">
        <v>44879.413194444445</v>
      </c>
      <c r="C490" s="67">
        <v>0.4236111111111111</v>
      </c>
      <c r="D490" s="67">
        <v>0.4375</v>
      </c>
      <c r="E490" s="67">
        <v>0.44791666666666669</v>
      </c>
      <c r="F490" s="68" t="s">
        <v>170</v>
      </c>
      <c r="G490" s="68" t="s">
        <v>1599</v>
      </c>
      <c r="H490" s="60" t="s">
        <v>227</v>
      </c>
      <c r="I490" s="60" t="s">
        <v>189</v>
      </c>
      <c r="J490" s="60" t="s">
        <v>37</v>
      </c>
      <c r="K490" s="60" t="s">
        <v>63</v>
      </c>
      <c r="L490" s="60" t="s">
        <v>206</v>
      </c>
      <c r="M490" s="68" t="s">
        <v>1603</v>
      </c>
      <c r="N490" s="68" t="s">
        <v>43</v>
      </c>
      <c r="O490" s="68">
        <v>903</v>
      </c>
      <c r="P490" s="68">
        <v>29000</v>
      </c>
      <c r="Q490" s="303">
        <f t="shared" si="56"/>
        <v>1</v>
      </c>
      <c r="R490" s="303">
        <f t="shared" si="57"/>
        <v>164</v>
      </c>
      <c r="S490" s="68">
        <v>0</v>
      </c>
      <c r="T490" s="68">
        <v>0</v>
      </c>
      <c r="U490" s="68">
        <v>1</v>
      </c>
      <c r="V490" s="68">
        <f>232-68</f>
        <v>164</v>
      </c>
      <c r="W490" s="68">
        <v>148</v>
      </c>
      <c r="X490" s="68">
        <v>155</v>
      </c>
      <c r="Y490" s="68">
        <v>132</v>
      </c>
      <c r="Z490" s="68">
        <v>67</v>
      </c>
      <c r="AA490" s="68">
        <v>1</v>
      </c>
      <c r="AB490" s="300">
        <f t="shared" si="58"/>
        <v>228.47</v>
      </c>
      <c r="AC490" s="300">
        <f t="shared" si="59"/>
        <v>1.3763253012048193</v>
      </c>
      <c r="AD490" s="68">
        <v>2645</v>
      </c>
      <c r="AE490" s="68" t="s">
        <v>109</v>
      </c>
      <c r="AF490" s="68" t="s">
        <v>317</v>
      </c>
      <c r="AG490" s="68" t="s">
        <v>317</v>
      </c>
      <c r="AH490" s="68" t="s">
        <v>1602</v>
      </c>
      <c r="AI490" s="309"/>
      <c r="AJ490" s="309"/>
      <c r="AK490" s="68" t="s">
        <v>37</v>
      </c>
      <c r="AL490" s="68" t="s">
        <v>47</v>
      </c>
      <c r="AM490" s="299">
        <f t="shared" ca="1" si="55"/>
        <v>1.0625</v>
      </c>
      <c r="AN490" s="75"/>
      <c r="AO490" s="61" t="s">
        <v>179</v>
      </c>
      <c r="AP490" s="62" t="s">
        <v>1659</v>
      </c>
      <c r="AQ490" s="61" t="s">
        <v>1658</v>
      </c>
      <c r="AR490" s="64">
        <v>44880.475694444445</v>
      </c>
      <c r="AS490" s="57" t="s">
        <v>173</v>
      </c>
      <c r="AT490" s="61" t="s">
        <v>225</v>
      </c>
      <c r="AU490" s="63">
        <v>0.47569444444444442</v>
      </c>
      <c r="AV490" s="61">
        <v>1</v>
      </c>
      <c r="AW490" s="61" t="s">
        <v>66</v>
      </c>
      <c r="AX490" s="76"/>
      <c r="AY490" s="76"/>
      <c r="AZ490" s="76"/>
      <c r="BA490" s="76"/>
    </row>
    <row r="491" spans="1:53" x14ac:dyDescent="0.25">
      <c r="A491" s="73">
        <v>271</v>
      </c>
      <c r="B491" s="72">
        <v>44879.479166666664</v>
      </c>
      <c r="C491" s="67">
        <v>0.52083333333333337</v>
      </c>
      <c r="D491" s="67">
        <v>0.53472222222222221</v>
      </c>
      <c r="E491" s="67">
        <v>0.55208333333333337</v>
      </c>
      <c r="F491" s="68" t="s">
        <v>170</v>
      </c>
      <c r="G491" s="68" t="s">
        <v>1606</v>
      </c>
      <c r="H491" s="60" t="s">
        <v>57</v>
      </c>
      <c r="I491" s="60" t="s">
        <v>110</v>
      </c>
      <c r="J491" s="60" t="s">
        <v>37</v>
      </c>
      <c r="K491" s="60" t="s">
        <v>63</v>
      </c>
      <c r="L491" s="60" t="s">
        <v>209</v>
      </c>
      <c r="M491" s="68" t="s">
        <v>1611</v>
      </c>
      <c r="N491" s="68" t="s">
        <v>186</v>
      </c>
      <c r="O491" s="68" t="s">
        <v>1607</v>
      </c>
      <c r="P491" s="68">
        <v>81954497</v>
      </c>
      <c r="Q491" s="303">
        <f t="shared" si="56"/>
        <v>1</v>
      </c>
      <c r="R491" s="303">
        <f t="shared" si="57"/>
        <v>320</v>
      </c>
      <c r="S491" s="68">
        <v>0</v>
      </c>
      <c r="T491" s="68">
        <v>0</v>
      </c>
      <c r="U491" s="68">
        <v>1</v>
      </c>
      <c r="V491" s="68">
        <v>320</v>
      </c>
      <c r="W491" s="68">
        <v>318</v>
      </c>
      <c r="X491" s="68">
        <v>147</v>
      </c>
      <c r="Y491" s="68">
        <v>84</v>
      </c>
      <c r="Z491" s="68">
        <v>77</v>
      </c>
      <c r="AA491" s="68">
        <v>1</v>
      </c>
      <c r="AB491" s="300">
        <f t="shared" si="58"/>
        <v>158.46600000000001</v>
      </c>
      <c r="AC491" s="300">
        <f t="shared" si="59"/>
        <v>0.95461445783132537</v>
      </c>
      <c r="AD491" s="68">
        <v>2105</v>
      </c>
      <c r="AE491" s="68" t="s">
        <v>109</v>
      </c>
      <c r="AF491" s="68" t="s">
        <v>317</v>
      </c>
      <c r="AG491" s="68" t="s">
        <v>317</v>
      </c>
      <c r="AH491" s="68" t="s">
        <v>1608</v>
      </c>
      <c r="AI491" s="309"/>
      <c r="AJ491" s="309"/>
      <c r="AK491" s="68" t="s">
        <v>37</v>
      </c>
      <c r="AL491" s="68" t="s">
        <v>58</v>
      </c>
      <c r="AM491" s="299">
        <f t="shared" ca="1" si="55"/>
        <v>3.1527777777810115</v>
      </c>
      <c r="AN491" s="75"/>
      <c r="AO491" s="78" t="s">
        <v>131</v>
      </c>
      <c r="AP491" s="62" t="s">
        <v>1891</v>
      </c>
      <c r="AQ491" s="61" t="s">
        <v>1890</v>
      </c>
      <c r="AR491" s="64">
        <v>44882.631944444445</v>
      </c>
      <c r="AS491" s="61" t="s">
        <v>117</v>
      </c>
      <c r="AT491" s="61" t="s">
        <v>225</v>
      </c>
      <c r="AU491" s="59">
        <v>0.63194444444444442</v>
      </c>
      <c r="AV491" s="61">
        <v>2</v>
      </c>
      <c r="AW491" s="61" t="s">
        <v>66</v>
      </c>
      <c r="AX491" s="76"/>
      <c r="AY491" s="76"/>
      <c r="AZ491" s="76"/>
      <c r="BA491" s="76"/>
    </row>
    <row r="492" spans="1:53" x14ac:dyDescent="0.25">
      <c r="A492" s="48">
        <v>272</v>
      </c>
      <c r="B492" s="72">
        <v>44879.479166666664</v>
      </c>
      <c r="C492" s="67">
        <v>0.52083333333333337</v>
      </c>
      <c r="D492" s="67">
        <v>0.53472222222222221</v>
      </c>
      <c r="E492" s="67">
        <v>0.55208333333333337</v>
      </c>
      <c r="F492" s="68" t="s">
        <v>170</v>
      </c>
      <c r="G492" s="68" t="s">
        <v>1606</v>
      </c>
      <c r="H492" s="60" t="s">
        <v>57</v>
      </c>
      <c r="I492" s="26" t="s">
        <v>482</v>
      </c>
      <c r="J492" s="60" t="s">
        <v>37</v>
      </c>
      <c r="K492" s="60" t="s">
        <v>63</v>
      </c>
      <c r="L492" s="60" t="s">
        <v>209</v>
      </c>
      <c r="M492" s="37">
        <v>313313901</v>
      </c>
      <c r="N492" s="37" t="s">
        <v>53</v>
      </c>
      <c r="O492" s="37" t="s">
        <v>1609</v>
      </c>
      <c r="P492" s="37">
        <v>81961857</v>
      </c>
      <c r="Q492" s="303">
        <f t="shared" si="56"/>
        <v>26</v>
      </c>
      <c r="R492" s="303">
        <f t="shared" si="57"/>
        <v>1413</v>
      </c>
      <c r="S492" s="37">
        <v>0</v>
      </c>
      <c r="T492" s="37">
        <v>0</v>
      </c>
      <c r="U492" s="37">
        <v>26</v>
      </c>
      <c r="V492" s="37">
        <f>122+129+97+129+105+109+99+122+92+101+111+107+90</f>
        <v>1413</v>
      </c>
      <c r="W492" s="37">
        <v>1385</v>
      </c>
      <c r="X492" s="37">
        <v>96</v>
      </c>
      <c r="Y492" s="37">
        <v>68</v>
      </c>
      <c r="Z492" s="37">
        <v>66</v>
      </c>
      <c r="AA492" s="37">
        <v>10</v>
      </c>
      <c r="AB492" s="300">
        <f t="shared" si="58"/>
        <v>718.08</v>
      </c>
      <c r="AC492" s="300">
        <f t="shared" si="59"/>
        <v>4.3257831325301206</v>
      </c>
      <c r="AD492" s="37">
        <v>67082</v>
      </c>
      <c r="AE492" s="68" t="s">
        <v>109</v>
      </c>
      <c r="AF492" s="68" t="s">
        <v>317</v>
      </c>
      <c r="AG492" s="68" t="s">
        <v>317</v>
      </c>
      <c r="AH492" s="37" t="s">
        <v>1610</v>
      </c>
      <c r="AI492" s="309"/>
      <c r="AJ492" s="309"/>
      <c r="AK492" s="68" t="s">
        <v>37</v>
      </c>
      <c r="AL492" s="68" t="s">
        <v>58</v>
      </c>
      <c r="AM492" s="299">
        <f t="shared" ca="1" si="55"/>
        <v>2.2465277777810115</v>
      </c>
      <c r="AN492" s="51"/>
      <c r="AO492" s="61" t="s">
        <v>53</v>
      </c>
      <c r="AP492" s="62">
        <v>313313901</v>
      </c>
      <c r="AQ492" s="78" t="s">
        <v>243</v>
      </c>
      <c r="AR492" s="64">
        <v>44881.725694444445</v>
      </c>
      <c r="AS492" s="61" t="s">
        <v>176</v>
      </c>
      <c r="AT492" s="61" t="s">
        <v>65</v>
      </c>
      <c r="AU492" s="59">
        <v>0.72569444444444453</v>
      </c>
      <c r="AV492" s="61">
        <v>1</v>
      </c>
      <c r="AW492" s="61" t="s">
        <v>152</v>
      </c>
      <c r="AX492" s="52"/>
      <c r="AY492" s="52"/>
      <c r="AZ492" s="52"/>
      <c r="BA492" s="52"/>
    </row>
    <row r="493" spans="1:53" x14ac:dyDescent="0.25">
      <c r="A493" s="73">
        <v>272</v>
      </c>
      <c r="B493" s="72">
        <v>44879.479166666664</v>
      </c>
      <c r="C493" s="67">
        <v>0.52083333333333337</v>
      </c>
      <c r="D493" s="67">
        <v>0.53472222222222221</v>
      </c>
      <c r="E493" s="67">
        <v>0.55208333333333337</v>
      </c>
      <c r="F493" s="68" t="s">
        <v>170</v>
      </c>
      <c r="G493" s="68" t="s">
        <v>1606</v>
      </c>
      <c r="H493" s="60" t="s">
        <v>57</v>
      </c>
      <c r="I493" s="60" t="s">
        <v>482</v>
      </c>
      <c r="J493" s="60" t="s">
        <v>37</v>
      </c>
      <c r="K493" s="60" t="s">
        <v>63</v>
      </c>
      <c r="L493" s="60" t="s">
        <v>209</v>
      </c>
      <c r="M493" s="68">
        <v>313313901</v>
      </c>
      <c r="N493" s="68" t="s">
        <v>53</v>
      </c>
      <c r="O493" s="68" t="s">
        <v>1609</v>
      </c>
      <c r="P493" s="68">
        <v>81961857</v>
      </c>
      <c r="Q493" s="303">
        <f t="shared" si="56"/>
        <v>0</v>
      </c>
      <c r="R493" s="303">
        <f t="shared" si="57"/>
        <v>0</v>
      </c>
      <c r="S493" s="68">
        <v>0</v>
      </c>
      <c r="T493" s="68">
        <v>0</v>
      </c>
      <c r="U493" s="68">
        <v>0</v>
      </c>
      <c r="V493" s="68">
        <v>0</v>
      </c>
      <c r="W493" s="68">
        <v>0</v>
      </c>
      <c r="X493" s="37">
        <v>80</v>
      </c>
      <c r="Y493" s="37">
        <v>60</v>
      </c>
      <c r="Z493" s="37">
        <v>68</v>
      </c>
      <c r="AA493" s="37">
        <v>14</v>
      </c>
      <c r="AB493" s="300">
        <f t="shared" si="58"/>
        <v>761.6</v>
      </c>
      <c r="AC493" s="300">
        <f t="shared" si="59"/>
        <v>4.587951807228916</v>
      </c>
      <c r="AD493" s="68">
        <v>0</v>
      </c>
      <c r="AE493" s="68">
        <v>0</v>
      </c>
      <c r="AF493" s="68">
        <v>0</v>
      </c>
      <c r="AG493" s="68">
        <v>0</v>
      </c>
      <c r="AH493" s="37">
        <v>0</v>
      </c>
      <c r="AI493" s="309"/>
      <c r="AJ493" s="309"/>
      <c r="AK493" s="68" t="s">
        <v>37</v>
      </c>
      <c r="AL493" s="68" t="s">
        <v>58</v>
      </c>
      <c r="AM493" s="299">
        <f t="shared" ca="1" si="55"/>
        <v>2.2465277777810115</v>
      </c>
      <c r="AN493" s="51"/>
      <c r="AO493" s="61" t="s">
        <v>53</v>
      </c>
      <c r="AP493" s="62">
        <v>313313901</v>
      </c>
      <c r="AQ493" s="78" t="s">
        <v>243</v>
      </c>
      <c r="AR493" s="64">
        <v>44881.725694444445</v>
      </c>
      <c r="AS493" s="61" t="s">
        <v>176</v>
      </c>
      <c r="AT493" s="61" t="s">
        <v>65</v>
      </c>
      <c r="AU493" s="59">
        <v>0.72569444444444453</v>
      </c>
      <c r="AV493" s="61">
        <v>1</v>
      </c>
      <c r="AW493" s="61" t="s">
        <v>152</v>
      </c>
      <c r="AX493" s="52"/>
      <c r="AY493" s="52"/>
      <c r="AZ493" s="52"/>
      <c r="BA493" s="52"/>
    </row>
    <row r="494" spans="1:53" x14ac:dyDescent="0.25">
      <c r="A494" s="73">
        <v>272</v>
      </c>
      <c r="B494" s="72">
        <v>44879.479166666664</v>
      </c>
      <c r="C494" s="67">
        <v>0.52083333333333337</v>
      </c>
      <c r="D494" s="67">
        <v>0.53472222222222221</v>
      </c>
      <c r="E494" s="67">
        <v>0.55208333333333337</v>
      </c>
      <c r="F494" s="68" t="s">
        <v>170</v>
      </c>
      <c r="G494" s="68" t="s">
        <v>1606</v>
      </c>
      <c r="H494" s="60" t="s">
        <v>57</v>
      </c>
      <c r="I494" s="60" t="s">
        <v>482</v>
      </c>
      <c r="J494" s="60" t="s">
        <v>37</v>
      </c>
      <c r="K494" s="60" t="s">
        <v>63</v>
      </c>
      <c r="L494" s="60" t="s">
        <v>209</v>
      </c>
      <c r="M494" s="68">
        <v>313313901</v>
      </c>
      <c r="N494" s="68" t="s">
        <v>53</v>
      </c>
      <c r="O494" s="68" t="s">
        <v>1609</v>
      </c>
      <c r="P494" s="68">
        <v>81961857</v>
      </c>
      <c r="Q494" s="303">
        <f t="shared" si="56"/>
        <v>0</v>
      </c>
      <c r="R494" s="303">
        <f t="shared" si="57"/>
        <v>0</v>
      </c>
      <c r="S494" s="68">
        <v>0</v>
      </c>
      <c r="T494" s="68">
        <v>0</v>
      </c>
      <c r="U494" s="68">
        <v>0</v>
      </c>
      <c r="V494" s="68">
        <v>0</v>
      </c>
      <c r="W494" s="68">
        <v>0</v>
      </c>
      <c r="X494" s="37">
        <v>95</v>
      </c>
      <c r="Y494" s="37">
        <v>66</v>
      </c>
      <c r="Z494" s="37">
        <v>64</v>
      </c>
      <c r="AA494" s="37">
        <v>2</v>
      </c>
      <c r="AB494" s="300">
        <f t="shared" si="58"/>
        <v>133.76</v>
      </c>
      <c r="AC494" s="300">
        <f t="shared" si="59"/>
        <v>0.80578313253012046</v>
      </c>
      <c r="AD494" s="68">
        <v>0</v>
      </c>
      <c r="AE494" s="68">
        <v>0</v>
      </c>
      <c r="AF494" s="68">
        <v>0</v>
      </c>
      <c r="AG494" s="68">
        <v>0</v>
      </c>
      <c r="AH494" s="68">
        <v>0</v>
      </c>
      <c r="AI494" s="309"/>
      <c r="AJ494" s="309"/>
      <c r="AK494" s="68" t="s">
        <v>37</v>
      </c>
      <c r="AL494" s="68" t="s">
        <v>58</v>
      </c>
      <c r="AM494" s="299">
        <f t="shared" ca="1" si="55"/>
        <v>2.2465277777810115</v>
      </c>
      <c r="AN494" s="51"/>
      <c r="AO494" s="61" t="s">
        <v>53</v>
      </c>
      <c r="AP494" s="62">
        <v>313313901</v>
      </c>
      <c r="AQ494" s="78" t="s">
        <v>243</v>
      </c>
      <c r="AR494" s="64">
        <v>44881.725694444445</v>
      </c>
      <c r="AS494" s="61" t="s">
        <v>176</v>
      </c>
      <c r="AT494" s="61" t="s">
        <v>65</v>
      </c>
      <c r="AU494" s="59">
        <v>0.72569444444444453</v>
      </c>
      <c r="AV494" s="61">
        <v>1</v>
      </c>
      <c r="AW494" s="61" t="s">
        <v>152</v>
      </c>
      <c r="AX494" s="52"/>
      <c r="AY494" s="52"/>
      <c r="AZ494" s="52"/>
      <c r="BA494" s="52"/>
    </row>
    <row r="495" spans="1:53" x14ac:dyDescent="0.25">
      <c r="A495" s="48">
        <v>273</v>
      </c>
      <c r="B495" s="72">
        <v>44879.756944444445</v>
      </c>
      <c r="C495" s="36">
        <v>0.76041666666666663</v>
      </c>
      <c r="D495" s="36">
        <v>0.77430555555555547</v>
      </c>
      <c r="E495" s="36">
        <v>0.77777777777777779</v>
      </c>
      <c r="F495" s="37" t="s">
        <v>171</v>
      </c>
      <c r="G495" s="37" t="s">
        <v>1624</v>
      </c>
      <c r="H495" s="26" t="s">
        <v>254</v>
      </c>
      <c r="I495" s="26" t="s">
        <v>141</v>
      </c>
      <c r="J495" s="26" t="s">
        <v>37</v>
      </c>
      <c r="K495" s="26" t="s">
        <v>180</v>
      </c>
      <c r="L495" s="26" t="s">
        <v>209</v>
      </c>
      <c r="M495" s="37" t="s">
        <v>1628</v>
      </c>
      <c r="N495" s="37" t="s">
        <v>81</v>
      </c>
      <c r="O495" s="37" t="s">
        <v>1625</v>
      </c>
      <c r="P495" s="37" t="s">
        <v>1626</v>
      </c>
      <c r="Q495" s="303">
        <f t="shared" si="56"/>
        <v>9</v>
      </c>
      <c r="R495" s="303">
        <f t="shared" si="57"/>
        <v>2263</v>
      </c>
      <c r="S495" s="37">
        <v>0</v>
      </c>
      <c r="T495" s="37">
        <v>0</v>
      </c>
      <c r="U495" s="37">
        <v>9</v>
      </c>
      <c r="V495" s="37">
        <f>2263</f>
        <v>2263</v>
      </c>
      <c r="W495" s="37">
        <v>2270</v>
      </c>
      <c r="X495" s="37">
        <v>125</v>
      </c>
      <c r="Y495" s="37">
        <v>120</v>
      </c>
      <c r="Z495" s="37">
        <v>78</v>
      </c>
      <c r="AA495" s="37">
        <v>9</v>
      </c>
      <c r="AB495" s="300">
        <f t="shared" si="58"/>
        <v>1755</v>
      </c>
      <c r="AC495" s="300">
        <f t="shared" si="59"/>
        <v>10.572289156626505</v>
      </c>
      <c r="AD495" s="37">
        <v>28311</v>
      </c>
      <c r="AE495" s="37" t="s">
        <v>109</v>
      </c>
      <c r="AF495" s="37" t="s">
        <v>317</v>
      </c>
      <c r="AG495" s="37" t="s">
        <v>317</v>
      </c>
      <c r="AH495" s="37" t="s">
        <v>1627</v>
      </c>
      <c r="AI495" s="309"/>
      <c r="AJ495" s="309"/>
      <c r="AK495" s="37" t="s">
        <v>37</v>
      </c>
      <c r="AL495" s="37" t="s">
        <v>49</v>
      </c>
      <c r="AM495" s="299">
        <f t="shared" ca="1" si="55"/>
        <v>1.7534722222189885</v>
      </c>
      <c r="AN495" s="51"/>
      <c r="AO495" s="61" t="s">
        <v>81</v>
      </c>
      <c r="AP495" s="62" t="s">
        <v>1628</v>
      </c>
      <c r="AQ495" s="61" t="s">
        <v>1792</v>
      </c>
      <c r="AR495" s="64">
        <v>44881.510416666664</v>
      </c>
      <c r="AS495" s="61" t="s">
        <v>95</v>
      </c>
      <c r="AT495" s="61" t="s">
        <v>225</v>
      </c>
      <c r="AU495" s="59">
        <v>0.51041666666666663</v>
      </c>
      <c r="AV495" s="61">
        <v>1</v>
      </c>
      <c r="AW495" s="61" t="s">
        <v>66</v>
      </c>
      <c r="AX495" s="52"/>
      <c r="AY495" s="52"/>
      <c r="AZ495" s="52"/>
      <c r="BA495" s="52"/>
    </row>
    <row r="496" spans="1:53" x14ac:dyDescent="0.25">
      <c r="A496" s="48">
        <v>274</v>
      </c>
      <c r="B496" s="72">
        <v>44879.770833333336</v>
      </c>
      <c r="C496" s="36">
        <v>0.77777777777777779</v>
      </c>
      <c r="D496" s="36">
        <v>0.78472222222222221</v>
      </c>
      <c r="E496" s="36">
        <v>0.78819444444444453</v>
      </c>
      <c r="F496" s="37" t="s">
        <v>171</v>
      </c>
      <c r="G496" s="37" t="s">
        <v>203</v>
      </c>
      <c r="H496" s="26" t="s">
        <v>342</v>
      </c>
      <c r="I496" s="60" t="s">
        <v>342</v>
      </c>
      <c r="J496" s="60" t="s">
        <v>37</v>
      </c>
      <c r="K496" s="60" t="s">
        <v>180</v>
      </c>
      <c r="L496" s="26" t="s">
        <v>206</v>
      </c>
      <c r="M496" s="37" t="s">
        <v>1634</v>
      </c>
      <c r="N496" s="37" t="s">
        <v>42</v>
      </c>
      <c r="O496" s="37">
        <v>346</v>
      </c>
      <c r="P496" s="37">
        <v>29537434</v>
      </c>
      <c r="Q496" s="303">
        <f t="shared" si="56"/>
        <v>1</v>
      </c>
      <c r="R496" s="303">
        <f t="shared" si="57"/>
        <v>295</v>
      </c>
      <c r="S496" s="37">
        <v>0</v>
      </c>
      <c r="T496" s="37">
        <v>0</v>
      </c>
      <c r="U496" s="37">
        <v>1</v>
      </c>
      <c r="V496" s="37">
        <v>295</v>
      </c>
      <c r="W496" s="37">
        <v>277</v>
      </c>
      <c r="X496" s="37">
        <v>82</v>
      </c>
      <c r="Y496" s="37">
        <v>76</v>
      </c>
      <c r="Z496" s="37">
        <v>87</v>
      </c>
      <c r="AA496" s="37">
        <v>1</v>
      </c>
      <c r="AB496" s="300">
        <f t="shared" si="58"/>
        <v>90.364000000000004</v>
      </c>
      <c r="AC496" s="300">
        <f t="shared" si="59"/>
        <v>0.5443614457831325</v>
      </c>
      <c r="AD496" s="37">
        <v>1779</v>
      </c>
      <c r="AE496" s="37" t="s">
        <v>109</v>
      </c>
      <c r="AF496" s="37" t="s">
        <v>317</v>
      </c>
      <c r="AG496" s="37" t="s">
        <v>317</v>
      </c>
      <c r="AH496" s="37" t="s">
        <v>1629</v>
      </c>
      <c r="AI496" s="309"/>
      <c r="AJ496" s="309"/>
      <c r="AK496" s="37" t="s">
        <v>406</v>
      </c>
      <c r="AL496" s="37" t="s">
        <v>39</v>
      </c>
      <c r="AM496" s="299">
        <f t="shared" ca="1" si="55"/>
        <v>2.71875</v>
      </c>
      <c r="AN496" s="51"/>
      <c r="AO496" s="78" t="s">
        <v>107</v>
      </c>
      <c r="AP496" s="62" t="s">
        <v>1882</v>
      </c>
      <c r="AQ496" s="61" t="s">
        <v>1881</v>
      </c>
      <c r="AR496" s="64">
        <v>44882.489583333336</v>
      </c>
      <c r="AS496" s="61" t="s">
        <v>136</v>
      </c>
      <c r="AT496" s="61" t="s">
        <v>225</v>
      </c>
      <c r="AU496" s="63">
        <v>0.48958333333333331</v>
      </c>
      <c r="AV496" s="61">
        <v>1</v>
      </c>
      <c r="AW496" s="61" t="s">
        <v>66</v>
      </c>
      <c r="AX496" s="52"/>
      <c r="AY496" s="52"/>
      <c r="AZ496" s="52"/>
      <c r="BA496" s="52"/>
    </row>
    <row r="497" spans="1:54" x14ac:dyDescent="0.25">
      <c r="A497" s="48">
        <v>275</v>
      </c>
      <c r="B497" s="72">
        <v>44879.770833333336</v>
      </c>
      <c r="C497" s="67">
        <v>0.77777777777777779</v>
      </c>
      <c r="D497" s="67">
        <v>0.78472222222222221</v>
      </c>
      <c r="E497" s="67">
        <v>0.78819444444444453</v>
      </c>
      <c r="F497" s="68" t="s">
        <v>171</v>
      </c>
      <c r="G497" s="68" t="s">
        <v>203</v>
      </c>
      <c r="H497" s="60" t="s">
        <v>342</v>
      </c>
      <c r="I497" s="60" t="s">
        <v>342</v>
      </c>
      <c r="J497" s="60" t="s">
        <v>37</v>
      </c>
      <c r="K497" s="60" t="s">
        <v>180</v>
      </c>
      <c r="L497" s="60" t="s">
        <v>206</v>
      </c>
      <c r="M497" s="68" t="s">
        <v>1633</v>
      </c>
      <c r="N497" s="68" t="s">
        <v>175</v>
      </c>
      <c r="O497" s="37">
        <v>36</v>
      </c>
      <c r="P497" s="37">
        <v>29545469</v>
      </c>
      <c r="Q497" s="303">
        <f t="shared" si="56"/>
        <v>2</v>
      </c>
      <c r="R497" s="303">
        <f t="shared" si="57"/>
        <v>1338</v>
      </c>
      <c r="S497" s="37">
        <v>0</v>
      </c>
      <c r="T497" s="37">
        <v>0</v>
      </c>
      <c r="U497" s="37">
        <v>2</v>
      </c>
      <c r="V497" s="37">
        <f>677+661</f>
        <v>1338</v>
      </c>
      <c r="W497" s="37">
        <v>1200</v>
      </c>
      <c r="X497" s="37">
        <v>99</v>
      </c>
      <c r="Y497" s="37">
        <v>99</v>
      </c>
      <c r="Z497" s="37">
        <v>76</v>
      </c>
      <c r="AA497" s="37">
        <v>2</v>
      </c>
      <c r="AB497" s="300">
        <f t="shared" si="58"/>
        <v>248.292</v>
      </c>
      <c r="AC497" s="300">
        <f t="shared" si="59"/>
        <v>1.4957349397590363</v>
      </c>
      <c r="AD497" s="37">
        <v>13249</v>
      </c>
      <c r="AE497" s="37" t="s">
        <v>109</v>
      </c>
      <c r="AF497" s="68" t="s">
        <v>317</v>
      </c>
      <c r="AG497" s="68" t="s">
        <v>317</v>
      </c>
      <c r="AH497" s="37" t="s">
        <v>1630</v>
      </c>
      <c r="AI497" s="309"/>
      <c r="AJ497" s="309"/>
      <c r="AK497" s="37" t="s">
        <v>37</v>
      </c>
      <c r="AL497" s="68" t="s">
        <v>39</v>
      </c>
      <c r="AM497" s="299">
        <f t="shared" ca="1" si="55"/>
        <v>0.75694444444525288</v>
      </c>
      <c r="AN497" s="51"/>
      <c r="AO497" s="61" t="s">
        <v>181</v>
      </c>
      <c r="AP497" s="62" t="s">
        <v>1633</v>
      </c>
      <c r="AQ497" s="61" t="s">
        <v>1660</v>
      </c>
      <c r="AR497" s="64">
        <v>44880.527777777781</v>
      </c>
      <c r="AS497" s="61" t="s">
        <v>136</v>
      </c>
      <c r="AT497" s="61" t="s">
        <v>225</v>
      </c>
      <c r="AU497" s="63">
        <v>0.52777777777777779</v>
      </c>
      <c r="AV497" s="61">
        <v>1</v>
      </c>
      <c r="AW497" s="61" t="s">
        <v>66</v>
      </c>
      <c r="AX497" s="52"/>
      <c r="AY497" s="52"/>
      <c r="AZ497" s="52"/>
      <c r="BA497" s="52"/>
    </row>
    <row r="498" spans="1:54" ht="15.75" thickBot="1" x14ac:dyDescent="0.3">
      <c r="A498" s="48">
        <v>276</v>
      </c>
      <c r="B498" s="72">
        <v>44879.770833333336</v>
      </c>
      <c r="C498" s="67">
        <v>0.77777777777777779</v>
      </c>
      <c r="D498" s="67">
        <v>0.78472222222222221</v>
      </c>
      <c r="E498" s="67">
        <v>0.78819444444444453</v>
      </c>
      <c r="F498" s="68" t="s">
        <v>171</v>
      </c>
      <c r="G498" s="68" t="s">
        <v>203</v>
      </c>
      <c r="H498" s="60" t="s">
        <v>342</v>
      </c>
      <c r="I498" s="60" t="s">
        <v>342</v>
      </c>
      <c r="J498" s="60" t="s">
        <v>37</v>
      </c>
      <c r="K498" s="60" t="s">
        <v>180</v>
      </c>
      <c r="L498" s="60" t="s">
        <v>206</v>
      </c>
      <c r="M498" s="68" t="s">
        <v>1632</v>
      </c>
      <c r="N498" s="68" t="s">
        <v>42</v>
      </c>
      <c r="O498" s="37">
        <v>35</v>
      </c>
      <c r="P498" s="37">
        <v>29545469</v>
      </c>
      <c r="Q498" s="303">
        <f t="shared" si="56"/>
        <v>3</v>
      </c>
      <c r="R498" s="303">
        <f t="shared" si="57"/>
        <v>2021</v>
      </c>
      <c r="S498" s="37">
        <v>0</v>
      </c>
      <c r="T498" s="37">
        <v>0</v>
      </c>
      <c r="U498" s="37">
        <v>3</v>
      </c>
      <c r="V498" s="37">
        <f>662+680+679</f>
        <v>2021</v>
      </c>
      <c r="W498" s="37">
        <v>1800</v>
      </c>
      <c r="X498" s="37">
        <v>99</v>
      </c>
      <c r="Y498" s="37">
        <v>99</v>
      </c>
      <c r="Z498" s="37">
        <v>76</v>
      </c>
      <c r="AA498" s="37">
        <v>3</v>
      </c>
      <c r="AB498" s="300">
        <f t="shared" si="58"/>
        <v>372.43799999999999</v>
      </c>
      <c r="AC498" s="300">
        <f t="shared" si="59"/>
        <v>2.2436024096385543</v>
      </c>
      <c r="AD498" s="37">
        <v>19874</v>
      </c>
      <c r="AE498" s="37" t="s">
        <v>109</v>
      </c>
      <c r="AF498" s="37" t="s">
        <v>317</v>
      </c>
      <c r="AG498" s="37" t="s">
        <v>317</v>
      </c>
      <c r="AH498" s="37" t="s">
        <v>1631</v>
      </c>
      <c r="AI498" s="309"/>
      <c r="AJ498" s="309"/>
      <c r="AK498" s="68" t="s">
        <v>37</v>
      </c>
      <c r="AL498" s="68" t="s">
        <v>39</v>
      </c>
      <c r="AM498" s="299">
        <f t="shared" ca="1" si="55"/>
        <v>2.71875</v>
      </c>
      <c r="AN498" s="51"/>
      <c r="AO498" s="78" t="s">
        <v>107</v>
      </c>
      <c r="AP498" s="62" t="s">
        <v>1632</v>
      </c>
      <c r="AQ498" s="61" t="s">
        <v>1881</v>
      </c>
      <c r="AR498" s="64">
        <v>44882.489583333336</v>
      </c>
      <c r="AS498" s="61" t="s">
        <v>136</v>
      </c>
      <c r="AT498" s="61" t="s">
        <v>225</v>
      </c>
      <c r="AU498" s="63">
        <v>0.48958333333333331</v>
      </c>
      <c r="AV498" s="61">
        <v>1</v>
      </c>
      <c r="AW498" s="61" t="s">
        <v>66</v>
      </c>
      <c r="AX498" s="52"/>
      <c r="AY498" s="52"/>
      <c r="AZ498" s="52"/>
      <c r="BA498" s="52"/>
    </row>
    <row r="499" spans="1:54" ht="15.75" thickBot="1" x14ac:dyDescent="0.3">
      <c r="A499" s="48">
        <v>277</v>
      </c>
      <c r="B499" s="72">
        <v>44880.392361111109</v>
      </c>
      <c r="C499" s="67">
        <v>0.39583333333333331</v>
      </c>
      <c r="D499" s="67">
        <v>0.39930555555555558</v>
      </c>
      <c r="E499" s="67">
        <v>0.43055555555555558</v>
      </c>
      <c r="F499" s="68" t="s">
        <v>170</v>
      </c>
      <c r="G499" s="68" t="s">
        <v>1635</v>
      </c>
      <c r="H499" s="68" t="s">
        <v>398</v>
      </c>
      <c r="I499" s="68" t="s">
        <v>399</v>
      </c>
      <c r="J499" s="68" t="s">
        <v>37</v>
      </c>
      <c r="K499" s="68" t="s">
        <v>63</v>
      </c>
      <c r="L499" s="69" t="s">
        <v>206</v>
      </c>
      <c r="M499" s="68" t="s">
        <v>1636</v>
      </c>
      <c r="N499" s="68" t="s">
        <v>264</v>
      </c>
      <c r="O499" s="68">
        <v>9192200161</v>
      </c>
      <c r="P499" s="68" t="s">
        <v>1637</v>
      </c>
      <c r="Q499" s="303">
        <f t="shared" si="56"/>
        <v>2</v>
      </c>
      <c r="R499" s="303">
        <f t="shared" si="57"/>
        <v>95</v>
      </c>
      <c r="S499" s="68">
        <v>2</v>
      </c>
      <c r="T499" s="68">
        <v>95</v>
      </c>
      <c r="U499" s="68">
        <v>0</v>
      </c>
      <c r="V499" s="68">
        <v>0</v>
      </c>
      <c r="W499" s="68">
        <v>93.486000000000004</v>
      </c>
      <c r="X499" s="68">
        <v>84</v>
      </c>
      <c r="Y499" s="68">
        <v>84</v>
      </c>
      <c r="Z499" s="68">
        <v>31</v>
      </c>
      <c r="AA499" s="68">
        <v>2</v>
      </c>
      <c r="AB499" s="300">
        <f t="shared" si="58"/>
        <v>72.912000000000006</v>
      </c>
      <c r="AC499" s="300">
        <f t="shared" si="59"/>
        <v>0.43922891566265065</v>
      </c>
      <c r="AD499" s="68">
        <v>302.26</v>
      </c>
      <c r="AE499" s="68" t="s">
        <v>111</v>
      </c>
      <c r="AF499" s="68" t="s">
        <v>317</v>
      </c>
      <c r="AG499" s="68" t="s">
        <v>317</v>
      </c>
      <c r="AH499" s="68">
        <v>0</v>
      </c>
      <c r="AI499" s="309"/>
      <c r="AJ499" s="309"/>
      <c r="AK499" s="68" t="s">
        <v>48</v>
      </c>
      <c r="AL499" s="68" t="s">
        <v>94</v>
      </c>
      <c r="AM499" s="299">
        <f t="shared" ca="1" si="55"/>
        <v>1.4027777777810115</v>
      </c>
      <c r="AN499" s="41"/>
      <c r="AO499" s="61" t="s">
        <v>404</v>
      </c>
      <c r="AP499" s="62" t="s">
        <v>1636</v>
      </c>
      <c r="AQ499" s="61" t="s">
        <v>1804</v>
      </c>
      <c r="AR499" s="64">
        <v>44881.795138888891</v>
      </c>
      <c r="AS499" s="57" t="s">
        <v>173</v>
      </c>
      <c r="AT499" s="61" t="s">
        <v>225</v>
      </c>
      <c r="AU499" s="63">
        <v>0.79513888888888884</v>
      </c>
      <c r="AV499" s="61">
        <v>2</v>
      </c>
      <c r="AW499" s="61" t="s">
        <v>66</v>
      </c>
      <c r="AX499" s="52"/>
      <c r="AY499" s="52"/>
      <c r="AZ499" s="52"/>
      <c r="BA499" s="52"/>
    </row>
    <row r="500" spans="1:54" ht="15.75" thickBot="1" x14ac:dyDescent="0.3">
      <c r="A500" s="48">
        <v>278</v>
      </c>
      <c r="B500" s="72">
        <v>44880.395833333336</v>
      </c>
      <c r="C500" s="67">
        <v>0.39930555555555558</v>
      </c>
      <c r="D500" s="67">
        <v>0.40277777777777773</v>
      </c>
      <c r="E500" s="67">
        <v>0.43402777777777773</v>
      </c>
      <c r="F500" s="68" t="s">
        <v>170</v>
      </c>
      <c r="G500" s="68" t="s">
        <v>1638</v>
      </c>
      <c r="H500" s="68" t="s">
        <v>204</v>
      </c>
      <c r="I500" s="68" t="s">
        <v>162</v>
      </c>
      <c r="J500" s="68" t="s">
        <v>37</v>
      </c>
      <c r="K500" s="69" t="s">
        <v>63</v>
      </c>
      <c r="L500" s="69" t="s">
        <v>212</v>
      </c>
      <c r="M500" s="68" t="s">
        <v>1639</v>
      </c>
      <c r="N500" s="68" t="s">
        <v>158</v>
      </c>
      <c r="O500" s="68" t="s">
        <v>1640</v>
      </c>
      <c r="P500" s="68">
        <v>5051973656</v>
      </c>
      <c r="Q500" s="303">
        <f t="shared" si="56"/>
        <v>2</v>
      </c>
      <c r="R500" s="303">
        <f t="shared" si="57"/>
        <v>219</v>
      </c>
      <c r="S500" s="68">
        <v>0</v>
      </c>
      <c r="T500" s="68">
        <v>0</v>
      </c>
      <c r="U500" s="68">
        <v>2</v>
      </c>
      <c r="V500" s="68">
        <v>219</v>
      </c>
      <c r="W500" s="68">
        <v>228.1</v>
      </c>
      <c r="X500" s="68">
        <v>36</v>
      </c>
      <c r="Y500" s="68">
        <v>29</v>
      </c>
      <c r="Z500" s="68">
        <v>35</v>
      </c>
      <c r="AA500" s="68">
        <v>1</v>
      </c>
      <c r="AB500" s="300">
        <f t="shared" si="58"/>
        <v>6.09</v>
      </c>
      <c r="AC500" s="300">
        <f t="shared" si="59"/>
        <v>3.6686746987951803E-2</v>
      </c>
      <c r="AD500" s="68">
        <v>2435.35</v>
      </c>
      <c r="AE500" s="68" t="s">
        <v>109</v>
      </c>
      <c r="AF500" s="68" t="s">
        <v>317</v>
      </c>
      <c r="AG500" s="68" t="s">
        <v>317</v>
      </c>
      <c r="AH500" s="68" t="s">
        <v>1641</v>
      </c>
      <c r="AI500" s="309"/>
      <c r="AJ500" s="309"/>
      <c r="AK500" s="68" t="s">
        <v>41</v>
      </c>
      <c r="AL500" s="68" t="s">
        <v>39</v>
      </c>
      <c r="AM500" s="299">
        <f t="shared" ca="1" si="55"/>
        <v>2.0520833333284827</v>
      </c>
      <c r="AN500" s="41"/>
      <c r="AO500" s="61" t="s">
        <v>159</v>
      </c>
      <c r="AP500" s="62" t="s">
        <v>1639</v>
      </c>
      <c r="AQ500" s="78" t="s">
        <v>1875</v>
      </c>
      <c r="AR500" s="64">
        <v>44882.447916666664</v>
      </c>
      <c r="AS500" s="61" t="s">
        <v>117</v>
      </c>
      <c r="AT500" s="61" t="s">
        <v>225</v>
      </c>
      <c r="AU500" s="59">
        <v>0.44791666666666669</v>
      </c>
      <c r="AV500" s="61">
        <v>1</v>
      </c>
      <c r="AW500" s="61" t="s">
        <v>66</v>
      </c>
      <c r="AX500" s="52"/>
      <c r="AY500" s="52"/>
      <c r="AZ500" s="52"/>
      <c r="BA500" s="52"/>
    </row>
    <row r="501" spans="1:54" ht="15.75" thickBot="1" x14ac:dyDescent="0.3">
      <c r="A501" s="73">
        <v>278</v>
      </c>
      <c r="B501" s="72">
        <v>44880.395833333336</v>
      </c>
      <c r="C501" s="67">
        <v>0.39930555555555558</v>
      </c>
      <c r="D501" s="67">
        <v>0.40277777777777773</v>
      </c>
      <c r="E501" s="67">
        <v>0.43402777777777773</v>
      </c>
      <c r="F501" s="68" t="s">
        <v>170</v>
      </c>
      <c r="G501" s="68" t="s">
        <v>1638</v>
      </c>
      <c r="H501" s="68" t="s">
        <v>204</v>
      </c>
      <c r="I501" s="68" t="s">
        <v>162</v>
      </c>
      <c r="J501" s="68" t="s">
        <v>37</v>
      </c>
      <c r="K501" s="69" t="s">
        <v>63</v>
      </c>
      <c r="L501" s="69" t="s">
        <v>212</v>
      </c>
      <c r="M501" s="68" t="s">
        <v>1639</v>
      </c>
      <c r="N501" s="68" t="s">
        <v>158</v>
      </c>
      <c r="O501" s="68" t="s">
        <v>1640</v>
      </c>
      <c r="P501" s="68">
        <v>5051973656</v>
      </c>
      <c r="Q501" s="303">
        <f t="shared" si="56"/>
        <v>0</v>
      </c>
      <c r="R501" s="303">
        <f t="shared" si="57"/>
        <v>0</v>
      </c>
      <c r="S501" s="68">
        <v>0</v>
      </c>
      <c r="T501" s="68">
        <v>0</v>
      </c>
      <c r="U501" s="68">
        <v>0</v>
      </c>
      <c r="V501" s="68">
        <v>0</v>
      </c>
      <c r="W501" s="68">
        <v>0</v>
      </c>
      <c r="X501" s="68">
        <v>67</v>
      </c>
      <c r="Y501" s="68">
        <v>66</v>
      </c>
      <c r="Z501" s="68">
        <v>75</v>
      </c>
      <c r="AA501" s="68">
        <v>1</v>
      </c>
      <c r="AB501" s="300">
        <f t="shared" si="58"/>
        <v>55.274999999999999</v>
      </c>
      <c r="AC501" s="300">
        <f t="shared" si="59"/>
        <v>0.33298192771084334</v>
      </c>
      <c r="AD501" s="68">
        <v>0</v>
      </c>
      <c r="AE501" s="68">
        <v>0</v>
      </c>
      <c r="AF501" s="68" t="s">
        <v>317</v>
      </c>
      <c r="AG501" s="68" t="s">
        <v>317</v>
      </c>
      <c r="AH501" s="68" t="s">
        <v>1641</v>
      </c>
      <c r="AI501" s="309"/>
      <c r="AJ501" s="309"/>
      <c r="AK501" s="68" t="s">
        <v>41</v>
      </c>
      <c r="AL501" s="68" t="s">
        <v>39</v>
      </c>
      <c r="AM501" s="299">
        <f t="shared" ca="1" si="55"/>
        <v>2.0520833333284827</v>
      </c>
      <c r="AN501" s="41"/>
      <c r="AO501" s="61" t="s">
        <v>159</v>
      </c>
      <c r="AP501" s="62" t="s">
        <v>1639</v>
      </c>
      <c r="AQ501" s="78" t="s">
        <v>1875</v>
      </c>
      <c r="AR501" s="64">
        <v>44882.447916666664</v>
      </c>
      <c r="AS501" s="61" t="s">
        <v>117</v>
      </c>
      <c r="AT501" s="61" t="s">
        <v>225</v>
      </c>
      <c r="AU501" s="59">
        <v>0.44791666666666669</v>
      </c>
      <c r="AV501" s="61">
        <v>1</v>
      </c>
      <c r="AW501" s="61" t="s">
        <v>66</v>
      </c>
      <c r="AX501" s="52"/>
      <c r="AY501" s="52"/>
      <c r="AZ501" s="52"/>
      <c r="BA501" s="52"/>
    </row>
    <row r="502" spans="1:54" ht="15.75" thickBot="1" x14ac:dyDescent="0.3">
      <c r="A502" s="48">
        <v>279</v>
      </c>
      <c r="B502" s="72">
        <v>44880.416666666664</v>
      </c>
      <c r="C502" s="67">
        <v>0.4201388888888889</v>
      </c>
      <c r="D502" s="67">
        <v>0.42708333333333331</v>
      </c>
      <c r="E502" s="67">
        <v>0.44444444444444442</v>
      </c>
      <c r="F502" s="68" t="s">
        <v>171</v>
      </c>
      <c r="G502" s="68" t="s">
        <v>95</v>
      </c>
      <c r="H502" s="68" t="s">
        <v>195</v>
      </c>
      <c r="I502" s="68" t="s">
        <v>195</v>
      </c>
      <c r="J502" s="68" t="s">
        <v>37</v>
      </c>
      <c r="K502" s="68" t="s">
        <v>180</v>
      </c>
      <c r="L502" s="68" t="s">
        <v>209</v>
      </c>
      <c r="M502" s="68" t="s">
        <v>1642</v>
      </c>
      <c r="N502" s="68" t="s">
        <v>42</v>
      </c>
      <c r="O502" s="68" t="s">
        <v>1643</v>
      </c>
      <c r="P502" s="68">
        <v>2101075043</v>
      </c>
      <c r="Q502" s="303">
        <f t="shared" si="56"/>
        <v>5</v>
      </c>
      <c r="R502" s="303">
        <f t="shared" si="57"/>
        <v>1398</v>
      </c>
      <c r="S502" s="68">
        <v>0</v>
      </c>
      <c r="T502" s="68">
        <v>0</v>
      </c>
      <c r="U502" s="68">
        <v>5</v>
      </c>
      <c r="V502" s="68">
        <v>1398</v>
      </c>
      <c r="W502" s="68">
        <v>1500</v>
      </c>
      <c r="X502" s="68">
        <v>115</v>
      </c>
      <c r="Y502" s="68">
        <v>80</v>
      </c>
      <c r="Z502" s="68">
        <v>112</v>
      </c>
      <c r="AA502" s="68">
        <v>3</v>
      </c>
      <c r="AB502" s="300">
        <f t="shared" si="58"/>
        <v>515.20000000000005</v>
      </c>
      <c r="AC502" s="300">
        <f t="shared" si="59"/>
        <v>3.1036144578313256</v>
      </c>
      <c r="AD502" s="68">
        <v>51431.68</v>
      </c>
      <c r="AE502" s="68" t="s">
        <v>109</v>
      </c>
      <c r="AF502" s="68" t="s">
        <v>317</v>
      </c>
      <c r="AG502" s="68" t="s">
        <v>317</v>
      </c>
      <c r="AH502" s="68" t="s">
        <v>1644</v>
      </c>
      <c r="AI502" s="309"/>
      <c r="AJ502" s="309"/>
      <c r="AK502" s="68" t="s">
        <v>41</v>
      </c>
      <c r="AL502" s="68" t="s">
        <v>47</v>
      </c>
      <c r="AM502" s="299">
        <f t="shared" ca="1" si="55"/>
        <v>0.27083333333575865</v>
      </c>
      <c r="AN502" s="41"/>
      <c r="AO502" s="61" t="s">
        <v>128</v>
      </c>
      <c r="AP502" s="62" t="s">
        <v>1642</v>
      </c>
      <c r="AQ502" s="61" t="s">
        <v>1709</v>
      </c>
      <c r="AR502" s="64">
        <v>44880.6875</v>
      </c>
      <c r="AS502" s="61" t="s">
        <v>95</v>
      </c>
      <c r="AT502" s="61" t="s">
        <v>225</v>
      </c>
      <c r="AU502" s="59">
        <v>0.6875</v>
      </c>
      <c r="AV502" s="61">
        <v>1</v>
      </c>
      <c r="AW502" s="61" t="s">
        <v>66</v>
      </c>
      <c r="AX502" s="52"/>
      <c r="AY502" s="52"/>
      <c r="AZ502" s="52"/>
      <c r="BA502" s="52"/>
    </row>
    <row r="503" spans="1:54" ht="15.75" thickBot="1" x14ac:dyDescent="0.3">
      <c r="A503" s="73">
        <v>279</v>
      </c>
      <c r="B503" s="72">
        <v>44880.416666666664</v>
      </c>
      <c r="C503" s="67">
        <v>0.4201388888888889</v>
      </c>
      <c r="D503" s="67">
        <v>0.42708333333333331</v>
      </c>
      <c r="E503" s="67">
        <v>0.44444444444444442</v>
      </c>
      <c r="F503" s="68" t="s">
        <v>171</v>
      </c>
      <c r="G503" s="68" t="s">
        <v>95</v>
      </c>
      <c r="H503" s="68" t="s">
        <v>195</v>
      </c>
      <c r="I503" s="68" t="s">
        <v>195</v>
      </c>
      <c r="J503" s="68" t="s">
        <v>37</v>
      </c>
      <c r="K503" s="68" t="s">
        <v>180</v>
      </c>
      <c r="L503" s="68" t="s">
        <v>209</v>
      </c>
      <c r="M503" s="68" t="s">
        <v>1642</v>
      </c>
      <c r="N503" s="68" t="s">
        <v>42</v>
      </c>
      <c r="O503" s="68" t="s">
        <v>1643</v>
      </c>
      <c r="P503" s="68">
        <v>2101075043</v>
      </c>
      <c r="Q503" s="303">
        <f t="shared" si="56"/>
        <v>0</v>
      </c>
      <c r="R503" s="303">
        <f t="shared" si="57"/>
        <v>0</v>
      </c>
      <c r="S503" s="68">
        <v>0</v>
      </c>
      <c r="T503" s="68">
        <v>0</v>
      </c>
      <c r="U503" s="68">
        <v>0</v>
      </c>
      <c r="V503" s="68">
        <v>0</v>
      </c>
      <c r="W503" s="68">
        <v>0</v>
      </c>
      <c r="X503" s="68">
        <v>115</v>
      </c>
      <c r="Y503" s="68">
        <v>80</v>
      </c>
      <c r="Z503" s="68">
        <v>130</v>
      </c>
      <c r="AA503" s="68">
        <v>1</v>
      </c>
      <c r="AB503" s="300">
        <f t="shared" si="58"/>
        <v>199.33333333333334</v>
      </c>
      <c r="AC503" s="300">
        <f t="shared" si="59"/>
        <v>1.2008032128514057</v>
      </c>
      <c r="AD503" s="68">
        <v>0</v>
      </c>
      <c r="AE503" s="68">
        <v>0</v>
      </c>
      <c r="AF503" s="68" t="s">
        <v>317</v>
      </c>
      <c r="AG503" s="68" t="s">
        <v>317</v>
      </c>
      <c r="AH503" s="68" t="s">
        <v>1644</v>
      </c>
      <c r="AI503" s="309"/>
      <c r="AJ503" s="309"/>
      <c r="AK503" s="68" t="s">
        <v>41</v>
      </c>
      <c r="AL503" s="68" t="s">
        <v>47</v>
      </c>
      <c r="AM503" s="299">
        <f t="shared" ca="1" si="55"/>
        <v>0.27083333333575865</v>
      </c>
      <c r="AN503" s="41"/>
      <c r="AO503" s="61" t="s">
        <v>128</v>
      </c>
      <c r="AP503" s="62" t="s">
        <v>1642</v>
      </c>
      <c r="AQ503" s="61" t="s">
        <v>1709</v>
      </c>
      <c r="AR503" s="64">
        <v>44880.6875</v>
      </c>
      <c r="AS503" s="61" t="s">
        <v>95</v>
      </c>
      <c r="AT503" s="61" t="s">
        <v>225</v>
      </c>
      <c r="AU503" s="59">
        <v>0.6875</v>
      </c>
      <c r="AV503" s="61">
        <v>1</v>
      </c>
      <c r="AW503" s="61" t="s">
        <v>66</v>
      </c>
      <c r="AX503" s="52"/>
      <c r="AY503" s="52"/>
      <c r="AZ503" s="52"/>
      <c r="BA503" s="52"/>
    </row>
    <row r="504" spans="1:54" ht="15.75" thickBot="1" x14ac:dyDescent="0.3">
      <c r="A504" s="73">
        <v>279</v>
      </c>
      <c r="B504" s="72">
        <v>44880.416666666664</v>
      </c>
      <c r="C504" s="67">
        <v>0.4201388888888889</v>
      </c>
      <c r="D504" s="67">
        <v>0.42708333333333331</v>
      </c>
      <c r="E504" s="67">
        <v>0.44444444444444442</v>
      </c>
      <c r="F504" s="68" t="s">
        <v>171</v>
      </c>
      <c r="G504" s="68" t="s">
        <v>95</v>
      </c>
      <c r="H504" s="68" t="s">
        <v>195</v>
      </c>
      <c r="I504" s="68" t="s">
        <v>195</v>
      </c>
      <c r="J504" s="68" t="s">
        <v>37</v>
      </c>
      <c r="K504" s="68" t="s">
        <v>180</v>
      </c>
      <c r="L504" s="68" t="s">
        <v>209</v>
      </c>
      <c r="M504" s="68" t="s">
        <v>1642</v>
      </c>
      <c r="N504" s="68" t="s">
        <v>42</v>
      </c>
      <c r="O504" s="68" t="s">
        <v>1643</v>
      </c>
      <c r="P504" s="68">
        <v>2101075043</v>
      </c>
      <c r="Q504" s="303">
        <f t="shared" si="56"/>
        <v>0</v>
      </c>
      <c r="R504" s="303">
        <f t="shared" si="57"/>
        <v>0</v>
      </c>
      <c r="S504" s="68">
        <v>0</v>
      </c>
      <c r="T504" s="68">
        <v>0</v>
      </c>
      <c r="U504" s="68">
        <v>0</v>
      </c>
      <c r="V504" s="68">
        <v>0</v>
      </c>
      <c r="W504" s="68">
        <v>0</v>
      </c>
      <c r="X504" s="68">
        <v>115</v>
      </c>
      <c r="Y504" s="68">
        <v>80</v>
      </c>
      <c r="Z504" s="68">
        <v>120</v>
      </c>
      <c r="AA504" s="68">
        <v>1</v>
      </c>
      <c r="AB504" s="300">
        <f t="shared" si="58"/>
        <v>184</v>
      </c>
      <c r="AC504" s="300">
        <f t="shared" si="59"/>
        <v>1.1084337349397591</v>
      </c>
      <c r="AD504" s="68">
        <v>0</v>
      </c>
      <c r="AE504" s="68">
        <v>0</v>
      </c>
      <c r="AF504" s="68" t="s">
        <v>317</v>
      </c>
      <c r="AG504" s="68" t="s">
        <v>317</v>
      </c>
      <c r="AH504" s="68" t="s">
        <v>1644</v>
      </c>
      <c r="AI504" s="309"/>
      <c r="AJ504" s="309"/>
      <c r="AK504" s="68" t="s">
        <v>41</v>
      </c>
      <c r="AL504" s="68" t="s">
        <v>47</v>
      </c>
      <c r="AM504" s="299">
        <f t="shared" ca="1" si="55"/>
        <v>0.27083333333575865</v>
      </c>
      <c r="AN504" s="41"/>
      <c r="AO504" s="61" t="s">
        <v>128</v>
      </c>
      <c r="AP504" s="62" t="s">
        <v>1642</v>
      </c>
      <c r="AQ504" s="61" t="s">
        <v>1709</v>
      </c>
      <c r="AR504" s="64">
        <v>44880.6875</v>
      </c>
      <c r="AS504" s="61" t="s">
        <v>95</v>
      </c>
      <c r="AT504" s="61" t="s">
        <v>225</v>
      </c>
      <c r="AU504" s="59">
        <v>0.6875</v>
      </c>
      <c r="AV504" s="61">
        <v>1</v>
      </c>
      <c r="AW504" s="61" t="s">
        <v>66</v>
      </c>
      <c r="AX504" s="52"/>
      <c r="AY504" s="52"/>
      <c r="AZ504" s="52"/>
      <c r="BA504" s="52"/>
    </row>
    <row r="505" spans="1:54" ht="15.75" thickBot="1" x14ac:dyDescent="0.3">
      <c r="A505" s="48">
        <v>280</v>
      </c>
      <c r="B505" s="72">
        <v>44880.416666666664</v>
      </c>
      <c r="C505" s="67">
        <v>0.4201388888888889</v>
      </c>
      <c r="D505" s="67">
        <v>0.42708333333333331</v>
      </c>
      <c r="E505" s="67">
        <v>0.44444444444444442</v>
      </c>
      <c r="F505" s="68" t="s">
        <v>171</v>
      </c>
      <c r="G505" s="68" t="s">
        <v>95</v>
      </c>
      <c r="H505" s="68" t="s">
        <v>195</v>
      </c>
      <c r="I505" s="68" t="s">
        <v>195</v>
      </c>
      <c r="J505" s="68" t="s">
        <v>37</v>
      </c>
      <c r="K505" s="68" t="s">
        <v>180</v>
      </c>
      <c r="L505" s="68" t="s">
        <v>209</v>
      </c>
      <c r="M505" s="68" t="s">
        <v>1645</v>
      </c>
      <c r="N505" s="68" t="s">
        <v>44</v>
      </c>
      <c r="O505" s="68" t="s">
        <v>1646</v>
      </c>
      <c r="P505" s="68">
        <v>2101075365</v>
      </c>
      <c r="Q505" s="303">
        <f t="shared" si="56"/>
        <v>2</v>
      </c>
      <c r="R505" s="303">
        <f t="shared" si="57"/>
        <v>485</v>
      </c>
      <c r="S505" s="68">
        <v>0</v>
      </c>
      <c r="T505" s="68">
        <v>0</v>
      </c>
      <c r="U505" s="68">
        <v>2</v>
      </c>
      <c r="V505" s="68">
        <v>485</v>
      </c>
      <c r="W505" s="68">
        <v>467</v>
      </c>
      <c r="X505" s="68">
        <v>80</v>
      </c>
      <c r="Y505" s="68">
        <v>59</v>
      </c>
      <c r="Z505" s="68">
        <v>35</v>
      </c>
      <c r="AA505" s="68">
        <v>1</v>
      </c>
      <c r="AB505" s="300">
        <f t="shared" si="58"/>
        <v>27.533333333333335</v>
      </c>
      <c r="AC505" s="300">
        <f t="shared" si="59"/>
        <v>0.16586345381526105</v>
      </c>
      <c r="AD505" s="68">
        <v>28023.919999999998</v>
      </c>
      <c r="AE505" s="68" t="s">
        <v>109</v>
      </c>
      <c r="AF505" s="68" t="s">
        <v>317</v>
      </c>
      <c r="AG505" s="68" t="s">
        <v>317</v>
      </c>
      <c r="AH505" s="68" t="s">
        <v>1647</v>
      </c>
      <c r="AI505" s="309"/>
      <c r="AJ505" s="309"/>
      <c r="AK505" s="68" t="s">
        <v>37</v>
      </c>
      <c r="AL505" s="68" t="s">
        <v>47</v>
      </c>
      <c r="AM505" s="299">
        <f t="shared" ca="1" si="55"/>
        <v>0.27083333333575865</v>
      </c>
      <c r="AN505" s="41"/>
      <c r="AO505" s="61" t="s">
        <v>53</v>
      </c>
      <c r="AP505" s="62" t="s">
        <v>1645</v>
      </c>
      <c r="AQ505" s="61" t="s">
        <v>1708</v>
      </c>
      <c r="AR505" s="64">
        <v>44880.6875</v>
      </c>
      <c r="AS505" s="61" t="s">
        <v>95</v>
      </c>
      <c r="AT505" s="61" t="s">
        <v>225</v>
      </c>
      <c r="AU505" s="59">
        <v>0.6875</v>
      </c>
      <c r="AV505" s="61">
        <v>1</v>
      </c>
      <c r="AW505" s="61" t="s">
        <v>66</v>
      </c>
      <c r="AX505" s="52"/>
      <c r="AY505" s="52"/>
      <c r="AZ505" s="52"/>
      <c r="BA505" s="52"/>
    </row>
    <row r="506" spans="1:54" ht="15.75" thickBot="1" x14ac:dyDescent="0.3">
      <c r="A506" s="73">
        <v>280</v>
      </c>
      <c r="B506" s="72">
        <v>44880.416666666664</v>
      </c>
      <c r="C506" s="67">
        <v>0.4201388888888889</v>
      </c>
      <c r="D506" s="67">
        <v>0.42708333333333331</v>
      </c>
      <c r="E506" s="67">
        <v>0.44444444444444442</v>
      </c>
      <c r="F506" s="68" t="s">
        <v>171</v>
      </c>
      <c r="G506" s="68" t="s">
        <v>95</v>
      </c>
      <c r="H506" s="68" t="s">
        <v>195</v>
      </c>
      <c r="I506" s="68" t="s">
        <v>195</v>
      </c>
      <c r="J506" s="68" t="s">
        <v>37</v>
      </c>
      <c r="K506" s="68" t="s">
        <v>180</v>
      </c>
      <c r="L506" s="68" t="s">
        <v>209</v>
      </c>
      <c r="M506" s="68" t="s">
        <v>1645</v>
      </c>
      <c r="N506" s="68" t="s">
        <v>44</v>
      </c>
      <c r="O506" s="68" t="s">
        <v>1646</v>
      </c>
      <c r="P506" s="68">
        <v>2101075365</v>
      </c>
      <c r="Q506" s="303">
        <f t="shared" si="56"/>
        <v>0</v>
      </c>
      <c r="R506" s="303">
        <f t="shared" si="57"/>
        <v>0</v>
      </c>
      <c r="S506" s="68">
        <v>0</v>
      </c>
      <c r="T506" s="68">
        <v>0</v>
      </c>
      <c r="U506" s="68">
        <v>0</v>
      </c>
      <c r="V506" s="68">
        <v>0</v>
      </c>
      <c r="W506" s="68">
        <v>0</v>
      </c>
      <c r="X506" s="68">
        <v>116</v>
      </c>
      <c r="Y506" s="68">
        <v>80</v>
      </c>
      <c r="Z506" s="68">
        <v>96</v>
      </c>
      <c r="AA506" s="68">
        <v>1</v>
      </c>
      <c r="AB506" s="300">
        <f t="shared" si="58"/>
        <v>148.47999999999999</v>
      </c>
      <c r="AC506" s="300">
        <f t="shared" si="59"/>
        <v>0.8944578313253011</v>
      </c>
      <c r="AD506" s="68">
        <v>0</v>
      </c>
      <c r="AE506" s="68">
        <v>0</v>
      </c>
      <c r="AF506" s="68" t="s">
        <v>317</v>
      </c>
      <c r="AG506" s="68" t="s">
        <v>317</v>
      </c>
      <c r="AH506" s="68" t="s">
        <v>1647</v>
      </c>
      <c r="AI506" s="309"/>
      <c r="AJ506" s="309"/>
      <c r="AK506" s="68" t="s">
        <v>37</v>
      </c>
      <c r="AL506" s="68" t="s">
        <v>47</v>
      </c>
      <c r="AM506" s="299">
        <f t="shared" ca="1" si="55"/>
        <v>0.27083333333575865</v>
      </c>
      <c r="AN506" s="41"/>
      <c r="AO506" s="61" t="s">
        <v>53</v>
      </c>
      <c r="AP506" s="62" t="s">
        <v>1645</v>
      </c>
      <c r="AQ506" s="61" t="s">
        <v>1708</v>
      </c>
      <c r="AR506" s="64">
        <v>44880.6875</v>
      </c>
      <c r="AS506" s="61" t="s">
        <v>95</v>
      </c>
      <c r="AT506" s="61" t="s">
        <v>225</v>
      </c>
      <c r="AU506" s="59">
        <v>0.6875</v>
      </c>
      <c r="AV506" s="61">
        <v>1</v>
      </c>
      <c r="AW506" s="61" t="s">
        <v>66</v>
      </c>
      <c r="AX506" s="52"/>
      <c r="AY506" s="52"/>
      <c r="AZ506" s="52"/>
      <c r="BA506" s="52"/>
    </row>
    <row r="507" spans="1:54" ht="15.75" thickBot="1" x14ac:dyDescent="0.3">
      <c r="A507" s="48">
        <v>281</v>
      </c>
      <c r="B507" s="72">
        <v>44880.416666666664</v>
      </c>
      <c r="C507" s="67">
        <v>0.4201388888888889</v>
      </c>
      <c r="D507" s="67">
        <v>0.42708333333333331</v>
      </c>
      <c r="E507" s="67">
        <v>0.44444444444444442</v>
      </c>
      <c r="F507" s="68" t="s">
        <v>171</v>
      </c>
      <c r="G507" s="68" t="s">
        <v>95</v>
      </c>
      <c r="H507" s="68" t="s">
        <v>195</v>
      </c>
      <c r="I507" s="68" t="s">
        <v>195</v>
      </c>
      <c r="J507" s="68" t="s">
        <v>37</v>
      </c>
      <c r="K507" s="68" t="s">
        <v>180</v>
      </c>
      <c r="L507" s="68" t="s">
        <v>209</v>
      </c>
      <c r="M507" s="68" t="s">
        <v>1645</v>
      </c>
      <c r="N507" s="68" t="s">
        <v>44</v>
      </c>
      <c r="O507" s="68" t="s">
        <v>1648</v>
      </c>
      <c r="P507" s="68">
        <v>2101073746</v>
      </c>
      <c r="Q507" s="303">
        <f t="shared" si="56"/>
        <v>1</v>
      </c>
      <c r="R507" s="303">
        <f t="shared" si="57"/>
        <v>91</v>
      </c>
      <c r="S507" s="68">
        <v>0</v>
      </c>
      <c r="T507" s="68">
        <v>0</v>
      </c>
      <c r="U507" s="68">
        <v>1</v>
      </c>
      <c r="V507" s="68">
        <v>91</v>
      </c>
      <c r="W507" s="68">
        <v>89</v>
      </c>
      <c r="X507" s="68">
        <v>80</v>
      </c>
      <c r="Y507" s="68">
        <v>62</v>
      </c>
      <c r="Z507" s="68">
        <v>65</v>
      </c>
      <c r="AA507" s="68">
        <v>1</v>
      </c>
      <c r="AB507" s="300">
        <f t="shared" si="58"/>
        <v>53.733333333333334</v>
      </c>
      <c r="AC507" s="300">
        <f t="shared" si="59"/>
        <v>0.32369477911646588</v>
      </c>
      <c r="AD507" s="68">
        <v>2577.36</v>
      </c>
      <c r="AE507" s="68" t="s">
        <v>109</v>
      </c>
      <c r="AF507" s="68" t="s">
        <v>317</v>
      </c>
      <c r="AG507" s="68" t="s">
        <v>317</v>
      </c>
      <c r="AH507" s="68" t="s">
        <v>1649</v>
      </c>
      <c r="AI507" s="309"/>
      <c r="AJ507" s="309"/>
      <c r="AK507" s="68" t="s">
        <v>37</v>
      </c>
      <c r="AL507" s="68" t="s">
        <v>47</v>
      </c>
      <c r="AM507" s="299">
        <f t="shared" ca="1" si="55"/>
        <v>0.27083333333575865</v>
      </c>
      <c r="AN507" s="41"/>
      <c r="AO507" s="61" t="s">
        <v>53</v>
      </c>
      <c r="AP507" s="62" t="s">
        <v>1645</v>
      </c>
      <c r="AQ507" s="61" t="s">
        <v>1708</v>
      </c>
      <c r="AR507" s="64">
        <v>44880.6875</v>
      </c>
      <c r="AS507" s="61" t="s">
        <v>95</v>
      </c>
      <c r="AT507" s="61" t="s">
        <v>225</v>
      </c>
      <c r="AU507" s="59">
        <v>0.6875</v>
      </c>
      <c r="AV507" s="61">
        <v>1</v>
      </c>
      <c r="AW507" s="61" t="s">
        <v>66</v>
      </c>
      <c r="AX507" s="52"/>
      <c r="AY507" s="52"/>
      <c r="AZ507" s="52"/>
      <c r="BA507" s="52"/>
    </row>
    <row r="508" spans="1:54" ht="15.75" thickBot="1" x14ac:dyDescent="0.3">
      <c r="A508" s="48">
        <v>282</v>
      </c>
      <c r="B508" s="72">
        <v>44880.486111111109</v>
      </c>
      <c r="C508" s="67">
        <v>0.48958333333333331</v>
      </c>
      <c r="D508" s="67">
        <v>0.49305555555555558</v>
      </c>
      <c r="E508" s="67">
        <v>0.5</v>
      </c>
      <c r="F508" s="68" t="s">
        <v>171</v>
      </c>
      <c r="G508" s="68" t="s">
        <v>1650</v>
      </c>
      <c r="H508" s="68" t="s">
        <v>85</v>
      </c>
      <c r="I508" s="68" t="s">
        <v>86</v>
      </c>
      <c r="J508" s="68" t="s">
        <v>37</v>
      </c>
      <c r="K508" s="68" t="s">
        <v>180</v>
      </c>
      <c r="L508" s="69" t="s">
        <v>206</v>
      </c>
      <c r="M508" s="68" t="s">
        <v>1651</v>
      </c>
      <c r="N508" s="68" t="s">
        <v>42</v>
      </c>
      <c r="O508" s="68" t="s">
        <v>1652</v>
      </c>
      <c r="P508" s="68" t="s">
        <v>1653</v>
      </c>
      <c r="Q508" s="303">
        <f t="shared" si="56"/>
        <v>3</v>
      </c>
      <c r="R508" s="303">
        <f t="shared" si="57"/>
        <v>609</v>
      </c>
      <c r="S508" s="68">
        <v>0</v>
      </c>
      <c r="T508" s="68">
        <v>0</v>
      </c>
      <c r="U508" s="68">
        <v>3</v>
      </c>
      <c r="V508" s="68">
        <v>609</v>
      </c>
      <c r="W508" s="68">
        <v>592</v>
      </c>
      <c r="X508" s="68">
        <v>120</v>
      </c>
      <c r="Y508" s="68">
        <v>80</v>
      </c>
      <c r="Z508" s="68">
        <v>89</v>
      </c>
      <c r="AA508" s="68">
        <v>2</v>
      </c>
      <c r="AB508" s="300">
        <f t="shared" si="58"/>
        <v>284.8</v>
      </c>
      <c r="AC508" s="300">
        <f t="shared" si="59"/>
        <v>1.7156626506024097</v>
      </c>
      <c r="AD508" s="68">
        <v>7542.22</v>
      </c>
      <c r="AE508" s="68" t="s">
        <v>109</v>
      </c>
      <c r="AF508" s="68" t="s">
        <v>317</v>
      </c>
      <c r="AG508" s="68" t="s">
        <v>317</v>
      </c>
      <c r="AH508" s="68" t="s">
        <v>1654</v>
      </c>
      <c r="AI508" s="309"/>
      <c r="AJ508" s="309"/>
      <c r="AK508" s="68" t="s">
        <v>37</v>
      </c>
      <c r="AL508" s="68" t="s">
        <v>49</v>
      </c>
      <c r="AM508" s="299">
        <f t="shared" ca="1" si="55"/>
        <v>2.0416666666715173</v>
      </c>
      <c r="AN508" s="41"/>
      <c r="AO508" s="78" t="s">
        <v>87</v>
      </c>
      <c r="AP508" s="62" t="s">
        <v>1651</v>
      </c>
      <c r="AQ508" s="61" t="s">
        <v>1889</v>
      </c>
      <c r="AR508" s="64">
        <v>44882.527777777781</v>
      </c>
      <c r="AS508" s="57" t="s">
        <v>173</v>
      </c>
      <c r="AT508" s="61" t="s">
        <v>225</v>
      </c>
      <c r="AU508" s="63">
        <v>0.52777777777777779</v>
      </c>
      <c r="AV508" s="61">
        <v>1</v>
      </c>
      <c r="AW508" s="61" t="s">
        <v>66</v>
      </c>
      <c r="AX508" s="52"/>
      <c r="AY508" s="52"/>
      <c r="AZ508" s="52"/>
      <c r="BA508" s="52"/>
    </row>
    <row r="509" spans="1:54" ht="15.75" thickBot="1" x14ac:dyDescent="0.3">
      <c r="A509" s="73">
        <v>282</v>
      </c>
      <c r="B509" s="72">
        <v>44880.486111111109</v>
      </c>
      <c r="C509" s="67">
        <v>0.48958333333333331</v>
      </c>
      <c r="D509" s="67">
        <v>0.49305555555555558</v>
      </c>
      <c r="E509" s="67">
        <v>0.5</v>
      </c>
      <c r="F509" s="68" t="s">
        <v>171</v>
      </c>
      <c r="G509" s="68" t="s">
        <v>1650</v>
      </c>
      <c r="H509" s="68" t="s">
        <v>85</v>
      </c>
      <c r="I509" s="68" t="s">
        <v>86</v>
      </c>
      <c r="J509" s="68" t="s">
        <v>37</v>
      </c>
      <c r="K509" s="68" t="s">
        <v>180</v>
      </c>
      <c r="L509" s="69" t="s">
        <v>206</v>
      </c>
      <c r="M509" s="68" t="s">
        <v>1651</v>
      </c>
      <c r="N509" s="68" t="s">
        <v>42</v>
      </c>
      <c r="O509" s="68" t="s">
        <v>1652</v>
      </c>
      <c r="P509" s="68" t="s">
        <v>1653</v>
      </c>
      <c r="Q509" s="303">
        <f t="shared" si="56"/>
        <v>0</v>
      </c>
      <c r="R509" s="303">
        <f t="shared" si="57"/>
        <v>0</v>
      </c>
      <c r="S509" s="68">
        <v>0</v>
      </c>
      <c r="T509" s="68">
        <v>0</v>
      </c>
      <c r="U509" s="68">
        <v>0</v>
      </c>
      <c r="V509" s="68">
        <v>0</v>
      </c>
      <c r="W509" s="68">
        <v>0</v>
      </c>
      <c r="X509" s="68">
        <v>99</v>
      </c>
      <c r="Y509" s="68">
        <v>69</v>
      </c>
      <c r="Z509" s="68">
        <v>52</v>
      </c>
      <c r="AA509" s="68">
        <v>1</v>
      </c>
      <c r="AB509" s="300">
        <f t="shared" si="58"/>
        <v>59.201999999999998</v>
      </c>
      <c r="AC509" s="300">
        <f t="shared" si="59"/>
        <v>0.35663855421686746</v>
      </c>
      <c r="AD509" s="68">
        <v>0</v>
      </c>
      <c r="AE509" s="68">
        <v>0</v>
      </c>
      <c r="AF509" s="68" t="s">
        <v>317</v>
      </c>
      <c r="AG509" s="68" t="s">
        <v>317</v>
      </c>
      <c r="AH509" s="68" t="s">
        <v>1654</v>
      </c>
      <c r="AI509" s="309"/>
      <c r="AJ509" s="309"/>
      <c r="AK509" s="68" t="s">
        <v>37</v>
      </c>
      <c r="AL509" s="68" t="s">
        <v>49</v>
      </c>
      <c r="AM509" s="299">
        <f t="shared" ca="1" si="55"/>
        <v>2.0416666666715173</v>
      </c>
      <c r="AN509" s="41"/>
      <c r="AO509" s="78" t="s">
        <v>87</v>
      </c>
      <c r="AP509" s="62" t="s">
        <v>1651</v>
      </c>
      <c r="AQ509" s="61" t="s">
        <v>1889</v>
      </c>
      <c r="AR509" s="64">
        <v>44882.527777777781</v>
      </c>
      <c r="AS509" s="57" t="s">
        <v>173</v>
      </c>
      <c r="AT509" s="61" t="s">
        <v>225</v>
      </c>
      <c r="AU509" s="63">
        <v>0.52777777777777779</v>
      </c>
      <c r="AV509" s="61">
        <v>1</v>
      </c>
      <c r="AW509" s="61" t="s">
        <v>66</v>
      </c>
      <c r="AX509" s="52"/>
      <c r="AY509" s="52"/>
      <c r="AZ509" s="52"/>
      <c r="BA509" s="52"/>
    </row>
    <row r="510" spans="1:54" ht="15.75" thickBot="1" x14ac:dyDescent="0.3">
      <c r="A510" s="73">
        <v>283</v>
      </c>
      <c r="B510" s="72">
        <v>44880.583333333336</v>
      </c>
      <c r="C510" s="67">
        <v>0.59027777777777779</v>
      </c>
      <c r="D510" s="67">
        <v>0.60069444444444442</v>
      </c>
      <c r="E510" s="67">
        <v>0.62847222222222221</v>
      </c>
      <c r="F510" s="68" t="s">
        <v>169</v>
      </c>
      <c r="G510" s="68" t="s">
        <v>454</v>
      </c>
      <c r="H510" s="71" t="s">
        <v>130</v>
      </c>
      <c r="I510" s="71" t="s">
        <v>100</v>
      </c>
      <c r="J510" s="71" t="s">
        <v>37</v>
      </c>
      <c r="K510" s="71" t="s">
        <v>180</v>
      </c>
      <c r="L510" s="47" t="s">
        <v>206</v>
      </c>
      <c r="M510" s="68" t="s">
        <v>1662</v>
      </c>
      <c r="N510" s="68" t="s">
        <v>42</v>
      </c>
      <c r="O510" s="68" t="s">
        <v>1663</v>
      </c>
      <c r="P510" s="68" t="s">
        <v>1664</v>
      </c>
      <c r="Q510" s="303">
        <f t="shared" si="56"/>
        <v>2</v>
      </c>
      <c r="R510" s="303">
        <f t="shared" si="57"/>
        <v>23</v>
      </c>
      <c r="S510" s="68">
        <v>2</v>
      </c>
      <c r="T510" s="68">
        <v>23</v>
      </c>
      <c r="U510" s="68">
        <v>0</v>
      </c>
      <c r="V510" s="68">
        <v>0</v>
      </c>
      <c r="W510" s="68" t="s">
        <v>48</v>
      </c>
      <c r="X510" s="68">
        <v>55</v>
      </c>
      <c r="Y510" s="68">
        <v>41</v>
      </c>
      <c r="Z510" s="68">
        <v>31</v>
      </c>
      <c r="AA510" s="68">
        <v>2</v>
      </c>
      <c r="AB510" s="300">
        <f t="shared" si="58"/>
        <v>23.301666666666666</v>
      </c>
      <c r="AC510" s="300">
        <f t="shared" si="59"/>
        <v>0.1403714859437751</v>
      </c>
      <c r="AD510" s="68">
        <v>523.26</v>
      </c>
      <c r="AE510" s="68" t="s">
        <v>109</v>
      </c>
      <c r="AF510" s="68" t="s">
        <v>317</v>
      </c>
      <c r="AG510" s="68" t="s">
        <v>317</v>
      </c>
      <c r="AH510" s="68" t="s">
        <v>1665</v>
      </c>
      <c r="AI510" s="309"/>
      <c r="AJ510" s="309"/>
      <c r="AK510" s="68" t="s">
        <v>48</v>
      </c>
      <c r="AL510" s="68" t="s">
        <v>47</v>
      </c>
      <c r="AM510" s="299">
        <f t="shared" ca="1" si="55"/>
        <v>8.6805555554747116E-2</v>
      </c>
      <c r="AN510" s="75"/>
      <c r="AO510" s="61" t="s">
        <v>135</v>
      </c>
      <c r="AP510" s="62" t="s">
        <v>1662</v>
      </c>
      <c r="AQ510" s="61" t="s">
        <v>1661</v>
      </c>
      <c r="AR510" s="64">
        <v>44880.670138888891</v>
      </c>
      <c r="AS510" s="61" t="s">
        <v>117</v>
      </c>
      <c r="AT510" s="61" t="s">
        <v>225</v>
      </c>
      <c r="AU510" s="59">
        <v>0.67013888888888884</v>
      </c>
      <c r="AV510" s="61">
        <v>2</v>
      </c>
      <c r="AW510" s="61" t="s">
        <v>66</v>
      </c>
      <c r="AX510" s="76"/>
      <c r="AY510" s="76"/>
      <c r="AZ510" s="76"/>
      <c r="BA510" s="76"/>
      <c r="BB510" s="74"/>
    </row>
    <row r="511" spans="1:54" ht="15.75" thickBot="1" x14ac:dyDescent="0.3">
      <c r="A511" s="73">
        <v>284</v>
      </c>
      <c r="B511" s="72">
        <v>44880.583333333336</v>
      </c>
      <c r="C511" s="67">
        <v>0.59027777777777779</v>
      </c>
      <c r="D511" s="67">
        <v>0.60069444444444442</v>
      </c>
      <c r="E511" s="67">
        <v>0.62847222222222221</v>
      </c>
      <c r="F511" s="68" t="s">
        <v>169</v>
      </c>
      <c r="G511" s="68" t="s">
        <v>454</v>
      </c>
      <c r="H511" s="66" t="s">
        <v>130</v>
      </c>
      <c r="I511" s="66" t="s">
        <v>100</v>
      </c>
      <c r="J511" s="66" t="s">
        <v>37</v>
      </c>
      <c r="K511" s="66" t="s">
        <v>180</v>
      </c>
      <c r="L511" s="70" t="s">
        <v>206</v>
      </c>
      <c r="M511" s="68" t="s">
        <v>1666</v>
      </c>
      <c r="N511" s="68" t="s">
        <v>42</v>
      </c>
      <c r="O511" s="68" t="s">
        <v>1667</v>
      </c>
      <c r="P511" s="68" t="s">
        <v>1668</v>
      </c>
      <c r="Q511" s="303">
        <f t="shared" si="56"/>
        <v>8</v>
      </c>
      <c r="R511" s="303">
        <f t="shared" si="57"/>
        <v>79</v>
      </c>
      <c r="S511" s="68">
        <v>8</v>
      </c>
      <c r="T511" s="68">
        <v>79</v>
      </c>
      <c r="U511" s="68">
        <v>0</v>
      </c>
      <c r="V511" s="68">
        <v>0</v>
      </c>
      <c r="W511" s="68" t="s">
        <v>48</v>
      </c>
      <c r="X511" s="68">
        <v>58</v>
      </c>
      <c r="Y511" s="68">
        <v>38</v>
      </c>
      <c r="Z511" s="68">
        <v>29</v>
      </c>
      <c r="AA511" s="68">
        <v>5</v>
      </c>
      <c r="AB511" s="300">
        <f t="shared" si="58"/>
        <v>53.263333333333335</v>
      </c>
      <c r="AC511" s="300">
        <f t="shared" si="59"/>
        <v>0.32086345381526105</v>
      </c>
      <c r="AD511" s="68">
        <v>1781.82</v>
      </c>
      <c r="AE511" s="68" t="s">
        <v>109</v>
      </c>
      <c r="AF511" s="68" t="s">
        <v>317</v>
      </c>
      <c r="AG511" s="68" t="s">
        <v>317</v>
      </c>
      <c r="AH511" s="68" t="s">
        <v>1669</v>
      </c>
      <c r="AI511" s="309"/>
      <c r="AJ511" s="309"/>
      <c r="AK511" s="68" t="s">
        <v>48</v>
      </c>
      <c r="AL511" s="68" t="s">
        <v>47</v>
      </c>
      <c r="AM511" s="299">
        <f t="shared" ca="1" si="55"/>
        <v>8.6805555554747116E-2</v>
      </c>
      <c r="AN511" s="75"/>
      <c r="AO511" s="61" t="s">
        <v>135</v>
      </c>
      <c r="AP511" s="62" t="s">
        <v>1666</v>
      </c>
      <c r="AQ511" s="61" t="s">
        <v>1661</v>
      </c>
      <c r="AR511" s="64">
        <v>44880.670138888891</v>
      </c>
      <c r="AS511" s="61" t="s">
        <v>117</v>
      </c>
      <c r="AT511" s="61" t="s">
        <v>225</v>
      </c>
      <c r="AU511" s="59">
        <v>0.67013888888888884</v>
      </c>
      <c r="AV511" s="61">
        <v>2</v>
      </c>
      <c r="AW511" s="61" t="s">
        <v>66</v>
      </c>
      <c r="AX511" s="76"/>
      <c r="AY511" s="76"/>
      <c r="AZ511" s="76"/>
      <c r="BA511" s="76"/>
      <c r="BB511" s="74"/>
    </row>
    <row r="512" spans="1:54" ht="15.75" thickBot="1" x14ac:dyDescent="0.3">
      <c r="A512" s="73">
        <v>284</v>
      </c>
      <c r="B512" s="72">
        <v>44880.583333333336</v>
      </c>
      <c r="C512" s="67">
        <v>0.59027777777777779</v>
      </c>
      <c r="D512" s="67">
        <v>0.60069444444444442</v>
      </c>
      <c r="E512" s="67">
        <v>0.62847222222222221</v>
      </c>
      <c r="F512" s="68" t="s">
        <v>169</v>
      </c>
      <c r="G512" s="68" t="s">
        <v>454</v>
      </c>
      <c r="H512" s="66" t="s">
        <v>130</v>
      </c>
      <c r="I512" s="66" t="s">
        <v>100</v>
      </c>
      <c r="J512" s="66" t="s">
        <v>37</v>
      </c>
      <c r="K512" s="66" t="s">
        <v>180</v>
      </c>
      <c r="L512" s="70" t="s">
        <v>206</v>
      </c>
      <c r="M512" s="68" t="s">
        <v>1666</v>
      </c>
      <c r="N512" s="68" t="s">
        <v>42</v>
      </c>
      <c r="O512" s="68" t="s">
        <v>1667</v>
      </c>
      <c r="P512" s="68" t="s">
        <v>1668</v>
      </c>
      <c r="Q512" s="303">
        <f t="shared" si="56"/>
        <v>0</v>
      </c>
      <c r="R512" s="303">
        <f t="shared" si="57"/>
        <v>0</v>
      </c>
      <c r="S512" s="68">
        <v>0</v>
      </c>
      <c r="T512" s="68">
        <v>0</v>
      </c>
      <c r="U512" s="68">
        <v>0</v>
      </c>
      <c r="V512" s="68">
        <v>0</v>
      </c>
      <c r="W512" s="68">
        <v>0</v>
      </c>
      <c r="X512" s="68">
        <v>58</v>
      </c>
      <c r="Y512" s="68">
        <v>38</v>
      </c>
      <c r="Z512" s="68">
        <v>16</v>
      </c>
      <c r="AA512" s="68">
        <v>1</v>
      </c>
      <c r="AB512" s="300">
        <f t="shared" si="58"/>
        <v>5.8773333333333335</v>
      </c>
      <c r="AC512" s="300">
        <f t="shared" si="59"/>
        <v>3.5405622489959841E-2</v>
      </c>
      <c r="AD512" s="68">
        <v>0</v>
      </c>
      <c r="AE512" s="68">
        <v>0</v>
      </c>
      <c r="AF512" s="68" t="s">
        <v>317</v>
      </c>
      <c r="AG512" s="68" t="s">
        <v>317</v>
      </c>
      <c r="AH512" s="68" t="s">
        <v>1669</v>
      </c>
      <c r="AI512" s="309"/>
      <c r="AJ512" s="309"/>
      <c r="AK512" s="68" t="s">
        <v>48</v>
      </c>
      <c r="AL512" s="68" t="s">
        <v>47</v>
      </c>
      <c r="AM512" s="299">
        <f t="shared" ca="1" si="55"/>
        <v>8.6805555554747116E-2</v>
      </c>
      <c r="AN512" s="75"/>
      <c r="AO512" s="61" t="s">
        <v>135</v>
      </c>
      <c r="AP512" s="62" t="s">
        <v>1666</v>
      </c>
      <c r="AQ512" s="61" t="s">
        <v>1661</v>
      </c>
      <c r="AR512" s="64">
        <v>44880.670138888891</v>
      </c>
      <c r="AS512" s="61" t="s">
        <v>117</v>
      </c>
      <c r="AT512" s="61" t="s">
        <v>225</v>
      </c>
      <c r="AU512" s="59">
        <v>0.67013888888888884</v>
      </c>
      <c r="AV512" s="61">
        <v>2</v>
      </c>
      <c r="AW512" s="61" t="s">
        <v>66</v>
      </c>
      <c r="AX512" s="76"/>
      <c r="AY512" s="76"/>
      <c r="AZ512" s="76"/>
      <c r="BA512" s="76"/>
      <c r="BB512" s="74"/>
    </row>
    <row r="513" spans="1:54" ht="15.75" thickBot="1" x14ac:dyDescent="0.3">
      <c r="A513" s="73">
        <v>284</v>
      </c>
      <c r="B513" s="72">
        <v>44880.583333333336</v>
      </c>
      <c r="C513" s="67">
        <v>0.59027777777777779</v>
      </c>
      <c r="D513" s="67">
        <v>0.60069444444444442</v>
      </c>
      <c r="E513" s="67">
        <v>0.62847222222222221</v>
      </c>
      <c r="F513" s="68" t="s">
        <v>169</v>
      </c>
      <c r="G513" s="68" t="s">
        <v>454</v>
      </c>
      <c r="H513" s="66" t="s">
        <v>130</v>
      </c>
      <c r="I513" s="66" t="s">
        <v>100</v>
      </c>
      <c r="J513" s="66" t="s">
        <v>37</v>
      </c>
      <c r="K513" s="66" t="s">
        <v>180</v>
      </c>
      <c r="L513" s="70" t="s">
        <v>206</v>
      </c>
      <c r="M513" s="68" t="s">
        <v>1666</v>
      </c>
      <c r="N513" s="68" t="s">
        <v>42</v>
      </c>
      <c r="O513" s="68" t="s">
        <v>1667</v>
      </c>
      <c r="P513" s="68" t="s">
        <v>1668</v>
      </c>
      <c r="Q513" s="303">
        <f t="shared" si="56"/>
        <v>0</v>
      </c>
      <c r="R513" s="303">
        <f t="shared" si="57"/>
        <v>0</v>
      </c>
      <c r="S513" s="68">
        <v>0</v>
      </c>
      <c r="T513" s="68">
        <v>0</v>
      </c>
      <c r="U513" s="68">
        <v>0</v>
      </c>
      <c r="V513" s="68">
        <v>0</v>
      </c>
      <c r="W513" s="68">
        <v>0</v>
      </c>
      <c r="X513" s="68">
        <v>38</v>
      </c>
      <c r="Y513" s="68">
        <v>29</v>
      </c>
      <c r="Z513" s="68">
        <v>15</v>
      </c>
      <c r="AA513" s="68">
        <v>2</v>
      </c>
      <c r="AB513" s="300">
        <f t="shared" si="58"/>
        <v>5.51</v>
      </c>
      <c r="AC513" s="300">
        <f t="shared" si="59"/>
        <v>3.3192771084337346E-2</v>
      </c>
      <c r="AD513" s="68">
        <v>0</v>
      </c>
      <c r="AE513" s="68">
        <v>0</v>
      </c>
      <c r="AF513" s="68" t="s">
        <v>317</v>
      </c>
      <c r="AG513" s="68" t="s">
        <v>317</v>
      </c>
      <c r="AH513" s="68" t="s">
        <v>1669</v>
      </c>
      <c r="AI513" s="309"/>
      <c r="AJ513" s="309"/>
      <c r="AK513" s="68" t="s">
        <v>48</v>
      </c>
      <c r="AL513" s="68" t="s">
        <v>47</v>
      </c>
      <c r="AM513" s="299">
        <f t="shared" ca="1" si="55"/>
        <v>8.6805555554747116E-2</v>
      </c>
      <c r="AN513" s="75"/>
      <c r="AO513" s="61" t="s">
        <v>135</v>
      </c>
      <c r="AP513" s="62" t="s">
        <v>1666</v>
      </c>
      <c r="AQ513" s="61" t="s">
        <v>1661</v>
      </c>
      <c r="AR513" s="64">
        <v>44880.670138888891</v>
      </c>
      <c r="AS513" s="61" t="s">
        <v>117</v>
      </c>
      <c r="AT513" s="61" t="s">
        <v>225</v>
      </c>
      <c r="AU513" s="59">
        <v>0.67013888888888884</v>
      </c>
      <c r="AV513" s="61">
        <v>2</v>
      </c>
      <c r="AW513" s="61" t="s">
        <v>66</v>
      </c>
      <c r="AX513" s="76"/>
      <c r="AY513" s="76"/>
      <c r="AZ513" s="76"/>
      <c r="BA513" s="76"/>
      <c r="BB513" s="74"/>
    </row>
    <row r="514" spans="1:54" ht="15.75" thickBot="1" x14ac:dyDescent="0.3">
      <c r="A514" s="73">
        <v>285</v>
      </c>
      <c r="B514" s="72">
        <v>44880.611111111109</v>
      </c>
      <c r="C514" s="67">
        <v>0.61458333333333337</v>
      </c>
      <c r="D514" s="67">
        <v>0.625</v>
      </c>
      <c r="E514" s="67">
        <v>0.63194444444444442</v>
      </c>
      <c r="F514" s="68" t="s">
        <v>169</v>
      </c>
      <c r="G514" s="68" t="s">
        <v>454</v>
      </c>
      <c r="H514" s="66" t="s">
        <v>974</v>
      </c>
      <c r="I514" s="66" t="s">
        <v>80</v>
      </c>
      <c r="J514" s="66" t="s">
        <v>37</v>
      </c>
      <c r="K514" s="66" t="s">
        <v>61</v>
      </c>
      <c r="L514" s="66">
        <v>0</v>
      </c>
      <c r="M514" s="68" t="s">
        <v>1670</v>
      </c>
      <c r="N514" s="68" t="s">
        <v>74</v>
      </c>
      <c r="O514" s="68" t="s">
        <v>1671</v>
      </c>
      <c r="P514" s="68" t="s">
        <v>1672</v>
      </c>
      <c r="Q514" s="303">
        <f t="shared" si="56"/>
        <v>16</v>
      </c>
      <c r="R514" s="303">
        <f t="shared" si="57"/>
        <v>157</v>
      </c>
      <c r="S514" s="68">
        <v>16</v>
      </c>
      <c r="T514" s="68">
        <v>157</v>
      </c>
      <c r="U514" s="68">
        <v>0</v>
      </c>
      <c r="V514" s="68">
        <v>0</v>
      </c>
      <c r="W514" s="68">
        <v>155.5</v>
      </c>
      <c r="X514" s="68">
        <v>61</v>
      </c>
      <c r="Y514" s="68">
        <v>47</v>
      </c>
      <c r="Z514" s="68">
        <v>29</v>
      </c>
      <c r="AA514" s="68">
        <v>16</v>
      </c>
      <c r="AB514" s="300">
        <f t="shared" si="58"/>
        <v>221.71466666666666</v>
      </c>
      <c r="AC514" s="300">
        <f t="shared" si="59"/>
        <v>1.3356305220883533</v>
      </c>
      <c r="AD514" s="68">
        <v>4866.95</v>
      </c>
      <c r="AE514" s="68" t="s">
        <v>109</v>
      </c>
      <c r="AF514" s="68" t="s">
        <v>317</v>
      </c>
      <c r="AG514" s="68" t="s">
        <v>317</v>
      </c>
      <c r="AH514" s="68" t="s">
        <v>1673</v>
      </c>
      <c r="AI514" s="309"/>
      <c r="AJ514" s="309"/>
      <c r="AK514" s="68" t="s">
        <v>48</v>
      </c>
      <c r="AL514" s="68" t="s">
        <v>50</v>
      </c>
      <c r="AM514" s="299">
        <f t="shared" ca="1" si="55"/>
        <v>1.09375</v>
      </c>
      <c r="AN514" s="75"/>
      <c r="AO514" s="61" t="s">
        <v>121</v>
      </c>
      <c r="AP514" s="62" t="s">
        <v>1670</v>
      </c>
      <c r="AQ514" s="61" t="s">
        <v>1801</v>
      </c>
      <c r="AR514" s="64">
        <v>44881.704861111109</v>
      </c>
      <c r="AS514" s="61" t="s">
        <v>304</v>
      </c>
      <c r="AT514" s="61" t="s">
        <v>65</v>
      </c>
      <c r="AU514" s="59">
        <v>0.70486111111111116</v>
      </c>
      <c r="AV514" s="61">
        <v>1</v>
      </c>
      <c r="AW514" s="61" t="s">
        <v>66</v>
      </c>
      <c r="AX514" s="76"/>
      <c r="AY514" s="76"/>
      <c r="AZ514" s="76"/>
      <c r="BA514" s="76"/>
      <c r="BB514" s="74"/>
    </row>
    <row r="515" spans="1:54" ht="15.75" thickBot="1" x14ac:dyDescent="0.3">
      <c r="A515" s="73">
        <v>286</v>
      </c>
      <c r="B515" s="72">
        <v>44880.611111111109</v>
      </c>
      <c r="C515" s="67">
        <v>0.61458333333333337</v>
      </c>
      <c r="D515" s="67">
        <v>0.625</v>
      </c>
      <c r="E515" s="67">
        <v>0.63194444444444442</v>
      </c>
      <c r="F515" s="68" t="s">
        <v>169</v>
      </c>
      <c r="G515" s="68" t="s">
        <v>454</v>
      </c>
      <c r="H515" s="66" t="s">
        <v>974</v>
      </c>
      <c r="I515" s="66" t="s">
        <v>80</v>
      </c>
      <c r="J515" s="66" t="s">
        <v>37</v>
      </c>
      <c r="K515" s="66" t="s">
        <v>61</v>
      </c>
      <c r="L515" s="66">
        <v>0</v>
      </c>
      <c r="M515" s="68" t="s">
        <v>1674</v>
      </c>
      <c r="N515" s="68" t="s">
        <v>42</v>
      </c>
      <c r="O515" s="68" t="s">
        <v>1675</v>
      </c>
      <c r="P515" s="68" t="s">
        <v>1676</v>
      </c>
      <c r="Q515" s="303">
        <f t="shared" si="56"/>
        <v>15</v>
      </c>
      <c r="R515" s="303">
        <f t="shared" si="57"/>
        <v>134</v>
      </c>
      <c r="S515" s="68">
        <v>15</v>
      </c>
      <c r="T515" s="68">
        <v>134</v>
      </c>
      <c r="U515" s="68">
        <v>0</v>
      </c>
      <c r="V515" s="68">
        <v>0</v>
      </c>
      <c r="W515" s="68">
        <v>132.19999999999999</v>
      </c>
      <c r="X515" s="68">
        <v>58</v>
      </c>
      <c r="Y515" s="68">
        <v>38</v>
      </c>
      <c r="Z515" s="68">
        <v>29</v>
      </c>
      <c r="AA515" s="68">
        <v>15</v>
      </c>
      <c r="AB515" s="300">
        <f t="shared" si="58"/>
        <v>159.79</v>
      </c>
      <c r="AC515" s="300">
        <f t="shared" si="59"/>
        <v>0.96259036144578314</v>
      </c>
      <c r="AD515" s="68">
        <v>4473</v>
      </c>
      <c r="AE515" s="68" t="s">
        <v>109</v>
      </c>
      <c r="AF515" s="68" t="s">
        <v>317</v>
      </c>
      <c r="AG515" s="68" t="s">
        <v>317</v>
      </c>
      <c r="AH515" s="68" t="s">
        <v>1677</v>
      </c>
      <c r="AI515" s="309"/>
      <c r="AJ515" s="309"/>
      <c r="AK515" s="68" t="s">
        <v>48</v>
      </c>
      <c r="AL515" s="68" t="s">
        <v>50</v>
      </c>
      <c r="AM515" s="299">
        <f t="shared" ca="1" si="55"/>
        <v>1.9166666666715173</v>
      </c>
      <c r="AN515" s="75"/>
      <c r="AO515" s="78" t="s">
        <v>93</v>
      </c>
      <c r="AP515" s="62" t="s">
        <v>1674</v>
      </c>
      <c r="AQ515" s="61" t="s">
        <v>1889</v>
      </c>
      <c r="AR515" s="64">
        <v>44882.527777777781</v>
      </c>
      <c r="AS515" s="57" t="s">
        <v>173</v>
      </c>
      <c r="AT515" s="61" t="s">
        <v>225</v>
      </c>
      <c r="AU515" s="63">
        <v>0.52777777777777779</v>
      </c>
      <c r="AV515" s="61">
        <v>1</v>
      </c>
      <c r="AW515" s="61" t="s">
        <v>66</v>
      </c>
      <c r="AX515" s="76"/>
      <c r="AY515" s="76"/>
      <c r="AZ515" s="76"/>
      <c r="BA515" s="76"/>
      <c r="BB515" s="74"/>
    </row>
    <row r="516" spans="1:54" ht="15.75" thickBot="1" x14ac:dyDescent="0.3">
      <c r="A516" s="73">
        <v>287</v>
      </c>
      <c r="B516" s="72">
        <v>44880.625</v>
      </c>
      <c r="C516" s="67">
        <v>0.625</v>
      </c>
      <c r="D516" s="67">
        <v>0.63194444444444442</v>
      </c>
      <c r="E516" s="67">
        <v>0.63541666666666663</v>
      </c>
      <c r="F516" s="68" t="s">
        <v>171</v>
      </c>
      <c r="G516" s="68" t="s">
        <v>811</v>
      </c>
      <c r="H516" s="66" t="s">
        <v>178</v>
      </c>
      <c r="I516" s="66" t="s">
        <v>1678</v>
      </c>
      <c r="J516" s="66" t="s">
        <v>37</v>
      </c>
      <c r="K516" s="66" t="s">
        <v>180</v>
      </c>
      <c r="L516" s="70" t="s">
        <v>206</v>
      </c>
      <c r="M516" s="68" t="s">
        <v>1679</v>
      </c>
      <c r="N516" s="68" t="s">
        <v>42</v>
      </c>
      <c r="O516" s="68" t="s">
        <v>1680</v>
      </c>
      <c r="P516" s="68">
        <v>28588297</v>
      </c>
      <c r="Q516" s="303">
        <f t="shared" si="56"/>
        <v>1</v>
      </c>
      <c r="R516" s="303">
        <f t="shared" si="57"/>
        <v>93</v>
      </c>
      <c r="S516" s="68">
        <v>0</v>
      </c>
      <c r="T516" s="68">
        <v>0</v>
      </c>
      <c r="U516" s="68">
        <v>1</v>
      </c>
      <c r="V516" s="68">
        <v>93</v>
      </c>
      <c r="W516" s="68">
        <v>87</v>
      </c>
      <c r="X516" s="68">
        <v>110</v>
      </c>
      <c r="Y516" s="68">
        <v>110</v>
      </c>
      <c r="Z516" s="68">
        <v>104</v>
      </c>
      <c r="AA516" s="68">
        <v>1</v>
      </c>
      <c r="AB516" s="300">
        <f t="shared" si="58"/>
        <v>209.73333333333332</v>
      </c>
      <c r="AC516" s="300">
        <f t="shared" si="59"/>
        <v>1.2634538152610442</v>
      </c>
      <c r="AD516" s="68" t="s">
        <v>48</v>
      </c>
      <c r="AE516" s="68" t="s">
        <v>48</v>
      </c>
      <c r="AF516" s="68" t="s">
        <v>317</v>
      </c>
      <c r="AG516" s="68" t="s">
        <v>317</v>
      </c>
      <c r="AH516" s="68" t="s">
        <v>1681</v>
      </c>
      <c r="AI516" s="309"/>
      <c r="AJ516" s="309"/>
      <c r="AK516" s="68" t="s">
        <v>48</v>
      </c>
      <c r="AL516" s="68" t="s">
        <v>50</v>
      </c>
      <c r="AM516" s="299">
        <f t="shared" ca="1" si="55"/>
        <v>1.8229166666642413</v>
      </c>
      <c r="AN516" s="75"/>
      <c r="AO516" s="61" t="s">
        <v>177</v>
      </c>
      <c r="AP516" s="62" t="s">
        <v>1679</v>
      </c>
      <c r="AQ516" s="78" t="s">
        <v>1878</v>
      </c>
      <c r="AR516" s="64">
        <v>44882.447916666664</v>
      </c>
      <c r="AS516" s="61" t="s">
        <v>117</v>
      </c>
      <c r="AT516" s="61" t="s">
        <v>225</v>
      </c>
      <c r="AU516" s="59">
        <v>0.44791666666666669</v>
      </c>
      <c r="AV516" s="61">
        <v>1</v>
      </c>
      <c r="AW516" s="61" t="s">
        <v>66</v>
      </c>
      <c r="AX516" s="76"/>
      <c r="AY516" s="76"/>
      <c r="AZ516" s="76"/>
      <c r="BA516" s="76"/>
      <c r="BB516" s="74"/>
    </row>
    <row r="517" spans="1:54" ht="15.75" thickBot="1" x14ac:dyDescent="0.3">
      <c r="A517" s="73">
        <v>288</v>
      </c>
      <c r="B517" s="72">
        <v>44880.486111111109</v>
      </c>
      <c r="C517" s="67">
        <v>0.48958333333333331</v>
      </c>
      <c r="D517" s="67">
        <v>0.64583333333333337</v>
      </c>
      <c r="E517" s="67">
        <v>0.66666666666666663</v>
      </c>
      <c r="F517" s="68" t="s">
        <v>170</v>
      </c>
      <c r="G517" s="68" t="s">
        <v>1682</v>
      </c>
      <c r="H517" s="66" t="s">
        <v>227</v>
      </c>
      <c r="I517" s="66" t="s">
        <v>189</v>
      </c>
      <c r="J517" s="66" t="s">
        <v>37</v>
      </c>
      <c r="K517" s="66" t="s">
        <v>63</v>
      </c>
      <c r="L517" s="66" t="s">
        <v>209</v>
      </c>
      <c r="M517" s="68" t="s">
        <v>1683</v>
      </c>
      <c r="N517" s="68" t="s">
        <v>43</v>
      </c>
      <c r="O517" s="68">
        <v>917</v>
      </c>
      <c r="P517" s="68">
        <v>29000</v>
      </c>
      <c r="Q517" s="303">
        <f t="shared" si="56"/>
        <v>7</v>
      </c>
      <c r="R517" s="303">
        <f t="shared" si="57"/>
        <v>1389</v>
      </c>
      <c r="S517" s="68">
        <v>0</v>
      </c>
      <c r="T517" s="68">
        <v>0</v>
      </c>
      <c r="U517" s="68">
        <v>7</v>
      </c>
      <c r="V517" s="68">
        <v>1389</v>
      </c>
      <c r="W517" s="68">
        <v>1337</v>
      </c>
      <c r="X517" s="68">
        <v>160</v>
      </c>
      <c r="Y517" s="68">
        <v>138</v>
      </c>
      <c r="Z517" s="68">
        <v>79</v>
      </c>
      <c r="AA517" s="68">
        <v>7</v>
      </c>
      <c r="AB517" s="300">
        <f t="shared" si="58"/>
        <v>2035.04</v>
      </c>
      <c r="AC517" s="300">
        <f t="shared" si="59"/>
        <v>12.259277108433734</v>
      </c>
      <c r="AD517" s="68" t="s">
        <v>48</v>
      </c>
      <c r="AE517" s="68" t="s">
        <v>48</v>
      </c>
      <c r="AF517" s="68" t="s">
        <v>317</v>
      </c>
      <c r="AG517" s="68" t="s">
        <v>317</v>
      </c>
      <c r="AH517" s="68" t="s">
        <v>1684</v>
      </c>
      <c r="AI517" s="309"/>
      <c r="AJ517" s="309"/>
      <c r="AK517" s="68" t="s">
        <v>37</v>
      </c>
      <c r="AL517" s="68" t="s">
        <v>39</v>
      </c>
      <c r="AM517" s="299">
        <f t="shared" ca="1" si="55"/>
        <v>1.0416666666715173</v>
      </c>
      <c r="AN517" s="75"/>
      <c r="AO517" s="61" t="s">
        <v>179</v>
      </c>
      <c r="AP517" s="62" t="s">
        <v>1794</v>
      </c>
      <c r="AQ517" s="61" t="s">
        <v>1795</v>
      </c>
      <c r="AR517" s="64">
        <v>44881.527777777781</v>
      </c>
      <c r="AS517" s="57" t="s">
        <v>173</v>
      </c>
      <c r="AT517" s="61" t="s">
        <v>225</v>
      </c>
      <c r="AU517" s="63">
        <v>0.52777777777777779</v>
      </c>
      <c r="AV517" s="61">
        <v>1</v>
      </c>
      <c r="AW517" s="61" t="s">
        <v>66</v>
      </c>
      <c r="AX517" s="76"/>
      <c r="AY517" s="76"/>
      <c r="AZ517" s="76"/>
      <c r="BA517" s="76"/>
      <c r="BB517" s="74"/>
    </row>
    <row r="518" spans="1:54" ht="15.75" thickBot="1" x14ac:dyDescent="0.3">
      <c r="A518" s="73">
        <v>289</v>
      </c>
      <c r="B518" s="72">
        <v>44880.631944444445</v>
      </c>
      <c r="C518" s="67">
        <v>0.63541666666666663</v>
      </c>
      <c r="D518" s="67">
        <v>0.64583333333333337</v>
      </c>
      <c r="E518" s="67">
        <v>0.66666666666666663</v>
      </c>
      <c r="F518" s="68" t="s">
        <v>170</v>
      </c>
      <c r="G518" s="68" t="s">
        <v>1685</v>
      </c>
      <c r="H518" s="66" t="s">
        <v>227</v>
      </c>
      <c r="I518" s="66" t="s">
        <v>189</v>
      </c>
      <c r="J518" s="66" t="s">
        <v>37</v>
      </c>
      <c r="K518" s="66" t="s">
        <v>63</v>
      </c>
      <c r="L518" s="66" t="s">
        <v>209</v>
      </c>
      <c r="M518" s="68" t="s">
        <v>1683</v>
      </c>
      <c r="N518" s="68" t="s">
        <v>43</v>
      </c>
      <c r="O518" s="77">
        <v>918921</v>
      </c>
      <c r="P518" s="68">
        <v>31817</v>
      </c>
      <c r="Q518" s="303">
        <f t="shared" si="56"/>
        <v>1</v>
      </c>
      <c r="R518" s="303">
        <f t="shared" si="57"/>
        <v>620</v>
      </c>
      <c r="S518" s="68">
        <v>0</v>
      </c>
      <c r="T518" s="68">
        <v>0</v>
      </c>
      <c r="U518" s="68">
        <v>1</v>
      </c>
      <c r="V518" s="38">
        <v>620</v>
      </c>
      <c r="W518" s="38">
        <v>480</v>
      </c>
      <c r="X518" s="68">
        <v>160</v>
      </c>
      <c r="Y518" s="68">
        <v>138</v>
      </c>
      <c r="Z518" s="68">
        <v>81</v>
      </c>
      <c r="AA518" s="68">
        <v>1</v>
      </c>
      <c r="AB518" s="300">
        <f t="shared" si="58"/>
        <v>298.08</v>
      </c>
      <c r="AC518" s="300">
        <f t="shared" si="59"/>
        <v>1.7956626506024096</v>
      </c>
      <c r="AD518" s="68" t="s">
        <v>48</v>
      </c>
      <c r="AE518" s="68" t="s">
        <v>48</v>
      </c>
      <c r="AF518" s="68" t="s">
        <v>317</v>
      </c>
      <c r="AG518" s="68" t="s">
        <v>317</v>
      </c>
      <c r="AH518" s="68" t="s">
        <v>1686</v>
      </c>
      <c r="AI518" s="309"/>
      <c r="AJ518" s="309"/>
      <c r="AK518" s="68" t="s">
        <v>37</v>
      </c>
      <c r="AL518" s="68" t="s">
        <v>54</v>
      </c>
      <c r="AM518" s="299">
        <f t="shared" ca="1" si="55"/>
        <v>0.89583333333575865</v>
      </c>
      <c r="AN518" s="75"/>
      <c r="AO518" s="61" t="s">
        <v>179</v>
      </c>
      <c r="AP518" s="62" t="s">
        <v>1794</v>
      </c>
      <c r="AQ518" s="61" t="s">
        <v>1795</v>
      </c>
      <c r="AR518" s="64">
        <v>44881.527777777781</v>
      </c>
      <c r="AS518" s="57" t="s">
        <v>173</v>
      </c>
      <c r="AT518" s="61" t="s">
        <v>225</v>
      </c>
      <c r="AU518" s="63">
        <v>0.52777777777777779</v>
      </c>
      <c r="AV518" s="61">
        <v>1</v>
      </c>
      <c r="AW518" s="61" t="s">
        <v>66</v>
      </c>
      <c r="AX518" s="76"/>
      <c r="AY518" s="76"/>
      <c r="AZ518" s="76"/>
      <c r="BA518" s="76"/>
      <c r="BB518" s="74"/>
    </row>
    <row r="519" spans="1:54" ht="15.75" thickBot="1" x14ac:dyDescent="0.3">
      <c r="A519" s="73">
        <v>290</v>
      </c>
      <c r="B519" s="72">
        <v>44880.631944444445</v>
      </c>
      <c r="C519" s="67">
        <v>0.63541666666666663</v>
      </c>
      <c r="D519" s="67">
        <v>0.64583333333333337</v>
      </c>
      <c r="E519" s="67">
        <v>0.66666666666666663</v>
      </c>
      <c r="F519" s="68" t="s">
        <v>170</v>
      </c>
      <c r="G519" s="68" t="s">
        <v>1685</v>
      </c>
      <c r="H519" s="66" t="s">
        <v>227</v>
      </c>
      <c r="I519" s="66" t="s">
        <v>189</v>
      </c>
      <c r="J519" s="66" t="s">
        <v>37</v>
      </c>
      <c r="K519" s="66" t="s">
        <v>63</v>
      </c>
      <c r="L519" s="66" t="s">
        <v>209</v>
      </c>
      <c r="M519" s="68" t="s">
        <v>1687</v>
      </c>
      <c r="N519" s="68" t="s">
        <v>42</v>
      </c>
      <c r="O519" s="77">
        <v>919920</v>
      </c>
      <c r="P519" s="68" t="s">
        <v>1688</v>
      </c>
      <c r="Q519" s="303">
        <f t="shared" si="56"/>
        <v>1</v>
      </c>
      <c r="R519" s="303">
        <f t="shared" si="57"/>
        <v>734</v>
      </c>
      <c r="S519" s="68">
        <v>0</v>
      </c>
      <c r="T519" s="68">
        <v>0</v>
      </c>
      <c r="U519" s="68">
        <v>1</v>
      </c>
      <c r="V519" s="38">
        <v>734</v>
      </c>
      <c r="W519" s="38">
        <v>552</v>
      </c>
      <c r="X519" s="68">
        <v>160</v>
      </c>
      <c r="Y519" s="68">
        <v>138</v>
      </c>
      <c r="Z519" s="68">
        <v>81</v>
      </c>
      <c r="AA519" s="68">
        <v>1</v>
      </c>
      <c r="AB519" s="300">
        <f t="shared" si="58"/>
        <v>298.08</v>
      </c>
      <c r="AC519" s="300">
        <f t="shared" si="59"/>
        <v>1.7956626506024096</v>
      </c>
      <c r="AD519" s="68" t="s">
        <v>48</v>
      </c>
      <c r="AE519" s="68" t="s">
        <v>48</v>
      </c>
      <c r="AF519" s="68" t="s">
        <v>317</v>
      </c>
      <c r="AG519" s="68" t="s">
        <v>317</v>
      </c>
      <c r="AH519" s="68" t="s">
        <v>1689</v>
      </c>
      <c r="AI519" s="309"/>
      <c r="AJ519" s="309"/>
      <c r="AK519" s="68" t="s">
        <v>37</v>
      </c>
      <c r="AL519" s="68" t="s">
        <v>54</v>
      </c>
      <c r="AM519" s="299">
        <f t="shared" ca="1" si="55"/>
        <v>0.90972222221898846</v>
      </c>
      <c r="AN519" s="75"/>
      <c r="AO519" s="61" t="s">
        <v>89</v>
      </c>
      <c r="AP519" s="62" t="s">
        <v>1796</v>
      </c>
      <c r="AQ519" s="61" t="s">
        <v>1797</v>
      </c>
      <c r="AR519" s="64">
        <v>44881.541666666664</v>
      </c>
      <c r="AS519" s="61" t="s">
        <v>1577</v>
      </c>
      <c r="AT519" s="61" t="s">
        <v>65</v>
      </c>
      <c r="AU519" s="63">
        <v>0.54166666666666663</v>
      </c>
      <c r="AV519" s="61">
        <v>1</v>
      </c>
      <c r="AW519" s="61" t="s">
        <v>66</v>
      </c>
      <c r="AX519" s="76"/>
      <c r="AY519" s="76"/>
      <c r="AZ519" s="76"/>
      <c r="BA519" s="76"/>
      <c r="BB519" s="74"/>
    </row>
    <row r="520" spans="1:54" ht="15.75" thickBot="1" x14ac:dyDescent="0.3">
      <c r="A520" s="73">
        <v>291</v>
      </c>
      <c r="B520" s="72">
        <v>44880.631944444445</v>
      </c>
      <c r="C520" s="67">
        <v>0.63541666666666663</v>
      </c>
      <c r="D520" s="67">
        <v>0.64583333333333337</v>
      </c>
      <c r="E520" s="67">
        <v>0.66666666666666663</v>
      </c>
      <c r="F520" s="68" t="s">
        <v>170</v>
      </c>
      <c r="G520" s="68" t="s">
        <v>1685</v>
      </c>
      <c r="H520" s="66" t="s">
        <v>227</v>
      </c>
      <c r="I520" s="66" t="s">
        <v>189</v>
      </c>
      <c r="J520" s="66" t="s">
        <v>37</v>
      </c>
      <c r="K520" s="66" t="s">
        <v>63</v>
      </c>
      <c r="L520" s="66" t="s">
        <v>209</v>
      </c>
      <c r="M520" s="68" t="s">
        <v>1683</v>
      </c>
      <c r="N520" s="68" t="s">
        <v>43</v>
      </c>
      <c r="O520" s="68">
        <v>892</v>
      </c>
      <c r="P520" s="68">
        <v>2197</v>
      </c>
      <c r="Q520" s="303">
        <f t="shared" si="56"/>
        <v>18</v>
      </c>
      <c r="R520" s="303">
        <f t="shared" si="57"/>
        <v>180</v>
      </c>
      <c r="S520" s="68">
        <v>18</v>
      </c>
      <c r="T520" s="68">
        <v>180</v>
      </c>
      <c r="U520" s="68">
        <v>0</v>
      </c>
      <c r="V520" s="68">
        <v>0</v>
      </c>
      <c r="W520" s="68">
        <v>162</v>
      </c>
      <c r="X520" s="68">
        <v>59</v>
      </c>
      <c r="Y520" s="68">
        <v>51</v>
      </c>
      <c r="Z520" s="68">
        <v>46</v>
      </c>
      <c r="AA520" s="68">
        <v>18</v>
      </c>
      <c r="AB520" s="300">
        <f t="shared" si="58"/>
        <v>415.24200000000002</v>
      </c>
      <c r="AC520" s="300">
        <f t="shared" si="59"/>
        <v>2.5014578313253013</v>
      </c>
      <c r="AD520" s="68" t="s">
        <v>48</v>
      </c>
      <c r="AE520" s="68" t="s">
        <v>48</v>
      </c>
      <c r="AF520" s="68" t="s">
        <v>317</v>
      </c>
      <c r="AG520" s="68" t="s">
        <v>317</v>
      </c>
      <c r="AH520" s="68" t="s">
        <v>1690</v>
      </c>
      <c r="AI520" s="309"/>
      <c r="AJ520" s="309"/>
      <c r="AK520" s="68" t="s">
        <v>37</v>
      </c>
      <c r="AL520" s="68" t="s">
        <v>54</v>
      </c>
      <c r="AM520" s="299">
        <f t="shared" ca="1" si="55"/>
        <v>0.89583333333575865</v>
      </c>
      <c r="AN520" s="75"/>
      <c r="AO520" s="61" t="s">
        <v>179</v>
      </c>
      <c r="AP520" s="62" t="s">
        <v>1794</v>
      </c>
      <c r="AQ520" s="61" t="s">
        <v>1795</v>
      </c>
      <c r="AR520" s="64">
        <v>44881.527777777781</v>
      </c>
      <c r="AS520" s="57" t="s">
        <v>173</v>
      </c>
      <c r="AT520" s="61" t="s">
        <v>225</v>
      </c>
      <c r="AU520" s="63">
        <v>0.52777777777777779</v>
      </c>
      <c r="AV520" s="61">
        <v>1</v>
      </c>
      <c r="AW520" s="61" t="s">
        <v>66</v>
      </c>
      <c r="AX520" s="76"/>
      <c r="AY520" s="76"/>
      <c r="AZ520" s="76"/>
      <c r="BA520" s="76"/>
      <c r="BB520" s="74"/>
    </row>
    <row r="521" spans="1:54" ht="15.75" thickBot="1" x14ac:dyDescent="0.3">
      <c r="A521" s="73">
        <v>292</v>
      </c>
      <c r="B521" s="72">
        <v>44880.697916666664</v>
      </c>
      <c r="C521" s="67">
        <v>0.70138888888888884</v>
      </c>
      <c r="D521" s="67">
        <v>0.70833333333333337</v>
      </c>
      <c r="E521" s="67">
        <v>0.71875</v>
      </c>
      <c r="F521" s="68" t="s">
        <v>171</v>
      </c>
      <c r="G521" s="68" t="s">
        <v>327</v>
      </c>
      <c r="H521" s="66" t="s">
        <v>75</v>
      </c>
      <c r="I521" s="66" t="s">
        <v>110</v>
      </c>
      <c r="J521" s="66" t="s">
        <v>37</v>
      </c>
      <c r="K521" s="66" t="s">
        <v>180</v>
      </c>
      <c r="L521" s="70" t="s">
        <v>206</v>
      </c>
      <c r="M521" s="68" t="s">
        <v>1691</v>
      </c>
      <c r="N521" s="68" t="s">
        <v>283</v>
      </c>
      <c r="O521" s="68" t="s">
        <v>1692</v>
      </c>
      <c r="P521" s="68">
        <v>2108109</v>
      </c>
      <c r="Q521" s="303">
        <f t="shared" si="56"/>
        <v>2</v>
      </c>
      <c r="R521" s="303">
        <f t="shared" si="57"/>
        <v>224</v>
      </c>
      <c r="S521" s="68">
        <v>0</v>
      </c>
      <c r="T521" s="68">
        <v>0</v>
      </c>
      <c r="U521" s="68">
        <v>2</v>
      </c>
      <c r="V521" s="68">
        <v>224</v>
      </c>
      <c r="W521" s="68">
        <v>227</v>
      </c>
      <c r="X521" s="68">
        <v>71</v>
      </c>
      <c r="Y521" s="68">
        <v>71</v>
      </c>
      <c r="Z521" s="68">
        <v>45</v>
      </c>
      <c r="AA521" s="68">
        <v>1</v>
      </c>
      <c r="AB521" s="300">
        <f t="shared" si="58"/>
        <v>37.807499999999997</v>
      </c>
      <c r="AC521" s="300">
        <f t="shared" si="59"/>
        <v>0.22775602409638554</v>
      </c>
      <c r="AD521" s="68">
        <v>3170.4</v>
      </c>
      <c r="AE521" s="68" t="s">
        <v>109</v>
      </c>
      <c r="AF521" s="68" t="s">
        <v>317</v>
      </c>
      <c r="AG521" s="68" t="s">
        <v>317</v>
      </c>
      <c r="AH521" s="68" t="s">
        <v>1693</v>
      </c>
      <c r="AI521" s="309"/>
      <c r="AJ521" s="309"/>
      <c r="AK521" s="68" t="s">
        <v>37</v>
      </c>
      <c r="AL521" s="68" t="s">
        <v>39</v>
      </c>
      <c r="AM521" s="299">
        <f t="shared" ca="1" si="55"/>
        <v>1.7916666666715173</v>
      </c>
      <c r="AN521" s="75"/>
      <c r="AO521" s="61" t="s">
        <v>202</v>
      </c>
      <c r="AP521" s="62" t="s">
        <v>1691</v>
      </c>
      <c r="AQ521" s="78" t="s">
        <v>1885</v>
      </c>
      <c r="AR521" s="64">
        <v>44882.489583333336</v>
      </c>
      <c r="AS521" s="61" t="s">
        <v>136</v>
      </c>
      <c r="AT521" s="61" t="s">
        <v>225</v>
      </c>
      <c r="AU521" s="63">
        <v>0.48958333333333331</v>
      </c>
      <c r="AV521" s="61">
        <v>1</v>
      </c>
      <c r="AW521" s="61" t="s">
        <v>66</v>
      </c>
      <c r="AX521" s="76"/>
      <c r="AY521" s="76"/>
      <c r="AZ521" s="76"/>
      <c r="BA521" s="76"/>
      <c r="BB521" s="74"/>
    </row>
    <row r="522" spans="1:54" ht="15.75" thickBot="1" x14ac:dyDescent="0.3">
      <c r="A522" s="73">
        <v>292</v>
      </c>
      <c r="B522" s="72">
        <v>44880.697916666664</v>
      </c>
      <c r="C522" s="67">
        <v>0.70138888888888884</v>
      </c>
      <c r="D522" s="67">
        <v>0.70833333333333337</v>
      </c>
      <c r="E522" s="67">
        <v>0.71875</v>
      </c>
      <c r="F522" s="68" t="s">
        <v>171</v>
      </c>
      <c r="G522" s="68" t="s">
        <v>327</v>
      </c>
      <c r="H522" s="66" t="s">
        <v>75</v>
      </c>
      <c r="I522" s="66" t="s">
        <v>110</v>
      </c>
      <c r="J522" s="66" t="s">
        <v>37</v>
      </c>
      <c r="K522" s="66" t="s">
        <v>180</v>
      </c>
      <c r="L522" s="70" t="s">
        <v>206</v>
      </c>
      <c r="M522" s="68" t="s">
        <v>1691</v>
      </c>
      <c r="N522" s="68" t="s">
        <v>283</v>
      </c>
      <c r="O522" s="68" t="s">
        <v>1692</v>
      </c>
      <c r="P522" s="68">
        <v>2108109</v>
      </c>
      <c r="Q522" s="303">
        <f t="shared" si="56"/>
        <v>0</v>
      </c>
      <c r="R522" s="303">
        <f t="shared" si="57"/>
        <v>0</v>
      </c>
      <c r="S522" s="68">
        <v>0</v>
      </c>
      <c r="T522" s="68">
        <v>0</v>
      </c>
      <c r="U522" s="68">
        <v>0</v>
      </c>
      <c r="V522" s="68">
        <v>0</v>
      </c>
      <c r="W522" s="68">
        <v>0</v>
      </c>
      <c r="X522" s="68">
        <v>71</v>
      </c>
      <c r="Y522" s="68">
        <v>71</v>
      </c>
      <c r="Z522" s="68">
        <v>70</v>
      </c>
      <c r="AA522" s="68">
        <v>1</v>
      </c>
      <c r="AB522" s="300">
        <f t="shared" si="58"/>
        <v>58.811666666666667</v>
      </c>
      <c r="AC522" s="300">
        <f t="shared" si="59"/>
        <v>0.35428714859437749</v>
      </c>
      <c r="AD522" s="68">
        <v>0</v>
      </c>
      <c r="AE522" s="68">
        <v>0</v>
      </c>
      <c r="AF522" s="68" t="s">
        <v>317</v>
      </c>
      <c r="AG522" s="68" t="s">
        <v>317</v>
      </c>
      <c r="AH522" s="68" t="s">
        <v>1693</v>
      </c>
      <c r="AI522" s="309"/>
      <c r="AJ522" s="309"/>
      <c r="AK522" s="68" t="s">
        <v>37</v>
      </c>
      <c r="AL522" s="68" t="s">
        <v>39</v>
      </c>
      <c r="AM522" s="299">
        <f t="shared" ca="1" si="55"/>
        <v>1.7916666666715173</v>
      </c>
      <c r="AN522" s="75"/>
      <c r="AO522" s="61" t="s">
        <v>202</v>
      </c>
      <c r="AP522" s="62" t="s">
        <v>1691</v>
      </c>
      <c r="AQ522" s="78" t="s">
        <v>1885</v>
      </c>
      <c r="AR522" s="64">
        <v>44882.489583333336</v>
      </c>
      <c r="AS522" s="61" t="s">
        <v>136</v>
      </c>
      <c r="AT522" s="61" t="s">
        <v>225</v>
      </c>
      <c r="AU522" s="63">
        <v>0.48958333333333331</v>
      </c>
      <c r="AV522" s="61">
        <v>1</v>
      </c>
      <c r="AW522" s="61" t="s">
        <v>66</v>
      </c>
      <c r="AX522" s="76"/>
      <c r="AY522" s="76"/>
      <c r="AZ522" s="76"/>
      <c r="BA522" s="76"/>
      <c r="BB522" s="74"/>
    </row>
    <row r="523" spans="1:54" ht="15.75" thickBot="1" x14ac:dyDescent="0.3">
      <c r="A523" s="73">
        <v>293</v>
      </c>
      <c r="B523" s="72">
        <v>44880.697916666664</v>
      </c>
      <c r="C523" s="67">
        <v>0.70138888888888884</v>
      </c>
      <c r="D523" s="67">
        <v>0.70833333333333337</v>
      </c>
      <c r="E523" s="67">
        <v>0.71875</v>
      </c>
      <c r="F523" s="68" t="s">
        <v>171</v>
      </c>
      <c r="G523" s="68" t="s">
        <v>327</v>
      </c>
      <c r="H523" s="66" t="s">
        <v>75</v>
      </c>
      <c r="I523" s="66" t="s">
        <v>110</v>
      </c>
      <c r="J523" s="66" t="s">
        <v>37</v>
      </c>
      <c r="K523" s="66" t="s">
        <v>180</v>
      </c>
      <c r="L523" s="70" t="s">
        <v>206</v>
      </c>
      <c r="M523" s="68" t="s">
        <v>1694</v>
      </c>
      <c r="N523" s="68" t="s">
        <v>76</v>
      </c>
      <c r="O523" s="68" t="s">
        <v>1695</v>
      </c>
      <c r="P523" s="68">
        <v>555704725</v>
      </c>
      <c r="Q523" s="303">
        <f t="shared" si="56"/>
        <v>1</v>
      </c>
      <c r="R523" s="303">
        <f t="shared" si="57"/>
        <v>42</v>
      </c>
      <c r="S523" s="68">
        <v>0</v>
      </c>
      <c r="T523" s="68">
        <v>0</v>
      </c>
      <c r="U523" s="68">
        <v>1</v>
      </c>
      <c r="V523" s="68">
        <v>42</v>
      </c>
      <c r="W523" s="68">
        <v>40</v>
      </c>
      <c r="X523" s="68">
        <v>56</v>
      </c>
      <c r="Y523" s="68">
        <v>56</v>
      </c>
      <c r="Z523" s="68">
        <v>28</v>
      </c>
      <c r="AA523" s="68">
        <v>1</v>
      </c>
      <c r="AB523" s="300">
        <f t="shared" si="58"/>
        <v>14.634666666666666</v>
      </c>
      <c r="AC523" s="300">
        <f t="shared" si="59"/>
        <v>8.8160642570281125E-2</v>
      </c>
      <c r="AD523" s="68">
        <v>1080.1600000000001</v>
      </c>
      <c r="AE523" s="68" t="s">
        <v>109</v>
      </c>
      <c r="AF523" s="68" t="s">
        <v>317</v>
      </c>
      <c r="AG523" s="68" t="s">
        <v>317</v>
      </c>
      <c r="AH523" s="68" t="s">
        <v>1696</v>
      </c>
      <c r="AI523" s="309"/>
      <c r="AJ523" s="309"/>
      <c r="AK523" s="68" t="s">
        <v>37</v>
      </c>
      <c r="AL523" s="68" t="s">
        <v>39</v>
      </c>
      <c r="AM523" s="299">
        <f t="shared" ca="1" si="55"/>
        <v>6.8541666666715173</v>
      </c>
      <c r="AN523" s="75"/>
      <c r="AO523" s="61" t="s">
        <v>2178</v>
      </c>
      <c r="AP523" s="62" t="s">
        <v>1694</v>
      </c>
      <c r="AQ523" s="61" t="s">
        <v>2179</v>
      </c>
      <c r="AR523" s="64">
        <v>44887.552083333336</v>
      </c>
      <c r="AS523" s="61" t="s">
        <v>95</v>
      </c>
      <c r="AT523" s="61" t="s">
        <v>225</v>
      </c>
      <c r="AU523" s="59">
        <v>0.55208333333333337</v>
      </c>
      <c r="AV523" s="61">
        <v>1</v>
      </c>
      <c r="AW523" s="61" t="s">
        <v>66</v>
      </c>
      <c r="AX523" s="76"/>
      <c r="AY523" s="76"/>
      <c r="AZ523" s="76"/>
      <c r="BA523" s="76"/>
      <c r="BB523" s="74"/>
    </row>
    <row r="524" spans="1:54" ht="15.75" thickBot="1" x14ac:dyDescent="0.3">
      <c r="A524" s="73">
        <v>294</v>
      </c>
      <c r="B524" s="72">
        <v>44880.701388888891</v>
      </c>
      <c r="C524" s="67">
        <v>0.70833333333333337</v>
      </c>
      <c r="D524" s="67">
        <v>0.72916666666666663</v>
      </c>
      <c r="E524" s="67">
        <v>0.73958333333333337</v>
      </c>
      <c r="F524" s="68" t="s">
        <v>169</v>
      </c>
      <c r="G524" s="68" t="s">
        <v>1697</v>
      </c>
      <c r="H524" s="66" t="s">
        <v>197</v>
      </c>
      <c r="I524" s="66" t="s">
        <v>418</v>
      </c>
      <c r="J524" s="66" t="s">
        <v>37</v>
      </c>
      <c r="K524" s="66" t="s">
        <v>233</v>
      </c>
      <c r="L524" s="66" t="s">
        <v>419</v>
      </c>
      <c r="M524" s="68" t="s">
        <v>1698</v>
      </c>
      <c r="N524" s="68" t="s">
        <v>264</v>
      </c>
      <c r="O524" s="68" t="s">
        <v>1699</v>
      </c>
      <c r="P524" s="68" t="s">
        <v>1700</v>
      </c>
      <c r="Q524" s="303">
        <f t="shared" si="56"/>
        <v>5</v>
      </c>
      <c r="R524" s="303">
        <f t="shared" si="57"/>
        <v>418</v>
      </c>
      <c r="S524" s="68">
        <v>2</v>
      </c>
      <c r="T524" s="68">
        <v>125</v>
      </c>
      <c r="U524" s="68">
        <v>3</v>
      </c>
      <c r="V524" s="68">
        <v>293</v>
      </c>
      <c r="W524" s="68">
        <v>429</v>
      </c>
      <c r="X524" s="68">
        <v>89</v>
      </c>
      <c r="Y524" s="68">
        <v>66</v>
      </c>
      <c r="Z524" s="68">
        <v>93</v>
      </c>
      <c r="AA524" s="68">
        <v>2</v>
      </c>
      <c r="AB524" s="300">
        <f t="shared" si="58"/>
        <v>182.09399999999999</v>
      </c>
      <c r="AC524" s="300">
        <f t="shared" si="59"/>
        <v>1.0969518072289157</v>
      </c>
      <c r="AD524" s="68" t="s">
        <v>48</v>
      </c>
      <c r="AE524" s="68" t="s">
        <v>48</v>
      </c>
      <c r="AF524" s="68" t="s">
        <v>317</v>
      </c>
      <c r="AG524" s="68" t="s">
        <v>317</v>
      </c>
      <c r="AH524" s="68" t="s">
        <v>1701</v>
      </c>
      <c r="AI524" s="309"/>
      <c r="AJ524" s="309"/>
      <c r="AK524" s="68" t="s">
        <v>37</v>
      </c>
      <c r="AL524" s="68" t="s">
        <v>58</v>
      </c>
      <c r="AM524" s="299">
        <f t="shared" ca="1" si="55"/>
        <v>6.7708333333284827</v>
      </c>
      <c r="AN524" s="75"/>
      <c r="AO524" s="61" t="s">
        <v>347</v>
      </c>
      <c r="AP524" s="62" t="s">
        <v>1698</v>
      </c>
      <c r="AQ524" s="61" t="s">
        <v>2171</v>
      </c>
      <c r="AR524" s="64">
        <v>44887.472222222219</v>
      </c>
      <c r="AS524" s="61" t="s">
        <v>136</v>
      </c>
      <c r="AT524" s="61" t="s">
        <v>225</v>
      </c>
      <c r="AU524" s="63">
        <v>0.47222222222222227</v>
      </c>
      <c r="AV524" s="61">
        <v>1</v>
      </c>
      <c r="AW524" s="61" t="s">
        <v>66</v>
      </c>
      <c r="AX524" s="76"/>
      <c r="AY524" s="76"/>
      <c r="AZ524" s="76"/>
      <c r="BA524" s="76"/>
      <c r="BB524" s="74"/>
    </row>
    <row r="525" spans="1:54" ht="15.75" thickBot="1" x14ac:dyDescent="0.3">
      <c r="A525" s="73">
        <v>294</v>
      </c>
      <c r="B525" s="72">
        <v>44880.701388888891</v>
      </c>
      <c r="C525" s="67">
        <v>0.70833333333333337</v>
      </c>
      <c r="D525" s="67">
        <v>0.72916666666666663</v>
      </c>
      <c r="E525" s="67">
        <v>0.73958333333333337</v>
      </c>
      <c r="F525" s="68" t="s">
        <v>169</v>
      </c>
      <c r="G525" s="68" t="s">
        <v>1697</v>
      </c>
      <c r="H525" s="66" t="s">
        <v>197</v>
      </c>
      <c r="I525" s="66" t="s">
        <v>418</v>
      </c>
      <c r="J525" s="66" t="s">
        <v>37</v>
      </c>
      <c r="K525" s="66" t="s">
        <v>233</v>
      </c>
      <c r="L525" s="66" t="s">
        <v>419</v>
      </c>
      <c r="M525" s="68" t="s">
        <v>1698</v>
      </c>
      <c r="N525" s="68" t="s">
        <v>264</v>
      </c>
      <c r="O525" s="68" t="s">
        <v>1699</v>
      </c>
      <c r="P525" s="68" t="s">
        <v>1700</v>
      </c>
      <c r="Q525" s="303">
        <f t="shared" si="56"/>
        <v>0</v>
      </c>
      <c r="R525" s="303">
        <f t="shared" si="57"/>
        <v>0</v>
      </c>
      <c r="S525" s="68">
        <v>0</v>
      </c>
      <c r="T525" s="68">
        <v>0</v>
      </c>
      <c r="U525" s="68">
        <v>0</v>
      </c>
      <c r="V525" s="68">
        <v>0</v>
      </c>
      <c r="W525" s="68">
        <v>0</v>
      </c>
      <c r="X525" s="68">
        <v>96</v>
      </c>
      <c r="Y525" s="68">
        <v>51</v>
      </c>
      <c r="Z525" s="68">
        <v>72</v>
      </c>
      <c r="AA525" s="68">
        <v>1</v>
      </c>
      <c r="AB525" s="300">
        <f t="shared" si="58"/>
        <v>58.752000000000002</v>
      </c>
      <c r="AC525" s="300">
        <f t="shared" si="59"/>
        <v>0.35392771084337349</v>
      </c>
      <c r="AD525" s="68">
        <v>0</v>
      </c>
      <c r="AE525" s="68">
        <v>0</v>
      </c>
      <c r="AF525" s="68" t="s">
        <v>317</v>
      </c>
      <c r="AG525" s="68" t="s">
        <v>317</v>
      </c>
      <c r="AH525" s="68" t="s">
        <v>1701</v>
      </c>
      <c r="AI525" s="309"/>
      <c r="AJ525" s="309"/>
      <c r="AK525" s="68" t="s">
        <v>41</v>
      </c>
      <c r="AL525" s="68" t="s">
        <v>58</v>
      </c>
      <c r="AM525" s="299">
        <f t="shared" ca="1" si="55"/>
        <v>6.7708333333284827</v>
      </c>
      <c r="AN525" s="75"/>
      <c r="AO525" s="61" t="s">
        <v>347</v>
      </c>
      <c r="AP525" s="62" t="s">
        <v>1698</v>
      </c>
      <c r="AQ525" s="61" t="s">
        <v>2171</v>
      </c>
      <c r="AR525" s="64">
        <v>44887.472222222219</v>
      </c>
      <c r="AS525" s="61" t="s">
        <v>136</v>
      </c>
      <c r="AT525" s="61" t="s">
        <v>225</v>
      </c>
      <c r="AU525" s="63">
        <v>0.47222222222222227</v>
      </c>
      <c r="AV525" s="61">
        <v>1</v>
      </c>
      <c r="AW525" s="61" t="s">
        <v>66</v>
      </c>
      <c r="AX525" s="76"/>
      <c r="AY525" s="76"/>
      <c r="AZ525" s="76"/>
      <c r="BA525" s="76"/>
      <c r="BB525" s="74"/>
    </row>
    <row r="526" spans="1:54" ht="15.75" thickBot="1" x14ac:dyDescent="0.3">
      <c r="A526" s="73">
        <v>294</v>
      </c>
      <c r="B526" s="72">
        <v>44880.701388888891</v>
      </c>
      <c r="C526" s="67">
        <v>0.70833333333333337</v>
      </c>
      <c r="D526" s="67">
        <v>0.72916666666666663</v>
      </c>
      <c r="E526" s="67">
        <v>0.73958333333333337</v>
      </c>
      <c r="F526" s="68" t="s">
        <v>169</v>
      </c>
      <c r="G526" s="68" t="s">
        <v>1697</v>
      </c>
      <c r="H526" s="66" t="s">
        <v>197</v>
      </c>
      <c r="I526" s="66" t="s">
        <v>418</v>
      </c>
      <c r="J526" s="66" t="s">
        <v>37</v>
      </c>
      <c r="K526" s="66" t="s">
        <v>233</v>
      </c>
      <c r="L526" s="66" t="s">
        <v>419</v>
      </c>
      <c r="M526" s="68" t="s">
        <v>1698</v>
      </c>
      <c r="N526" s="68" t="s">
        <v>264</v>
      </c>
      <c r="O526" s="68" t="s">
        <v>1699</v>
      </c>
      <c r="P526" s="68" t="s">
        <v>1700</v>
      </c>
      <c r="Q526" s="303">
        <f t="shared" si="56"/>
        <v>0</v>
      </c>
      <c r="R526" s="303">
        <f t="shared" si="57"/>
        <v>0</v>
      </c>
      <c r="S526" s="68">
        <v>0</v>
      </c>
      <c r="T526" s="68">
        <v>0</v>
      </c>
      <c r="U526" s="68">
        <v>0</v>
      </c>
      <c r="V526" s="68">
        <v>0</v>
      </c>
      <c r="W526" s="68">
        <v>0</v>
      </c>
      <c r="X526" s="68">
        <v>76</v>
      </c>
      <c r="Y526" s="68">
        <v>61</v>
      </c>
      <c r="Z526" s="68">
        <v>61</v>
      </c>
      <c r="AA526" s="68">
        <v>1</v>
      </c>
      <c r="AB526" s="300">
        <f t="shared" si="58"/>
        <v>47.132666666666665</v>
      </c>
      <c r="AC526" s="300">
        <f t="shared" si="59"/>
        <v>0.28393172690763052</v>
      </c>
      <c r="AD526" s="68">
        <v>0</v>
      </c>
      <c r="AE526" s="68">
        <v>0</v>
      </c>
      <c r="AF526" s="68" t="s">
        <v>317</v>
      </c>
      <c r="AG526" s="68" t="s">
        <v>317</v>
      </c>
      <c r="AH526" s="68" t="s">
        <v>1701</v>
      </c>
      <c r="AI526" s="309"/>
      <c r="AJ526" s="309"/>
      <c r="AK526" s="68" t="s">
        <v>48</v>
      </c>
      <c r="AL526" s="68" t="s">
        <v>58</v>
      </c>
      <c r="AM526" s="299">
        <f t="shared" ca="1" si="55"/>
        <v>6.7708333333284827</v>
      </c>
      <c r="AN526" s="75"/>
      <c r="AO526" s="61" t="s">
        <v>347</v>
      </c>
      <c r="AP526" s="62" t="s">
        <v>1698</v>
      </c>
      <c r="AQ526" s="61" t="s">
        <v>2171</v>
      </c>
      <c r="AR526" s="64">
        <v>44887.472222222219</v>
      </c>
      <c r="AS526" s="61" t="s">
        <v>136</v>
      </c>
      <c r="AT526" s="61" t="s">
        <v>225</v>
      </c>
      <c r="AU526" s="63">
        <v>0.47222222222222227</v>
      </c>
      <c r="AV526" s="61">
        <v>1</v>
      </c>
      <c r="AW526" s="61" t="s">
        <v>66</v>
      </c>
      <c r="AX526" s="76"/>
      <c r="AY526" s="76"/>
      <c r="AZ526" s="76"/>
      <c r="BA526" s="76"/>
      <c r="BB526" s="74"/>
    </row>
    <row r="527" spans="1:54" ht="15.75" thickBot="1" x14ac:dyDescent="0.3">
      <c r="A527" s="73">
        <v>294</v>
      </c>
      <c r="B527" s="72">
        <v>44880.701388888891</v>
      </c>
      <c r="C527" s="67">
        <v>0.70833333333333337</v>
      </c>
      <c r="D527" s="67">
        <v>0.72916666666666663</v>
      </c>
      <c r="E527" s="67">
        <v>0.73958333333333337</v>
      </c>
      <c r="F527" s="68" t="s">
        <v>169</v>
      </c>
      <c r="G527" s="68" t="s">
        <v>1697</v>
      </c>
      <c r="H527" s="66" t="s">
        <v>197</v>
      </c>
      <c r="I527" s="66" t="s">
        <v>418</v>
      </c>
      <c r="J527" s="66" t="s">
        <v>37</v>
      </c>
      <c r="K527" s="66" t="s">
        <v>233</v>
      </c>
      <c r="L527" s="66" t="s">
        <v>419</v>
      </c>
      <c r="M527" s="68" t="s">
        <v>1698</v>
      </c>
      <c r="N527" s="68" t="s">
        <v>264</v>
      </c>
      <c r="O527" s="68" t="s">
        <v>1699</v>
      </c>
      <c r="P527" s="68" t="s">
        <v>1700</v>
      </c>
      <c r="Q527" s="303">
        <f t="shared" si="56"/>
        <v>0</v>
      </c>
      <c r="R527" s="303">
        <f t="shared" si="57"/>
        <v>0</v>
      </c>
      <c r="S527" s="68">
        <v>0</v>
      </c>
      <c r="T527" s="68">
        <v>0</v>
      </c>
      <c r="U527" s="68">
        <v>0</v>
      </c>
      <c r="V527" s="68">
        <v>0</v>
      </c>
      <c r="W527" s="68">
        <v>0</v>
      </c>
      <c r="X527" s="68">
        <v>84</v>
      </c>
      <c r="Y527" s="68">
        <v>66</v>
      </c>
      <c r="Z527" s="68">
        <v>86</v>
      </c>
      <c r="AA527" s="68">
        <v>1</v>
      </c>
      <c r="AB527" s="300">
        <f t="shared" si="58"/>
        <v>79.463999999999999</v>
      </c>
      <c r="AC527" s="300">
        <f t="shared" si="59"/>
        <v>0.47869879518072289</v>
      </c>
      <c r="AD527" s="68">
        <v>0</v>
      </c>
      <c r="AE527" s="68">
        <v>0</v>
      </c>
      <c r="AF527" s="68" t="s">
        <v>317</v>
      </c>
      <c r="AG527" s="68" t="s">
        <v>317</v>
      </c>
      <c r="AH527" s="68" t="s">
        <v>1701</v>
      </c>
      <c r="AI527" s="309"/>
      <c r="AJ527" s="309"/>
      <c r="AK527" s="68" t="s">
        <v>48</v>
      </c>
      <c r="AL527" s="68" t="s">
        <v>58</v>
      </c>
      <c r="AM527" s="299">
        <f t="shared" ca="1" si="55"/>
        <v>6.7708333333284827</v>
      </c>
      <c r="AN527" s="75"/>
      <c r="AO527" s="61" t="s">
        <v>347</v>
      </c>
      <c r="AP527" s="62" t="s">
        <v>1698</v>
      </c>
      <c r="AQ527" s="61" t="s">
        <v>2171</v>
      </c>
      <c r="AR527" s="64">
        <v>44887.472222222219</v>
      </c>
      <c r="AS527" s="61" t="s">
        <v>136</v>
      </c>
      <c r="AT527" s="61" t="s">
        <v>225</v>
      </c>
      <c r="AU527" s="63">
        <v>0.47222222222222227</v>
      </c>
      <c r="AV527" s="61">
        <v>1</v>
      </c>
      <c r="AW527" s="61" t="s">
        <v>66</v>
      </c>
      <c r="AX527" s="76"/>
      <c r="AY527" s="76"/>
      <c r="AZ527" s="76"/>
      <c r="BA527" s="76"/>
      <c r="BB527" s="74"/>
    </row>
    <row r="528" spans="1:54" ht="15.75" thickBot="1" x14ac:dyDescent="0.3">
      <c r="A528" s="73">
        <v>295</v>
      </c>
      <c r="B528" s="72">
        <v>44880.701388888891</v>
      </c>
      <c r="C528" s="67">
        <v>0.70833333333333337</v>
      </c>
      <c r="D528" s="67">
        <v>0.72916666666666663</v>
      </c>
      <c r="E528" s="67">
        <v>0.73958333333333337</v>
      </c>
      <c r="F528" s="68" t="s">
        <v>169</v>
      </c>
      <c r="G528" s="68" t="s">
        <v>1697</v>
      </c>
      <c r="H528" s="66" t="s">
        <v>197</v>
      </c>
      <c r="I528" s="66" t="s">
        <v>418</v>
      </c>
      <c r="J528" s="66" t="s">
        <v>37</v>
      </c>
      <c r="K528" s="66" t="s">
        <v>233</v>
      </c>
      <c r="L528" s="66" t="s">
        <v>419</v>
      </c>
      <c r="M528" s="68" t="s">
        <v>1698</v>
      </c>
      <c r="N528" s="68" t="s">
        <v>264</v>
      </c>
      <c r="O528" s="68" t="s">
        <v>1702</v>
      </c>
      <c r="P528" s="68" t="s">
        <v>1703</v>
      </c>
      <c r="Q528" s="303">
        <f t="shared" si="56"/>
        <v>4</v>
      </c>
      <c r="R528" s="303">
        <f t="shared" si="57"/>
        <v>447</v>
      </c>
      <c r="S528" s="68">
        <v>2</v>
      </c>
      <c r="T528" s="68">
        <v>44</v>
      </c>
      <c r="U528" s="68">
        <v>2</v>
      </c>
      <c r="V528" s="68">
        <v>403</v>
      </c>
      <c r="W528" s="68">
        <v>445</v>
      </c>
      <c r="X528" s="68">
        <v>104</v>
      </c>
      <c r="Y528" s="68">
        <v>62</v>
      </c>
      <c r="Z528" s="68">
        <v>138</v>
      </c>
      <c r="AA528" s="68">
        <v>1</v>
      </c>
      <c r="AB528" s="300">
        <f t="shared" si="58"/>
        <v>148.304</v>
      </c>
      <c r="AC528" s="300">
        <f t="shared" si="59"/>
        <v>0.89339759036144584</v>
      </c>
      <c r="AD528" s="68" t="s">
        <v>48</v>
      </c>
      <c r="AE528" s="68" t="s">
        <v>48</v>
      </c>
      <c r="AF528" s="68" t="s">
        <v>317</v>
      </c>
      <c r="AG528" s="68" t="s">
        <v>317</v>
      </c>
      <c r="AH528" s="68" t="s">
        <v>1704</v>
      </c>
      <c r="AI528" s="309"/>
      <c r="AJ528" s="309"/>
      <c r="AK528" s="68" t="s">
        <v>37</v>
      </c>
      <c r="AL528" s="68" t="s">
        <v>58</v>
      </c>
      <c r="AM528" s="299">
        <f t="shared" ca="1" si="55"/>
        <v>6.7708333333284827</v>
      </c>
      <c r="AN528" s="75"/>
      <c r="AO528" s="61" t="s">
        <v>347</v>
      </c>
      <c r="AP528" s="62" t="s">
        <v>1698</v>
      </c>
      <c r="AQ528" s="61" t="s">
        <v>2171</v>
      </c>
      <c r="AR528" s="64">
        <v>44887.472222222219</v>
      </c>
      <c r="AS528" s="61" t="s">
        <v>136</v>
      </c>
      <c r="AT528" s="61" t="s">
        <v>225</v>
      </c>
      <c r="AU528" s="63">
        <v>0.47222222222222227</v>
      </c>
      <c r="AV528" s="61">
        <v>1</v>
      </c>
      <c r="AW528" s="61" t="s">
        <v>66</v>
      </c>
      <c r="AX528" s="76"/>
      <c r="AY528" s="76"/>
      <c r="AZ528" s="76"/>
      <c r="BA528" s="76"/>
      <c r="BB528" s="74"/>
    </row>
    <row r="529" spans="1:54" ht="15.75" thickBot="1" x14ac:dyDescent="0.3">
      <c r="A529" s="73">
        <v>295</v>
      </c>
      <c r="B529" s="72">
        <v>44880.701388888891</v>
      </c>
      <c r="C529" s="67">
        <v>0.70833333333333337</v>
      </c>
      <c r="D529" s="67">
        <v>0.72916666666666663</v>
      </c>
      <c r="E529" s="67">
        <v>0.73958333333333337</v>
      </c>
      <c r="F529" s="68" t="s">
        <v>169</v>
      </c>
      <c r="G529" s="68" t="s">
        <v>1697</v>
      </c>
      <c r="H529" s="66" t="s">
        <v>197</v>
      </c>
      <c r="I529" s="66" t="s">
        <v>418</v>
      </c>
      <c r="J529" s="66" t="s">
        <v>37</v>
      </c>
      <c r="K529" s="66" t="s">
        <v>233</v>
      </c>
      <c r="L529" s="66" t="s">
        <v>419</v>
      </c>
      <c r="M529" s="68" t="s">
        <v>1698</v>
      </c>
      <c r="N529" s="68" t="s">
        <v>264</v>
      </c>
      <c r="O529" s="68" t="s">
        <v>1702</v>
      </c>
      <c r="P529" s="68" t="s">
        <v>1703</v>
      </c>
      <c r="Q529" s="303">
        <f t="shared" si="56"/>
        <v>0</v>
      </c>
      <c r="R529" s="303">
        <f t="shared" si="57"/>
        <v>0</v>
      </c>
      <c r="S529" s="68">
        <v>0</v>
      </c>
      <c r="T529" s="68">
        <v>0</v>
      </c>
      <c r="U529" s="68">
        <v>0</v>
      </c>
      <c r="V529" s="68">
        <v>0</v>
      </c>
      <c r="W529" s="68">
        <v>0</v>
      </c>
      <c r="X529" s="68">
        <v>67</v>
      </c>
      <c r="Y529" s="68">
        <v>62</v>
      </c>
      <c r="Z529" s="68">
        <v>49</v>
      </c>
      <c r="AA529" s="68">
        <v>1</v>
      </c>
      <c r="AB529" s="300">
        <f t="shared" si="58"/>
        <v>33.924333333333337</v>
      </c>
      <c r="AC529" s="300">
        <f t="shared" si="59"/>
        <v>0.20436345381526105</v>
      </c>
      <c r="AD529" s="68">
        <v>0</v>
      </c>
      <c r="AE529" s="68">
        <v>0</v>
      </c>
      <c r="AF529" s="68" t="s">
        <v>317</v>
      </c>
      <c r="AG529" s="68" t="s">
        <v>317</v>
      </c>
      <c r="AH529" s="68" t="s">
        <v>1704</v>
      </c>
      <c r="AI529" s="309"/>
      <c r="AJ529" s="309"/>
      <c r="AK529" s="68" t="s">
        <v>37</v>
      </c>
      <c r="AL529" s="68" t="s">
        <v>58</v>
      </c>
      <c r="AM529" s="299">
        <f t="shared" ca="1" si="55"/>
        <v>6.7708333333284827</v>
      </c>
      <c r="AN529" s="75"/>
      <c r="AO529" s="61" t="s">
        <v>347</v>
      </c>
      <c r="AP529" s="62" t="s">
        <v>1698</v>
      </c>
      <c r="AQ529" s="61" t="s">
        <v>2171</v>
      </c>
      <c r="AR529" s="64">
        <v>44887.472222222219</v>
      </c>
      <c r="AS529" s="61" t="s">
        <v>136</v>
      </c>
      <c r="AT529" s="61" t="s">
        <v>225</v>
      </c>
      <c r="AU529" s="63">
        <v>0.47222222222222227</v>
      </c>
      <c r="AV529" s="61">
        <v>1</v>
      </c>
      <c r="AW529" s="61" t="s">
        <v>66</v>
      </c>
      <c r="AX529" s="76"/>
      <c r="AY529" s="76"/>
      <c r="AZ529" s="76"/>
      <c r="BA529" s="76"/>
      <c r="BB529" s="74"/>
    </row>
    <row r="530" spans="1:54" ht="15.75" thickBot="1" x14ac:dyDescent="0.3">
      <c r="A530" s="73">
        <v>295</v>
      </c>
      <c r="B530" s="72">
        <v>44880.701388888891</v>
      </c>
      <c r="C530" s="67">
        <v>0.70833333333333337</v>
      </c>
      <c r="D530" s="67">
        <v>0.72916666666666663</v>
      </c>
      <c r="E530" s="67">
        <v>0.73958333333333337</v>
      </c>
      <c r="F530" s="68" t="s">
        <v>169</v>
      </c>
      <c r="G530" s="68" t="s">
        <v>1697</v>
      </c>
      <c r="H530" s="66" t="s">
        <v>197</v>
      </c>
      <c r="I530" s="66" t="s">
        <v>418</v>
      </c>
      <c r="J530" s="66" t="s">
        <v>37</v>
      </c>
      <c r="K530" s="66" t="s">
        <v>233</v>
      </c>
      <c r="L530" s="66" t="s">
        <v>419</v>
      </c>
      <c r="M530" s="68" t="s">
        <v>1698</v>
      </c>
      <c r="N530" s="68" t="s">
        <v>264</v>
      </c>
      <c r="O530" s="68" t="s">
        <v>1702</v>
      </c>
      <c r="P530" s="68" t="s">
        <v>1703</v>
      </c>
      <c r="Q530" s="303">
        <f t="shared" si="56"/>
        <v>0</v>
      </c>
      <c r="R530" s="303">
        <f t="shared" si="57"/>
        <v>0</v>
      </c>
      <c r="S530" s="68">
        <v>0</v>
      </c>
      <c r="T530" s="68">
        <v>0</v>
      </c>
      <c r="U530" s="68">
        <v>0</v>
      </c>
      <c r="V530" s="68">
        <v>0</v>
      </c>
      <c r="W530" s="68">
        <v>0</v>
      </c>
      <c r="X530" s="68">
        <v>72</v>
      </c>
      <c r="Y530" s="68">
        <v>69</v>
      </c>
      <c r="Z530" s="68">
        <v>42</v>
      </c>
      <c r="AA530" s="68">
        <v>1</v>
      </c>
      <c r="AB530" s="300">
        <f t="shared" si="58"/>
        <v>34.776000000000003</v>
      </c>
      <c r="AC530" s="300">
        <f t="shared" si="59"/>
        <v>0.20949397590361449</v>
      </c>
      <c r="AD530" s="68">
        <v>0</v>
      </c>
      <c r="AE530" s="68">
        <v>0</v>
      </c>
      <c r="AF530" s="68" t="s">
        <v>317</v>
      </c>
      <c r="AG530" s="68" t="s">
        <v>317</v>
      </c>
      <c r="AH530" s="68" t="s">
        <v>1704</v>
      </c>
      <c r="AI530" s="309"/>
      <c r="AJ530" s="309"/>
      <c r="AK530" s="68" t="s">
        <v>48</v>
      </c>
      <c r="AL530" s="68" t="s">
        <v>58</v>
      </c>
      <c r="AM530" s="299">
        <f t="shared" ca="1" si="55"/>
        <v>6.7708333333284827</v>
      </c>
      <c r="AN530" s="75"/>
      <c r="AO530" s="61" t="s">
        <v>347</v>
      </c>
      <c r="AP530" s="62" t="s">
        <v>1698</v>
      </c>
      <c r="AQ530" s="61" t="s">
        <v>2171</v>
      </c>
      <c r="AR530" s="64">
        <v>44887.472222222219</v>
      </c>
      <c r="AS530" s="61" t="s">
        <v>136</v>
      </c>
      <c r="AT530" s="61" t="s">
        <v>225</v>
      </c>
      <c r="AU530" s="63">
        <v>0.47222222222222227</v>
      </c>
      <c r="AV530" s="61">
        <v>1</v>
      </c>
      <c r="AW530" s="61" t="s">
        <v>66</v>
      </c>
      <c r="AX530" s="76"/>
      <c r="AY530" s="76"/>
      <c r="AZ530" s="76"/>
      <c r="BA530" s="76"/>
      <c r="BB530" s="74"/>
    </row>
    <row r="531" spans="1:54" ht="15.75" thickBot="1" x14ac:dyDescent="0.3">
      <c r="A531" s="73">
        <v>295</v>
      </c>
      <c r="B531" s="72">
        <v>44880.701388888891</v>
      </c>
      <c r="C531" s="67">
        <v>0.70833333333333337</v>
      </c>
      <c r="D531" s="67">
        <v>0.72916666666666663</v>
      </c>
      <c r="E531" s="67">
        <v>0.73958333333333337</v>
      </c>
      <c r="F531" s="68" t="s">
        <v>169</v>
      </c>
      <c r="G531" s="68" t="s">
        <v>1697</v>
      </c>
      <c r="H531" s="66" t="s">
        <v>197</v>
      </c>
      <c r="I531" s="66" t="s">
        <v>418</v>
      </c>
      <c r="J531" s="66" t="s">
        <v>37</v>
      </c>
      <c r="K531" s="66" t="s">
        <v>233</v>
      </c>
      <c r="L531" s="66" t="s">
        <v>419</v>
      </c>
      <c r="M531" s="68" t="s">
        <v>1698</v>
      </c>
      <c r="N531" s="68" t="s">
        <v>264</v>
      </c>
      <c r="O531" s="68" t="s">
        <v>1702</v>
      </c>
      <c r="P531" s="68" t="s">
        <v>1703</v>
      </c>
      <c r="Q531" s="303">
        <f t="shared" si="56"/>
        <v>0</v>
      </c>
      <c r="R531" s="303">
        <f t="shared" si="57"/>
        <v>0</v>
      </c>
      <c r="S531" s="68">
        <v>0</v>
      </c>
      <c r="T531" s="68">
        <v>0</v>
      </c>
      <c r="U531" s="68">
        <v>0</v>
      </c>
      <c r="V531" s="68">
        <v>0</v>
      </c>
      <c r="W531" s="68">
        <v>0</v>
      </c>
      <c r="X531" s="68">
        <v>76</v>
      </c>
      <c r="Y531" s="68">
        <v>62</v>
      </c>
      <c r="Z531" s="68">
        <v>60</v>
      </c>
      <c r="AA531" s="68">
        <v>1</v>
      </c>
      <c r="AB531" s="300">
        <f t="shared" si="58"/>
        <v>47.12</v>
      </c>
      <c r="AC531" s="300">
        <f t="shared" si="59"/>
        <v>0.28385542168674699</v>
      </c>
      <c r="AD531" s="68">
        <v>0</v>
      </c>
      <c r="AE531" s="68">
        <v>0</v>
      </c>
      <c r="AF531" s="68" t="s">
        <v>317</v>
      </c>
      <c r="AG531" s="68" t="s">
        <v>317</v>
      </c>
      <c r="AH531" s="68" t="s">
        <v>1704</v>
      </c>
      <c r="AI531" s="309"/>
      <c r="AJ531" s="309"/>
      <c r="AK531" s="68" t="s">
        <v>48</v>
      </c>
      <c r="AL531" s="68" t="s">
        <v>58</v>
      </c>
      <c r="AM531" s="299">
        <f t="shared" ca="1" si="55"/>
        <v>6.7708333333284827</v>
      </c>
      <c r="AN531" s="75"/>
      <c r="AO531" s="61" t="s">
        <v>347</v>
      </c>
      <c r="AP531" s="62" t="s">
        <v>1698</v>
      </c>
      <c r="AQ531" s="61" t="s">
        <v>2171</v>
      </c>
      <c r="AR531" s="64">
        <v>44887.472222222219</v>
      </c>
      <c r="AS531" s="61" t="s">
        <v>136</v>
      </c>
      <c r="AT531" s="61" t="s">
        <v>225</v>
      </c>
      <c r="AU531" s="63">
        <v>0.47222222222222227</v>
      </c>
      <c r="AV531" s="61">
        <v>1</v>
      </c>
      <c r="AW531" s="61" t="s">
        <v>66</v>
      </c>
      <c r="AX531" s="76"/>
      <c r="AY531" s="76"/>
      <c r="AZ531" s="76"/>
      <c r="BA531" s="76"/>
      <c r="BB531" s="74"/>
    </row>
    <row r="532" spans="1:54" ht="15.75" thickBot="1" x14ac:dyDescent="0.3">
      <c r="A532" s="73">
        <v>296</v>
      </c>
      <c r="B532" s="72">
        <v>44880.701388888891</v>
      </c>
      <c r="C532" s="67">
        <v>0.70833333333333337</v>
      </c>
      <c r="D532" s="67">
        <v>0.72916666666666663</v>
      </c>
      <c r="E532" s="67">
        <v>0.73958333333333337</v>
      </c>
      <c r="F532" s="68" t="s">
        <v>169</v>
      </c>
      <c r="G532" s="68" t="s">
        <v>1697</v>
      </c>
      <c r="H532" s="66" t="s">
        <v>197</v>
      </c>
      <c r="I532" s="66" t="s">
        <v>418</v>
      </c>
      <c r="J532" s="66" t="s">
        <v>37</v>
      </c>
      <c r="K532" s="66" t="s">
        <v>233</v>
      </c>
      <c r="L532" s="66" t="s">
        <v>419</v>
      </c>
      <c r="M532" s="68" t="s">
        <v>1698</v>
      </c>
      <c r="N532" s="68" t="s">
        <v>264</v>
      </c>
      <c r="O532" s="68" t="s">
        <v>1705</v>
      </c>
      <c r="P532" s="68" t="s">
        <v>1706</v>
      </c>
      <c r="Q532" s="303">
        <f t="shared" si="56"/>
        <v>4</v>
      </c>
      <c r="R532" s="303">
        <f t="shared" si="57"/>
        <v>243</v>
      </c>
      <c r="S532" s="68">
        <v>3</v>
      </c>
      <c r="T532" s="68">
        <v>124</v>
      </c>
      <c r="U532" s="68">
        <v>1</v>
      </c>
      <c r="V532" s="68">
        <v>119</v>
      </c>
      <c r="W532" s="68">
        <v>219</v>
      </c>
      <c r="X532" s="68">
        <v>89</v>
      </c>
      <c r="Y532" s="68">
        <v>66</v>
      </c>
      <c r="Z532" s="68">
        <v>92</v>
      </c>
      <c r="AA532" s="68">
        <v>1</v>
      </c>
      <c r="AB532" s="300">
        <f t="shared" si="58"/>
        <v>90.067999999999998</v>
      </c>
      <c r="AC532" s="300">
        <f t="shared" si="59"/>
        <v>0.54257831325301209</v>
      </c>
      <c r="AD532" s="68" t="s">
        <v>48</v>
      </c>
      <c r="AE532" s="68" t="s">
        <v>48</v>
      </c>
      <c r="AF532" s="68" t="s">
        <v>317</v>
      </c>
      <c r="AG532" s="68" t="s">
        <v>317</v>
      </c>
      <c r="AH532" s="68" t="s">
        <v>1707</v>
      </c>
      <c r="AI532" s="309"/>
      <c r="AJ532" s="309"/>
      <c r="AK532" s="68" t="s">
        <v>41</v>
      </c>
      <c r="AL532" s="68" t="s">
        <v>58</v>
      </c>
      <c r="AM532" s="299">
        <f t="shared" ca="1" si="55"/>
        <v>6.7708333333284827</v>
      </c>
      <c r="AN532" s="75"/>
      <c r="AO532" s="61" t="s">
        <v>347</v>
      </c>
      <c r="AP532" s="62" t="s">
        <v>1698</v>
      </c>
      <c r="AQ532" s="61" t="s">
        <v>2171</v>
      </c>
      <c r="AR532" s="64">
        <v>44887.472222222219</v>
      </c>
      <c r="AS532" s="61" t="s">
        <v>136</v>
      </c>
      <c r="AT532" s="61" t="s">
        <v>225</v>
      </c>
      <c r="AU532" s="63">
        <v>0.47222222222222227</v>
      </c>
      <c r="AV532" s="61">
        <v>1</v>
      </c>
      <c r="AW532" s="61" t="s">
        <v>66</v>
      </c>
      <c r="AX532" s="76"/>
      <c r="AY532" s="76"/>
      <c r="AZ532" s="76"/>
      <c r="BA532" s="76"/>
      <c r="BB532" s="74"/>
    </row>
    <row r="533" spans="1:54" ht="15.75" thickBot="1" x14ac:dyDescent="0.3">
      <c r="A533" s="73">
        <v>296</v>
      </c>
      <c r="B533" s="72">
        <v>44880.701388888891</v>
      </c>
      <c r="C533" s="67">
        <v>0.70833333333333337</v>
      </c>
      <c r="D533" s="67">
        <v>0.72916666666666663</v>
      </c>
      <c r="E533" s="67">
        <v>0.73958333333333337</v>
      </c>
      <c r="F533" s="68" t="s">
        <v>169</v>
      </c>
      <c r="G533" s="68" t="s">
        <v>1697</v>
      </c>
      <c r="H533" s="66" t="s">
        <v>197</v>
      </c>
      <c r="I533" s="66" t="s">
        <v>418</v>
      </c>
      <c r="J533" s="66" t="s">
        <v>37</v>
      </c>
      <c r="K533" s="66" t="s">
        <v>233</v>
      </c>
      <c r="L533" s="66" t="s">
        <v>419</v>
      </c>
      <c r="M533" s="68" t="s">
        <v>1698</v>
      </c>
      <c r="N533" s="68" t="s">
        <v>264</v>
      </c>
      <c r="O533" s="68" t="s">
        <v>1705</v>
      </c>
      <c r="P533" s="68" t="s">
        <v>1706</v>
      </c>
      <c r="Q533" s="303">
        <f t="shared" si="56"/>
        <v>0</v>
      </c>
      <c r="R533" s="303">
        <f t="shared" si="57"/>
        <v>0</v>
      </c>
      <c r="S533" s="68">
        <v>0</v>
      </c>
      <c r="T533" s="68">
        <v>0</v>
      </c>
      <c r="U533" s="68">
        <v>0</v>
      </c>
      <c r="V533" s="68">
        <v>0</v>
      </c>
      <c r="W533" s="68">
        <v>0</v>
      </c>
      <c r="X533" s="68">
        <v>75</v>
      </c>
      <c r="Y533" s="68">
        <v>62</v>
      </c>
      <c r="Z533" s="68">
        <v>60</v>
      </c>
      <c r="AA533" s="68">
        <v>3</v>
      </c>
      <c r="AB533" s="300">
        <f t="shared" si="58"/>
        <v>139.5</v>
      </c>
      <c r="AC533" s="300">
        <f t="shared" si="59"/>
        <v>0.84036144578313254</v>
      </c>
      <c r="AD533" s="68">
        <v>0</v>
      </c>
      <c r="AE533" s="68">
        <v>0</v>
      </c>
      <c r="AF533" s="68" t="s">
        <v>317</v>
      </c>
      <c r="AG533" s="68" t="s">
        <v>317</v>
      </c>
      <c r="AH533" s="68" t="s">
        <v>1707</v>
      </c>
      <c r="AI533" s="309"/>
      <c r="AJ533" s="309"/>
      <c r="AK533" s="68" t="s">
        <v>41</v>
      </c>
      <c r="AL533" s="68" t="s">
        <v>58</v>
      </c>
      <c r="AM533" s="299">
        <f t="shared" ca="1" si="55"/>
        <v>6.7708333333284827</v>
      </c>
      <c r="AN533" s="75"/>
      <c r="AO533" s="61" t="s">
        <v>347</v>
      </c>
      <c r="AP533" s="62" t="s">
        <v>1698</v>
      </c>
      <c r="AQ533" s="61" t="s">
        <v>2171</v>
      </c>
      <c r="AR533" s="64">
        <v>44887.472222222219</v>
      </c>
      <c r="AS533" s="61" t="s">
        <v>136</v>
      </c>
      <c r="AT533" s="61" t="s">
        <v>225</v>
      </c>
      <c r="AU533" s="63">
        <v>0.47222222222222227</v>
      </c>
      <c r="AV533" s="61">
        <v>1</v>
      </c>
      <c r="AW533" s="61" t="s">
        <v>66</v>
      </c>
      <c r="AX533" s="76"/>
      <c r="AY533" s="76"/>
      <c r="AZ533" s="76"/>
      <c r="BA533" s="76"/>
      <c r="BB533" s="74"/>
    </row>
    <row r="534" spans="1:54" ht="15.75" thickBot="1" x14ac:dyDescent="0.3">
      <c r="A534" s="73">
        <v>297</v>
      </c>
      <c r="B534" s="72">
        <v>44880.777777777781</v>
      </c>
      <c r="C534" s="67">
        <v>0.77777777777777779</v>
      </c>
      <c r="D534" s="67">
        <v>0.78125</v>
      </c>
      <c r="E534" s="67">
        <v>0.78125</v>
      </c>
      <c r="F534" s="68" t="s">
        <v>171</v>
      </c>
      <c r="G534" s="68" t="s">
        <v>327</v>
      </c>
      <c r="H534" s="71" t="s">
        <v>1710</v>
      </c>
      <c r="I534" s="71" t="s">
        <v>1711</v>
      </c>
      <c r="J534" s="71" t="s">
        <v>41</v>
      </c>
      <c r="K534" s="71" t="s">
        <v>82</v>
      </c>
      <c r="L534" s="71">
        <v>0</v>
      </c>
      <c r="M534" s="68" t="s">
        <v>1712</v>
      </c>
      <c r="N534" s="68" t="s">
        <v>42</v>
      </c>
      <c r="O534" s="68">
        <v>2</v>
      </c>
      <c r="P534" s="68" t="s">
        <v>1713</v>
      </c>
      <c r="Q534" s="303">
        <f t="shared" si="56"/>
        <v>1</v>
      </c>
      <c r="R534" s="303">
        <f t="shared" si="57"/>
        <v>14</v>
      </c>
      <c r="S534" s="68">
        <v>1</v>
      </c>
      <c r="T534" s="68">
        <v>14</v>
      </c>
      <c r="U534" s="68">
        <v>0</v>
      </c>
      <c r="V534" s="68">
        <v>0</v>
      </c>
      <c r="W534" s="68">
        <v>13.8</v>
      </c>
      <c r="X534" s="68">
        <v>82</v>
      </c>
      <c r="Y534" s="68">
        <v>58</v>
      </c>
      <c r="Z534" s="68">
        <v>34</v>
      </c>
      <c r="AA534" s="68">
        <v>1</v>
      </c>
      <c r="AB534" s="300">
        <f t="shared" si="58"/>
        <v>26.950666666666667</v>
      </c>
      <c r="AC534" s="300">
        <f t="shared" si="59"/>
        <v>0.16235341365461847</v>
      </c>
      <c r="AD534" s="68" t="s">
        <v>48</v>
      </c>
      <c r="AE534" s="68" t="s">
        <v>48</v>
      </c>
      <c r="AF534" s="68" t="s">
        <v>317</v>
      </c>
      <c r="AG534" s="68" t="s">
        <v>317</v>
      </c>
      <c r="AH534" s="68">
        <v>0</v>
      </c>
      <c r="AI534" s="309"/>
      <c r="AJ534" s="309"/>
      <c r="AK534" s="68" t="s">
        <v>48</v>
      </c>
      <c r="AL534" s="68" t="s">
        <v>49</v>
      </c>
      <c r="AM534" s="299">
        <f t="shared" ca="1" si="55"/>
        <v>1.6701388888832298</v>
      </c>
      <c r="AN534" s="75"/>
      <c r="AO534" s="61" t="s">
        <v>127</v>
      </c>
      <c r="AP534" s="62" t="s">
        <v>1712</v>
      </c>
      <c r="AQ534" s="78" t="s">
        <v>1877</v>
      </c>
      <c r="AR534" s="64">
        <v>44882.447916666664</v>
      </c>
      <c r="AS534" s="61" t="s">
        <v>117</v>
      </c>
      <c r="AT534" s="61" t="s">
        <v>225</v>
      </c>
      <c r="AU534" s="59">
        <v>0.44791666666666669</v>
      </c>
      <c r="AV534" s="61">
        <v>1</v>
      </c>
      <c r="AW534" s="61" t="s">
        <v>66</v>
      </c>
      <c r="AX534" s="76"/>
      <c r="AY534" s="76"/>
      <c r="AZ534" s="76"/>
      <c r="BA534" s="76"/>
      <c r="BB534" s="74"/>
    </row>
    <row r="535" spans="1:54" ht="15.75" thickBot="1" x14ac:dyDescent="0.3">
      <c r="A535" s="73">
        <v>298</v>
      </c>
      <c r="B535" s="72">
        <v>44880.791666666664</v>
      </c>
      <c r="C535" s="67">
        <v>0.79166666666666663</v>
      </c>
      <c r="D535" s="67">
        <v>0.79861111111111116</v>
      </c>
      <c r="E535" s="67">
        <v>0.80208333333333337</v>
      </c>
      <c r="F535" s="68" t="s">
        <v>170</v>
      </c>
      <c r="G535" s="68" t="s">
        <v>1714</v>
      </c>
      <c r="H535" s="66" t="s">
        <v>55</v>
      </c>
      <c r="I535" s="66" t="s">
        <v>71</v>
      </c>
      <c r="J535" s="66" t="s">
        <v>37</v>
      </c>
      <c r="K535" s="66" t="s">
        <v>63</v>
      </c>
      <c r="L535" s="66" t="s">
        <v>216</v>
      </c>
      <c r="M535" s="68" t="s">
        <v>1715</v>
      </c>
      <c r="N535" s="68" t="s">
        <v>139</v>
      </c>
      <c r="O535" s="68">
        <v>92200770</v>
      </c>
      <c r="P535" s="68" t="s">
        <v>1716</v>
      </c>
      <c r="Q535" s="303">
        <f t="shared" si="56"/>
        <v>1</v>
      </c>
      <c r="R535" s="303">
        <f t="shared" si="57"/>
        <v>153</v>
      </c>
      <c r="S535" s="68">
        <v>0</v>
      </c>
      <c r="T535" s="68">
        <v>0</v>
      </c>
      <c r="U535" s="68">
        <v>1</v>
      </c>
      <c r="V535" s="68">
        <v>153</v>
      </c>
      <c r="W535" s="68">
        <v>157.9</v>
      </c>
      <c r="X535" s="68">
        <v>65</v>
      </c>
      <c r="Y535" s="68">
        <v>60</v>
      </c>
      <c r="Z535" s="68">
        <v>46</v>
      </c>
      <c r="AA535" s="68">
        <v>1</v>
      </c>
      <c r="AB535" s="300">
        <f t="shared" si="58"/>
        <v>29.9</v>
      </c>
      <c r="AC535" s="300">
        <f t="shared" si="59"/>
        <v>0.18012048192771082</v>
      </c>
      <c r="AD535" s="68">
        <v>1478.98</v>
      </c>
      <c r="AE535" s="68" t="s">
        <v>109</v>
      </c>
      <c r="AF535" s="68" t="s">
        <v>317</v>
      </c>
      <c r="AG535" s="68" t="s">
        <v>317</v>
      </c>
      <c r="AH535" s="68" t="s">
        <v>1717</v>
      </c>
      <c r="AI535" s="309"/>
      <c r="AJ535" s="309"/>
      <c r="AK535" s="68" t="s">
        <v>37</v>
      </c>
      <c r="AL535" s="68" t="s">
        <v>47</v>
      </c>
      <c r="AM535" s="299">
        <f t="shared" ca="1" si="55"/>
        <v>1.65625</v>
      </c>
      <c r="AN535" s="75"/>
      <c r="AO535" s="61" t="s">
        <v>72</v>
      </c>
      <c r="AP535" s="62" t="s">
        <v>1715</v>
      </c>
      <c r="AQ535" s="78" t="s">
        <v>1879</v>
      </c>
      <c r="AR535" s="64">
        <v>44882.447916666664</v>
      </c>
      <c r="AS535" s="61" t="s">
        <v>117</v>
      </c>
      <c r="AT535" s="61" t="s">
        <v>225</v>
      </c>
      <c r="AU535" s="59">
        <v>0.44791666666666669</v>
      </c>
      <c r="AV535" s="61">
        <v>1</v>
      </c>
      <c r="AW535" s="61" t="s">
        <v>66</v>
      </c>
      <c r="AX535" s="76"/>
      <c r="AY535" s="76"/>
      <c r="AZ535" s="76"/>
      <c r="BA535" s="76"/>
      <c r="BB535" s="74"/>
    </row>
    <row r="536" spans="1:54" ht="15.75" thickBot="1" x14ac:dyDescent="0.3">
      <c r="A536" s="73">
        <v>299</v>
      </c>
      <c r="B536" s="72">
        <v>44880.791666666664</v>
      </c>
      <c r="C536" s="67">
        <v>0.79166666666666663</v>
      </c>
      <c r="D536" s="67">
        <v>0.79861111111111116</v>
      </c>
      <c r="E536" s="67">
        <v>0.80208333333333337</v>
      </c>
      <c r="F536" s="68" t="s">
        <v>170</v>
      </c>
      <c r="G536" s="68" t="s">
        <v>1714</v>
      </c>
      <c r="H536" s="66" t="s">
        <v>57</v>
      </c>
      <c r="I536" s="66" t="s">
        <v>162</v>
      </c>
      <c r="J536" s="66" t="s">
        <v>37</v>
      </c>
      <c r="K536" s="66" t="s">
        <v>63</v>
      </c>
      <c r="L536" s="66" t="s">
        <v>209</v>
      </c>
      <c r="M536" s="68" t="s">
        <v>1718</v>
      </c>
      <c r="N536" s="68" t="s">
        <v>158</v>
      </c>
      <c r="O536" s="68" t="s">
        <v>1719</v>
      </c>
      <c r="P536" s="68">
        <v>81951918</v>
      </c>
      <c r="Q536" s="303">
        <f t="shared" si="56"/>
        <v>1</v>
      </c>
      <c r="R536" s="303">
        <f t="shared" si="57"/>
        <v>403</v>
      </c>
      <c r="S536" s="68">
        <v>0</v>
      </c>
      <c r="T536" s="68">
        <v>0</v>
      </c>
      <c r="U536" s="68">
        <v>1</v>
      </c>
      <c r="V536" s="68">
        <v>403</v>
      </c>
      <c r="W536" s="68">
        <v>394</v>
      </c>
      <c r="X536" s="68">
        <v>183</v>
      </c>
      <c r="Y536" s="68">
        <v>83</v>
      </c>
      <c r="Z536" s="68">
        <v>76</v>
      </c>
      <c r="AA536" s="68">
        <v>1</v>
      </c>
      <c r="AB536" s="300">
        <f t="shared" si="58"/>
        <v>192.39400000000001</v>
      </c>
      <c r="AC536" s="300">
        <f t="shared" si="59"/>
        <v>1.159</v>
      </c>
      <c r="AD536" s="68">
        <v>2668.56</v>
      </c>
      <c r="AE536" s="68" t="s">
        <v>109</v>
      </c>
      <c r="AF536" s="68" t="s">
        <v>317</v>
      </c>
      <c r="AG536" s="68" t="s">
        <v>317</v>
      </c>
      <c r="AH536" s="68" t="s">
        <v>1720</v>
      </c>
      <c r="AI536" s="309"/>
      <c r="AJ536" s="309"/>
      <c r="AK536" s="68" t="s">
        <v>37</v>
      </c>
      <c r="AL536" s="68" t="s">
        <v>47</v>
      </c>
      <c r="AM536" s="299">
        <f t="shared" ca="1" si="55"/>
        <v>1.65625</v>
      </c>
      <c r="AN536" s="75"/>
      <c r="AO536" s="61" t="s">
        <v>159</v>
      </c>
      <c r="AP536" s="62" t="s">
        <v>1718</v>
      </c>
      <c r="AQ536" s="78" t="s">
        <v>1875</v>
      </c>
      <c r="AR536" s="64">
        <v>44882.447916666664</v>
      </c>
      <c r="AS536" s="61" t="s">
        <v>117</v>
      </c>
      <c r="AT536" s="61" t="s">
        <v>225</v>
      </c>
      <c r="AU536" s="59">
        <v>0.44791666666666669</v>
      </c>
      <c r="AV536" s="61">
        <v>1</v>
      </c>
      <c r="AW536" s="61" t="s">
        <v>66</v>
      </c>
      <c r="AX536" s="76"/>
      <c r="AY536" s="76"/>
      <c r="AZ536" s="76"/>
      <c r="BA536" s="76"/>
      <c r="BB536" s="74"/>
    </row>
    <row r="537" spans="1:54" ht="15.75" thickBot="1" x14ac:dyDescent="0.3">
      <c r="A537" s="73">
        <v>300</v>
      </c>
      <c r="B537" s="72">
        <v>44880.791666666664</v>
      </c>
      <c r="C537" s="67">
        <v>0.79166666666666663</v>
      </c>
      <c r="D537" s="67">
        <v>0.79861111111111116</v>
      </c>
      <c r="E537" s="67">
        <v>0.80208333333333337</v>
      </c>
      <c r="F537" s="68" t="s">
        <v>170</v>
      </c>
      <c r="G537" s="68" t="s">
        <v>1714</v>
      </c>
      <c r="H537" s="66" t="s">
        <v>57</v>
      </c>
      <c r="I537" s="66" t="s">
        <v>73</v>
      </c>
      <c r="J537" s="66" t="s">
        <v>37</v>
      </c>
      <c r="K537" s="66" t="s">
        <v>63</v>
      </c>
      <c r="L537" s="66" t="s">
        <v>209</v>
      </c>
      <c r="M537" s="68" t="s">
        <v>1721</v>
      </c>
      <c r="N537" s="68" t="s">
        <v>59</v>
      </c>
      <c r="O537" s="68" t="s">
        <v>1722</v>
      </c>
      <c r="P537" s="68">
        <v>81958296</v>
      </c>
      <c r="Q537" s="303">
        <f t="shared" si="56"/>
        <v>1</v>
      </c>
      <c r="R537" s="303">
        <f t="shared" si="57"/>
        <v>141</v>
      </c>
      <c r="S537" s="68">
        <v>0</v>
      </c>
      <c r="T537" s="68">
        <v>0</v>
      </c>
      <c r="U537" s="68">
        <v>1</v>
      </c>
      <c r="V537" s="68">
        <v>141</v>
      </c>
      <c r="W537" s="68">
        <v>141</v>
      </c>
      <c r="X537" s="68">
        <v>96</v>
      </c>
      <c r="Y537" s="68">
        <v>68</v>
      </c>
      <c r="Z537" s="68">
        <v>77</v>
      </c>
      <c r="AA537" s="68">
        <v>1</v>
      </c>
      <c r="AB537" s="300">
        <f t="shared" si="58"/>
        <v>83.775999999999996</v>
      </c>
      <c r="AC537" s="300">
        <f t="shared" si="59"/>
        <v>0.50467469879518068</v>
      </c>
      <c r="AD537" s="68">
        <v>3777.83</v>
      </c>
      <c r="AE537" s="68" t="s">
        <v>109</v>
      </c>
      <c r="AF537" s="68" t="s">
        <v>317</v>
      </c>
      <c r="AG537" s="68" t="s">
        <v>317</v>
      </c>
      <c r="AH537" s="68" t="s">
        <v>1723</v>
      </c>
      <c r="AI537" s="309"/>
      <c r="AJ537" s="309"/>
      <c r="AK537" s="68" t="s">
        <v>37</v>
      </c>
      <c r="AL537" s="68" t="s">
        <v>47</v>
      </c>
      <c r="AM537" s="299">
        <f t="shared" ca="1" si="55"/>
        <v>2.8958333333357587</v>
      </c>
      <c r="AN537" s="75"/>
      <c r="AO537" s="78" t="s">
        <v>70</v>
      </c>
      <c r="AP537" s="62" t="s">
        <v>1721</v>
      </c>
      <c r="AQ537" s="61" t="s">
        <v>1934</v>
      </c>
      <c r="AR537" s="64">
        <v>44883.6875</v>
      </c>
      <c r="AS537" s="57" t="s">
        <v>117</v>
      </c>
      <c r="AT537" s="61" t="s">
        <v>225</v>
      </c>
      <c r="AU537" s="63">
        <v>0.6875</v>
      </c>
      <c r="AV537" s="61">
        <v>2</v>
      </c>
      <c r="AW537" s="61" t="s">
        <v>66</v>
      </c>
      <c r="AX537" s="76"/>
      <c r="AY537" s="76"/>
      <c r="AZ537" s="76"/>
      <c r="BA537" s="76"/>
      <c r="BB537" s="74"/>
    </row>
    <row r="538" spans="1:54" ht="15.75" thickBot="1" x14ac:dyDescent="0.3">
      <c r="A538" s="73">
        <v>301</v>
      </c>
      <c r="B538" s="72">
        <v>44880.791666666664</v>
      </c>
      <c r="C538" s="67">
        <v>0.79166666666666663</v>
      </c>
      <c r="D538" s="67">
        <v>0.79861111111111116</v>
      </c>
      <c r="E538" s="67">
        <v>0.80208333333333337</v>
      </c>
      <c r="F538" s="68" t="s">
        <v>170</v>
      </c>
      <c r="G538" s="68" t="s">
        <v>1714</v>
      </c>
      <c r="H538" s="66" t="s">
        <v>45</v>
      </c>
      <c r="I538" s="66" t="s">
        <v>73</v>
      </c>
      <c r="J538" s="66" t="s">
        <v>37</v>
      </c>
      <c r="K538" s="66" t="s">
        <v>63</v>
      </c>
      <c r="L538" s="66" t="s">
        <v>215</v>
      </c>
      <c r="M538" s="68" t="s">
        <v>1724</v>
      </c>
      <c r="N538" s="68" t="s">
        <v>59</v>
      </c>
      <c r="O538" s="68">
        <v>3500713</v>
      </c>
      <c r="P538" s="68">
        <v>5051988945</v>
      </c>
      <c r="Q538" s="303">
        <f t="shared" si="56"/>
        <v>1</v>
      </c>
      <c r="R538" s="303">
        <f t="shared" si="57"/>
        <v>262</v>
      </c>
      <c r="S538" s="68">
        <v>0</v>
      </c>
      <c r="T538" s="68">
        <v>0</v>
      </c>
      <c r="U538" s="68">
        <v>1</v>
      </c>
      <c r="V538" s="68">
        <v>262</v>
      </c>
      <c r="W538" s="68">
        <v>261</v>
      </c>
      <c r="X538" s="68">
        <v>90</v>
      </c>
      <c r="Y538" s="68">
        <v>80</v>
      </c>
      <c r="Z538" s="68">
        <v>50</v>
      </c>
      <c r="AA538" s="68">
        <v>1</v>
      </c>
      <c r="AB538" s="300">
        <f t="shared" si="58"/>
        <v>60</v>
      </c>
      <c r="AC538" s="300">
        <f t="shared" si="59"/>
        <v>0.36144578313253012</v>
      </c>
      <c r="AD538" s="68">
        <v>3840</v>
      </c>
      <c r="AE538" s="68" t="s">
        <v>109</v>
      </c>
      <c r="AF538" s="68" t="s">
        <v>317</v>
      </c>
      <c r="AG538" s="68" t="s">
        <v>317</v>
      </c>
      <c r="AH538" s="68" t="s">
        <v>1725</v>
      </c>
      <c r="AI538" s="309"/>
      <c r="AJ538" s="309"/>
      <c r="AK538" s="68" t="s">
        <v>37</v>
      </c>
      <c r="AL538" s="68" t="s">
        <v>47</v>
      </c>
      <c r="AM538" s="299">
        <f t="shared" ca="1" si="55"/>
        <v>2.8958333333357587</v>
      </c>
      <c r="AN538" s="75"/>
      <c r="AO538" s="78" t="s">
        <v>70</v>
      </c>
      <c r="AP538" s="62" t="s">
        <v>1724</v>
      </c>
      <c r="AQ538" s="61" t="s">
        <v>1934</v>
      </c>
      <c r="AR538" s="64">
        <v>44883.6875</v>
      </c>
      <c r="AS538" s="57" t="s">
        <v>117</v>
      </c>
      <c r="AT538" s="61" t="s">
        <v>225</v>
      </c>
      <c r="AU538" s="63">
        <v>0.6875</v>
      </c>
      <c r="AV538" s="61">
        <v>2</v>
      </c>
      <c r="AW538" s="61" t="s">
        <v>66</v>
      </c>
      <c r="AX538" s="76"/>
      <c r="AY538" s="76"/>
      <c r="AZ538" s="76"/>
      <c r="BA538" s="76"/>
      <c r="BB538" s="74"/>
    </row>
    <row r="539" spans="1:54" x14ac:dyDescent="0.25">
      <c r="A539" s="73">
        <v>302</v>
      </c>
      <c r="B539" s="72">
        <v>44880.763888888891</v>
      </c>
      <c r="C539" s="67">
        <v>0.76736111111111116</v>
      </c>
      <c r="D539" s="67">
        <v>0.78472222222222221</v>
      </c>
      <c r="E539" s="67">
        <v>0.42708333333333331</v>
      </c>
      <c r="F539" s="68" t="s">
        <v>171</v>
      </c>
      <c r="G539" s="68" t="s">
        <v>95</v>
      </c>
      <c r="H539" s="71" t="s">
        <v>234</v>
      </c>
      <c r="I539" s="71" t="s">
        <v>234</v>
      </c>
      <c r="J539" s="71" t="s">
        <v>37</v>
      </c>
      <c r="K539" s="71" t="s">
        <v>233</v>
      </c>
      <c r="L539" s="47" t="s">
        <v>206</v>
      </c>
      <c r="M539" s="68" t="s">
        <v>1726</v>
      </c>
      <c r="N539" s="68" t="s">
        <v>42</v>
      </c>
      <c r="O539" s="68" t="s">
        <v>1727</v>
      </c>
      <c r="P539" s="68" t="s">
        <v>1728</v>
      </c>
      <c r="Q539" s="303">
        <f t="shared" si="56"/>
        <v>15</v>
      </c>
      <c r="R539" s="303">
        <f t="shared" si="57"/>
        <v>3983</v>
      </c>
      <c r="S539" s="68">
        <v>0</v>
      </c>
      <c r="T539" s="68">
        <v>0</v>
      </c>
      <c r="U539" s="68">
        <v>15</v>
      </c>
      <c r="V539" s="68">
        <v>3983</v>
      </c>
      <c r="W539" s="68">
        <v>3978</v>
      </c>
      <c r="X539" s="68">
        <v>122</v>
      </c>
      <c r="Y539" s="68">
        <v>69</v>
      </c>
      <c r="Z539" s="68">
        <v>60</v>
      </c>
      <c r="AA539" s="68">
        <v>3</v>
      </c>
      <c r="AB539" s="300">
        <f t="shared" si="58"/>
        <v>252.54</v>
      </c>
      <c r="AC539" s="300">
        <f t="shared" si="59"/>
        <v>1.5213253012048191</v>
      </c>
      <c r="AD539" s="68">
        <v>26756.42</v>
      </c>
      <c r="AE539" s="68" t="s">
        <v>109</v>
      </c>
      <c r="AF539" s="68" t="s">
        <v>317</v>
      </c>
      <c r="AG539" s="68" t="s">
        <v>317</v>
      </c>
      <c r="AH539" s="68" t="s">
        <v>1729</v>
      </c>
      <c r="AI539" s="309"/>
      <c r="AJ539" s="309"/>
      <c r="AK539" s="68" t="s">
        <v>41</v>
      </c>
      <c r="AL539" s="68" t="s">
        <v>54</v>
      </c>
      <c r="AM539" s="299">
        <f t="shared" ca="1" si="55"/>
        <v>0.94097222221898846</v>
      </c>
      <c r="AN539" s="51"/>
      <c r="AO539" s="61" t="s">
        <v>120</v>
      </c>
      <c r="AP539" s="62" t="s">
        <v>1726</v>
      </c>
      <c r="AQ539" s="61" t="s">
        <v>1798</v>
      </c>
      <c r="AR539" s="64">
        <v>44881.704861111109</v>
      </c>
      <c r="AS539" s="61" t="s">
        <v>304</v>
      </c>
      <c r="AT539" s="61" t="s">
        <v>65</v>
      </c>
      <c r="AU539" s="59">
        <v>0.70486111111111116</v>
      </c>
      <c r="AV539" s="61">
        <v>1</v>
      </c>
      <c r="AW539" s="61" t="s">
        <v>66</v>
      </c>
      <c r="AX539" s="52"/>
      <c r="AY539" s="52"/>
      <c r="AZ539" s="52"/>
      <c r="BA539" s="52"/>
    </row>
    <row r="540" spans="1:54" x14ac:dyDescent="0.25">
      <c r="A540" s="73">
        <v>302</v>
      </c>
      <c r="B540" s="72">
        <v>44880.763888888891</v>
      </c>
      <c r="C540" s="67">
        <v>0.76736111111111116</v>
      </c>
      <c r="D540" s="67">
        <v>0.78472222222222221</v>
      </c>
      <c r="E540" s="67">
        <v>0.42708333333333331</v>
      </c>
      <c r="F540" s="68" t="s">
        <v>171</v>
      </c>
      <c r="G540" s="68" t="s">
        <v>95</v>
      </c>
      <c r="H540" s="66" t="s">
        <v>234</v>
      </c>
      <c r="I540" s="66" t="s">
        <v>234</v>
      </c>
      <c r="J540" s="66" t="s">
        <v>37</v>
      </c>
      <c r="K540" s="66" t="s">
        <v>233</v>
      </c>
      <c r="L540" s="70" t="s">
        <v>206</v>
      </c>
      <c r="M540" s="68" t="s">
        <v>1726</v>
      </c>
      <c r="N540" s="68" t="s">
        <v>42</v>
      </c>
      <c r="O540" s="68" t="s">
        <v>1727</v>
      </c>
      <c r="P540" s="68" t="s">
        <v>1728</v>
      </c>
      <c r="Q540" s="303">
        <f t="shared" si="56"/>
        <v>0</v>
      </c>
      <c r="R540" s="303">
        <f t="shared" si="57"/>
        <v>0</v>
      </c>
      <c r="S540" s="68">
        <v>0</v>
      </c>
      <c r="T540" s="68">
        <v>0</v>
      </c>
      <c r="U540" s="68">
        <v>0</v>
      </c>
      <c r="V540" s="68">
        <v>0</v>
      </c>
      <c r="W540" s="68">
        <v>0</v>
      </c>
      <c r="X540" s="68">
        <v>82</v>
      </c>
      <c r="Y540" s="68">
        <v>79</v>
      </c>
      <c r="Z540" s="68">
        <v>55</v>
      </c>
      <c r="AA540" s="68">
        <v>1</v>
      </c>
      <c r="AB540" s="300">
        <f t="shared" si="58"/>
        <v>59.381666666666668</v>
      </c>
      <c r="AC540" s="300">
        <f t="shared" si="59"/>
        <v>0.35772088353413656</v>
      </c>
      <c r="AD540" s="68">
        <v>0</v>
      </c>
      <c r="AE540" s="68">
        <v>0</v>
      </c>
      <c r="AF540" s="68" t="s">
        <v>317</v>
      </c>
      <c r="AG540" s="68" t="s">
        <v>317</v>
      </c>
      <c r="AH540" s="68" t="s">
        <v>1729</v>
      </c>
      <c r="AI540" s="309"/>
      <c r="AJ540" s="309"/>
      <c r="AK540" s="68" t="s">
        <v>41</v>
      </c>
      <c r="AL540" s="68" t="s">
        <v>54</v>
      </c>
      <c r="AM540" s="299">
        <f t="shared" ca="1" si="55"/>
        <v>0.94097222221898846</v>
      </c>
      <c r="AN540" s="51"/>
      <c r="AO540" s="61" t="s">
        <v>120</v>
      </c>
      <c r="AP540" s="62" t="s">
        <v>1726</v>
      </c>
      <c r="AQ540" s="61" t="s">
        <v>1798</v>
      </c>
      <c r="AR540" s="64">
        <v>44881.704861111109</v>
      </c>
      <c r="AS540" s="61" t="s">
        <v>304</v>
      </c>
      <c r="AT540" s="61" t="s">
        <v>65</v>
      </c>
      <c r="AU540" s="59">
        <v>0.70486111111111116</v>
      </c>
      <c r="AV540" s="61">
        <v>1</v>
      </c>
      <c r="AW540" s="61" t="s">
        <v>66</v>
      </c>
      <c r="AX540" s="52"/>
      <c r="AY540" s="52"/>
      <c r="AZ540" s="52"/>
      <c r="BA540" s="52"/>
    </row>
    <row r="541" spans="1:54" x14ac:dyDescent="0.25">
      <c r="A541" s="73">
        <v>302</v>
      </c>
      <c r="B541" s="72">
        <v>44880.763888888891</v>
      </c>
      <c r="C541" s="67">
        <v>0.76736111111111116</v>
      </c>
      <c r="D541" s="67">
        <v>0.78472222222222221</v>
      </c>
      <c r="E541" s="67">
        <v>0.42708333333333331</v>
      </c>
      <c r="F541" s="68" t="s">
        <v>171</v>
      </c>
      <c r="G541" s="68" t="s">
        <v>95</v>
      </c>
      <c r="H541" s="66" t="s">
        <v>234</v>
      </c>
      <c r="I541" s="66" t="s">
        <v>234</v>
      </c>
      <c r="J541" s="66" t="s">
        <v>37</v>
      </c>
      <c r="K541" s="66" t="s">
        <v>233</v>
      </c>
      <c r="L541" s="70" t="s">
        <v>206</v>
      </c>
      <c r="M541" s="68" t="s">
        <v>1726</v>
      </c>
      <c r="N541" s="68" t="s">
        <v>42</v>
      </c>
      <c r="O541" s="68" t="s">
        <v>1727</v>
      </c>
      <c r="P541" s="68" t="s">
        <v>1728</v>
      </c>
      <c r="Q541" s="303">
        <f t="shared" si="56"/>
        <v>0</v>
      </c>
      <c r="R541" s="303">
        <f t="shared" si="57"/>
        <v>0</v>
      </c>
      <c r="S541" s="68">
        <v>0</v>
      </c>
      <c r="T541" s="68">
        <v>0</v>
      </c>
      <c r="U541" s="68">
        <v>0</v>
      </c>
      <c r="V541" s="68">
        <v>0</v>
      </c>
      <c r="W541" s="68">
        <v>0</v>
      </c>
      <c r="X541" s="68">
        <v>120</v>
      </c>
      <c r="Y541" s="68">
        <v>94</v>
      </c>
      <c r="Z541" s="68">
        <v>60</v>
      </c>
      <c r="AA541" s="68">
        <v>2</v>
      </c>
      <c r="AB541" s="300">
        <f t="shared" si="58"/>
        <v>225.6</v>
      </c>
      <c r="AC541" s="300">
        <f t="shared" si="59"/>
        <v>1.3590361445783132</v>
      </c>
      <c r="AD541" s="68">
        <v>0</v>
      </c>
      <c r="AE541" s="68">
        <v>0</v>
      </c>
      <c r="AF541" s="68" t="s">
        <v>317</v>
      </c>
      <c r="AG541" s="68" t="s">
        <v>317</v>
      </c>
      <c r="AH541" s="68" t="s">
        <v>1729</v>
      </c>
      <c r="AI541" s="309"/>
      <c r="AJ541" s="309"/>
      <c r="AK541" s="68" t="s">
        <v>41</v>
      </c>
      <c r="AL541" s="68" t="s">
        <v>54</v>
      </c>
      <c r="AM541" s="299">
        <f t="shared" ca="1" si="55"/>
        <v>0.94097222221898846</v>
      </c>
      <c r="AN541" s="51"/>
      <c r="AO541" s="61" t="s">
        <v>120</v>
      </c>
      <c r="AP541" s="62" t="s">
        <v>1726</v>
      </c>
      <c r="AQ541" s="61" t="s">
        <v>1798</v>
      </c>
      <c r="AR541" s="64">
        <v>44881.704861111109</v>
      </c>
      <c r="AS541" s="61" t="s">
        <v>304</v>
      </c>
      <c r="AT541" s="61" t="s">
        <v>65</v>
      </c>
      <c r="AU541" s="59">
        <v>0.70486111111111116</v>
      </c>
      <c r="AV541" s="61">
        <v>1</v>
      </c>
      <c r="AW541" s="61" t="s">
        <v>66</v>
      </c>
      <c r="AX541" s="52"/>
      <c r="AY541" s="52"/>
      <c r="AZ541" s="52"/>
      <c r="BA541" s="52"/>
    </row>
    <row r="542" spans="1:54" x14ac:dyDescent="0.25">
      <c r="A542" s="73">
        <v>302</v>
      </c>
      <c r="B542" s="72">
        <v>44880.763888888891</v>
      </c>
      <c r="C542" s="67">
        <v>0.76736111111111116</v>
      </c>
      <c r="D542" s="67">
        <v>0.78472222222222221</v>
      </c>
      <c r="E542" s="67">
        <v>0.42708333333333331</v>
      </c>
      <c r="F542" s="68" t="s">
        <v>171</v>
      </c>
      <c r="G542" s="68" t="s">
        <v>95</v>
      </c>
      <c r="H542" s="66" t="s">
        <v>234</v>
      </c>
      <c r="I542" s="66" t="s">
        <v>234</v>
      </c>
      <c r="J542" s="66" t="s">
        <v>37</v>
      </c>
      <c r="K542" s="66" t="s">
        <v>233</v>
      </c>
      <c r="L542" s="70" t="s">
        <v>206</v>
      </c>
      <c r="M542" s="68" t="s">
        <v>1726</v>
      </c>
      <c r="N542" s="68" t="s">
        <v>42</v>
      </c>
      <c r="O542" s="68" t="s">
        <v>1727</v>
      </c>
      <c r="P542" s="68" t="s">
        <v>1728</v>
      </c>
      <c r="Q542" s="303">
        <f t="shared" si="56"/>
        <v>0</v>
      </c>
      <c r="R542" s="303">
        <f t="shared" si="57"/>
        <v>0</v>
      </c>
      <c r="S542" s="68">
        <v>0</v>
      </c>
      <c r="T542" s="68">
        <v>0</v>
      </c>
      <c r="U542" s="68">
        <v>0</v>
      </c>
      <c r="V542" s="68">
        <v>0</v>
      </c>
      <c r="W542" s="68">
        <v>0</v>
      </c>
      <c r="X542" s="68">
        <v>107</v>
      </c>
      <c r="Y542" s="68">
        <v>94</v>
      </c>
      <c r="Z542" s="68">
        <v>60</v>
      </c>
      <c r="AA542" s="68">
        <v>7</v>
      </c>
      <c r="AB542" s="300">
        <f t="shared" si="58"/>
        <v>704.06</v>
      </c>
      <c r="AC542" s="300">
        <f t="shared" si="59"/>
        <v>4.2413253012048191</v>
      </c>
      <c r="AD542" s="68">
        <v>0</v>
      </c>
      <c r="AE542" s="68">
        <v>0</v>
      </c>
      <c r="AF542" s="68" t="s">
        <v>317</v>
      </c>
      <c r="AG542" s="68" t="s">
        <v>317</v>
      </c>
      <c r="AH542" s="68" t="s">
        <v>1729</v>
      </c>
      <c r="AI542" s="309"/>
      <c r="AJ542" s="309"/>
      <c r="AK542" s="68" t="s">
        <v>41</v>
      </c>
      <c r="AL542" s="68" t="s">
        <v>54</v>
      </c>
      <c r="AM542" s="299">
        <f t="shared" ca="1" si="55"/>
        <v>0.94097222221898846</v>
      </c>
      <c r="AN542" s="51"/>
      <c r="AO542" s="61" t="s">
        <v>120</v>
      </c>
      <c r="AP542" s="62" t="s">
        <v>1726</v>
      </c>
      <c r="AQ542" s="61" t="s">
        <v>1798</v>
      </c>
      <c r="AR542" s="64">
        <v>44881.704861111109</v>
      </c>
      <c r="AS542" s="61" t="s">
        <v>304</v>
      </c>
      <c r="AT542" s="61" t="s">
        <v>65</v>
      </c>
      <c r="AU542" s="59">
        <v>0.70486111111111116</v>
      </c>
      <c r="AV542" s="61">
        <v>1</v>
      </c>
      <c r="AW542" s="61" t="s">
        <v>66</v>
      </c>
      <c r="AX542" s="52"/>
      <c r="AY542" s="52"/>
      <c r="AZ542" s="52"/>
      <c r="BA542" s="52"/>
    </row>
    <row r="543" spans="1:54" x14ac:dyDescent="0.25">
      <c r="A543" s="73">
        <v>302</v>
      </c>
      <c r="B543" s="72">
        <v>44880.763888888891</v>
      </c>
      <c r="C543" s="67">
        <v>0.76736111111111116</v>
      </c>
      <c r="D543" s="67">
        <v>0.78472222222222221</v>
      </c>
      <c r="E543" s="67">
        <v>0.42708333333333331</v>
      </c>
      <c r="F543" s="68" t="s">
        <v>171</v>
      </c>
      <c r="G543" s="68" t="s">
        <v>95</v>
      </c>
      <c r="H543" s="66" t="s">
        <v>234</v>
      </c>
      <c r="I543" s="66" t="s">
        <v>234</v>
      </c>
      <c r="J543" s="66" t="s">
        <v>37</v>
      </c>
      <c r="K543" s="66" t="s">
        <v>233</v>
      </c>
      <c r="L543" s="70" t="s">
        <v>206</v>
      </c>
      <c r="M543" s="68" t="s">
        <v>1726</v>
      </c>
      <c r="N543" s="68" t="s">
        <v>42</v>
      </c>
      <c r="O543" s="68" t="s">
        <v>1727</v>
      </c>
      <c r="P543" s="68" t="s">
        <v>1728</v>
      </c>
      <c r="Q543" s="303">
        <f t="shared" si="56"/>
        <v>0</v>
      </c>
      <c r="R543" s="303">
        <f t="shared" si="57"/>
        <v>0</v>
      </c>
      <c r="S543" s="68">
        <v>0</v>
      </c>
      <c r="T543" s="68">
        <v>0</v>
      </c>
      <c r="U543" s="68">
        <v>0</v>
      </c>
      <c r="V543" s="68">
        <v>0</v>
      </c>
      <c r="W543" s="68">
        <v>0</v>
      </c>
      <c r="X543" s="68">
        <v>127</v>
      </c>
      <c r="Y543" s="68">
        <v>107</v>
      </c>
      <c r="Z543" s="68">
        <v>70</v>
      </c>
      <c r="AA543" s="68">
        <v>1</v>
      </c>
      <c r="AB543" s="300">
        <f t="shared" si="58"/>
        <v>158.53833333333333</v>
      </c>
      <c r="AC543" s="300">
        <f t="shared" si="59"/>
        <v>0.95505020080321279</v>
      </c>
      <c r="AD543" s="68">
        <v>0</v>
      </c>
      <c r="AE543" s="68">
        <v>0</v>
      </c>
      <c r="AF543" s="68" t="s">
        <v>317</v>
      </c>
      <c r="AG543" s="68" t="s">
        <v>317</v>
      </c>
      <c r="AH543" s="68" t="s">
        <v>1729</v>
      </c>
      <c r="AI543" s="309"/>
      <c r="AJ543" s="309"/>
      <c r="AK543" s="68" t="s">
        <v>41</v>
      </c>
      <c r="AL543" s="68" t="s">
        <v>54</v>
      </c>
      <c r="AM543" s="299">
        <f t="shared" ca="1" si="55"/>
        <v>0.94097222221898846</v>
      </c>
      <c r="AN543" s="51"/>
      <c r="AO543" s="61" t="s">
        <v>120</v>
      </c>
      <c r="AP543" s="62" t="s">
        <v>1726</v>
      </c>
      <c r="AQ543" s="61" t="s">
        <v>1798</v>
      </c>
      <c r="AR543" s="64">
        <v>44881.704861111109</v>
      </c>
      <c r="AS543" s="61" t="s">
        <v>304</v>
      </c>
      <c r="AT543" s="61" t="s">
        <v>65</v>
      </c>
      <c r="AU543" s="59">
        <v>0.70486111111111116</v>
      </c>
      <c r="AV543" s="61">
        <v>1</v>
      </c>
      <c r="AW543" s="61" t="s">
        <v>66</v>
      </c>
      <c r="AX543" s="52"/>
      <c r="AY543" s="52"/>
      <c r="AZ543" s="52"/>
      <c r="BA543" s="52"/>
    </row>
    <row r="544" spans="1:54" x14ac:dyDescent="0.25">
      <c r="A544" s="73">
        <v>302</v>
      </c>
      <c r="B544" s="72">
        <v>44880.763888888891</v>
      </c>
      <c r="C544" s="67">
        <v>0.76736111111111116</v>
      </c>
      <c r="D544" s="67">
        <v>0.78472222222222221</v>
      </c>
      <c r="E544" s="67">
        <v>0.42708333333333331</v>
      </c>
      <c r="F544" s="68" t="s">
        <v>171</v>
      </c>
      <c r="G544" s="68" t="s">
        <v>95</v>
      </c>
      <c r="H544" s="66" t="s">
        <v>234</v>
      </c>
      <c r="I544" s="66" t="s">
        <v>234</v>
      </c>
      <c r="J544" s="66" t="s">
        <v>37</v>
      </c>
      <c r="K544" s="66" t="s">
        <v>233</v>
      </c>
      <c r="L544" s="70" t="s">
        <v>206</v>
      </c>
      <c r="M544" s="68" t="s">
        <v>1726</v>
      </c>
      <c r="N544" s="68" t="s">
        <v>42</v>
      </c>
      <c r="O544" s="68" t="s">
        <v>1727</v>
      </c>
      <c r="P544" s="68" t="s">
        <v>1728</v>
      </c>
      <c r="Q544" s="303">
        <f t="shared" si="56"/>
        <v>0</v>
      </c>
      <c r="R544" s="303">
        <f t="shared" si="57"/>
        <v>0</v>
      </c>
      <c r="S544" s="68">
        <v>0</v>
      </c>
      <c r="T544" s="68">
        <v>0</v>
      </c>
      <c r="U544" s="68">
        <v>0</v>
      </c>
      <c r="V544" s="68">
        <v>0</v>
      </c>
      <c r="W544" s="68">
        <v>0</v>
      </c>
      <c r="X544" s="68">
        <v>122</v>
      </c>
      <c r="Y544" s="68">
        <v>69</v>
      </c>
      <c r="Z544" s="68">
        <v>62</v>
      </c>
      <c r="AA544" s="68">
        <v>1</v>
      </c>
      <c r="AB544" s="300">
        <f t="shared" si="58"/>
        <v>86.986000000000004</v>
      </c>
      <c r="AC544" s="300">
        <f t="shared" si="59"/>
        <v>0.52401204819277114</v>
      </c>
      <c r="AD544" s="68">
        <v>0</v>
      </c>
      <c r="AE544" s="68">
        <v>0</v>
      </c>
      <c r="AF544" s="68" t="s">
        <v>317</v>
      </c>
      <c r="AG544" s="68" t="s">
        <v>317</v>
      </c>
      <c r="AH544" s="68" t="s">
        <v>1729</v>
      </c>
      <c r="AI544" s="309"/>
      <c r="AJ544" s="309"/>
      <c r="AK544" s="68" t="s">
        <v>41</v>
      </c>
      <c r="AL544" s="68" t="s">
        <v>54</v>
      </c>
      <c r="AM544" s="299">
        <f t="shared" ca="1" si="55"/>
        <v>0.94097222221898846</v>
      </c>
      <c r="AN544" s="51"/>
      <c r="AO544" s="61" t="s">
        <v>120</v>
      </c>
      <c r="AP544" s="62" t="s">
        <v>1726</v>
      </c>
      <c r="AQ544" s="61" t="s">
        <v>1798</v>
      </c>
      <c r="AR544" s="64">
        <v>44881.704861111109</v>
      </c>
      <c r="AS544" s="61" t="s">
        <v>304</v>
      </c>
      <c r="AT544" s="61" t="s">
        <v>65</v>
      </c>
      <c r="AU544" s="59">
        <v>0.70486111111111116</v>
      </c>
      <c r="AV544" s="61">
        <v>1</v>
      </c>
      <c r="AW544" s="61" t="s">
        <v>66</v>
      </c>
      <c r="AX544" s="52"/>
      <c r="AY544" s="52"/>
      <c r="AZ544" s="52"/>
      <c r="BA544" s="52"/>
    </row>
    <row r="545" spans="1:53" x14ac:dyDescent="0.25">
      <c r="A545" s="73">
        <v>303</v>
      </c>
      <c r="B545" s="72">
        <v>44881.416666666664</v>
      </c>
      <c r="C545" s="67">
        <v>0.41666666666666669</v>
      </c>
      <c r="D545" s="67">
        <v>0.4201388888888889</v>
      </c>
      <c r="E545" s="67">
        <v>0.42708333333333331</v>
      </c>
      <c r="F545" s="68" t="s">
        <v>171</v>
      </c>
      <c r="G545" s="68" t="s">
        <v>298</v>
      </c>
      <c r="H545" s="66" t="s">
        <v>234</v>
      </c>
      <c r="I545" s="66" t="s">
        <v>234</v>
      </c>
      <c r="J545" s="66" t="s">
        <v>37</v>
      </c>
      <c r="K545" s="66" t="s">
        <v>233</v>
      </c>
      <c r="L545" s="70" t="s">
        <v>206</v>
      </c>
      <c r="M545" s="68" t="s">
        <v>1726</v>
      </c>
      <c r="N545" s="68" t="s">
        <v>42</v>
      </c>
      <c r="O545" s="68" t="s">
        <v>1730</v>
      </c>
      <c r="P545" s="68" t="s">
        <v>1731</v>
      </c>
      <c r="Q545" s="303">
        <f t="shared" si="56"/>
        <v>3</v>
      </c>
      <c r="R545" s="303">
        <f t="shared" si="57"/>
        <v>657</v>
      </c>
      <c r="S545" s="68">
        <v>0</v>
      </c>
      <c r="T545" s="68">
        <v>0</v>
      </c>
      <c r="U545" s="68">
        <v>3</v>
      </c>
      <c r="V545" s="68">
        <v>657</v>
      </c>
      <c r="W545" s="68">
        <v>654</v>
      </c>
      <c r="X545" s="68">
        <v>128</v>
      </c>
      <c r="Y545" s="68">
        <v>61</v>
      </c>
      <c r="Z545" s="68">
        <v>70</v>
      </c>
      <c r="AA545" s="68">
        <v>1</v>
      </c>
      <c r="AB545" s="300">
        <f t="shared" si="58"/>
        <v>91.093333333333334</v>
      </c>
      <c r="AC545" s="300">
        <f t="shared" si="59"/>
        <v>0.54875502008032129</v>
      </c>
      <c r="AD545" s="68">
        <v>4638.8900000000003</v>
      </c>
      <c r="AE545" s="68" t="s">
        <v>109</v>
      </c>
      <c r="AF545" s="68" t="s">
        <v>317</v>
      </c>
      <c r="AG545" s="68" t="s">
        <v>317</v>
      </c>
      <c r="AH545" s="68" t="s">
        <v>1732</v>
      </c>
      <c r="AI545" s="309"/>
      <c r="AJ545" s="309"/>
      <c r="AK545" s="68" t="s">
        <v>41</v>
      </c>
      <c r="AL545" s="68" t="s">
        <v>54</v>
      </c>
      <c r="AM545" s="299">
        <f t="shared" ca="1" si="55"/>
        <v>0.28819444444525288</v>
      </c>
      <c r="AN545" s="51"/>
      <c r="AO545" s="61" t="s">
        <v>120</v>
      </c>
      <c r="AP545" s="62" t="s">
        <v>1726</v>
      </c>
      <c r="AQ545" s="61" t="s">
        <v>1798</v>
      </c>
      <c r="AR545" s="64">
        <v>44881.704861111109</v>
      </c>
      <c r="AS545" s="61" t="s">
        <v>304</v>
      </c>
      <c r="AT545" s="61" t="s">
        <v>65</v>
      </c>
      <c r="AU545" s="59">
        <v>0.70486111111111116</v>
      </c>
      <c r="AV545" s="61">
        <v>1</v>
      </c>
      <c r="AW545" s="61" t="s">
        <v>66</v>
      </c>
      <c r="AX545" s="52"/>
      <c r="AY545" s="52"/>
      <c r="AZ545" s="52"/>
      <c r="BA545" s="52"/>
    </row>
    <row r="546" spans="1:53" x14ac:dyDescent="0.25">
      <c r="A546" s="73">
        <v>303</v>
      </c>
      <c r="B546" s="72">
        <v>44881.416666666664</v>
      </c>
      <c r="C546" s="67">
        <v>0.41666666666666669</v>
      </c>
      <c r="D546" s="67">
        <v>0.4201388888888889</v>
      </c>
      <c r="E546" s="67">
        <v>0.42708333333333331</v>
      </c>
      <c r="F546" s="68" t="s">
        <v>171</v>
      </c>
      <c r="G546" s="68" t="s">
        <v>298</v>
      </c>
      <c r="H546" s="66" t="s">
        <v>234</v>
      </c>
      <c r="I546" s="66" t="s">
        <v>234</v>
      </c>
      <c r="J546" s="66" t="s">
        <v>37</v>
      </c>
      <c r="K546" s="66" t="s">
        <v>233</v>
      </c>
      <c r="L546" s="70" t="s">
        <v>206</v>
      </c>
      <c r="M546" s="68" t="s">
        <v>1726</v>
      </c>
      <c r="N546" s="68" t="s">
        <v>42</v>
      </c>
      <c r="O546" s="68" t="s">
        <v>1730</v>
      </c>
      <c r="P546" s="68" t="s">
        <v>1731</v>
      </c>
      <c r="Q546" s="303">
        <f t="shared" si="56"/>
        <v>0</v>
      </c>
      <c r="R546" s="303">
        <f t="shared" si="57"/>
        <v>0</v>
      </c>
      <c r="S546" s="68">
        <v>0</v>
      </c>
      <c r="T546" s="68">
        <v>0</v>
      </c>
      <c r="U546" s="68">
        <v>0</v>
      </c>
      <c r="V546" s="68">
        <v>0</v>
      </c>
      <c r="W546" s="68">
        <v>0</v>
      </c>
      <c r="X546" s="68">
        <v>107</v>
      </c>
      <c r="Y546" s="68">
        <v>94</v>
      </c>
      <c r="Z546" s="68">
        <v>62</v>
      </c>
      <c r="AA546" s="68">
        <v>1</v>
      </c>
      <c r="AB546" s="300">
        <f t="shared" si="58"/>
        <v>103.93266666666666</v>
      </c>
      <c r="AC546" s="300">
        <f t="shared" si="59"/>
        <v>0.62610040160642566</v>
      </c>
      <c r="AD546" s="68">
        <v>0</v>
      </c>
      <c r="AE546" s="68">
        <v>0</v>
      </c>
      <c r="AF546" s="68" t="s">
        <v>317</v>
      </c>
      <c r="AG546" s="68" t="s">
        <v>317</v>
      </c>
      <c r="AH546" s="68" t="s">
        <v>1732</v>
      </c>
      <c r="AI546" s="309"/>
      <c r="AJ546" s="309"/>
      <c r="AK546" s="68" t="s">
        <v>41</v>
      </c>
      <c r="AL546" s="68" t="s">
        <v>54</v>
      </c>
      <c r="AM546" s="299">
        <f t="shared" ca="1" si="55"/>
        <v>0.28819444444525288</v>
      </c>
      <c r="AN546" s="51"/>
      <c r="AO546" s="61" t="s">
        <v>120</v>
      </c>
      <c r="AP546" s="62" t="s">
        <v>1726</v>
      </c>
      <c r="AQ546" s="61" t="s">
        <v>1798</v>
      </c>
      <c r="AR546" s="64">
        <v>44881.704861111109</v>
      </c>
      <c r="AS546" s="61" t="s">
        <v>304</v>
      </c>
      <c r="AT546" s="61" t="s">
        <v>65</v>
      </c>
      <c r="AU546" s="59">
        <v>0.70486111111111116</v>
      </c>
      <c r="AV546" s="61">
        <v>1</v>
      </c>
      <c r="AW546" s="61" t="s">
        <v>66</v>
      </c>
      <c r="AX546" s="52"/>
      <c r="AY546" s="52"/>
      <c r="AZ546" s="52"/>
      <c r="BA546" s="52"/>
    </row>
    <row r="547" spans="1:53" x14ac:dyDescent="0.25">
      <c r="A547" s="73">
        <v>303</v>
      </c>
      <c r="B547" s="72">
        <v>44881.416666666664</v>
      </c>
      <c r="C547" s="67">
        <v>0.41666666666666669</v>
      </c>
      <c r="D547" s="67">
        <v>0.4201388888888889</v>
      </c>
      <c r="E547" s="67">
        <v>0.42708333333333331</v>
      </c>
      <c r="F547" s="68" t="s">
        <v>171</v>
      </c>
      <c r="G547" s="68" t="s">
        <v>298</v>
      </c>
      <c r="H547" s="66" t="s">
        <v>234</v>
      </c>
      <c r="I547" s="66" t="s">
        <v>234</v>
      </c>
      <c r="J547" s="66" t="s">
        <v>37</v>
      </c>
      <c r="K547" s="66" t="s">
        <v>233</v>
      </c>
      <c r="L547" s="70" t="s">
        <v>206</v>
      </c>
      <c r="M547" s="68" t="s">
        <v>1726</v>
      </c>
      <c r="N547" s="68" t="s">
        <v>42</v>
      </c>
      <c r="O547" s="68" t="s">
        <v>1730</v>
      </c>
      <c r="P547" s="68" t="s">
        <v>1731</v>
      </c>
      <c r="Q547" s="303">
        <f t="shared" si="56"/>
        <v>0</v>
      </c>
      <c r="R547" s="303">
        <f t="shared" si="57"/>
        <v>0</v>
      </c>
      <c r="S547" s="68">
        <v>0</v>
      </c>
      <c r="T547" s="68">
        <v>0</v>
      </c>
      <c r="U547" s="68">
        <v>0</v>
      </c>
      <c r="V547" s="68">
        <v>0</v>
      </c>
      <c r="W547" s="68">
        <v>0</v>
      </c>
      <c r="X547" s="68">
        <v>128</v>
      </c>
      <c r="Y547" s="68">
        <v>61</v>
      </c>
      <c r="Z547" s="68">
        <v>70</v>
      </c>
      <c r="AA547" s="68">
        <v>1</v>
      </c>
      <c r="AB547" s="300">
        <f t="shared" si="58"/>
        <v>91.093333333333334</v>
      </c>
      <c r="AC547" s="300">
        <f t="shared" si="59"/>
        <v>0.54875502008032129</v>
      </c>
      <c r="AD547" s="68">
        <v>0</v>
      </c>
      <c r="AE547" s="68">
        <v>0</v>
      </c>
      <c r="AF547" s="68" t="s">
        <v>317</v>
      </c>
      <c r="AG547" s="68" t="s">
        <v>317</v>
      </c>
      <c r="AH547" s="68" t="s">
        <v>1732</v>
      </c>
      <c r="AI547" s="309"/>
      <c r="AJ547" s="309"/>
      <c r="AK547" s="68" t="s">
        <v>41</v>
      </c>
      <c r="AL547" s="68" t="s">
        <v>54</v>
      </c>
      <c r="AM547" s="299">
        <f t="shared" ca="1" si="55"/>
        <v>0.28819444444525288</v>
      </c>
      <c r="AN547" s="51"/>
      <c r="AO547" s="61" t="s">
        <v>120</v>
      </c>
      <c r="AP547" s="62" t="s">
        <v>1726</v>
      </c>
      <c r="AQ547" s="61" t="s">
        <v>1798</v>
      </c>
      <c r="AR547" s="64">
        <v>44881.704861111109</v>
      </c>
      <c r="AS547" s="61" t="s">
        <v>304</v>
      </c>
      <c r="AT547" s="61" t="s">
        <v>65</v>
      </c>
      <c r="AU547" s="59">
        <v>0.70486111111111116</v>
      </c>
      <c r="AV547" s="61">
        <v>1</v>
      </c>
      <c r="AW547" s="61" t="s">
        <v>66</v>
      </c>
      <c r="AX547" s="52"/>
      <c r="AY547" s="52"/>
      <c r="AZ547" s="52"/>
      <c r="BA547" s="52"/>
    </row>
    <row r="548" spans="1:53" x14ac:dyDescent="0.25">
      <c r="A548" s="73">
        <v>304</v>
      </c>
      <c r="B548" s="72">
        <v>44881.395833333336</v>
      </c>
      <c r="C548" s="67">
        <v>0.39930555555555558</v>
      </c>
      <c r="D548" s="67">
        <v>0.40972222222222227</v>
      </c>
      <c r="E548" s="67">
        <v>0.44097222222222227</v>
      </c>
      <c r="F548" s="68" t="s">
        <v>170</v>
      </c>
      <c r="G548" s="68" t="s">
        <v>1733</v>
      </c>
      <c r="H548" s="66" t="s">
        <v>46</v>
      </c>
      <c r="I548" s="66" t="s">
        <v>92</v>
      </c>
      <c r="J548" s="66" t="s">
        <v>41</v>
      </c>
      <c r="K548" s="66" t="s">
        <v>63</v>
      </c>
      <c r="L548" s="66" t="s">
        <v>214</v>
      </c>
      <c r="M548" s="68" t="s">
        <v>1734</v>
      </c>
      <c r="N548" s="68" t="s">
        <v>42</v>
      </c>
      <c r="O548" s="68" t="s">
        <v>1735</v>
      </c>
      <c r="P548" s="77">
        <v>52045205</v>
      </c>
      <c r="Q548" s="303">
        <f t="shared" si="56"/>
        <v>2</v>
      </c>
      <c r="R548" s="303">
        <f t="shared" si="57"/>
        <v>521</v>
      </c>
      <c r="S548" s="68">
        <v>0</v>
      </c>
      <c r="T548" s="68">
        <v>0</v>
      </c>
      <c r="U548" s="68">
        <v>2</v>
      </c>
      <c r="V548" s="38">
        <v>521</v>
      </c>
      <c r="W548" s="38">
        <v>613.4</v>
      </c>
      <c r="X548" s="68">
        <v>106</v>
      </c>
      <c r="Y548" s="68">
        <v>72</v>
      </c>
      <c r="Z548" s="68">
        <v>66</v>
      </c>
      <c r="AA548" s="68">
        <v>1</v>
      </c>
      <c r="AB548" s="300">
        <f t="shared" si="58"/>
        <v>83.951999999999998</v>
      </c>
      <c r="AC548" s="300">
        <f t="shared" si="59"/>
        <v>0.50573493975903616</v>
      </c>
      <c r="AD548" s="68" t="s">
        <v>48</v>
      </c>
      <c r="AE548" s="68" t="s">
        <v>48</v>
      </c>
      <c r="AF548" s="68" t="s">
        <v>317</v>
      </c>
      <c r="AG548" s="68" t="s">
        <v>317</v>
      </c>
      <c r="AH548" s="68" t="s">
        <v>1736</v>
      </c>
      <c r="AI548" s="309"/>
      <c r="AJ548" s="309"/>
      <c r="AK548" s="68" t="s">
        <v>41</v>
      </c>
      <c r="AL548" s="68" t="s">
        <v>47</v>
      </c>
      <c r="AM548" s="299">
        <f t="shared" ca="1" si="55"/>
        <v>1.09375</v>
      </c>
      <c r="AN548" s="51"/>
      <c r="AO548" s="61" t="s">
        <v>120</v>
      </c>
      <c r="AP548" s="62" t="s">
        <v>1734</v>
      </c>
      <c r="AQ548" s="78" t="s">
        <v>1884</v>
      </c>
      <c r="AR548" s="64">
        <v>44882.489583333336</v>
      </c>
      <c r="AS548" s="61" t="s">
        <v>136</v>
      </c>
      <c r="AT548" s="61" t="s">
        <v>225</v>
      </c>
      <c r="AU548" s="63">
        <v>0.48958333333333331</v>
      </c>
      <c r="AV548" s="61">
        <v>1</v>
      </c>
      <c r="AW548" s="61" t="s">
        <v>66</v>
      </c>
      <c r="AX548" s="52"/>
      <c r="AY548" s="52"/>
      <c r="AZ548" s="52"/>
      <c r="BA548" s="52"/>
    </row>
    <row r="549" spans="1:53" x14ac:dyDescent="0.25">
      <c r="A549" s="73">
        <v>304</v>
      </c>
      <c r="B549" s="72">
        <v>44881.395833333336</v>
      </c>
      <c r="C549" s="67">
        <v>0.39930555555555558</v>
      </c>
      <c r="D549" s="67">
        <v>0.40972222222222227</v>
      </c>
      <c r="E549" s="67">
        <v>0.44097222222222227</v>
      </c>
      <c r="F549" s="68" t="s">
        <v>170</v>
      </c>
      <c r="G549" s="68" t="s">
        <v>1733</v>
      </c>
      <c r="H549" s="66" t="s">
        <v>46</v>
      </c>
      <c r="I549" s="66" t="s">
        <v>92</v>
      </c>
      <c r="J549" s="66" t="s">
        <v>41</v>
      </c>
      <c r="K549" s="66" t="s">
        <v>63</v>
      </c>
      <c r="L549" s="66" t="s">
        <v>214</v>
      </c>
      <c r="M549" s="68" t="s">
        <v>1734</v>
      </c>
      <c r="N549" s="68" t="s">
        <v>42</v>
      </c>
      <c r="O549" s="68" t="s">
        <v>1735</v>
      </c>
      <c r="P549" s="77">
        <v>52045205</v>
      </c>
      <c r="Q549" s="303">
        <f t="shared" si="56"/>
        <v>0</v>
      </c>
      <c r="R549" s="303">
        <f t="shared" si="57"/>
        <v>0</v>
      </c>
      <c r="S549" s="68">
        <v>0</v>
      </c>
      <c r="T549" s="68">
        <v>0</v>
      </c>
      <c r="U549" s="68">
        <v>0</v>
      </c>
      <c r="V549" s="68">
        <v>0</v>
      </c>
      <c r="W549" s="68">
        <v>0</v>
      </c>
      <c r="X549" s="68">
        <v>93</v>
      </c>
      <c r="Y549" s="68">
        <v>50</v>
      </c>
      <c r="Z549" s="68">
        <v>51</v>
      </c>
      <c r="AA549" s="68">
        <v>1</v>
      </c>
      <c r="AB549" s="300">
        <f t="shared" si="58"/>
        <v>39.524999999999999</v>
      </c>
      <c r="AC549" s="300">
        <f t="shared" si="59"/>
        <v>0.2381024096385542</v>
      </c>
      <c r="AD549" s="68">
        <v>0</v>
      </c>
      <c r="AE549" s="68">
        <v>0</v>
      </c>
      <c r="AF549" s="68" t="s">
        <v>317</v>
      </c>
      <c r="AG549" s="68" t="s">
        <v>317</v>
      </c>
      <c r="AH549" s="68" t="s">
        <v>1736</v>
      </c>
      <c r="AI549" s="309"/>
      <c r="AJ549" s="309"/>
      <c r="AK549" s="68" t="s">
        <v>41</v>
      </c>
      <c r="AL549" s="68" t="s">
        <v>47</v>
      </c>
      <c r="AM549" s="299">
        <f t="shared" ca="1" si="55"/>
        <v>1.09375</v>
      </c>
      <c r="AN549" s="51"/>
      <c r="AO549" s="61" t="s">
        <v>120</v>
      </c>
      <c r="AP549" s="62" t="s">
        <v>1734</v>
      </c>
      <c r="AQ549" s="78" t="s">
        <v>1884</v>
      </c>
      <c r="AR549" s="64">
        <v>44882.489583333336</v>
      </c>
      <c r="AS549" s="61" t="s">
        <v>136</v>
      </c>
      <c r="AT549" s="61" t="s">
        <v>225</v>
      </c>
      <c r="AU549" s="63">
        <v>0.48958333333333331</v>
      </c>
      <c r="AV549" s="61">
        <v>1</v>
      </c>
      <c r="AW549" s="61" t="s">
        <v>66</v>
      </c>
      <c r="AX549" s="52"/>
      <c r="AY549" s="52"/>
      <c r="AZ549" s="52"/>
      <c r="BA549" s="52"/>
    </row>
    <row r="550" spans="1:53" x14ac:dyDescent="0.25">
      <c r="A550" s="73">
        <v>305</v>
      </c>
      <c r="B550" s="72">
        <v>44881.395833333336</v>
      </c>
      <c r="C550" s="67">
        <v>0.39930555555555558</v>
      </c>
      <c r="D550" s="67">
        <v>0.40972222222222227</v>
      </c>
      <c r="E550" s="67">
        <v>0.44097222222222227</v>
      </c>
      <c r="F550" s="68" t="s">
        <v>170</v>
      </c>
      <c r="G550" s="68" t="s">
        <v>1733</v>
      </c>
      <c r="H550" s="66" t="s">
        <v>156</v>
      </c>
      <c r="I550" s="66" t="s">
        <v>92</v>
      </c>
      <c r="J550" s="66" t="s">
        <v>37</v>
      </c>
      <c r="K550" s="66" t="s">
        <v>63</v>
      </c>
      <c r="L550" s="66" t="s">
        <v>212</v>
      </c>
      <c r="M550" s="68" t="s">
        <v>1737</v>
      </c>
      <c r="N550" s="68" t="s">
        <v>42</v>
      </c>
      <c r="O550" s="68" t="s">
        <v>1738</v>
      </c>
      <c r="P550" s="68" t="s">
        <v>363</v>
      </c>
      <c r="Q550" s="303">
        <f t="shared" si="56"/>
        <v>1</v>
      </c>
      <c r="R550" s="303">
        <f t="shared" si="57"/>
        <v>86.5</v>
      </c>
      <c r="S550" s="68">
        <v>0</v>
      </c>
      <c r="T550" s="68">
        <v>0</v>
      </c>
      <c r="U550" s="68">
        <v>1</v>
      </c>
      <c r="V550" s="68">
        <v>86.5</v>
      </c>
      <c r="W550" s="68">
        <v>76</v>
      </c>
      <c r="X550" s="68">
        <v>68</v>
      </c>
      <c r="Y550" s="68">
        <v>29</v>
      </c>
      <c r="Z550" s="68">
        <v>56</v>
      </c>
      <c r="AA550" s="68">
        <v>1</v>
      </c>
      <c r="AB550" s="300">
        <f t="shared" si="58"/>
        <v>18.405333333333335</v>
      </c>
      <c r="AC550" s="300">
        <f t="shared" si="59"/>
        <v>0.11087550200803213</v>
      </c>
      <c r="AD550" s="68">
        <v>2092.86</v>
      </c>
      <c r="AE550" s="68" t="s">
        <v>109</v>
      </c>
      <c r="AF550" s="68" t="s">
        <v>317</v>
      </c>
      <c r="AG550" s="68" t="s">
        <v>317</v>
      </c>
      <c r="AH550" s="68" t="s">
        <v>1739</v>
      </c>
      <c r="AI550" s="309"/>
      <c r="AJ550" s="309"/>
      <c r="AK550" s="68" t="s">
        <v>41</v>
      </c>
      <c r="AL550" s="68" t="s">
        <v>47</v>
      </c>
      <c r="AM550" s="299">
        <f t="shared" ca="1" si="55"/>
        <v>1.0520833333284827</v>
      </c>
      <c r="AN550" s="51"/>
      <c r="AO550" s="61" t="s">
        <v>83</v>
      </c>
      <c r="AP550" s="62" t="s">
        <v>1737</v>
      </c>
      <c r="AQ550" s="78" t="s">
        <v>1876</v>
      </c>
      <c r="AR550" s="64">
        <v>44882.447916666664</v>
      </c>
      <c r="AS550" s="61" t="s">
        <v>117</v>
      </c>
      <c r="AT550" s="61" t="s">
        <v>225</v>
      </c>
      <c r="AU550" s="59">
        <v>0.44791666666666669</v>
      </c>
      <c r="AV550" s="61">
        <v>1</v>
      </c>
      <c r="AW550" s="61" t="s">
        <v>66</v>
      </c>
      <c r="AX550" s="52"/>
      <c r="AY550" s="52"/>
      <c r="AZ550" s="52"/>
      <c r="BA550" s="52"/>
    </row>
    <row r="551" spans="1:53" x14ac:dyDescent="0.25">
      <c r="A551" s="73">
        <v>306</v>
      </c>
      <c r="B551" s="72">
        <v>44881.395833333336</v>
      </c>
      <c r="C551" s="67">
        <v>0.39930555555555558</v>
      </c>
      <c r="D551" s="67">
        <v>0.40972222222222227</v>
      </c>
      <c r="E551" s="67">
        <v>0.44097222222222227</v>
      </c>
      <c r="F551" s="68" t="s">
        <v>170</v>
      </c>
      <c r="G551" s="68" t="s">
        <v>1733</v>
      </c>
      <c r="H551" s="66" t="s">
        <v>156</v>
      </c>
      <c r="I551" s="66" t="s">
        <v>92</v>
      </c>
      <c r="J551" s="66" t="s">
        <v>37</v>
      </c>
      <c r="K551" s="66" t="s">
        <v>63</v>
      </c>
      <c r="L551" s="66" t="s">
        <v>212</v>
      </c>
      <c r="M551" s="68" t="s">
        <v>1737</v>
      </c>
      <c r="N551" s="68" t="s">
        <v>42</v>
      </c>
      <c r="O551" s="68" t="s">
        <v>1740</v>
      </c>
      <c r="P551" s="68" t="s">
        <v>363</v>
      </c>
      <c r="Q551" s="303">
        <f t="shared" si="56"/>
        <v>1</v>
      </c>
      <c r="R551" s="303">
        <f t="shared" si="57"/>
        <v>51</v>
      </c>
      <c r="S551" s="68">
        <v>0</v>
      </c>
      <c r="T551" s="68">
        <v>0</v>
      </c>
      <c r="U551" s="68">
        <v>1</v>
      </c>
      <c r="V551" s="68">
        <v>51</v>
      </c>
      <c r="W551" s="68">
        <v>61</v>
      </c>
      <c r="X551" s="68">
        <v>46</v>
      </c>
      <c r="Y551" s="68">
        <v>28</v>
      </c>
      <c r="Z551" s="68">
        <v>57</v>
      </c>
      <c r="AA551" s="68">
        <v>1</v>
      </c>
      <c r="AB551" s="300">
        <f t="shared" si="58"/>
        <v>12.236000000000001</v>
      </c>
      <c r="AC551" s="300">
        <f t="shared" si="59"/>
        <v>7.3710843373493984E-2</v>
      </c>
      <c r="AD551" s="68">
        <v>1395.24</v>
      </c>
      <c r="AE551" s="68" t="s">
        <v>109</v>
      </c>
      <c r="AF551" s="68" t="s">
        <v>317</v>
      </c>
      <c r="AG551" s="68" t="s">
        <v>317</v>
      </c>
      <c r="AH551" s="68" t="s">
        <v>1741</v>
      </c>
      <c r="AI551" s="309"/>
      <c r="AJ551" s="309"/>
      <c r="AK551" s="68" t="s">
        <v>41</v>
      </c>
      <c r="AL551" s="68" t="s">
        <v>47</v>
      </c>
      <c r="AM551" s="299">
        <f t="shared" ca="1" si="55"/>
        <v>1.0520833333284827</v>
      </c>
      <c r="AN551" s="51"/>
      <c r="AO551" s="61" t="s">
        <v>83</v>
      </c>
      <c r="AP551" s="62" t="s">
        <v>1737</v>
      </c>
      <c r="AQ551" s="78" t="s">
        <v>1876</v>
      </c>
      <c r="AR551" s="64">
        <v>44882.447916666664</v>
      </c>
      <c r="AS551" s="61" t="s">
        <v>117</v>
      </c>
      <c r="AT551" s="61" t="s">
        <v>225</v>
      </c>
      <c r="AU551" s="59">
        <v>0.44791666666666669</v>
      </c>
      <c r="AV551" s="61">
        <v>1</v>
      </c>
      <c r="AW551" s="61" t="s">
        <v>66</v>
      </c>
      <c r="AX551" s="52"/>
      <c r="AY551" s="52"/>
      <c r="AZ551" s="52"/>
      <c r="BA551" s="52"/>
    </row>
    <row r="552" spans="1:53" x14ac:dyDescent="0.25">
      <c r="A552" s="73">
        <v>307</v>
      </c>
      <c r="B552" s="72">
        <v>44881.395833333336</v>
      </c>
      <c r="C552" s="67">
        <v>0.39930555555555558</v>
      </c>
      <c r="D552" s="67">
        <v>0.40972222222222227</v>
      </c>
      <c r="E552" s="67">
        <v>0.44097222222222227</v>
      </c>
      <c r="F552" s="68" t="s">
        <v>170</v>
      </c>
      <c r="G552" s="68" t="s">
        <v>1733</v>
      </c>
      <c r="H552" s="66" t="s">
        <v>57</v>
      </c>
      <c r="I552" s="66" t="s">
        <v>162</v>
      </c>
      <c r="J552" s="66" t="s">
        <v>37</v>
      </c>
      <c r="K552" s="66" t="s">
        <v>63</v>
      </c>
      <c r="L552" s="66" t="s">
        <v>209</v>
      </c>
      <c r="M552" s="68" t="s">
        <v>1742</v>
      </c>
      <c r="N552" s="68" t="s">
        <v>158</v>
      </c>
      <c r="O552" s="68" t="s">
        <v>1743</v>
      </c>
      <c r="P552" s="68">
        <v>81958302</v>
      </c>
      <c r="Q552" s="303">
        <f t="shared" si="56"/>
        <v>1</v>
      </c>
      <c r="R552" s="303">
        <f t="shared" si="57"/>
        <v>185</v>
      </c>
      <c r="S552" s="68">
        <v>0</v>
      </c>
      <c r="T552" s="68">
        <v>0</v>
      </c>
      <c r="U552" s="68">
        <v>1</v>
      </c>
      <c r="V552" s="68">
        <v>185</v>
      </c>
      <c r="W552" s="68">
        <v>185</v>
      </c>
      <c r="X552" s="68">
        <v>123</v>
      </c>
      <c r="Y552" s="68">
        <v>83</v>
      </c>
      <c r="Z552" s="68">
        <v>76</v>
      </c>
      <c r="AA552" s="68">
        <v>1</v>
      </c>
      <c r="AB552" s="300">
        <f t="shared" si="58"/>
        <v>129.31399999999999</v>
      </c>
      <c r="AC552" s="300">
        <f t="shared" si="59"/>
        <v>0.77899999999999991</v>
      </c>
      <c r="AD552" s="68">
        <v>1004.79</v>
      </c>
      <c r="AE552" s="68" t="s">
        <v>109</v>
      </c>
      <c r="AF552" s="68" t="s">
        <v>317</v>
      </c>
      <c r="AG552" s="68" t="s">
        <v>317</v>
      </c>
      <c r="AH552" s="68" t="s">
        <v>1744</v>
      </c>
      <c r="AI552" s="309"/>
      <c r="AJ552" s="309"/>
      <c r="AK552" s="68" t="s">
        <v>37</v>
      </c>
      <c r="AL552" s="68" t="s">
        <v>47</v>
      </c>
      <c r="AM552" s="299">
        <f t="shared" ref="AM552:AM615" ca="1" si="60">IF(AP552="",NOW()-B552,AR552-B552)</f>
        <v>0.26736111110949423</v>
      </c>
      <c r="AN552" s="51"/>
      <c r="AO552" s="61" t="s">
        <v>159</v>
      </c>
      <c r="AP552" s="62" t="s">
        <v>1742</v>
      </c>
      <c r="AQ552" s="78" t="s">
        <v>1802</v>
      </c>
      <c r="AR552" s="64">
        <v>44881.663194444445</v>
      </c>
      <c r="AS552" s="61" t="s">
        <v>117</v>
      </c>
      <c r="AT552" s="61" t="s">
        <v>225</v>
      </c>
      <c r="AU552" s="59">
        <v>0.66319444444444442</v>
      </c>
      <c r="AV552" s="61">
        <v>2</v>
      </c>
      <c r="AW552" s="61" t="s">
        <v>66</v>
      </c>
      <c r="AX552" s="52"/>
      <c r="AY552" s="52"/>
      <c r="AZ552" s="52"/>
      <c r="BA552" s="52"/>
    </row>
    <row r="553" spans="1:53" x14ac:dyDescent="0.25">
      <c r="A553" s="73">
        <v>308</v>
      </c>
      <c r="B553" s="72">
        <v>44881.395833333336</v>
      </c>
      <c r="C553" s="67">
        <v>0.39930555555555558</v>
      </c>
      <c r="D553" s="67">
        <v>0.40972222222222227</v>
      </c>
      <c r="E553" s="67">
        <v>0.44097222222222227</v>
      </c>
      <c r="F553" s="68" t="s">
        <v>170</v>
      </c>
      <c r="G553" s="68" t="s">
        <v>1733</v>
      </c>
      <c r="H553" s="66" t="s">
        <v>57</v>
      </c>
      <c r="I553" s="66" t="s">
        <v>162</v>
      </c>
      <c r="J553" s="66" t="s">
        <v>37</v>
      </c>
      <c r="K553" s="66" t="s">
        <v>63</v>
      </c>
      <c r="L553" s="66" t="s">
        <v>209</v>
      </c>
      <c r="M553" s="68" t="s">
        <v>1742</v>
      </c>
      <c r="N553" s="68" t="s">
        <v>158</v>
      </c>
      <c r="O553" s="68" t="s">
        <v>1745</v>
      </c>
      <c r="P553" s="68">
        <v>81951920</v>
      </c>
      <c r="Q553" s="303">
        <f t="shared" ref="Q553:Q616" si="61">S553+U553</f>
        <v>1</v>
      </c>
      <c r="R553" s="303">
        <f t="shared" ref="R553:R616" si="62">T553+V553</f>
        <v>143</v>
      </c>
      <c r="S553" s="68">
        <v>0</v>
      </c>
      <c r="T553" s="68">
        <v>0</v>
      </c>
      <c r="U553" s="68">
        <v>1</v>
      </c>
      <c r="V553" s="68">
        <v>143</v>
      </c>
      <c r="W553" s="68">
        <v>143</v>
      </c>
      <c r="X553" s="68">
        <v>94</v>
      </c>
      <c r="Y553" s="68">
        <v>66</v>
      </c>
      <c r="Z553" s="68">
        <v>66</v>
      </c>
      <c r="AA553" s="68">
        <v>1</v>
      </c>
      <c r="AB553" s="300">
        <f t="shared" ref="AB553:AB616" si="63">X553*Y553*Z553*AA553/6000</f>
        <v>68.244</v>
      </c>
      <c r="AC553" s="300">
        <f t="shared" ref="AC553:AC616" si="64">AB553/166</f>
        <v>0.41110843373493977</v>
      </c>
      <c r="AD553" s="68">
        <v>1373.19</v>
      </c>
      <c r="AE553" s="68" t="s">
        <v>109</v>
      </c>
      <c r="AF553" s="68" t="s">
        <v>317</v>
      </c>
      <c r="AG553" s="68" t="s">
        <v>317</v>
      </c>
      <c r="AH553" s="68" t="s">
        <v>1746</v>
      </c>
      <c r="AI553" s="309"/>
      <c r="AJ553" s="309"/>
      <c r="AK553" s="68" t="s">
        <v>37</v>
      </c>
      <c r="AL553" s="68" t="s">
        <v>47</v>
      </c>
      <c r="AM553" s="299">
        <f t="shared" ca="1" si="60"/>
        <v>0.26736111110949423</v>
      </c>
      <c r="AN553" s="51"/>
      <c r="AO553" s="61" t="s">
        <v>159</v>
      </c>
      <c r="AP553" s="62" t="s">
        <v>1742</v>
      </c>
      <c r="AQ553" s="78" t="s">
        <v>1802</v>
      </c>
      <c r="AR553" s="64">
        <v>44881.663194444445</v>
      </c>
      <c r="AS553" s="61" t="s">
        <v>117</v>
      </c>
      <c r="AT553" s="61" t="s">
        <v>225</v>
      </c>
      <c r="AU553" s="59">
        <v>0.66319444444444442</v>
      </c>
      <c r="AV553" s="61">
        <v>2</v>
      </c>
      <c r="AW553" s="61" t="s">
        <v>66</v>
      </c>
      <c r="AX553" s="52"/>
      <c r="AY553" s="52"/>
      <c r="AZ553" s="52"/>
      <c r="BA553" s="52"/>
    </row>
    <row r="554" spans="1:53" x14ac:dyDescent="0.25">
      <c r="A554" s="73">
        <v>309</v>
      </c>
      <c r="B554" s="72">
        <v>44881.395833333336</v>
      </c>
      <c r="C554" s="67">
        <v>0.39930555555555558</v>
      </c>
      <c r="D554" s="67">
        <v>0.40972222222222227</v>
      </c>
      <c r="E554" s="67">
        <v>0.44097222222222227</v>
      </c>
      <c r="F554" s="68" t="s">
        <v>170</v>
      </c>
      <c r="G554" s="68" t="s">
        <v>1733</v>
      </c>
      <c r="H554" s="66" t="s">
        <v>57</v>
      </c>
      <c r="I554" s="66" t="s">
        <v>162</v>
      </c>
      <c r="J554" s="66" t="s">
        <v>37</v>
      </c>
      <c r="K554" s="66" t="s">
        <v>63</v>
      </c>
      <c r="L554" s="66" t="s">
        <v>209</v>
      </c>
      <c r="M554" s="68" t="s">
        <v>1742</v>
      </c>
      <c r="N554" s="68" t="s">
        <v>158</v>
      </c>
      <c r="O554" s="68" t="s">
        <v>1747</v>
      </c>
      <c r="P554" s="68">
        <v>81946056</v>
      </c>
      <c r="Q554" s="303">
        <f t="shared" si="61"/>
        <v>1</v>
      </c>
      <c r="R554" s="303">
        <f t="shared" si="62"/>
        <v>606</v>
      </c>
      <c r="S554" s="68">
        <v>0</v>
      </c>
      <c r="T554" s="68">
        <v>0</v>
      </c>
      <c r="U554" s="68">
        <v>1</v>
      </c>
      <c r="V554" s="68">
        <v>606</v>
      </c>
      <c r="W554" s="68">
        <v>600</v>
      </c>
      <c r="X554" s="68">
        <v>147</v>
      </c>
      <c r="Y554" s="68">
        <v>82</v>
      </c>
      <c r="Z554" s="68">
        <v>91</v>
      </c>
      <c r="AA554" s="68">
        <v>1</v>
      </c>
      <c r="AB554" s="300">
        <f t="shared" si="63"/>
        <v>182.81899999999999</v>
      </c>
      <c r="AC554" s="300">
        <f t="shared" si="64"/>
        <v>1.1013192771084337</v>
      </c>
      <c r="AD554" s="68">
        <v>5345.79</v>
      </c>
      <c r="AE554" s="68" t="s">
        <v>109</v>
      </c>
      <c r="AF554" s="68" t="s">
        <v>317</v>
      </c>
      <c r="AG554" s="68" t="s">
        <v>317</v>
      </c>
      <c r="AH554" s="68" t="s">
        <v>1748</v>
      </c>
      <c r="AI554" s="309"/>
      <c r="AJ554" s="309"/>
      <c r="AK554" s="68" t="s">
        <v>37</v>
      </c>
      <c r="AL554" s="68" t="s">
        <v>47</v>
      </c>
      <c r="AM554" s="299">
        <f t="shared" ca="1" si="60"/>
        <v>0.26736111110949423</v>
      </c>
      <c r="AN554" s="51"/>
      <c r="AO554" s="61" t="s">
        <v>159</v>
      </c>
      <c r="AP554" s="62" t="s">
        <v>1742</v>
      </c>
      <c r="AQ554" s="78" t="s">
        <v>1802</v>
      </c>
      <c r="AR554" s="64">
        <v>44881.663194444445</v>
      </c>
      <c r="AS554" s="61" t="s">
        <v>117</v>
      </c>
      <c r="AT554" s="61" t="s">
        <v>225</v>
      </c>
      <c r="AU554" s="59">
        <v>0.66319444444444442</v>
      </c>
      <c r="AV554" s="61">
        <v>2</v>
      </c>
      <c r="AW554" s="61" t="s">
        <v>66</v>
      </c>
      <c r="AX554" s="52"/>
      <c r="AY554" s="52"/>
      <c r="AZ554" s="52"/>
      <c r="BA554" s="52"/>
    </row>
    <row r="555" spans="1:53" x14ac:dyDescent="0.25">
      <c r="A555" s="73">
        <v>310</v>
      </c>
      <c r="B555" s="72">
        <v>44881.395833333336</v>
      </c>
      <c r="C555" s="67">
        <v>0.39930555555555558</v>
      </c>
      <c r="D555" s="67">
        <v>0.40972222222222227</v>
      </c>
      <c r="E555" s="67">
        <v>0.44097222222222227</v>
      </c>
      <c r="F555" s="68" t="s">
        <v>170</v>
      </c>
      <c r="G555" s="68" t="s">
        <v>1733</v>
      </c>
      <c r="H555" s="66" t="s">
        <v>57</v>
      </c>
      <c r="I555" s="66" t="s">
        <v>162</v>
      </c>
      <c r="J555" s="66" t="s">
        <v>37</v>
      </c>
      <c r="K555" s="66" t="s">
        <v>63</v>
      </c>
      <c r="L555" s="66" t="s">
        <v>209</v>
      </c>
      <c r="M555" s="68" t="s">
        <v>1742</v>
      </c>
      <c r="N555" s="68" t="s">
        <v>158</v>
      </c>
      <c r="O555" s="68" t="s">
        <v>1749</v>
      </c>
      <c r="P555" s="68">
        <v>81958282</v>
      </c>
      <c r="Q555" s="303">
        <f t="shared" si="61"/>
        <v>3</v>
      </c>
      <c r="R555" s="303">
        <f t="shared" si="62"/>
        <v>3154</v>
      </c>
      <c r="S555" s="68">
        <v>0</v>
      </c>
      <c r="T555" s="68">
        <v>0</v>
      </c>
      <c r="U555" s="68">
        <v>3</v>
      </c>
      <c r="V555" s="68">
        <v>3154</v>
      </c>
      <c r="W555" s="68">
        <v>3120</v>
      </c>
      <c r="X555" s="68">
        <v>135</v>
      </c>
      <c r="Y555" s="68">
        <v>97</v>
      </c>
      <c r="Z555" s="68">
        <v>113</v>
      </c>
      <c r="AA555" s="68">
        <v>3</v>
      </c>
      <c r="AB555" s="300">
        <f t="shared" si="63"/>
        <v>739.86749999999995</v>
      </c>
      <c r="AC555" s="300">
        <f t="shared" si="64"/>
        <v>4.4570331325301202</v>
      </c>
      <c r="AD555" s="68">
        <v>24451.919999999998</v>
      </c>
      <c r="AE555" s="68" t="s">
        <v>109</v>
      </c>
      <c r="AF555" s="68" t="s">
        <v>317</v>
      </c>
      <c r="AG555" s="68" t="s">
        <v>317</v>
      </c>
      <c r="AH555" s="68" t="s">
        <v>1750</v>
      </c>
      <c r="AI555" s="309"/>
      <c r="AJ555" s="309"/>
      <c r="AK555" s="68" t="s">
        <v>37</v>
      </c>
      <c r="AL555" s="68" t="s">
        <v>47</v>
      </c>
      <c r="AM555" s="299">
        <f t="shared" ca="1" si="60"/>
        <v>0.26736111110949423</v>
      </c>
      <c r="AN555" s="51"/>
      <c r="AO555" s="61" t="s">
        <v>159</v>
      </c>
      <c r="AP555" s="62" t="s">
        <v>1742</v>
      </c>
      <c r="AQ555" s="78" t="s">
        <v>1802</v>
      </c>
      <c r="AR555" s="64">
        <v>44881.663194444445</v>
      </c>
      <c r="AS555" s="61" t="s">
        <v>117</v>
      </c>
      <c r="AT555" s="61" t="s">
        <v>225</v>
      </c>
      <c r="AU555" s="59">
        <v>0.66319444444444442</v>
      </c>
      <c r="AV555" s="61">
        <v>2</v>
      </c>
      <c r="AW555" s="61" t="s">
        <v>66</v>
      </c>
      <c r="AX555" s="52"/>
      <c r="AY555" s="52"/>
      <c r="AZ555" s="52"/>
      <c r="BA555" s="52"/>
    </row>
    <row r="556" spans="1:53" x14ac:dyDescent="0.25">
      <c r="A556" s="73">
        <v>311</v>
      </c>
      <c r="B556" s="72">
        <v>44881.479166666664</v>
      </c>
      <c r="C556" s="67">
        <v>0.4826388888888889</v>
      </c>
      <c r="D556" s="67">
        <v>0.48958333333333331</v>
      </c>
      <c r="E556" s="67">
        <v>0.43055555555555558</v>
      </c>
      <c r="F556" s="68" t="s">
        <v>170</v>
      </c>
      <c r="G556" s="68" t="s">
        <v>1599</v>
      </c>
      <c r="H556" s="66" t="s">
        <v>227</v>
      </c>
      <c r="I556" s="66" t="s">
        <v>189</v>
      </c>
      <c r="J556" s="66" t="s">
        <v>37</v>
      </c>
      <c r="K556" s="66" t="s">
        <v>63</v>
      </c>
      <c r="L556" s="66" t="s">
        <v>209</v>
      </c>
      <c r="M556" s="68" t="s">
        <v>1751</v>
      </c>
      <c r="N556" s="68" t="s">
        <v>42</v>
      </c>
      <c r="O556" s="77">
        <v>923924</v>
      </c>
      <c r="P556" s="68" t="s">
        <v>1752</v>
      </c>
      <c r="Q556" s="303">
        <f t="shared" si="61"/>
        <v>1</v>
      </c>
      <c r="R556" s="303">
        <f t="shared" si="62"/>
        <v>595</v>
      </c>
      <c r="S556" s="68">
        <v>0</v>
      </c>
      <c r="T556" s="68">
        <v>0</v>
      </c>
      <c r="U556" s="68">
        <v>1</v>
      </c>
      <c r="V556" s="68">
        <v>595</v>
      </c>
      <c r="W556" s="68">
        <v>508.35</v>
      </c>
      <c r="X556" s="68">
        <v>161</v>
      </c>
      <c r="Y556" s="68">
        <v>138</v>
      </c>
      <c r="Z556" s="68">
        <v>80</v>
      </c>
      <c r="AA556" s="68">
        <v>1</v>
      </c>
      <c r="AB556" s="300">
        <f t="shared" si="63"/>
        <v>296.24</v>
      </c>
      <c r="AC556" s="300">
        <f t="shared" si="64"/>
        <v>1.7845783132530122</v>
      </c>
      <c r="AD556" s="68" t="s">
        <v>48</v>
      </c>
      <c r="AE556" s="68" t="s">
        <v>48</v>
      </c>
      <c r="AF556" s="68" t="s">
        <v>317</v>
      </c>
      <c r="AG556" s="68" t="s">
        <v>317</v>
      </c>
      <c r="AH556" s="68" t="s">
        <v>1753</v>
      </c>
      <c r="AI556" s="309"/>
      <c r="AJ556" s="309"/>
      <c r="AK556" s="68" t="s">
        <v>37</v>
      </c>
      <c r="AL556" s="68" t="s">
        <v>49</v>
      </c>
      <c r="AM556" s="299">
        <f t="shared" ca="1" si="60"/>
        <v>1.0104166666715173</v>
      </c>
      <c r="AN556" s="51"/>
      <c r="AO556" s="61" t="s">
        <v>89</v>
      </c>
      <c r="AP556" s="62" t="s">
        <v>1751</v>
      </c>
      <c r="AQ556" s="78" t="s">
        <v>1883</v>
      </c>
      <c r="AR556" s="64">
        <v>44882.489583333336</v>
      </c>
      <c r="AS556" s="61" t="s">
        <v>136</v>
      </c>
      <c r="AT556" s="61" t="s">
        <v>225</v>
      </c>
      <c r="AU556" s="63">
        <v>0.48958333333333331</v>
      </c>
      <c r="AV556" s="61">
        <v>1</v>
      </c>
      <c r="AW556" s="61" t="s">
        <v>66</v>
      </c>
      <c r="AX556" s="52"/>
      <c r="AY556" s="52"/>
      <c r="AZ556" s="52"/>
      <c r="BA556" s="52"/>
    </row>
    <row r="557" spans="1:53" x14ac:dyDescent="0.25">
      <c r="A557" s="73">
        <v>312</v>
      </c>
      <c r="B557" s="72">
        <v>44881.479166666664</v>
      </c>
      <c r="C557" s="67">
        <v>0.4826388888888889</v>
      </c>
      <c r="D557" s="67">
        <v>0.48958333333333331</v>
      </c>
      <c r="E557" s="67">
        <v>0.43055555555555558</v>
      </c>
      <c r="F557" s="68" t="s">
        <v>170</v>
      </c>
      <c r="G557" s="68" t="s">
        <v>1599</v>
      </c>
      <c r="H557" s="66" t="s">
        <v>227</v>
      </c>
      <c r="I557" s="66" t="s">
        <v>189</v>
      </c>
      <c r="J557" s="66" t="s">
        <v>37</v>
      </c>
      <c r="K557" s="66" t="s">
        <v>63</v>
      </c>
      <c r="L557" s="66" t="s">
        <v>209</v>
      </c>
      <c r="M557" s="68" t="s">
        <v>1754</v>
      </c>
      <c r="N557" s="68" t="s">
        <v>43</v>
      </c>
      <c r="O557" s="77">
        <v>925926</v>
      </c>
      <c r="P557" s="77">
        <v>2819234101</v>
      </c>
      <c r="Q557" s="303">
        <f t="shared" si="61"/>
        <v>12</v>
      </c>
      <c r="R557" s="303">
        <f t="shared" si="62"/>
        <v>251</v>
      </c>
      <c r="S557" s="68">
        <v>11</v>
      </c>
      <c r="T557" s="68">
        <v>190</v>
      </c>
      <c r="U557" s="68">
        <v>1</v>
      </c>
      <c r="V557" s="68">
        <v>61</v>
      </c>
      <c r="W557" s="68">
        <v>235</v>
      </c>
      <c r="X557" s="68">
        <v>101</v>
      </c>
      <c r="Y557" s="68">
        <v>43</v>
      </c>
      <c r="Z557" s="68">
        <v>45</v>
      </c>
      <c r="AA557" s="68">
        <v>1</v>
      </c>
      <c r="AB557" s="300">
        <f t="shared" si="63"/>
        <v>32.572499999999998</v>
      </c>
      <c r="AC557" s="300">
        <f t="shared" si="64"/>
        <v>0.19621987951807227</v>
      </c>
      <c r="AD557" s="68" t="s">
        <v>48</v>
      </c>
      <c r="AE557" s="68" t="s">
        <v>48</v>
      </c>
      <c r="AF557" s="68" t="s">
        <v>317</v>
      </c>
      <c r="AG557" s="68" t="s">
        <v>317</v>
      </c>
      <c r="AH557" s="68" t="s">
        <v>1755</v>
      </c>
      <c r="AI557" s="309"/>
      <c r="AJ557" s="309"/>
      <c r="AK557" s="68" t="s">
        <v>41</v>
      </c>
      <c r="AL557" s="68" t="s">
        <v>49</v>
      </c>
      <c r="AM557" s="299">
        <f t="shared" ca="1" si="60"/>
        <v>1.2638888888905058</v>
      </c>
      <c r="AN557" s="51"/>
      <c r="AO557" s="78" t="s">
        <v>179</v>
      </c>
      <c r="AP557" s="62" t="s">
        <v>1754</v>
      </c>
      <c r="AQ557" s="61" t="s">
        <v>1894</v>
      </c>
      <c r="AR557" s="64">
        <v>44882.743055555555</v>
      </c>
      <c r="AS557" s="61" t="s">
        <v>95</v>
      </c>
      <c r="AT557" s="61" t="s">
        <v>225</v>
      </c>
      <c r="AU557" s="59">
        <v>0.74305555555555547</v>
      </c>
      <c r="AV557" s="61">
        <v>2</v>
      </c>
      <c r="AW557" s="61" t="s">
        <v>66</v>
      </c>
      <c r="AX557" s="52"/>
      <c r="AY557" s="52"/>
      <c r="AZ557" s="52"/>
      <c r="BA557" s="52"/>
    </row>
    <row r="558" spans="1:53" x14ac:dyDescent="0.25">
      <c r="A558" s="73">
        <v>312</v>
      </c>
      <c r="B558" s="72">
        <v>44881.479166666664</v>
      </c>
      <c r="C558" s="67">
        <v>0.4826388888888889</v>
      </c>
      <c r="D558" s="67">
        <v>0.48958333333333331</v>
      </c>
      <c r="E558" s="67">
        <v>0.43055555555555558</v>
      </c>
      <c r="F558" s="68" t="s">
        <v>170</v>
      </c>
      <c r="G558" s="68" t="s">
        <v>1599</v>
      </c>
      <c r="H558" s="66" t="s">
        <v>227</v>
      </c>
      <c r="I558" s="66" t="s">
        <v>189</v>
      </c>
      <c r="J558" s="66" t="s">
        <v>37</v>
      </c>
      <c r="K558" s="66" t="s">
        <v>63</v>
      </c>
      <c r="L558" s="66" t="s">
        <v>209</v>
      </c>
      <c r="M558" s="68" t="s">
        <v>1754</v>
      </c>
      <c r="N558" s="68" t="s">
        <v>43</v>
      </c>
      <c r="O558" s="77">
        <v>925926</v>
      </c>
      <c r="P558" s="77">
        <v>2819234101</v>
      </c>
      <c r="Q558" s="303">
        <f t="shared" si="61"/>
        <v>0</v>
      </c>
      <c r="R558" s="303">
        <f t="shared" si="62"/>
        <v>0</v>
      </c>
      <c r="S558" s="68">
        <v>0</v>
      </c>
      <c r="T558" s="68">
        <v>0</v>
      </c>
      <c r="U558" s="68">
        <v>0</v>
      </c>
      <c r="V558" s="68">
        <v>0</v>
      </c>
      <c r="W558" s="68">
        <v>0</v>
      </c>
      <c r="X558" s="68">
        <v>84</v>
      </c>
      <c r="Y558" s="68">
        <v>52</v>
      </c>
      <c r="Z558" s="68">
        <v>61</v>
      </c>
      <c r="AA558" s="68">
        <v>8</v>
      </c>
      <c r="AB558" s="300">
        <f t="shared" si="63"/>
        <v>355.26400000000001</v>
      </c>
      <c r="AC558" s="300">
        <f t="shared" si="64"/>
        <v>2.1401445783132531</v>
      </c>
      <c r="AD558" s="68">
        <v>0</v>
      </c>
      <c r="AE558" s="68">
        <v>0</v>
      </c>
      <c r="AF558" s="68" t="s">
        <v>317</v>
      </c>
      <c r="AG558" s="68" t="s">
        <v>317</v>
      </c>
      <c r="AH558" s="68" t="s">
        <v>1755</v>
      </c>
      <c r="AI558" s="309"/>
      <c r="AJ558" s="309"/>
      <c r="AK558" s="68" t="s">
        <v>48</v>
      </c>
      <c r="AL558" s="68" t="s">
        <v>50</v>
      </c>
      <c r="AM558" s="299">
        <f t="shared" ca="1" si="60"/>
        <v>1.2638888888905058</v>
      </c>
      <c r="AN558" s="51"/>
      <c r="AO558" s="78" t="s">
        <v>179</v>
      </c>
      <c r="AP558" s="62" t="s">
        <v>1754</v>
      </c>
      <c r="AQ558" s="61" t="s">
        <v>1894</v>
      </c>
      <c r="AR558" s="64">
        <v>44882.743055555555</v>
      </c>
      <c r="AS558" s="61" t="s">
        <v>95</v>
      </c>
      <c r="AT558" s="61" t="s">
        <v>225</v>
      </c>
      <c r="AU558" s="59">
        <v>0.74305555555555547</v>
      </c>
      <c r="AV558" s="61">
        <v>2</v>
      </c>
      <c r="AW558" s="61" t="s">
        <v>66</v>
      </c>
      <c r="AX558" s="52"/>
      <c r="AY558" s="52"/>
      <c r="AZ558" s="52"/>
      <c r="BA558" s="52"/>
    </row>
    <row r="559" spans="1:53" x14ac:dyDescent="0.25">
      <c r="A559" s="73">
        <v>312</v>
      </c>
      <c r="B559" s="72">
        <v>44881.479166666664</v>
      </c>
      <c r="C559" s="67">
        <v>0.4826388888888889</v>
      </c>
      <c r="D559" s="67">
        <v>0.48958333333333331</v>
      </c>
      <c r="E559" s="67">
        <v>0.43055555555555558</v>
      </c>
      <c r="F559" s="68" t="s">
        <v>170</v>
      </c>
      <c r="G559" s="68" t="s">
        <v>1599</v>
      </c>
      <c r="H559" s="66" t="s">
        <v>227</v>
      </c>
      <c r="I559" s="66" t="s">
        <v>189</v>
      </c>
      <c r="J559" s="66" t="s">
        <v>37</v>
      </c>
      <c r="K559" s="66" t="s">
        <v>63</v>
      </c>
      <c r="L559" s="66" t="s">
        <v>209</v>
      </c>
      <c r="M559" s="68" t="s">
        <v>1754</v>
      </c>
      <c r="N559" s="68" t="s">
        <v>43</v>
      </c>
      <c r="O559" s="77">
        <v>925926</v>
      </c>
      <c r="P559" s="77">
        <v>2819234101</v>
      </c>
      <c r="Q559" s="303">
        <f t="shared" si="61"/>
        <v>0</v>
      </c>
      <c r="R559" s="303">
        <f t="shared" si="62"/>
        <v>0</v>
      </c>
      <c r="S559" s="68">
        <v>0</v>
      </c>
      <c r="T559" s="68">
        <v>0</v>
      </c>
      <c r="U559" s="68">
        <v>0</v>
      </c>
      <c r="V559" s="68">
        <v>0</v>
      </c>
      <c r="W559" s="68">
        <v>0</v>
      </c>
      <c r="X559" s="68">
        <v>40</v>
      </c>
      <c r="Y559" s="68">
        <v>30</v>
      </c>
      <c r="Z559" s="68">
        <v>12</v>
      </c>
      <c r="AA559" s="68">
        <v>1</v>
      </c>
      <c r="AB559" s="300">
        <f t="shared" si="63"/>
        <v>2.4</v>
      </c>
      <c r="AC559" s="300">
        <f t="shared" si="64"/>
        <v>1.4457831325301203E-2</v>
      </c>
      <c r="AD559" s="68">
        <v>0</v>
      </c>
      <c r="AE559" s="68">
        <v>0</v>
      </c>
      <c r="AF559" s="68" t="s">
        <v>317</v>
      </c>
      <c r="AG559" s="68" t="s">
        <v>317</v>
      </c>
      <c r="AH559" s="68" t="s">
        <v>1755</v>
      </c>
      <c r="AI559" s="309"/>
      <c r="AJ559" s="309"/>
      <c r="AK559" s="68" t="s">
        <v>48</v>
      </c>
      <c r="AL559" s="68" t="s">
        <v>50</v>
      </c>
      <c r="AM559" s="299">
        <f t="shared" ca="1" si="60"/>
        <v>1.2638888888905058</v>
      </c>
      <c r="AN559" s="51"/>
      <c r="AO559" s="78" t="s">
        <v>179</v>
      </c>
      <c r="AP559" s="62" t="s">
        <v>1754</v>
      </c>
      <c r="AQ559" s="61" t="s">
        <v>1894</v>
      </c>
      <c r="AR559" s="64">
        <v>44882.743055555555</v>
      </c>
      <c r="AS559" s="61" t="s">
        <v>95</v>
      </c>
      <c r="AT559" s="61" t="s">
        <v>225</v>
      </c>
      <c r="AU559" s="59">
        <v>0.74305555555555547</v>
      </c>
      <c r="AV559" s="61">
        <v>2</v>
      </c>
      <c r="AW559" s="61" t="s">
        <v>66</v>
      </c>
      <c r="AX559" s="52"/>
      <c r="AY559" s="52"/>
      <c r="AZ559" s="52"/>
      <c r="BA559" s="52"/>
    </row>
    <row r="560" spans="1:53" x14ac:dyDescent="0.25">
      <c r="A560" s="73">
        <v>312</v>
      </c>
      <c r="B560" s="72">
        <v>44881.479166666664</v>
      </c>
      <c r="C560" s="67">
        <v>0.4826388888888889</v>
      </c>
      <c r="D560" s="67">
        <v>0.48958333333333331</v>
      </c>
      <c r="E560" s="67">
        <v>0.43055555555555558</v>
      </c>
      <c r="F560" s="68" t="s">
        <v>170</v>
      </c>
      <c r="G560" s="68" t="s">
        <v>1599</v>
      </c>
      <c r="H560" s="66" t="s">
        <v>227</v>
      </c>
      <c r="I560" s="66" t="s">
        <v>189</v>
      </c>
      <c r="J560" s="66" t="s">
        <v>37</v>
      </c>
      <c r="K560" s="66" t="s">
        <v>63</v>
      </c>
      <c r="L560" s="66" t="s">
        <v>209</v>
      </c>
      <c r="M560" s="68" t="s">
        <v>1754</v>
      </c>
      <c r="N560" s="68" t="s">
        <v>43</v>
      </c>
      <c r="O560" s="77">
        <v>925926</v>
      </c>
      <c r="P560" s="77">
        <v>2819234101</v>
      </c>
      <c r="Q560" s="303">
        <f t="shared" si="61"/>
        <v>0</v>
      </c>
      <c r="R560" s="303">
        <f t="shared" si="62"/>
        <v>0</v>
      </c>
      <c r="S560" s="68">
        <v>0</v>
      </c>
      <c r="T560" s="68">
        <v>0</v>
      </c>
      <c r="U560" s="68">
        <v>0</v>
      </c>
      <c r="V560" s="68">
        <v>0</v>
      </c>
      <c r="W560" s="68">
        <v>0</v>
      </c>
      <c r="X560" s="68">
        <v>35</v>
      </c>
      <c r="Y560" s="68">
        <v>31</v>
      </c>
      <c r="Z560" s="68">
        <v>19</v>
      </c>
      <c r="AA560" s="68">
        <v>2</v>
      </c>
      <c r="AB560" s="300">
        <f t="shared" si="63"/>
        <v>6.871666666666667</v>
      </c>
      <c r="AC560" s="300">
        <f t="shared" si="64"/>
        <v>4.1395582329317268E-2</v>
      </c>
      <c r="AD560" s="68">
        <v>0</v>
      </c>
      <c r="AE560" s="68">
        <v>0</v>
      </c>
      <c r="AF560" s="68" t="s">
        <v>317</v>
      </c>
      <c r="AG560" s="68" t="s">
        <v>317</v>
      </c>
      <c r="AH560" s="68" t="s">
        <v>1755</v>
      </c>
      <c r="AI560" s="309"/>
      <c r="AJ560" s="309"/>
      <c r="AK560" s="68" t="s">
        <v>48</v>
      </c>
      <c r="AL560" s="68" t="s">
        <v>50</v>
      </c>
      <c r="AM560" s="299">
        <f t="shared" ca="1" si="60"/>
        <v>1.2638888888905058</v>
      </c>
      <c r="AN560" s="51"/>
      <c r="AO560" s="78" t="s">
        <v>179</v>
      </c>
      <c r="AP560" s="62" t="s">
        <v>1754</v>
      </c>
      <c r="AQ560" s="61" t="s">
        <v>1894</v>
      </c>
      <c r="AR560" s="64">
        <v>44882.743055555555</v>
      </c>
      <c r="AS560" s="61" t="s">
        <v>95</v>
      </c>
      <c r="AT560" s="61" t="s">
        <v>225</v>
      </c>
      <c r="AU560" s="59">
        <v>0.74305555555555547</v>
      </c>
      <c r="AV560" s="61">
        <v>2</v>
      </c>
      <c r="AW560" s="61" t="s">
        <v>66</v>
      </c>
      <c r="AX560" s="52"/>
      <c r="AY560" s="52"/>
      <c r="AZ560" s="52"/>
      <c r="BA560" s="52"/>
    </row>
    <row r="561" spans="1:53" x14ac:dyDescent="0.25">
      <c r="A561" s="73">
        <v>313</v>
      </c>
      <c r="B561" s="72">
        <v>44881.597222222219</v>
      </c>
      <c r="C561" s="67">
        <v>0.60069444444444442</v>
      </c>
      <c r="D561" s="67">
        <v>0.60763888888888895</v>
      </c>
      <c r="E561" s="67">
        <v>0.62152777777777779</v>
      </c>
      <c r="F561" s="68" t="s">
        <v>170</v>
      </c>
      <c r="G561" s="68" t="s">
        <v>1756</v>
      </c>
      <c r="H561" s="66" t="s">
        <v>459</v>
      </c>
      <c r="I561" s="66" t="s">
        <v>62</v>
      </c>
      <c r="J561" s="66" t="s">
        <v>37</v>
      </c>
      <c r="K561" s="66" t="s">
        <v>63</v>
      </c>
      <c r="L561" s="70" t="s">
        <v>206</v>
      </c>
      <c r="M561" s="68" t="s">
        <v>1757</v>
      </c>
      <c r="N561" s="68" t="s">
        <v>64</v>
      </c>
      <c r="O561" s="68">
        <v>423</v>
      </c>
      <c r="P561" s="68">
        <v>4418202637</v>
      </c>
      <c r="Q561" s="303">
        <f t="shared" si="61"/>
        <v>8</v>
      </c>
      <c r="R561" s="303">
        <f t="shared" si="62"/>
        <v>2551</v>
      </c>
      <c r="S561" s="68">
        <v>0</v>
      </c>
      <c r="T561" s="68">
        <v>0</v>
      </c>
      <c r="U561" s="68">
        <v>8</v>
      </c>
      <c r="V561" s="38">
        <v>2551</v>
      </c>
      <c r="W561" s="38">
        <v>2991</v>
      </c>
      <c r="X561" s="68">
        <v>89</v>
      </c>
      <c r="Y561" s="68">
        <v>62</v>
      </c>
      <c r="Z561" s="68">
        <v>56</v>
      </c>
      <c r="AA561" s="68">
        <v>2</v>
      </c>
      <c r="AB561" s="300">
        <f t="shared" si="63"/>
        <v>103.00266666666667</v>
      </c>
      <c r="AC561" s="300">
        <f t="shared" si="64"/>
        <v>0.62049799196787148</v>
      </c>
      <c r="AD561" s="68">
        <v>15827.73</v>
      </c>
      <c r="AE561" s="68" t="s">
        <v>111</v>
      </c>
      <c r="AF561" s="68" t="s">
        <v>317</v>
      </c>
      <c r="AG561" s="68" t="s">
        <v>317</v>
      </c>
      <c r="AH561" s="68" t="s">
        <v>1758</v>
      </c>
      <c r="AI561" s="309"/>
      <c r="AJ561" s="309"/>
      <c r="AK561" s="68" t="s">
        <v>41</v>
      </c>
      <c r="AL561" s="68" t="s">
        <v>39</v>
      </c>
      <c r="AM561" s="299">
        <f t="shared" ca="1" si="60"/>
        <v>0.85069444444525288</v>
      </c>
      <c r="AN561" s="51"/>
      <c r="AO561" s="61" t="s">
        <v>77</v>
      </c>
      <c r="AP561" s="62" t="s">
        <v>1757</v>
      </c>
      <c r="AQ561" s="78" t="s">
        <v>1874</v>
      </c>
      <c r="AR561" s="64">
        <v>44882.447916666664</v>
      </c>
      <c r="AS561" s="61" t="s">
        <v>117</v>
      </c>
      <c r="AT561" s="61" t="s">
        <v>225</v>
      </c>
      <c r="AU561" s="59">
        <v>0.44791666666666669</v>
      </c>
      <c r="AV561" s="61">
        <v>1</v>
      </c>
      <c r="AW561" s="61" t="s">
        <v>66</v>
      </c>
      <c r="AX561" s="52"/>
      <c r="AY561" s="52"/>
      <c r="AZ561" s="52"/>
      <c r="BA561" s="52"/>
    </row>
    <row r="562" spans="1:53" x14ac:dyDescent="0.25">
      <c r="A562" s="73">
        <v>313</v>
      </c>
      <c r="B562" s="72">
        <v>44881.597222222219</v>
      </c>
      <c r="C562" s="67">
        <v>0.60069444444444442</v>
      </c>
      <c r="D562" s="67">
        <v>0.60763888888888895</v>
      </c>
      <c r="E562" s="67">
        <v>0.62152777777777779</v>
      </c>
      <c r="F562" s="68" t="s">
        <v>170</v>
      </c>
      <c r="G562" s="68" t="s">
        <v>1756</v>
      </c>
      <c r="H562" s="66" t="s">
        <v>459</v>
      </c>
      <c r="I562" s="66" t="s">
        <v>62</v>
      </c>
      <c r="J562" s="66" t="s">
        <v>37</v>
      </c>
      <c r="K562" s="66" t="s">
        <v>63</v>
      </c>
      <c r="L562" s="70" t="s">
        <v>206</v>
      </c>
      <c r="M562" s="68" t="s">
        <v>1757</v>
      </c>
      <c r="N562" s="68" t="s">
        <v>64</v>
      </c>
      <c r="O562" s="68">
        <v>423</v>
      </c>
      <c r="P562" s="68">
        <v>4418202637</v>
      </c>
      <c r="Q562" s="303">
        <f t="shared" si="61"/>
        <v>0</v>
      </c>
      <c r="R562" s="303">
        <f t="shared" si="62"/>
        <v>0</v>
      </c>
      <c r="S562" s="68">
        <v>0</v>
      </c>
      <c r="T562" s="68">
        <v>0</v>
      </c>
      <c r="U562" s="68">
        <v>0</v>
      </c>
      <c r="V562" s="68">
        <v>0</v>
      </c>
      <c r="W562" s="68">
        <v>0</v>
      </c>
      <c r="X562" s="68">
        <v>100</v>
      </c>
      <c r="Y562" s="68">
        <v>69</v>
      </c>
      <c r="Z562" s="68">
        <v>61</v>
      </c>
      <c r="AA562" s="68">
        <v>3</v>
      </c>
      <c r="AB562" s="300">
        <f t="shared" si="63"/>
        <v>210.45</v>
      </c>
      <c r="AC562" s="300">
        <f t="shared" si="64"/>
        <v>1.2677710843373493</v>
      </c>
      <c r="AD562" s="68">
        <v>0</v>
      </c>
      <c r="AE562" s="68">
        <v>0</v>
      </c>
      <c r="AF562" s="68" t="s">
        <v>317</v>
      </c>
      <c r="AG562" s="68" t="s">
        <v>317</v>
      </c>
      <c r="AH562" s="68" t="s">
        <v>1758</v>
      </c>
      <c r="AI562" s="309"/>
      <c r="AJ562" s="309"/>
      <c r="AK562" s="68" t="s">
        <v>41</v>
      </c>
      <c r="AL562" s="68" t="s">
        <v>39</v>
      </c>
      <c r="AM562" s="299">
        <f t="shared" ca="1" si="60"/>
        <v>0.85069444444525288</v>
      </c>
      <c r="AN562" s="51"/>
      <c r="AO562" s="61" t="s">
        <v>77</v>
      </c>
      <c r="AP562" s="62" t="s">
        <v>1757</v>
      </c>
      <c r="AQ562" s="78" t="s">
        <v>1874</v>
      </c>
      <c r="AR562" s="64">
        <v>44882.447916666664</v>
      </c>
      <c r="AS562" s="61" t="s">
        <v>117</v>
      </c>
      <c r="AT562" s="61" t="s">
        <v>225</v>
      </c>
      <c r="AU562" s="59">
        <v>0.44791666666666669</v>
      </c>
      <c r="AV562" s="61">
        <v>1</v>
      </c>
      <c r="AW562" s="61" t="s">
        <v>66</v>
      </c>
      <c r="AX562" s="52"/>
      <c r="AY562" s="52"/>
      <c r="AZ562" s="52"/>
      <c r="BA562" s="52"/>
    </row>
    <row r="563" spans="1:53" x14ac:dyDescent="0.25">
      <c r="A563" s="73">
        <v>313</v>
      </c>
      <c r="B563" s="72">
        <v>44881.597222222219</v>
      </c>
      <c r="C563" s="67">
        <v>0.60069444444444442</v>
      </c>
      <c r="D563" s="67">
        <v>0.60763888888888895</v>
      </c>
      <c r="E563" s="67">
        <v>0.62152777777777779</v>
      </c>
      <c r="F563" s="68" t="s">
        <v>170</v>
      </c>
      <c r="G563" s="68" t="s">
        <v>1756</v>
      </c>
      <c r="H563" s="66" t="s">
        <v>459</v>
      </c>
      <c r="I563" s="66" t="s">
        <v>62</v>
      </c>
      <c r="J563" s="66" t="s">
        <v>37</v>
      </c>
      <c r="K563" s="66" t="s">
        <v>63</v>
      </c>
      <c r="L563" s="70" t="s">
        <v>206</v>
      </c>
      <c r="M563" s="68" t="s">
        <v>1757</v>
      </c>
      <c r="N563" s="68" t="s">
        <v>64</v>
      </c>
      <c r="O563" s="68">
        <v>423</v>
      </c>
      <c r="P563" s="68">
        <v>4418202637</v>
      </c>
      <c r="Q563" s="303">
        <f t="shared" si="61"/>
        <v>0</v>
      </c>
      <c r="R563" s="303">
        <f t="shared" si="62"/>
        <v>0</v>
      </c>
      <c r="S563" s="68">
        <v>0</v>
      </c>
      <c r="T563" s="68">
        <v>0</v>
      </c>
      <c r="U563" s="68">
        <v>0</v>
      </c>
      <c r="V563" s="68">
        <v>0</v>
      </c>
      <c r="W563" s="68">
        <v>0</v>
      </c>
      <c r="X563" s="68">
        <v>100</v>
      </c>
      <c r="Y563" s="68">
        <v>39</v>
      </c>
      <c r="Z563" s="68">
        <v>62</v>
      </c>
      <c r="AA563" s="68">
        <v>1</v>
      </c>
      <c r="AB563" s="300">
        <f t="shared" si="63"/>
        <v>40.299999999999997</v>
      </c>
      <c r="AC563" s="300">
        <f t="shared" si="64"/>
        <v>0.24277108433734937</v>
      </c>
      <c r="AD563" s="68">
        <v>0</v>
      </c>
      <c r="AE563" s="68">
        <v>0</v>
      </c>
      <c r="AF563" s="68" t="s">
        <v>317</v>
      </c>
      <c r="AG563" s="68" t="s">
        <v>317</v>
      </c>
      <c r="AH563" s="68" t="s">
        <v>1758</v>
      </c>
      <c r="AI563" s="309"/>
      <c r="AJ563" s="309"/>
      <c r="AK563" s="68" t="s">
        <v>41</v>
      </c>
      <c r="AL563" s="68" t="s">
        <v>39</v>
      </c>
      <c r="AM563" s="299">
        <f t="shared" ca="1" si="60"/>
        <v>0.85069444444525288</v>
      </c>
      <c r="AN563" s="51"/>
      <c r="AO563" s="61" t="s">
        <v>77</v>
      </c>
      <c r="AP563" s="62" t="s">
        <v>1757</v>
      </c>
      <c r="AQ563" s="78" t="s">
        <v>1874</v>
      </c>
      <c r="AR563" s="64">
        <v>44882.447916666664</v>
      </c>
      <c r="AS563" s="61" t="s">
        <v>117</v>
      </c>
      <c r="AT563" s="61" t="s">
        <v>225</v>
      </c>
      <c r="AU563" s="59">
        <v>0.44791666666666669</v>
      </c>
      <c r="AV563" s="61">
        <v>1</v>
      </c>
      <c r="AW563" s="61" t="s">
        <v>66</v>
      </c>
      <c r="AX563" s="52"/>
      <c r="AY563" s="52"/>
      <c r="AZ563" s="52"/>
      <c r="BA563" s="52"/>
    </row>
    <row r="564" spans="1:53" x14ac:dyDescent="0.25">
      <c r="A564" s="73">
        <v>313</v>
      </c>
      <c r="B564" s="72">
        <v>44881.597222222219</v>
      </c>
      <c r="C564" s="67">
        <v>0.60069444444444442</v>
      </c>
      <c r="D564" s="67">
        <v>0.60763888888888895</v>
      </c>
      <c r="E564" s="67">
        <v>0.62152777777777779</v>
      </c>
      <c r="F564" s="68" t="s">
        <v>170</v>
      </c>
      <c r="G564" s="68" t="s">
        <v>1756</v>
      </c>
      <c r="H564" s="66" t="s">
        <v>459</v>
      </c>
      <c r="I564" s="66" t="s">
        <v>62</v>
      </c>
      <c r="J564" s="66" t="s">
        <v>37</v>
      </c>
      <c r="K564" s="66" t="s">
        <v>63</v>
      </c>
      <c r="L564" s="70" t="s">
        <v>206</v>
      </c>
      <c r="M564" s="68" t="s">
        <v>1757</v>
      </c>
      <c r="N564" s="68" t="s">
        <v>64</v>
      </c>
      <c r="O564" s="68">
        <v>423</v>
      </c>
      <c r="P564" s="68">
        <v>4418202637</v>
      </c>
      <c r="Q564" s="303">
        <f t="shared" si="61"/>
        <v>0</v>
      </c>
      <c r="R564" s="303">
        <f t="shared" si="62"/>
        <v>0</v>
      </c>
      <c r="S564" s="68">
        <v>0</v>
      </c>
      <c r="T564" s="68">
        <v>0</v>
      </c>
      <c r="U564" s="68">
        <v>0</v>
      </c>
      <c r="V564" s="68">
        <v>0</v>
      </c>
      <c r="W564" s="68">
        <v>0</v>
      </c>
      <c r="X564" s="68">
        <v>65</v>
      </c>
      <c r="Y564" s="68">
        <v>64</v>
      </c>
      <c r="Z564" s="68">
        <v>56</v>
      </c>
      <c r="AA564" s="68">
        <v>1</v>
      </c>
      <c r="AB564" s="300">
        <f t="shared" si="63"/>
        <v>38.826666666666668</v>
      </c>
      <c r="AC564" s="300">
        <f t="shared" si="64"/>
        <v>0.23389558232931729</v>
      </c>
      <c r="AD564" s="68">
        <v>0</v>
      </c>
      <c r="AE564" s="68">
        <v>0</v>
      </c>
      <c r="AF564" s="68" t="s">
        <v>317</v>
      </c>
      <c r="AG564" s="68" t="s">
        <v>317</v>
      </c>
      <c r="AH564" s="68" t="s">
        <v>1758</v>
      </c>
      <c r="AI564" s="309"/>
      <c r="AJ564" s="309"/>
      <c r="AK564" s="68" t="s">
        <v>41</v>
      </c>
      <c r="AL564" s="68" t="s">
        <v>39</v>
      </c>
      <c r="AM564" s="299">
        <f t="shared" ca="1" si="60"/>
        <v>0.85069444444525288</v>
      </c>
      <c r="AN564" s="51"/>
      <c r="AO564" s="61" t="s">
        <v>77</v>
      </c>
      <c r="AP564" s="62" t="s">
        <v>1757</v>
      </c>
      <c r="AQ564" s="78" t="s">
        <v>1874</v>
      </c>
      <c r="AR564" s="64">
        <v>44882.447916666664</v>
      </c>
      <c r="AS564" s="61" t="s">
        <v>117</v>
      </c>
      <c r="AT564" s="61" t="s">
        <v>225</v>
      </c>
      <c r="AU564" s="59">
        <v>0.44791666666666669</v>
      </c>
      <c r="AV564" s="61">
        <v>1</v>
      </c>
      <c r="AW564" s="61" t="s">
        <v>66</v>
      </c>
      <c r="AX564" s="52"/>
      <c r="AY564" s="52"/>
      <c r="AZ564" s="52"/>
      <c r="BA564" s="52"/>
    </row>
    <row r="565" spans="1:53" x14ac:dyDescent="0.25">
      <c r="A565" s="73">
        <v>313</v>
      </c>
      <c r="B565" s="72">
        <v>44881.597222222219</v>
      </c>
      <c r="C565" s="67">
        <v>0.60069444444444442</v>
      </c>
      <c r="D565" s="67">
        <v>0.60763888888888895</v>
      </c>
      <c r="E565" s="67">
        <v>0.62152777777777779</v>
      </c>
      <c r="F565" s="68" t="s">
        <v>170</v>
      </c>
      <c r="G565" s="68" t="s">
        <v>1756</v>
      </c>
      <c r="H565" s="66" t="s">
        <v>459</v>
      </c>
      <c r="I565" s="66" t="s">
        <v>62</v>
      </c>
      <c r="J565" s="66" t="s">
        <v>37</v>
      </c>
      <c r="K565" s="66" t="s">
        <v>63</v>
      </c>
      <c r="L565" s="70" t="s">
        <v>206</v>
      </c>
      <c r="M565" s="68" t="s">
        <v>1757</v>
      </c>
      <c r="N565" s="68" t="s">
        <v>64</v>
      </c>
      <c r="O565" s="68">
        <v>423</v>
      </c>
      <c r="P565" s="68">
        <v>4418202637</v>
      </c>
      <c r="Q565" s="303">
        <f t="shared" si="61"/>
        <v>0</v>
      </c>
      <c r="R565" s="303">
        <f t="shared" si="62"/>
        <v>0</v>
      </c>
      <c r="S565" s="68">
        <v>0</v>
      </c>
      <c r="T565" s="68">
        <v>0</v>
      </c>
      <c r="U565" s="68">
        <v>0</v>
      </c>
      <c r="V565" s="68">
        <v>0</v>
      </c>
      <c r="W565" s="68">
        <v>0</v>
      </c>
      <c r="X565" s="68">
        <v>69</v>
      </c>
      <c r="Y565" s="68">
        <v>49</v>
      </c>
      <c r="Z565" s="68">
        <v>56</v>
      </c>
      <c r="AA565" s="68">
        <v>1</v>
      </c>
      <c r="AB565" s="300">
        <f t="shared" si="63"/>
        <v>31.556000000000001</v>
      </c>
      <c r="AC565" s="300">
        <f t="shared" si="64"/>
        <v>0.19009638554216868</v>
      </c>
      <c r="AD565" s="68">
        <v>0</v>
      </c>
      <c r="AE565" s="68">
        <v>0</v>
      </c>
      <c r="AF565" s="68" t="s">
        <v>317</v>
      </c>
      <c r="AG565" s="68" t="s">
        <v>317</v>
      </c>
      <c r="AH565" s="68" t="s">
        <v>1758</v>
      </c>
      <c r="AI565" s="309"/>
      <c r="AJ565" s="309"/>
      <c r="AK565" s="68" t="s">
        <v>41</v>
      </c>
      <c r="AL565" s="68" t="s">
        <v>39</v>
      </c>
      <c r="AM565" s="299">
        <f t="shared" ca="1" si="60"/>
        <v>0.85069444444525288</v>
      </c>
      <c r="AN565" s="51"/>
      <c r="AO565" s="61" t="s">
        <v>77</v>
      </c>
      <c r="AP565" s="62" t="s">
        <v>1757</v>
      </c>
      <c r="AQ565" s="78" t="s">
        <v>1874</v>
      </c>
      <c r="AR565" s="64">
        <v>44882.447916666664</v>
      </c>
      <c r="AS565" s="61" t="s">
        <v>117</v>
      </c>
      <c r="AT565" s="61" t="s">
        <v>225</v>
      </c>
      <c r="AU565" s="59">
        <v>0.44791666666666669</v>
      </c>
      <c r="AV565" s="61">
        <v>1</v>
      </c>
      <c r="AW565" s="61" t="s">
        <v>66</v>
      </c>
      <c r="AX565" s="52"/>
      <c r="AY565" s="52"/>
      <c r="AZ565" s="52"/>
      <c r="BA565" s="52"/>
    </row>
    <row r="566" spans="1:53" x14ac:dyDescent="0.25">
      <c r="A566" s="73">
        <v>314</v>
      </c>
      <c r="B566" s="72">
        <v>44881.614583333336</v>
      </c>
      <c r="C566" s="67">
        <v>0.61805555555555558</v>
      </c>
      <c r="D566" s="67">
        <v>0.62152777777777779</v>
      </c>
      <c r="E566" s="67">
        <v>0.65277777777777779</v>
      </c>
      <c r="F566" s="68" t="s">
        <v>169</v>
      </c>
      <c r="G566" s="68" t="s">
        <v>1759</v>
      </c>
      <c r="H566" s="71" t="s">
        <v>99</v>
      </c>
      <c r="I566" s="71" t="s">
        <v>1760</v>
      </c>
      <c r="J566" s="71" t="s">
        <v>37</v>
      </c>
      <c r="K566" s="71" t="s">
        <v>61</v>
      </c>
      <c r="L566" s="71" t="s">
        <v>210</v>
      </c>
      <c r="M566" s="68" t="s">
        <v>1761</v>
      </c>
      <c r="N566" s="68" t="s">
        <v>139</v>
      </c>
      <c r="O566" s="68">
        <v>5552200250</v>
      </c>
      <c r="P566" s="68" t="s">
        <v>1762</v>
      </c>
      <c r="Q566" s="303">
        <f t="shared" si="61"/>
        <v>1</v>
      </c>
      <c r="R566" s="303">
        <f t="shared" si="62"/>
        <v>273</v>
      </c>
      <c r="S566" s="68">
        <v>0</v>
      </c>
      <c r="T566" s="68">
        <v>0</v>
      </c>
      <c r="U566" s="68">
        <v>1</v>
      </c>
      <c r="V566" s="68">
        <v>273</v>
      </c>
      <c r="W566" s="68">
        <v>292.5</v>
      </c>
      <c r="X566" s="68">
        <v>123</v>
      </c>
      <c r="Y566" s="68">
        <v>111</v>
      </c>
      <c r="Z566" s="68">
        <v>130</v>
      </c>
      <c r="AA566" s="68">
        <v>1</v>
      </c>
      <c r="AB566" s="300">
        <f t="shared" si="63"/>
        <v>295.815</v>
      </c>
      <c r="AC566" s="300">
        <f t="shared" si="64"/>
        <v>1.7820180722891565</v>
      </c>
      <c r="AD566" s="68">
        <v>6380.96</v>
      </c>
      <c r="AE566" s="68" t="s">
        <v>111</v>
      </c>
      <c r="AF566" s="68" t="s">
        <v>317</v>
      </c>
      <c r="AG566" s="68" t="s">
        <v>317</v>
      </c>
      <c r="AH566" s="68" t="s">
        <v>1763</v>
      </c>
      <c r="AI566" s="309"/>
      <c r="AJ566" s="309"/>
      <c r="AK566" s="68" t="s">
        <v>37</v>
      </c>
      <c r="AL566" s="68" t="s">
        <v>39</v>
      </c>
      <c r="AM566" s="299">
        <f t="shared" ca="1" si="60"/>
        <v>0.83333333332848269</v>
      </c>
      <c r="AN566" s="51"/>
      <c r="AO566" s="61" t="s">
        <v>1880</v>
      </c>
      <c r="AP566" s="62" t="s">
        <v>1761</v>
      </c>
      <c r="AQ566" s="78" t="s">
        <v>1879</v>
      </c>
      <c r="AR566" s="64">
        <v>44882.447916666664</v>
      </c>
      <c r="AS566" s="61" t="s">
        <v>117</v>
      </c>
      <c r="AT566" s="61" t="s">
        <v>225</v>
      </c>
      <c r="AU566" s="59">
        <v>0.44791666666666669</v>
      </c>
      <c r="AV566" s="61">
        <v>1</v>
      </c>
      <c r="AW566" s="61" t="s">
        <v>66</v>
      </c>
      <c r="AY566" s="52"/>
      <c r="AZ566" s="52"/>
      <c r="BA566" s="52"/>
    </row>
    <row r="567" spans="1:53" x14ac:dyDescent="0.25">
      <c r="A567" s="73">
        <v>315</v>
      </c>
      <c r="B567" s="72">
        <v>44881.614583333336</v>
      </c>
      <c r="C567" s="67">
        <v>0.61805555555555558</v>
      </c>
      <c r="D567" s="67">
        <v>0.62152777777777779</v>
      </c>
      <c r="E567" s="67">
        <v>0.65277777777777779</v>
      </c>
      <c r="F567" s="68" t="s">
        <v>169</v>
      </c>
      <c r="G567" s="68" t="s">
        <v>1759</v>
      </c>
      <c r="H567" s="66" t="s">
        <v>99</v>
      </c>
      <c r="I567" s="66" t="s">
        <v>99</v>
      </c>
      <c r="J567" s="66" t="s">
        <v>37</v>
      </c>
      <c r="K567" s="66" t="s">
        <v>61</v>
      </c>
      <c r="L567" s="66" t="s">
        <v>210</v>
      </c>
      <c r="M567" s="68" t="s">
        <v>1764</v>
      </c>
      <c r="N567" s="68" t="s">
        <v>42</v>
      </c>
      <c r="O567" s="68">
        <v>5552200252</v>
      </c>
      <c r="P567" s="68">
        <v>7961</v>
      </c>
      <c r="Q567" s="303">
        <f t="shared" si="61"/>
        <v>1</v>
      </c>
      <c r="R567" s="303">
        <f t="shared" si="62"/>
        <v>201</v>
      </c>
      <c r="S567" s="68">
        <v>0</v>
      </c>
      <c r="T567" s="68">
        <v>0</v>
      </c>
      <c r="U567" s="68">
        <v>1</v>
      </c>
      <c r="V567" s="38">
        <v>201</v>
      </c>
      <c r="W567" s="38">
        <v>156</v>
      </c>
      <c r="X567" s="68">
        <v>136</v>
      </c>
      <c r="Y567" s="68">
        <v>94</v>
      </c>
      <c r="Z567" s="68">
        <v>75</v>
      </c>
      <c r="AA567" s="68">
        <v>1</v>
      </c>
      <c r="AB567" s="300">
        <f t="shared" si="63"/>
        <v>159.80000000000001</v>
      </c>
      <c r="AC567" s="300">
        <f t="shared" si="64"/>
        <v>0.96265060240963862</v>
      </c>
      <c r="AD567" s="68">
        <v>6112.61</v>
      </c>
      <c r="AE567" s="68" t="s">
        <v>109</v>
      </c>
      <c r="AF567" s="68" t="s">
        <v>317</v>
      </c>
      <c r="AG567" s="68" t="s">
        <v>317</v>
      </c>
      <c r="AH567" s="68">
        <v>0</v>
      </c>
      <c r="AI567" s="309"/>
      <c r="AJ567" s="309"/>
      <c r="AK567" s="68" t="s">
        <v>37</v>
      </c>
      <c r="AL567" s="68" t="s">
        <v>39</v>
      </c>
      <c r="AM567" s="299">
        <f t="shared" ca="1" si="60"/>
        <v>0.83333333332848269</v>
      </c>
      <c r="AN567" s="51"/>
      <c r="AO567" s="61" t="s">
        <v>79</v>
      </c>
      <c r="AP567" s="62" t="s">
        <v>1764</v>
      </c>
      <c r="AQ567" s="78" t="s">
        <v>1876</v>
      </c>
      <c r="AR567" s="64">
        <v>44882.447916666664</v>
      </c>
      <c r="AS567" s="61" t="s">
        <v>117</v>
      </c>
      <c r="AT567" s="61" t="s">
        <v>225</v>
      </c>
      <c r="AU567" s="59">
        <v>0.44791666666666669</v>
      </c>
      <c r="AV567" s="61">
        <v>1</v>
      </c>
      <c r="AW567" s="61" t="s">
        <v>66</v>
      </c>
      <c r="AX567" s="52"/>
      <c r="AY567" s="52"/>
      <c r="AZ567" s="52"/>
      <c r="BA567" s="52"/>
    </row>
    <row r="568" spans="1:53" x14ac:dyDescent="0.25">
      <c r="A568" s="73">
        <v>316</v>
      </c>
      <c r="B568" s="72">
        <v>44881.659722222219</v>
      </c>
      <c r="C568" s="67">
        <v>0.66666666666666663</v>
      </c>
      <c r="D568" s="67">
        <v>0.69097222222222221</v>
      </c>
      <c r="E568" s="67">
        <v>0.70833333333333337</v>
      </c>
      <c r="F568" s="68" t="s">
        <v>169</v>
      </c>
      <c r="G568" s="68" t="s">
        <v>1765</v>
      </c>
      <c r="H568" s="66" t="s">
        <v>145</v>
      </c>
      <c r="I568" s="66" t="s">
        <v>146</v>
      </c>
      <c r="J568" s="66" t="s">
        <v>41</v>
      </c>
      <c r="K568" s="66" t="s">
        <v>233</v>
      </c>
      <c r="L568" s="66" t="s">
        <v>223</v>
      </c>
      <c r="M568" s="68" t="s">
        <v>1766</v>
      </c>
      <c r="N568" s="68" t="s">
        <v>38</v>
      </c>
      <c r="O568" s="68">
        <v>97000527</v>
      </c>
      <c r="P568" s="68">
        <v>17921</v>
      </c>
      <c r="Q568" s="303">
        <f t="shared" si="61"/>
        <v>45</v>
      </c>
      <c r="R568" s="303">
        <f t="shared" si="62"/>
        <v>708</v>
      </c>
      <c r="S568" s="68">
        <v>45</v>
      </c>
      <c r="T568" s="68">
        <v>708</v>
      </c>
      <c r="U568" s="68">
        <v>0</v>
      </c>
      <c r="V568" s="68">
        <v>0</v>
      </c>
      <c r="W568" s="68">
        <v>692</v>
      </c>
      <c r="X568" s="68">
        <v>60</v>
      </c>
      <c r="Y568" s="68">
        <v>29</v>
      </c>
      <c r="Z568" s="68">
        <v>46</v>
      </c>
      <c r="AA568" s="68">
        <v>22</v>
      </c>
      <c r="AB568" s="300">
        <f t="shared" si="63"/>
        <v>293.48</v>
      </c>
      <c r="AC568" s="300">
        <f t="shared" si="64"/>
        <v>1.7679518072289158</v>
      </c>
      <c r="AD568" s="68">
        <v>36922.68</v>
      </c>
      <c r="AE568" s="68" t="s">
        <v>109</v>
      </c>
      <c r="AF568" s="68" t="s">
        <v>1767</v>
      </c>
      <c r="AG568" s="68" t="s">
        <v>1768</v>
      </c>
      <c r="AH568" s="68" t="s">
        <v>1769</v>
      </c>
      <c r="AI568" s="309"/>
      <c r="AJ568" s="309"/>
      <c r="AK568" s="68" t="s">
        <v>48</v>
      </c>
      <c r="AL568" s="68" t="s">
        <v>50</v>
      </c>
      <c r="AM568" s="299">
        <f t="shared" ca="1" si="60"/>
        <v>0.85069444444525288</v>
      </c>
      <c r="AN568" s="51"/>
      <c r="AO568" s="61" t="s">
        <v>147</v>
      </c>
      <c r="AP568" s="62" t="s">
        <v>1766</v>
      </c>
      <c r="AQ568" s="78" t="s">
        <v>1887</v>
      </c>
      <c r="AR568" s="64">
        <v>44882.510416666664</v>
      </c>
      <c r="AS568" s="61" t="s">
        <v>95</v>
      </c>
      <c r="AT568" s="61" t="s">
        <v>225</v>
      </c>
      <c r="AU568" s="59">
        <v>0.51041666666666663</v>
      </c>
      <c r="AV568" s="61">
        <v>1</v>
      </c>
      <c r="AW568" s="61" t="s">
        <v>66</v>
      </c>
      <c r="AX568" s="52"/>
      <c r="AY568" s="52"/>
      <c r="AZ568" s="52"/>
      <c r="BA568" s="52"/>
    </row>
    <row r="569" spans="1:53" x14ac:dyDescent="0.25">
      <c r="A569" s="73">
        <v>316</v>
      </c>
      <c r="B569" s="72">
        <v>44881.659722222219</v>
      </c>
      <c r="C569" s="67">
        <v>0.66666666666666663</v>
      </c>
      <c r="D569" s="67">
        <v>0.69097222222222221</v>
      </c>
      <c r="E569" s="67">
        <v>0.70833333333333337</v>
      </c>
      <c r="F569" s="68" t="s">
        <v>169</v>
      </c>
      <c r="G569" s="68" t="s">
        <v>1765</v>
      </c>
      <c r="H569" s="66" t="s">
        <v>145</v>
      </c>
      <c r="I569" s="66" t="s">
        <v>146</v>
      </c>
      <c r="J569" s="66" t="s">
        <v>41</v>
      </c>
      <c r="K569" s="66" t="s">
        <v>233</v>
      </c>
      <c r="L569" s="66" t="s">
        <v>223</v>
      </c>
      <c r="M569" s="68" t="s">
        <v>1766</v>
      </c>
      <c r="N569" s="68" t="s">
        <v>38</v>
      </c>
      <c r="O569" s="68">
        <v>97000527</v>
      </c>
      <c r="P569" s="68">
        <v>17921</v>
      </c>
      <c r="Q569" s="303">
        <f t="shared" si="61"/>
        <v>0</v>
      </c>
      <c r="R569" s="303">
        <f t="shared" si="62"/>
        <v>0</v>
      </c>
      <c r="S569" s="68">
        <v>0</v>
      </c>
      <c r="T569" s="68">
        <v>0</v>
      </c>
      <c r="U569" s="68">
        <v>0</v>
      </c>
      <c r="V569" s="68">
        <v>0</v>
      </c>
      <c r="W569" s="68">
        <v>0</v>
      </c>
      <c r="X569" s="68">
        <v>60</v>
      </c>
      <c r="Y569" s="68">
        <v>29</v>
      </c>
      <c r="Z569" s="68">
        <v>49</v>
      </c>
      <c r="AA569" s="68">
        <v>21</v>
      </c>
      <c r="AB569" s="300">
        <f t="shared" si="63"/>
        <v>298.41000000000003</v>
      </c>
      <c r="AC569" s="300">
        <f t="shared" si="64"/>
        <v>1.7976506024096388</v>
      </c>
      <c r="AD569" s="68">
        <v>0</v>
      </c>
      <c r="AE569" s="68">
        <v>0</v>
      </c>
      <c r="AF569" s="68" t="s">
        <v>1767</v>
      </c>
      <c r="AG569" s="68" t="s">
        <v>1768</v>
      </c>
      <c r="AH569" s="68" t="s">
        <v>1769</v>
      </c>
      <c r="AI569" s="309"/>
      <c r="AJ569" s="309"/>
      <c r="AK569" s="68" t="s">
        <v>48</v>
      </c>
      <c r="AL569" s="68" t="s">
        <v>50</v>
      </c>
      <c r="AM569" s="299">
        <f t="shared" ca="1" si="60"/>
        <v>0.85069444444525288</v>
      </c>
      <c r="AN569" s="51"/>
      <c r="AO569" s="61" t="s">
        <v>147</v>
      </c>
      <c r="AP569" s="62" t="s">
        <v>1766</v>
      </c>
      <c r="AQ569" s="78" t="s">
        <v>1887</v>
      </c>
      <c r="AR569" s="64">
        <v>44882.510416666664</v>
      </c>
      <c r="AS569" s="61" t="s">
        <v>95</v>
      </c>
      <c r="AT569" s="61" t="s">
        <v>225</v>
      </c>
      <c r="AU569" s="59">
        <v>0.51041666666666663</v>
      </c>
      <c r="AV569" s="61">
        <v>1</v>
      </c>
      <c r="AW569" s="61" t="s">
        <v>66</v>
      </c>
      <c r="AX569" s="52"/>
      <c r="AY569" s="52"/>
      <c r="AZ569" s="52"/>
      <c r="BA569" s="52"/>
    </row>
    <row r="570" spans="1:53" x14ac:dyDescent="0.25">
      <c r="A570" s="73">
        <v>316</v>
      </c>
      <c r="B570" s="72">
        <v>44881.659722222219</v>
      </c>
      <c r="C570" s="67">
        <v>0.66666666666666663</v>
      </c>
      <c r="D570" s="67">
        <v>0.69097222222222221</v>
      </c>
      <c r="E570" s="67">
        <v>0.70833333333333337</v>
      </c>
      <c r="F570" s="68" t="s">
        <v>169</v>
      </c>
      <c r="G570" s="68" t="s">
        <v>1765</v>
      </c>
      <c r="H570" s="66" t="s">
        <v>145</v>
      </c>
      <c r="I570" s="66" t="s">
        <v>146</v>
      </c>
      <c r="J570" s="66" t="s">
        <v>41</v>
      </c>
      <c r="K570" s="66" t="s">
        <v>233</v>
      </c>
      <c r="L570" s="66" t="s">
        <v>223</v>
      </c>
      <c r="M570" s="68" t="s">
        <v>1766</v>
      </c>
      <c r="N570" s="68" t="s">
        <v>38</v>
      </c>
      <c r="O570" s="68">
        <v>97000527</v>
      </c>
      <c r="P570" s="68">
        <v>17921</v>
      </c>
      <c r="Q570" s="303">
        <f t="shared" si="61"/>
        <v>0</v>
      </c>
      <c r="R570" s="303">
        <f t="shared" si="62"/>
        <v>0</v>
      </c>
      <c r="S570" s="68">
        <v>0</v>
      </c>
      <c r="T570" s="68">
        <v>0</v>
      </c>
      <c r="U570" s="68">
        <v>0</v>
      </c>
      <c r="V570" s="68">
        <v>0</v>
      </c>
      <c r="W570" s="68">
        <v>0</v>
      </c>
      <c r="X570" s="68">
        <v>38</v>
      </c>
      <c r="Y570" s="68">
        <v>27</v>
      </c>
      <c r="Z570" s="68">
        <v>24</v>
      </c>
      <c r="AA570" s="68">
        <v>1</v>
      </c>
      <c r="AB570" s="300">
        <f t="shared" si="63"/>
        <v>4.1040000000000001</v>
      </c>
      <c r="AC570" s="300">
        <f t="shared" si="64"/>
        <v>2.4722891566265059E-2</v>
      </c>
      <c r="AD570" s="68">
        <v>0</v>
      </c>
      <c r="AE570" s="68">
        <v>0</v>
      </c>
      <c r="AF570" s="68" t="s">
        <v>1767</v>
      </c>
      <c r="AG570" s="68" t="s">
        <v>1768</v>
      </c>
      <c r="AH570" s="68" t="s">
        <v>1769</v>
      </c>
      <c r="AI570" s="309"/>
      <c r="AJ570" s="309"/>
      <c r="AK570" s="68" t="s">
        <v>48</v>
      </c>
      <c r="AL570" s="68" t="s">
        <v>50</v>
      </c>
      <c r="AM570" s="299">
        <f t="shared" ca="1" si="60"/>
        <v>0.85069444444525288</v>
      </c>
      <c r="AN570" s="51"/>
      <c r="AO570" s="61" t="s">
        <v>147</v>
      </c>
      <c r="AP570" s="62" t="s">
        <v>1766</v>
      </c>
      <c r="AQ570" s="78" t="s">
        <v>1887</v>
      </c>
      <c r="AR570" s="64">
        <v>44882.510416666664</v>
      </c>
      <c r="AS570" s="61" t="s">
        <v>95</v>
      </c>
      <c r="AT570" s="61" t="s">
        <v>225</v>
      </c>
      <c r="AU570" s="59">
        <v>0.51041666666666663</v>
      </c>
      <c r="AV570" s="61">
        <v>1</v>
      </c>
      <c r="AW570" s="61" t="s">
        <v>66</v>
      </c>
      <c r="AX570" s="52"/>
      <c r="AY570" s="52"/>
      <c r="AZ570" s="52"/>
      <c r="BA570" s="52"/>
    </row>
    <row r="571" spans="1:53" x14ac:dyDescent="0.25">
      <c r="A571" s="73">
        <v>316</v>
      </c>
      <c r="B571" s="72">
        <v>44881.659722222219</v>
      </c>
      <c r="C571" s="67">
        <v>0.66666666666666663</v>
      </c>
      <c r="D571" s="67">
        <v>0.69097222222222221</v>
      </c>
      <c r="E571" s="67">
        <v>0.70833333333333337</v>
      </c>
      <c r="F571" s="68" t="s">
        <v>169</v>
      </c>
      <c r="G571" s="68" t="s">
        <v>1765</v>
      </c>
      <c r="H571" s="66" t="s">
        <v>145</v>
      </c>
      <c r="I571" s="66" t="s">
        <v>146</v>
      </c>
      <c r="J571" s="66" t="s">
        <v>41</v>
      </c>
      <c r="K571" s="66" t="s">
        <v>233</v>
      </c>
      <c r="L571" s="66" t="s">
        <v>223</v>
      </c>
      <c r="M571" s="68" t="s">
        <v>1766</v>
      </c>
      <c r="N571" s="68" t="s">
        <v>38</v>
      </c>
      <c r="O571" s="68">
        <v>97000527</v>
      </c>
      <c r="P571" s="68">
        <v>17921</v>
      </c>
      <c r="Q571" s="303">
        <f t="shared" si="61"/>
        <v>0</v>
      </c>
      <c r="R571" s="303">
        <f t="shared" si="62"/>
        <v>0</v>
      </c>
      <c r="S571" s="68">
        <v>0</v>
      </c>
      <c r="T571" s="68">
        <v>0</v>
      </c>
      <c r="U571" s="68">
        <v>0</v>
      </c>
      <c r="V571" s="68">
        <v>0</v>
      </c>
      <c r="W571" s="68">
        <v>0</v>
      </c>
      <c r="X571" s="68">
        <v>60</v>
      </c>
      <c r="Y571" s="68">
        <v>29</v>
      </c>
      <c r="Z571" s="68">
        <v>38</v>
      </c>
      <c r="AA571" s="68">
        <v>1</v>
      </c>
      <c r="AB571" s="300">
        <f t="shared" si="63"/>
        <v>11.02</v>
      </c>
      <c r="AC571" s="300">
        <f t="shared" si="64"/>
        <v>6.6385542168674691E-2</v>
      </c>
      <c r="AD571" s="68">
        <v>0</v>
      </c>
      <c r="AE571" s="68">
        <v>0</v>
      </c>
      <c r="AF571" s="68" t="s">
        <v>1767</v>
      </c>
      <c r="AG571" s="68" t="s">
        <v>1768</v>
      </c>
      <c r="AH571" s="68" t="s">
        <v>1769</v>
      </c>
      <c r="AI571" s="309"/>
      <c r="AJ571" s="309"/>
      <c r="AK571" s="68" t="s">
        <v>48</v>
      </c>
      <c r="AL571" s="68" t="s">
        <v>50</v>
      </c>
      <c r="AM571" s="299">
        <f t="shared" ca="1" si="60"/>
        <v>0.85069444444525288</v>
      </c>
      <c r="AN571" s="51"/>
      <c r="AO571" s="61" t="s">
        <v>147</v>
      </c>
      <c r="AP571" s="62" t="s">
        <v>1766</v>
      </c>
      <c r="AQ571" s="78" t="s">
        <v>1887</v>
      </c>
      <c r="AR571" s="64">
        <v>44882.510416666664</v>
      </c>
      <c r="AS571" s="61" t="s">
        <v>95</v>
      </c>
      <c r="AT571" s="61" t="s">
        <v>225</v>
      </c>
      <c r="AU571" s="59">
        <v>0.51041666666666663</v>
      </c>
      <c r="AV571" s="61">
        <v>1</v>
      </c>
      <c r="AW571" s="61" t="s">
        <v>66</v>
      </c>
      <c r="AX571" s="52"/>
      <c r="AY571" s="52"/>
      <c r="AZ571" s="52"/>
      <c r="BA571" s="52"/>
    </row>
    <row r="572" spans="1:53" x14ac:dyDescent="0.25">
      <c r="A572" s="73">
        <v>317</v>
      </c>
      <c r="B572" s="72">
        <v>44881.659722222219</v>
      </c>
      <c r="C572" s="67">
        <v>0.66666666666666663</v>
      </c>
      <c r="D572" s="67">
        <v>0.69097222222222221</v>
      </c>
      <c r="E572" s="67">
        <v>0.70833333333333337</v>
      </c>
      <c r="F572" s="68" t="s">
        <v>169</v>
      </c>
      <c r="G572" s="68" t="s">
        <v>1765</v>
      </c>
      <c r="H572" s="66" t="s">
        <v>145</v>
      </c>
      <c r="I572" s="66" t="s">
        <v>146</v>
      </c>
      <c r="J572" s="66" t="s">
        <v>41</v>
      </c>
      <c r="K572" s="66" t="s">
        <v>233</v>
      </c>
      <c r="L572" s="66" t="s">
        <v>223</v>
      </c>
      <c r="M572" s="68" t="s">
        <v>1770</v>
      </c>
      <c r="N572" s="68" t="s">
        <v>453</v>
      </c>
      <c r="O572" s="68">
        <v>97000525</v>
      </c>
      <c r="P572" s="68">
        <v>45901</v>
      </c>
      <c r="Q572" s="303">
        <f t="shared" si="61"/>
        <v>45</v>
      </c>
      <c r="R572" s="303">
        <f t="shared" si="62"/>
        <v>686</v>
      </c>
      <c r="S572" s="68">
        <v>45</v>
      </c>
      <c r="T572" s="68">
        <v>686</v>
      </c>
      <c r="U572" s="68">
        <v>0</v>
      </c>
      <c r="V572" s="68">
        <v>0</v>
      </c>
      <c r="W572" s="68">
        <v>675</v>
      </c>
      <c r="X572" s="68">
        <v>60</v>
      </c>
      <c r="Y572" s="68">
        <v>29</v>
      </c>
      <c r="Z572" s="68">
        <v>49</v>
      </c>
      <c r="AA572" s="68">
        <v>10</v>
      </c>
      <c r="AB572" s="300">
        <f t="shared" si="63"/>
        <v>142.1</v>
      </c>
      <c r="AC572" s="300">
        <f t="shared" si="64"/>
        <v>0.85602409638554211</v>
      </c>
      <c r="AD572" s="68">
        <v>36122.04</v>
      </c>
      <c r="AE572" s="68" t="s">
        <v>109</v>
      </c>
      <c r="AF572" s="68" t="s">
        <v>1771</v>
      </c>
      <c r="AG572" s="68" t="s">
        <v>1768</v>
      </c>
      <c r="AH572" s="68" t="s">
        <v>1772</v>
      </c>
      <c r="AI572" s="309"/>
      <c r="AJ572" s="309"/>
      <c r="AK572" s="68" t="s">
        <v>48</v>
      </c>
      <c r="AL572" s="68" t="s">
        <v>50</v>
      </c>
      <c r="AM572" s="299">
        <f t="shared" ca="1" si="60"/>
        <v>0.85069444444525288</v>
      </c>
      <c r="AN572" s="51"/>
      <c r="AO572" s="61" t="s">
        <v>68</v>
      </c>
      <c r="AP572" s="62" t="s">
        <v>1770</v>
      </c>
      <c r="AQ572" s="78" t="s">
        <v>1886</v>
      </c>
      <c r="AR572" s="64">
        <v>44882.510416666664</v>
      </c>
      <c r="AS572" s="61" t="s">
        <v>95</v>
      </c>
      <c r="AT572" s="61" t="s">
        <v>225</v>
      </c>
      <c r="AU572" s="59">
        <v>0.51041666666666663</v>
      </c>
      <c r="AV572" s="61">
        <v>1</v>
      </c>
      <c r="AW572" s="61" t="s">
        <v>66</v>
      </c>
      <c r="AX572" s="52"/>
      <c r="AY572" s="52"/>
      <c r="AZ572" s="52"/>
      <c r="BA572" s="52"/>
    </row>
    <row r="573" spans="1:53" x14ac:dyDescent="0.25">
      <c r="A573" s="73">
        <v>317</v>
      </c>
      <c r="B573" s="72">
        <v>44881.659722222219</v>
      </c>
      <c r="C573" s="67">
        <v>0.66666666666666663</v>
      </c>
      <c r="D573" s="67">
        <v>0.69097222222222221</v>
      </c>
      <c r="E573" s="67">
        <v>0.70833333333333337</v>
      </c>
      <c r="F573" s="68" t="s">
        <v>169</v>
      </c>
      <c r="G573" s="68" t="s">
        <v>1765</v>
      </c>
      <c r="H573" s="66" t="s">
        <v>145</v>
      </c>
      <c r="I573" s="66" t="s">
        <v>146</v>
      </c>
      <c r="J573" s="66" t="s">
        <v>41</v>
      </c>
      <c r="K573" s="66" t="s">
        <v>233</v>
      </c>
      <c r="L573" s="66" t="s">
        <v>223</v>
      </c>
      <c r="M573" s="68" t="s">
        <v>1770</v>
      </c>
      <c r="N573" s="68" t="s">
        <v>453</v>
      </c>
      <c r="O573" s="68">
        <v>97000525</v>
      </c>
      <c r="P573" s="68">
        <v>45901</v>
      </c>
      <c r="Q573" s="303">
        <f t="shared" si="61"/>
        <v>0</v>
      </c>
      <c r="R573" s="303">
        <f t="shared" si="62"/>
        <v>0</v>
      </c>
      <c r="S573" s="68">
        <v>0</v>
      </c>
      <c r="T573" s="68">
        <v>0</v>
      </c>
      <c r="U573" s="68">
        <v>0</v>
      </c>
      <c r="V573" s="68">
        <v>0</v>
      </c>
      <c r="W573" s="68">
        <v>0</v>
      </c>
      <c r="X573" s="68">
        <v>60</v>
      </c>
      <c r="Y573" s="68">
        <v>29</v>
      </c>
      <c r="Z573" s="68">
        <v>23</v>
      </c>
      <c r="AA573" s="68">
        <v>1</v>
      </c>
      <c r="AB573" s="300">
        <f t="shared" si="63"/>
        <v>6.67</v>
      </c>
      <c r="AC573" s="300">
        <f t="shared" si="64"/>
        <v>4.0180722891566267E-2</v>
      </c>
      <c r="AD573" s="68">
        <v>0</v>
      </c>
      <c r="AE573" s="68">
        <v>0</v>
      </c>
      <c r="AF573" s="68" t="s">
        <v>1771</v>
      </c>
      <c r="AG573" s="68" t="s">
        <v>1768</v>
      </c>
      <c r="AH573" s="68" t="s">
        <v>1772</v>
      </c>
      <c r="AI573" s="309"/>
      <c r="AJ573" s="309"/>
      <c r="AK573" s="68" t="s">
        <v>48</v>
      </c>
      <c r="AL573" s="68" t="s">
        <v>50</v>
      </c>
      <c r="AM573" s="299">
        <f t="shared" ca="1" si="60"/>
        <v>0.85069444444525288</v>
      </c>
      <c r="AN573" s="51"/>
      <c r="AO573" s="61" t="s">
        <v>68</v>
      </c>
      <c r="AP573" s="62" t="s">
        <v>1770</v>
      </c>
      <c r="AQ573" s="78" t="s">
        <v>1886</v>
      </c>
      <c r="AR573" s="64">
        <v>44882.510416666664</v>
      </c>
      <c r="AS573" s="61" t="s">
        <v>95</v>
      </c>
      <c r="AT573" s="61" t="s">
        <v>225</v>
      </c>
      <c r="AU573" s="59">
        <v>0.51041666666666663</v>
      </c>
      <c r="AV573" s="61">
        <v>1</v>
      </c>
      <c r="AW573" s="61" t="s">
        <v>66</v>
      </c>
      <c r="AX573" s="52"/>
      <c r="AY573" s="52"/>
      <c r="AZ573" s="52"/>
      <c r="BA573" s="52"/>
    </row>
    <row r="574" spans="1:53" x14ac:dyDescent="0.25">
      <c r="A574" s="73">
        <v>317</v>
      </c>
      <c r="B574" s="72">
        <v>44881.659722222219</v>
      </c>
      <c r="C574" s="67">
        <v>0.66666666666666663</v>
      </c>
      <c r="D574" s="67">
        <v>0.69097222222222221</v>
      </c>
      <c r="E574" s="67">
        <v>0.70833333333333337</v>
      </c>
      <c r="F574" s="68" t="s">
        <v>169</v>
      </c>
      <c r="G574" s="68" t="s">
        <v>1765</v>
      </c>
      <c r="H574" s="66" t="s">
        <v>145</v>
      </c>
      <c r="I574" s="66" t="s">
        <v>146</v>
      </c>
      <c r="J574" s="66" t="s">
        <v>41</v>
      </c>
      <c r="K574" s="66" t="s">
        <v>233</v>
      </c>
      <c r="L574" s="66" t="s">
        <v>223</v>
      </c>
      <c r="M574" s="68" t="s">
        <v>1770</v>
      </c>
      <c r="N574" s="68" t="s">
        <v>453</v>
      </c>
      <c r="O574" s="68">
        <v>97000525</v>
      </c>
      <c r="P574" s="68">
        <v>45901</v>
      </c>
      <c r="Q574" s="303">
        <f t="shared" si="61"/>
        <v>0</v>
      </c>
      <c r="R574" s="303">
        <f t="shared" si="62"/>
        <v>0</v>
      </c>
      <c r="S574" s="68">
        <v>0</v>
      </c>
      <c r="T574" s="68">
        <v>0</v>
      </c>
      <c r="U574" s="68">
        <v>0</v>
      </c>
      <c r="V574" s="68">
        <v>0</v>
      </c>
      <c r="W574" s="68">
        <v>0</v>
      </c>
      <c r="X574" s="68">
        <v>37</v>
      </c>
      <c r="Y574" s="68">
        <v>35</v>
      </c>
      <c r="Z574" s="68">
        <v>24</v>
      </c>
      <c r="AA574" s="68">
        <v>1</v>
      </c>
      <c r="AB574" s="300">
        <f t="shared" si="63"/>
        <v>5.18</v>
      </c>
      <c r="AC574" s="300">
        <f t="shared" si="64"/>
        <v>3.1204819277108432E-2</v>
      </c>
      <c r="AD574" s="68">
        <v>0</v>
      </c>
      <c r="AE574" s="68">
        <v>0</v>
      </c>
      <c r="AF574" s="68" t="s">
        <v>1771</v>
      </c>
      <c r="AG574" s="68" t="s">
        <v>1768</v>
      </c>
      <c r="AH574" s="68" t="s">
        <v>1772</v>
      </c>
      <c r="AI574" s="309"/>
      <c r="AJ574" s="309"/>
      <c r="AK574" s="68" t="s">
        <v>48</v>
      </c>
      <c r="AL574" s="68" t="s">
        <v>50</v>
      </c>
      <c r="AM574" s="299">
        <f t="shared" ca="1" si="60"/>
        <v>0.85069444444525288</v>
      </c>
      <c r="AN574" s="51"/>
      <c r="AO574" s="61" t="s">
        <v>68</v>
      </c>
      <c r="AP574" s="62" t="s">
        <v>1770</v>
      </c>
      <c r="AQ574" s="78" t="s">
        <v>1886</v>
      </c>
      <c r="AR574" s="64">
        <v>44882.510416666664</v>
      </c>
      <c r="AS574" s="61" t="s">
        <v>95</v>
      </c>
      <c r="AT574" s="61" t="s">
        <v>225</v>
      </c>
      <c r="AU574" s="59">
        <v>0.51041666666666663</v>
      </c>
      <c r="AV574" s="61">
        <v>1</v>
      </c>
      <c r="AW574" s="61" t="s">
        <v>66</v>
      </c>
      <c r="AX574" s="52"/>
      <c r="AY574" s="52"/>
      <c r="AZ574" s="52"/>
      <c r="BA574" s="52"/>
    </row>
    <row r="575" spans="1:53" x14ac:dyDescent="0.25">
      <c r="A575" s="73">
        <v>317</v>
      </c>
      <c r="B575" s="72">
        <v>44881.659722222219</v>
      </c>
      <c r="C575" s="67">
        <v>0.66666666666666663</v>
      </c>
      <c r="D575" s="67">
        <v>0.69097222222222221</v>
      </c>
      <c r="E575" s="67">
        <v>0.70833333333333337</v>
      </c>
      <c r="F575" s="68" t="s">
        <v>169</v>
      </c>
      <c r="G575" s="68" t="s">
        <v>1765</v>
      </c>
      <c r="H575" s="66" t="s">
        <v>145</v>
      </c>
      <c r="I575" s="66" t="s">
        <v>146</v>
      </c>
      <c r="J575" s="66" t="s">
        <v>41</v>
      </c>
      <c r="K575" s="66" t="s">
        <v>233</v>
      </c>
      <c r="L575" s="66" t="s">
        <v>223</v>
      </c>
      <c r="M575" s="68" t="s">
        <v>1770</v>
      </c>
      <c r="N575" s="68" t="s">
        <v>453</v>
      </c>
      <c r="O575" s="68">
        <v>97000525</v>
      </c>
      <c r="P575" s="68">
        <v>45901</v>
      </c>
      <c r="Q575" s="303">
        <f t="shared" si="61"/>
        <v>0</v>
      </c>
      <c r="R575" s="303">
        <f t="shared" si="62"/>
        <v>0</v>
      </c>
      <c r="S575" s="68">
        <v>0</v>
      </c>
      <c r="T575" s="68">
        <v>0</v>
      </c>
      <c r="U575" s="68">
        <v>0</v>
      </c>
      <c r="V575" s="68">
        <v>0</v>
      </c>
      <c r="W575" s="68">
        <v>0</v>
      </c>
      <c r="X575" s="68">
        <v>60</v>
      </c>
      <c r="Y575" s="68">
        <v>29</v>
      </c>
      <c r="Z575" s="68">
        <v>46</v>
      </c>
      <c r="AA575" s="68">
        <v>30</v>
      </c>
      <c r="AB575" s="300">
        <f t="shared" si="63"/>
        <v>400.2</v>
      </c>
      <c r="AC575" s="300">
        <f t="shared" si="64"/>
        <v>2.410843373493976</v>
      </c>
      <c r="AD575" s="68">
        <v>0</v>
      </c>
      <c r="AE575" s="68">
        <v>0</v>
      </c>
      <c r="AF575" s="68" t="s">
        <v>1771</v>
      </c>
      <c r="AG575" s="68" t="s">
        <v>1768</v>
      </c>
      <c r="AH575" s="68" t="s">
        <v>1772</v>
      </c>
      <c r="AI575" s="309"/>
      <c r="AJ575" s="309"/>
      <c r="AK575" s="68" t="s">
        <v>48</v>
      </c>
      <c r="AL575" s="68" t="s">
        <v>50</v>
      </c>
      <c r="AM575" s="299">
        <f t="shared" ca="1" si="60"/>
        <v>0.85069444444525288</v>
      </c>
      <c r="AN575" s="51"/>
      <c r="AO575" s="61" t="s">
        <v>68</v>
      </c>
      <c r="AP575" s="62" t="s">
        <v>1770</v>
      </c>
      <c r="AQ575" s="78" t="s">
        <v>1886</v>
      </c>
      <c r="AR575" s="64">
        <v>44882.510416666664</v>
      </c>
      <c r="AS575" s="61" t="s">
        <v>95</v>
      </c>
      <c r="AT575" s="61" t="s">
        <v>225</v>
      </c>
      <c r="AU575" s="59">
        <v>0.51041666666666663</v>
      </c>
      <c r="AV575" s="61">
        <v>1</v>
      </c>
      <c r="AW575" s="61" t="s">
        <v>66</v>
      </c>
      <c r="AX575" s="52"/>
      <c r="AY575" s="52"/>
      <c r="AZ575" s="52"/>
      <c r="BA575" s="52"/>
    </row>
    <row r="576" spans="1:53" x14ac:dyDescent="0.25">
      <c r="A576" s="73">
        <v>317</v>
      </c>
      <c r="B576" s="72">
        <v>44881.659722222219</v>
      </c>
      <c r="C576" s="67">
        <v>0.66666666666666663</v>
      </c>
      <c r="D576" s="67">
        <v>0.69097222222222221</v>
      </c>
      <c r="E576" s="67">
        <v>0.70833333333333337</v>
      </c>
      <c r="F576" s="68" t="s">
        <v>169</v>
      </c>
      <c r="G576" s="68" t="s">
        <v>1765</v>
      </c>
      <c r="H576" s="66" t="s">
        <v>145</v>
      </c>
      <c r="I576" s="66" t="s">
        <v>146</v>
      </c>
      <c r="J576" s="66" t="s">
        <v>41</v>
      </c>
      <c r="K576" s="66" t="s">
        <v>233</v>
      </c>
      <c r="L576" s="66" t="s">
        <v>223</v>
      </c>
      <c r="M576" s="68" t="s">
        <v>1770</v>
      </c>
      <c r="N576" s="68" t="s">
        <v>453</v>
      </c>
      <c r="O576" s="68">
        <v>97000525</v>
      </c>
      <c r="P576" s="68">
        <v>45901</v>
      </c>
      <c r="Q576" s="303">
        <f t="shared" si="61"/>
        <v>0</v>
      </c>
      <c r="R576" s="303">
        <f t="shared" si="62"/>
        <v>0</v>
      </c>
      <c r="S576" s="68">
        <v>0</v>
      </c>
      <c r="T576" s="68">
        <v>0</v>
      </c>
      <c r="U576" s="68">
        <v>0</v>
      </c>
      <c r="V576" s="68">
        <v>0</v>
      </c>
      <c r="W576" s="68">
        <v>0</v>
      </c>
      <c r="X576" s="68">
        <v>60</v>
      </c>
      <c r="Y576" s="68">
        <v>29</v>
      </c>
      <c r="Z576" s="68">
        <v>38</v>
      </c>
      <c r="AA576" s="68">
        <v>1</v>
      </c>
      <c r="AB576" s="300">
        <f t="shared" si="63"/>
        <v>11.02</v>
      </c>
      <c r="AC576" s="300">
        <f t="shared" si="64"/>
        <v>6.6385542168674691E-2</v>
      </c>
      <c r="AD576" s="68">
        <v>0</v>
      </c>
      <c r="AE576" s="68">
        <v>0</v>
      </c>
      <c r="AF576" s="68" t="s">
        <v>1771</v>
      </c>
      <c r="AG576" s="68" t="s">
        <v>1768</v>
      </c>
      <c r="AH576" s="68" t="s">
        <v>1772</v>
      </c>
      <c r="AI576" s="309"/>
      <c r="AJ576" s="309"/>
      <c r="AK576" s="68" t="s">
        <v>48</v>
      </c>
      <c r="AL576" s="68" t="s">
        <v>50</v>
      </c>
      <c r="AM576" s="299">
        <f t="shared" ca="1" si="60"/>
        <v>0.85069444444525288</v>
      </c>
      <c r="AN576" s="51"/>
      <c r="AO576" s="61" t="s">
        <v>68</v>
      </c>
      <c r="AP576" s="62" t="s">
        <v>1770</v>
      </c>
      <c r="AQ576" s="78" t="s">
        <v>1886</v>
      </c>
      <c r="AR576" s="64">
        <v>44882.510416666664</v>
      </c>
      <c r="AS576" s="61" t="s">
        <v>95</v>
      </c>
      <c r="AT576" s="61" t="s">
        <v>225</v>
      </c>
      <c r="AU576" s="59">
        <v>0.51041666666666663</v>
      </c>
      <c r="AV576" s="61">
        <v>1</v>
      </c>
      <c r="AW576" s="61" t="s">
        <v>66</v>
      </c>
      <c r="AX576" s="52"/>
      <c r="AY576" s="52"/>
      <c r="AZ576" s="52"/>
      <c r="BA576" s="52"/>
    </row>
    <row r="577" spans="1:53" x14ac:dyDescent="0.25">
      <c r="A577" s="73">
        <v>317</v>
      </c>
      <c r="B577" s="72">
        <v>44881.659722222219</v>
      </c>
      <c r="C577" s="67">
        <v>0.66666666666666663</v>
      </c>
      <c r="D577" s="67">
        <v>0.69097222222222221</v>
      </c>
      <c r="E577" s="67">
        <v>0.70833333333333337</v>
      </c>
      <c r="F577" s="68" t="s">
        <v>169</v>
      </c>
      <c r="G577" s="68" t="s">
        <v>1765</v>
      </c>
      <c r="H577" s="66" t="s">
        <v>145</v>
      </c>
      <c r="I577" s="66" t="s">
        <v>146</v>
      </c>
      <c r="J577" s="66" t="s">
        <v>41</v>
      </c>
      <c r="K577" s="66" t="s">
        <v>233</v>
      </c>
      <c r="L577" s="66" t="s">
        <v>223</v>
      </c>
      <c r="M577" s="68" t="s">
        <v>1770</v>
      </c>
      <c r="N577" s="68" t="s">
        <v>453</v>
      </c>
      <c r="O577" s="68">
        <v>97000525</v>
      </c>
      <c r="P577" s="68">
        <v>45901</v>
      </c>
      <c r="Q577" s="303">
        <f t="shared" si="61"/>
        <v>0</v>
      </c>
      <c r="R577" s="303">
        <f t="shared" si="62"/>
        <v>0</v>
      </c>
      <c r="S577" s="68">
        <v>0</v>
      </c>
      <c r="T577" s="68">
        <v>0</v>
      </c>
      <c r="U577" s="68">
        <v>0</v>
      </c>
      <c r="V577" s="68">
        <v>0</v>
      </c>
      <c r="W577" s="68">
        <v>0</v>
      </c>
      <c r="X577" s="68">
        <v>60</v>
      </c>
      <c r="Y577" s="68">
        <v>29</v>
      </c>
      <c r="Z577" s="68">
        <v>28</v>
      </c>
      <c r="AA577" s="68">
        <v>2</v>
      </c>
      <c r="AB577" s="300">
        <f t="shared" si="63"/>
        <v>16.239999999999998</v>
      </c>
      <c r="AC577" s="300">
        <f t="shared" si="64"/>
        <v>9.7831325301204808E-2</v>
      </c>
      <c r="AD577" s="68">
        <v>0</v>
      </c>
      <c r="AE577" s="68">
        <v>0</v>
      </c>
      <c r="AF577" s="68" t="s">
        <v>1771</v>
      </c>
      <c r="AG577" s="68" t="s">
        <v>1768</v>
      </c>
      <c r="AH577" s="68" t="s">
        <v>1772</v>
      </c>
      <c r="AI577" s="309"/>
      <c r="AJ577" s="309"/>
      <c r="AK577" s="68" t="s">
        <v>48</v>
      </c>
      <c r="AL577" s="68" t="s">
        <v>50</v>
      </c>
      <c r="AM577" s="299">
        <f t="shared" ca="1" si="60"/>
        <v>0.85069444444525288</v>
      </c>
      <c r="AN577" s="51"/>
      <c r="AO577" s="61" t="s">
        <v>68</v>
      </c>
      <c r="AP577" s="62" t="s">
        <v>1770</v>
      </c>
      <c r="AQ577" s="78" t="s">
        <v>1886</v>
      </c>
      <c r="AR577" s="64">
        <v>44882.510416666664</v>
      </c>
      <c r="AS577" s="61" t="s">
        <v>95</v>
      </c>
      <c r="AT577" s="61" t="s">
        <v>225</v>
      </c>
      <c r="AU577" s="59">
        <v>0.51041666666666663</v>
      </c>
      <c r="AV577" s="61">
        <v>1</v>
      </c>
      <c r="AW577" s="61" t="s">
        <v>66</v>
      </c>
      <c r="AX577" s="52"/>
      <c r="AY577" s="52"/>
      <c r="AZ577" s="52"/>
      <c r="BA577" s="52"/>
    </row>
    <row r="578" spans="1:53" x14ac:dyDescent="0.25">
      <c r="A578" s="73">
        <v>318</v>
      </c>
      <c r="B578" s="72">
        <v>44881.659722222219</v>
      </c>
      <c r="C578" s="67">
        <v>0.66666666666666663</v>
      </c>
      <c r="D578" s="67">
        <v>0.69097222222222221</v>
      </c>
      <c r="E578" s="67">
        <v>0.70833333333333337</v>
      </c>
      <c r="F578" s="68" t="s">
        <v>169</v>
      </c>
      <c r="G578" s="68" t="s">
        <v>1765</v>
      </c>
      <c r="H578" s="66" t="s">
        <v>145</v>
      </c>
      <c r="I578" s="66" t="s">
        <v>146</v>
      </c>
      <c r="J578" s="66" t="s">
        <v>41</v>
      </c>
      <c r="K578" s="66" t="s">
        <v>233</v>
      </c>
      <c r="L578" s="66" t="s">
        <v>223</v>
      </c>
      <c r="M578" s="68" t="s">
        <v>1770</v>
      </c>
      <c r="N578" s="68" t="s">
        <v>453</v>
      </c>
      <c r="O578" s="68">
        <v>97000524</v>
      </c>
      <c r="P578" s="68">
        <v>45904</v>
      </c>
      <c r="Q578" s="303">
        <f t="shared" si="61"/>
        <v>5</v>
      </c>
      <c r="R578" s="303">
        <f t="shared" si="62"/>
        <v>79</v>
      </c>
      <c r="S578" s="68">
        <v>5</v>
      </c>
      <c r="T578" s="68">
        <v>79</v>
      </c>
      <c r="U578" s="68">
        <v>0</v>
      </c>
      <c r="V578" s="68">
        <v>0</v>
      </c>
      <c r="W578" s="68">
        <v>77</v>
      </c>
      <c r="X578" s="68">
        <v>60</v>
      </c>
      <c r="Y578" s="68">
        <v>29</v>
      </c>
      <c r="Z578" s="68">
        <v>50</v>
      </c>
      <c r="AA578" s="68">
        <v>3</v>
      </c>
      <c r="AB578" s="300">
        <f t="shared" si="63"/>
        <v>43.5</v>
      </c>
      <c r="AC578" s="300">
        <f t="shared" si="64"/>
        <v>0.26204819277108432</v>
      </c>
      <c r="AD578" s="68">
        <v>4294.08</v>
      </c>
      <c r="AE578" s="68" t="s">
        <v>109</v>
      </c>
      <c r="AF578" s="68" t="s">
        <v>1773</v>
      </c>
      <c r="AG578" s="68" t="s">
        <v>1768</v>
      </c>
      <c r="AH578" s="68" t="s">
        <v>1772</v>
      </c>
      <c r="AI578" s="309"/>
      <c r="AJ578" s="309"/>
      <c r="AK578" s="68" t="s">
        <v>48</v>
      </c>
      <c r="AL578" s="68" t="s">
        <v>50</v>
      </c>
      <c r="AM578" s="299">
        <f t="shared" ca="1" si="60"/>
        <v>0.85069444444525288</v>
      </c>
      <c r="AN578" s="51"/>
      <c r="AO578" s="61" t="s">
        <v>68</v>
      </c>
      <c r="AP578" s="62" t="s">
        <v>1770</v>
      </c>
      <c r="AQ578" s="78" t="s">
        <v>1886</v>
      </c>
      <c r="AR578" s="64">
        <v>44882.510416666664</v>
      </c>
      <c r="AS578" s="61" t="s">
        <v>95</v>
      </c>
      <c r="AT578" s="61" t="s">
        <v>225</v>
      </c>
      <c r="AU578" s="59">
        <v>0.51041666666666663</v>
      </c>
      <c r="AV578" s="61">
        <v>1</v>
      </c>
      <c r="AW578" s="61" t="s">
        <v>66</v>
      </c>
      <c r="AX578" s="52"/>
      <c r="AY578" s="52"/>
      <c r="AZ578" s="52"/>
      <c r="BA578" s="52"/>
    </row>
    <row r="579" spans="1:53" x14ac:dyDescent="0.25">
      <c r="A579" s="73">
        <v>318</v>
      </c>
      <c r="B579" s="72">
        <v>44881.659722222219</v>
      </c>
      <c r="C579" s="67">
        <v>0.66666666666666663</v>
      </c>
      <c r="D579" s="67">
        <v>0.69097222222222221</v>
      </c>
      <c r="E579" s="67">
        <v>0.70833333333333337</v>
      </c>
      <c r="F579" s="68" t="s">
        <v>169</v>
      </c>
      <c r="G579" s="68" t="s">
        <v>1765</v>
      </c>
      <c r="H579" s="66" t="s">
        <v>145</v>
      </c>
      <c r="I579" s="66" t="s">
        <v>146</v>
      </c>
      <c r="J579" s="66" t="s">
        <v>41</v>
      </c>
      <c r="K579" s="66" t="s">
        <v>233</v>
      </c>
      <c r="L579" s="66" t="s">
        <v>223</v>
      </c>
      <c r="M579" s="68" t="s">
        <v>1770</v>
      </c>
      <c r="N579" s="68" t="s">
        <v>453</v>
      </c>
      <c r="O579" s="68">
        <v>97000524</v>
      </c>
      <c r="P579" s="68">
        <v>45904</v>
      </c>
      <c r="Q579" s="303">
        <f t="shared" si="61"/>
        <v>0</v>
      </c>
      <c r="R579" s="303">
        <f t="shared" si="62"/>
        <v>0</v>
      </c>
      <c r="S579" s="68">
        <v>0</v>
      </c>
      <c r="T579" s="68">
        <v>0</v>
      </c>
      <c r="U579" s="68">
        <v>0</v>
      </c>
      <c r="V579" s="68">
        <v>0</v>
      </c>
      <c r="W579" s="68">
        <v>0</v>
      </c>
      <c r="X579" s="68">
        <v>60</v>
      </c>
      <c r="Y579" s="68">
        <v>29</v>
      </c>
      <c r="Z579" s="68">
        <v>37</v>
      </c>
      <c r="AA579" s="68">
        <v>2</v>
      </c>
      <c r="AB579" s="300">
        <f t="shared" si="63"/>
        <v>21.46</v>
      </c>
      <c r="AC579" s="300">
        <f t="shared" si="64"/>
        <v>0.12927710843373494</v>
      </c>
      <c r="AD579" s="68">
        <v>0</v>
      </c>
      <c r="AE579" s="68">
        <v>0</v>
      </c>
      <c r="AF579" s="68" t="s">
        <v>1773</v>
      </c>
      <c r="AG579" s="68" t="s">
        <v>1768</v>
      </c>
      <c r="AH579" s="68" t="s">
        <v>1772</v>
      </c>
      <c r="AI579" s="309"/>
      <c r="AJ579" s="309"/>
      <c r="AK579" s="68" t="s">
        <v>48</v>
      </c>
      <c r="AL579" s="68" t="s">
        <v>50</v>
      </c>
      <c r="AM579" s="299">
        <f t="shared" ca="1" si="60"/>
        <v>0.85069444444525288</v>
      </c>
      <c r="AN579" s="51"/>
      <c r="AO579" s="61" t="s">
        <v>68</v>
      </c>
      <c r="AP579" s="62" t="s">
        <v>1770</v>
      </c>
      <c r="AQ579" s="78" t="s">
        <v>1886</v>
      </c>
      <c r="AR579" s="64">
        <v>44882.510416666664</v>
      </c>
      <c r="AS579" s="61" t="s">
        <v>95</v>
      </c>
      <c r="AT579" s="61" t="s">
        <v>225</v>
      </c>
      <c r="AU579" s="59">
        <v>0.51041666666666663</v>
      </c>
      <c r="AV579" s="61">
        <v>1</v>
      </c>
      <c r="AW579" s="61" t="s">
        <v>66</v>
      </c>
      <c r="AX579" s="52"/>
      <c r="AY579" s="52"/>
      <c r="AZ579" s="52"/>
      <c r="BA579" s="52"/>
    </row>
    <row r="580" spans="1:53" x14ac:dyDescent="0.25">
      <c r="A580" s="73">
        <v>319</v>
      </c>
      <c r="B580" s="72">
        <v>44881.736111111109</v>
      </c>
      <c r="C580" s="67">
        <v>0.73958333333333337</v>
      </c>
      <c r="D580" s="67">
        <v>0.75</v>
      </c>
      <c r="E580" s="67">
        <v>0.76041666666666663</v>
      </c>
      <c r="F580" s="68" t="s">
        <v>171</v>
      </c>
      <c r="G580" s="68" t="s">
        <v>218</v>
      </c>
      <c r="H580" s="66" t="s">
        <v>396</v>
      </c>
      <c r="I580" s="66" t="s">
        <v>174</v>
      </c>
      <c r="J580" s="66" t="s">
        <v>37</v>
      </c>
      <c r="K580" s="66" t="s">
        <v>180</v>
      </c>
      <c r="L580" s="70" t="s">
        <v>206</v>
      </c>
      <c r="M580" s="61" t="s">
        <v>1777</v>
      </c>
      <c r="N580" s="68" t="s">
        <v>320</v>
      </c>
      <c r="O580" s="68" t="s">
        <v>1775</v>
      </c>
      <c r="P580" s="68">
        <v>5500346905</v>
      </c>
      <c r="Q580" s="303">
        <f t="shared" si="61"/>
        <v>1</v>
      </c>
      <c r="R580" s="303">
        <f t="shared" si="62"/>
        <v>204</v>
      </c>
      <c r="S580" s="68">
        <v>0</v>
      </c>
      <c r="T580" s="68">
        <v>0</v>
      </c>
      <c r="U580" s="68">
        <v>1</v>
      </c>
      <c r="V580" s="68">
        <v>204</v>
      </c>
      <c r="W580" s="68">
        <v>200</v>
      </c>
      <c r="X580" s="68">
        <v>105</v>
      </c>
      <c r="Y580" s="68">
        <v>105</v>
      </c>
      <c r="Z580" s="68">
        <v>85</v>
      </c>
      <c r="AA580" s="68">
        <v>1</v>
      </c>
      <c r="AB580" s="300">
        <f t="shared" si="63"/>
        <v>156.1875</v>
      </c>
      <c r="AC580" s="300">
        <f t="shared" si="64"/>
        <v>0.94088855421686746</v>
      </c>
      <c r="AD580" s="68">
        <v>766.8</v>
      </c>
      <c r="AE580" s="68" t="s">
        <v>111</v>
      </c>
      <c r="AF580" s="68" t="s">
        <v>317</v>
      </c>
      <c r="AG580" s="68" t="s">
        <v>317</v>
      </c>
      <c r="AH580" s="68" t="s">
        <v>1776</v>
      </c>
      <c r="AI580" s="309"/>
      <c r="AJ580" s="309"/>
      <c r="AK580" s="68" t="s">
        <v>37</v>
      </c>
      <c r="AL580" s="68" t="s">
        <v>47</v>
      </c>
      <c r="AM580" s="299">
        <f t="shared" ca="1" si="60"/>
        <v>5.9027777781011537E-2</v>
      </c>
      <c r="AN580" s="51"/>
      <c r="AO580" s="61" t="s">
        <v>402</v>
      </c>
      <c r="AP580" s="62" t="s">
        <v>1777</v>
      </c>
      <c r="AQ580" s="61" t="s">
        <v>1803</v>
      </c>
      <c r="AR580" s="64">
        <v>44881.795138888891</v>
      </c>
      <c r="AS580" s="57" t="s">
        <v>173</v>
      </c>
      <c r="AT580" s="61" t="s">
        <v>225</v>
      </c>
      <c r="AU580" s="63">
        <v>0.79513888888888884</v>
      </c>
      <c r="AV580" s="61">
        <v>2</v>
      </c>
      <c r="AW580" s="61" t="s">
        <v>66</v>
      </c>
      <c r="AX580" s="52"/>
      <c r="AY580" s="52"/>
      <c r="AZ580" s="52"/>
      <c r="BA580" s="52"/>
    </row>
    <row r="581" spans="1:53" x14ac:dyDescent="0.25">
      <c r="A581" s="73">
        <v>320</v>
      </c>
      <c r="B581" s="72">
        <v>44881.736111111109</v>
      </c>
      <c r="C581" s="67">
        <v>0.73958333333333337</v>
      </c>
      <c r="D581" s="67">
        <v>0.75</v>
      </c>
      <c r="E581" s="67">
        <v>0.76041666666666663</v>
      </c>
      <c r="F581" s="68" t="s">
        <v>171</v>
      </c>
      <c r="G581" s="68" t="s">
        <v>218</v>
      </c>
      <c r="H581" s="66" t="s">
        <v>396</v>
      </c>
      <c r="I581" s="66" t="s">
        <v>174</v>
      </c>
      <c r="J581" s="66" t="s">
        <v>37</v>
      </c>
      <c r="K581" s="66" t="s">
        <v>180</v>
      </c>
      <c r="L581" s="70" t="s">
        <v>206</v>
      </c>
      <c r="M581" s="61" t="s">
        <v>1779</v>
      </c>
      <c r="N581" s="68" t="s">
        <v>320</v>
      </c>
      <c r="O581" s="68" t="s">
        <v>1778</v>
      </c>
      <c r="P581" s="68">
        <v>5500374321</v>
      </c>
      <c r="Q581" s="303">
        <f t="shared" si="61"/>
        <v>1</v>
      </c>
      <c r="R581" s="303">
        <f t="shared" si="62"/>
        <v>7</v>
      </c>
      <c r="S581" s="68">
        <v>1</v>
      </c>
      <c r="T581" s="68">
        <v>7</v>
      </c>
      <c r="U581" s="68">
        <v>0</v>
      </c>
      <c r="V581" s="68">
        <v>0</v>
      </c>
      <c r="W581" s="68">
        <v>7</v>
      </c>
      <c r="X581" s="68">
        <v>40</v>
      </c>
      <c r="Y581" s="68">
        <v>30</v>
      </c>
      <c r="Z581" s="68">
        <v>19</v>
      </c>
      <c r="AA581" s="68">
        <v>1</v>
      </c>
      <c r="AB581" s="300">
        <f t="shared" si="63"/>
        <v>3.8</v>
      </c>
      <c r="AC581" s="300">
        <f t="shared" si="64"/>
        <v>2.289156626506024E-2</v>
      </c>
      <c r="AD581" s="68">
        <v>133.12</v>
      </c>
      <c r="AE581" s="68" t="s">
        <v>111</v>
      </c>
      <c r="AF581" s="68" t="s">
        <v>317</v>
      </c>
      <c r="AG581" s="68" t="s">
        <v>317</v>
      </c>
      <c r="AH581" s="68">
        <v>0</v>
      </c>
      <c r="AI581" s="309"/>
      <c r="AJ581" s="309"/>
      <c r="AK581" s="68" t="s">
        <v>48</v>
      </c>
      <c r="AL581" s="68" t="s">
        <v>47</v>
      </c>
      <c r="AM581" s="299">
        <f t="shared" ca="1" si="60"/>
        <v>5.9027777781011537E-2</v>
      </c>
      <c r="AN581" s="51"/>
      <c r="AO581" s="61" t="s">
        <v>402</v>
      </c>
      <c r="AP581" s="62" t="s">
        <v>1779</v>
      </c>
      <c r="AQ581" s="61" t="s">
        <v>1803</v>
      </c>
      <c r="AR581" s="64">
        <v>44881.795138888891</v>
      </c>
      <c r="AS581" s="57" t="s">
        <v>173</v>
      </c>
      <c r="AT581" s="61" t="s">
        <v>225</v>
      </c>
      <c r="AU581" s="63">
        <v>0.79513888888888884</v>
      </c>
      <c r="AV581" s="61">
        <v>2</v>
      </c>
      <c r="AW581" s="61" t="s">
        <v>66</v>
      </c>
      <c r="AX581" s="52"/>
      <c r="AY581" s="52"/>
      <c r="AZ581" s="52"/>
      <c r="BA581" s="52"/>
    </row>
    <row r="582" spans="1:53" x14ac:dyDescent="0.25">
      <c r="A582" s="73">
        <v>321</v>
      </c>
      <c r="B582" s="72">
        <v>44881.736111111109</v>
      </c>
      <c r="C582" s="67">
        <v>0.73958333333333337</v>
      </c>
      <c r="D582" s="67">
        <v>0.75</v>
      </c>
      <c r="E582" s="67">
        <v>0.76041666666666663</v>
      </c>
      <c r="F582" s="68" t="s">
        <v>171</v>
      </c>
      <c r="G582" s="68" t="s">
        <v>218</v>
      </c>
      <c r="H582" s="66" t="s">
        <v>396</v>
      </c>
      <c r="I582" s="66" t="s">
        <v>174</v>
      </c>
      <c r="J582" s="66" t="s">
        <v>37</v>
      </c>
      <c r="K582" s="66" t="s">
        <v>180</v>
      </c>
      <c r="L582" s="70" t="s">
        <v>206</v>
      </c>
      <c r="M582" s="68" t="s">
        <v>1779</v>
      </c>
      <c r="N582" s="68" t="s">
        <v>320</v>
      </c>
      <c r="O582" s="68" t="s">
        <v>1780</v>
      </c>
      <c r="P582" s="68">
        <v>5500347146</v>
      </c>
      <c r="Q582" s="303">
        <f t="shared" si="61"/>
        <v>1</v>
      </c>
      <c r="R582" s="303">
        <f t="shared" si="62"/>
        <v>14</v>
      </c>
      <c r="S582" s="68">
        <v>1</v>
      </c>
      <c r="T582" s="68">
        <v>14</v>
      </c>
      <c r="U582" s="68">
        <v>0</v>
      </c>
      <c r="V582" s="68">
        <v>0</v>
      </c>
      <c r="W582" s="68">
        <v>14</v>
      </c>
      <c r="X582" s="68">
        <v>40</v>
      </c>
      <c r="Y582" s="68">
        <v>30</v>
      </c>
      <c r="Z582" s="68">
        <v>19</v>
      </c>
      <c r="AA582" s="68">
        <v>1</v>
      </c>
      <c r="AB582" s="300">
        <f t="shared" si="63"/>
        <v>3.8</v>
      </c>
      <c r="AC582" s="300">
        <f t="shared" si="64"/>
        <v>2.289156626506024E-2</v>
      </c>
      <c r="AD582" s="68">
        <v>1230</v>
      </c>
      <c r="AE582" s="68" t="s">
        <v>111</v>
      </c>
      <c r="AF582" s="68" t="s">
        <v>317</v>
      </c>
      <c r="AG582" s="68" t="s">
        <v>317</v>
      </c>
      <c r="AH582" s="68" t="s">
        <v>1781</v>
      </c>
      <c r="AI582" s="309"/>
      <c r="AJ582" s="309"/>
      <c r="AK582" s="68" t="s">
        <v>48</v>
      </c>
      <c r="AL582" s="68" t="s">
        <v>47</v>
      </c>
      <c r="AM582" s="299">
        <f t="shared" ca="1" si="60"/>
        <v>5.9027777781011537E-2</v>
      </c>
      <c r="AN582" s="51"/>
      <c r="AO582" s="61" t="s">
        <v>402</v>
      </c>
      <c r="AP582" s="62" t="s">
        <v>1779</v>
      </c>
      <c r="AQ582" s="61" t="s">
        <v>1803</v>
      </c>
      <c r="AR582" s="64">
        <v>44881.795138888891</v>
      </c>
      <c r="AS582" s="57" t="s">
        <v>173</v>
      </c>
      <c r="AT582" s="61" t="s">
        <v>225</v>
      </c>
      <c r="AU582" s="63">
        <v>0.79513888888888884</v>
      </c>
      <c r="AV582" s="61">
        <v>2</v>
      </c>
      <c r="AW582" s="61" t="s">
        <v>66</v>
      </c>
      <c r="AX582" s="52"/>
      <c r="AY582" s="52"/>
      <c r="AZ582" s="52"/>
      <c r="BA582" s="52"/>
    </row>
    <row r="583" spans="1:53" x14ac:dyDescent="0.25">
      <c r="A583" s="73">
        <v>322</v>
      </c>
      <c r="B583" s="72">
        <v>44881.736111111109</v>
      </c>
      <c r="C583" s="67">
        <v>0.73958333333333337</v>
      </c>
      <c r="D583" s="67">
        <v>0.75</v>
      </c>
      <c r="E583" s="67">
        <v>0.76041666666666663</v>
      </c>
      <c r="F583" s="68" t="s">
        <v>171</v>
      </c>
      <c r="G583" s="68" t="s">
        <v>218</v>
      </c>
      <c r="H583" s="66" t="s">
        <v>396</v>
      </c>
      <c r="I583" s="66" t="s">
        <v>174</v>
      </c>
      <c r="J583" s="66" t="s">
        <v>37</v>
      </c>
      <c r="K583" s="66" t="s">
        <v>180</v>
      </c>
      <c r="L583" s="70" t="s">
        <v>206</v>
      </c>
      <c r="M583" s="68" t="s">
        <v>1774</v>
      </c>
      <c r="N583" s="68" t="s">
        <v>320</v>
      </c>
      <c r="O583" s="68" t="s">
        <v>1782</v>
      </c>
      <c r="P583" s="68">
        <v>5500291491</v>
      </c>
      <c r="Q583" s="303">
        <f t="shared" si="61"/>
        <v>1</v>
      </c>
      <c r="R583" s="303">
        <f t="shared" si="62"/>
        <v>27</v>
      </c>
      <c r="S583" s="68">
        <v>1</v>
      </c>
      <c r="T583" s="68">
        <v>27</v>
      </c>
      <c r="U583" s="68">
        <v>0</v>
      </c>
      <c r="V583" s="68">
        <v>0</v>
      </c>
      <c r="W583" s="68">
        <v>27</v>
      </c>
      <c r="X583" s="68">
        <v>40</v>
      </c>
      <c r="Y583" s="68">
        <v>30</v>
      </c>
      <c r="Z583" s="68">
        <v>19</v>
      </c>
      <c r="AA583" s="68">
        <v>1</v>
      </c>
      <c r="AB583" s="300">
        <f t="shared" si="63"/>
        <v>3.8</v>
      </c>
      <c r="AC583" s="300">
        <f t="shared" si="64"/>
        <v>2.289156626506024E-2</v>
      </c>
      <c r="AD583" s="68">
        <v>338</v>
      </c>
      <c r="AE583" s="68" t="s">
        <v>111</v>
      </c>
      <c r="AF583" s="68" t="s">
        <v>317</v>
      </c>
      <c r="AG583" s="68" t="s">
        <v>317</v>
      </c>
      <c r="AH583" s="68">
        <v>0</v>
      </c>
      <c r="AI583" s="309"/>
      <c r="AJ583" s="309"/>
      <c r="AK583" s="68" t="s">
        <v>48</v>
      </c>
      <c r="AL583" s="68" t="s">
        <v>47</v>
      </c>
      <c r="AM583" s="299">
        <f t="shared" ca="1" si="60"/>
        <v>5.9027777781011537E-2</v>
      </c>
      <c r="AN583" s="51"/>
      <c r="AO583" s="61" t="s">
        <v>402</v>
      </c>
      <c r="AP583" s="62" t="s">
        <v>1777</v>
      </c>
      <c r="AQ583" s="61" t="s">
        <v>1803</v>
      </c>
      <c r="AR583" s="64">
        <v>44881.795138888891</v>
      </c>
      <c r="AS583" s="57" t="s">
        <v>173</v>
      </c>
      <c r="AT583" s="61" t="s">
        <v>225</v>
      </c>
      <c r="AU583" s="63">
        <v>0.79513888888888884</v>
      </c>
      <c r="AV583" s="61">
        <v>2</v>
      </c>
      <c r="AW583" s="61" t="s">
        <v>66</v>
      </c>
      <c r="AX583" s="52"/>
      <c r="AY583" s="52"/>
      <c r="AZ583" s="52"/>
      <c r="BA583" s="52"/>
    </row>
    <row r="584" spans="1:53" x14ac:dyDescent="0.25">
      <c r="A584" s="73">
        <v>323</v>
      </c>
      <c r="B584" s="72">
        <v>44881.736111111109</v>
      </c>
      <c r="C584" s="67">
        <v>0.73958333333333337</v>
      </c>
      <c r="D584" s="67">
        <v>0.75</v>
      </c>
      <c r="E584" s="67">
        <v>0.76041666666666663</v>
      </c>
      <c r="F584" s="68" t="s">
        <v>171</v>
      </c>
      <c r="G584" s="68" t="s">
        <v>218</v>
      </c>
      <c r="H584" s="66" t="s">
        <v>396</v>
      </c>
      <c r="I584" s="66" t="s">
        <v>174</v>
      </c>
      <c r="J584" s="66" t="s">
        <v>37</v>
      </c>
      <c r="K584" s="66" t="s">
        <v>180</v>
      </c>
      <c r="L584" s="70" t="s">
        <v>206</v>
      </c>
      <c r="M584" s="68" t="s">
        <v>1774</v>
      </c>
      <c r="N584" s="68" t="s">
        <v>320</v>
      </c>
      <c r="O584" s="68" t="s">
        <v>1783</v>
      </c>
      <c r="P584" s="68">
        <v>5500344045</v>
      </c>
      <c r="Q584" s="303">
        <f t="shared" si="61"/>
        <v>3</v>
      </c>
      <c r="R584" s="303">
        <f t="shared" si="62"/>
        <v>78</v>
      </c>
      <c r="S584" s="68">
        <v>3</v>
      </c>
      <c r="T584" s="68">
        <v>78</v>
      </c>
      <c r="U584" s="68">
        <v>0</v>
      </c>
      <c r="V584" s="68">
        <v>0</v>
      </c>
      <c r="W584" s="68">
        <v>60</v>
      </c>
      <c r="X584" s="68">
        <v>40</v>
      </c>
      <c r="Y584" s="68">
        <v>30</v>
      </c>
      <c r="Z584" s="68">
        <v>19</v>
      </c>
      <c r="AA584" s="68">
        <v>3</v>
      </c>
      <c r="AB584" s="300">
        <f t="shared" si="63"/>
        <v>11.4</v>
      </c>
      <c r="AC584" s="300">
        <f t="shared" si="64"/>
        <v>6.8674698795180719E-2</v>
      </c>
      <c r="AD584" s="68">
        <v>1629</v>
      </c>
      <c r="AE584" s="68" t="s">
        <v>111</v>
      </c>
      <c r="AF584" s="68" t="s">
        <v>317</v>
      </c>
      <c r="AG584" s="68" t="s">
        <v>317</v>
      </c>
      <c r="AH584" s="68" t="s">
        <v>1784</v>
      </c>
      <c r="AI584" s="309"/>
      <c r="AJ584" s="309"/>
      <c r="AK584" s="68" t="s">
        <v>48</v>
      </c>
      <c r="AL584" s="68" t="s">
        <v>47</v>
      </c>
      <c r="AM584" s="299">
        <f t="shared" ca="1" si="60"/>
        <v>5.9027777781011537E-2</v>
      </c>
      <c r="AN584" s="51"/>
      <c r="AO584" s="61" t="s">
        <v>402</v>
      </c>
      <c r="AP584" s="62" t="s">
        <v>1774</v>
      </c>
      <c r="AQ584" s="61" t="s">
        <v>1803</v>
      </c>
      <c r="AR584" s="64">
        <v>44881.795138888891</v>
      </c>
      <c r="AS584" s="57" t="s">
        <v>173</v>
      </c>
      <c r="AT584" s="61" t="s">
        <v>225</v>
      </c>
      <c r="AU584" s="63">
        <v>0.79513888888888884</v>
      </c>
      <c r="AV584" s="61">
        <v>2</v>
      </c>
      <c r="AW584" s="61" t="s">
        <v>66</v>
      </c>
      <c r="AX584" s="52"/>
      <c r="AY584" s="52"/>
      <c r="AZ584" s="52"/>
      <c r="BA584" s="52"/>
    </row>
    <row r="585" spans="1:53" x14ac:dyDescent="0.25">
      <c r="A585" s="73">
        <v>324</v>
      </c>
      <c r="B585" s="72">
        <v>44881.736111111109</v>
      </c>
      <c r="C585" s="67">
        <v>0.73958333333333337</v>
      </c>
      <c r="D585" s="67">
        <v>0.75</v>
      </c>
      <c r="E585" s="67">
        <v>0.76041666666666663</v>
      </c>
      <c r="F585" s="68" t="s">
        <v>171</v>
      </c>
      <c r="G585" s="68" t="s">
        <v>218</v>
      </c>
      <c r="H585" s="66" t="s">
        <v>396</v>
      </c>
      <c r="I585" s="66" t="s">
        <v>174</v>
      </c>
      <c r="J585" s="66" t="s">
        <v>37</v>
      </c>
      <c r="K585" s="66" t="s">
        <v>180</v>
      </c>
      <c r="L585" s="70" t="s">
        <v>206</v>
      </c>
      <c r="M585" s="68" t="s">
        <v>1774</v>
      </c>
      <c r="N585" s="68" t="s">
        <v>320</v>
      </c>
      <c r="O585" s="68" t="s">
        <v>1785</v>
      </c>
      <c r="P585" s="68">
        <v>5500310299</v>
      </c>
      <c r="Q585" s="303">
        <f t="shared" si="61"/>
        <v>8</v>
      </c>
      <c r="R585" s="303">
        <f t="shared" si="62"/>
        <v>142</v>
      </c>
      <c r="S585" s="68">
        <v>8</v>
      </c>
      <c r="T585" s="68">
        <v>142</v>
      </c>
      <c r="U585" s="68">
        <v>0</v>
      </c>
      <c r="V585" s="68">
        <v>0</v>
      </c>
      <c r="W585" s="68">
        <v>152</v>
      </c>
      <c r="X585" s="68">
        <v>40</v>
      </c>
      <c r="Y585" s="68">
        <v>30</v>
      </c>
      <c r="Z585" s="68">
        <v>19</v>
      </c>
      <c r="AA585" s="68">
        <v>8</v>
      </c>
      <c r="AB585" s="300">
        <f t="shared" si="63"/>
        <v>30.4</v>
      </c>
      <c r="AC585" s="300">
        <f t="shared" si="64"/>
        <v>0.18313253012048192</v>
      </c>
      <c r="AD585" s="68">
        <v>4080</v>
      </c>
      <c r="AE585" s="68" t="s">
        <v>111</v>
      </c>
      <c r="AF585" s="68" t="s">
        <v>317</v>
      </c>
      <c r="AG585" s="68" t="s">
        <v>317</v>
      </c>
      <c r="AH585" s="68" t="s">
        <v>1786</v>
      </c>
      <c r="AI585" s="309"/>
      <c r="AJ585" s="309"/>
      <c r="AK585" s="68" t="s">
        <v>48</v>
      </c>
      <c r="AL585" s="68" t="s">
        <v>47</v>
      </c>
      <c r="AM585" s="299">
        <f t="shared" ca="1" si="60"/>
        <v>5.9027777781011537E-2</v>
      </c>
      <c r="AN585" s="51"/>
      <c r="AO585" s="61" t="s">
        <v>402</v>
      </c>
      <c r="AP585" s="62" t="s">
        <v>1774</v>
      </c>
      <c r="AQ585" s="61" t="s">
        <v>1803</v>
      </c>
      <c r="AR585" s="64">
        <v>44881.795138888891</v>
      </c>
      <c r="AS585" s="57" t="s">
        <v>173</v>
      </c>
      <c r="AT585" s="61" t="s">
        <v>225</v>
      </c>
      <c r="AU585" s="63">
        <v>0.79513888888888884</v>
      </c>
      <c r="AV585" s="61">
        <v>2</v>
      </c>
      <c r="AW585" s="61" t="s">
        <v>66</v>
      </c>
      <c r="AX585" s="52"/>
      <c r="AY585" s="52"/>
      <c r="AZ585" s="52"/>
      <c r="BA585" s="52"/>
    </row>
    <row r="586" spans="1:53" x14ac:dyDescent="0.25">
      <c r="A586" s="73">
        <v>325</v>
      </c>
      <c r="B586" s="72">
        <v>44881.756944444445</v>
      </c>
      <c r="C586" s="67">
        <v>0.75694444444444453</v>
      </c>
      <c r="D586" s="67">
        <v>0.76388888888888884</v>
      </c>
      <c r="E586" s="67">
        <v>0.76736111111111116</v>
      </c>
      <c r="F586" s="68" t="s">
        <v>171</v>
      </c>
      <c r="G586" s="68" t="s">
        <v>136</v>
      </c>
      <c r="H586" s="66" t="s">
        <v>339</v>
      </c>
      <c r="I586" s="66" t="s">
        <v>91</v>
      </c>
      <c r="J586" s="66" t="s">
        <v>37</v>
      </c>
      <c r="K586" s="66" t="s">
        <v>180</v>
      </c>
      <c r="L586" s="70" t="s">
        <v>206</v>
      </c>
      <c r="M586" s="68" t="s">
        <v>1787</v>
      </c>
      <c r="N586" s="68" t="s">
        <v>44</v>
      </c>
      <c r="O586" s="68" t="s">
        <v>1788</v>
      </c>
      <c r="P586" s="68">
        <v>4501930359</v>
      </c>
      <c r="Q586" s="303">
        <f t="shared" si="61"/>
        <v>1</v>
      </c>
      <c r="R586" s="303">
        <f t="shared" si="62"/>
        <v>72</v>
      </c>
      <c r="S586" s="68">
        <v>0</v>
      </c>
      <c r="T586" s="68">
        <v>0</v>
      </c>
      <c r="U586" s="68">
        <v>1</v>
      </c>
      <c r="V586" s="68">
        <v>72</v>
      </c>
      <c r="W586" s="68">
        <v>72.599999999999994</v>
      </c>
      <c r="X586" s="68">
        <v>120</v>
      </c>
      <c r="Y586" s="68">
        <v>80</v>
      </c>
      <c r="Z586" s="68">
        <v>81</v>
      </c>
      <c r="AA586" s="68">
        <v>1</v>
      </c>
      <c r="AB586" s="300">
        <f t="shared" si="63"/>
        <v>129.6</v>
      </c>
      <c r="AC586" s="300">
        <f t="shared" si="64"/>
        <v>0.78072289156626506</v>
      </c>
      <c r="AD586" s="68">
        <v>93861</v>
      </c>
      <c r="AE586" s="68" t="s">
        <v>109</v>
      </c>
      <c r="AF586" s="68" t="s">
        <v>317</v>
      </c>
      <c r="AG586" s="68" t="s">
        <v>317</v>
      </c>
      <c r="AH586" s="68" t="s">
        <v>1789</v>
      </c>
      <c r="AI586" s="309"/>
      <c r="AJ586" s="309"/>
      <c r="AK586" s="68" t="s">
        <v>37</v>
      </c>
      <c r="AL586" s="68" t="s">
        <v>54</v>
      </c>
      <c r="AM586" s="299">
        <f t="shared" ca="1" si="60"/>
        <v>2.6875</v>
      </c>
      <c r="AN586" s="51"/>
      <c r="AO586" s="61" t="s">
        <v>323</v>
      </c>
      <c r="AP586" s="62" t="s">
        <v>1787</v>
      </c>
      <c r="AQ586" s="62" t="s">
        <v>1978</v>
      </c>
      <c r="AR586" s="64">
        <v>44884.444444444445</v>
      </c>
      <c r="AS586" s="61" t="s">
        <v>151</v>
      </c>
      <c r="AT586" s="61">
        <v>407</v>
      </c>
      <c r="AU586" s="63">
        <v>0.44444444444444442</v>
      </c>
      <c r="AV586" s="61">
        <v>1</v>
      </c>
      <c r="AW586" s="61" t="s">
        <v>66</v>
      </c>
      <c r="AX586" s="52"/>
      <c r="AY586" s="52"/>
      <c r="AZ586" s="52"/>
      <c r="BA586" s="52"/>
    </row>
    <row r="587" spans="1:53" x14ac:dyDescent="0.25">
      <c r="A587" s="73">
        <v>326</v>
      </c>
      <c r="B587" s="72">
        <v>44881.756944444445</v>
      </c>
      <c r="C587" s="67">
        <v>0.75694444444444453</v>
      </c>
      <c r="D587" s="67">
        <v>0.76388888888888884</v>
      </c>
      <c r="E587" s="67">
        <v>0.76736111111111116</v>
      </c>
      <c r="F587" s="68" t="s">
        <v>171</v>
      </c>
      <c r="G587" s="68" t="s">
        <v>136</v>
      </c>
      <c r="H587" s="66" t="s">
        <v>339</v>
      </c>
      <c r="I587" s="66" t="s">
        <v>91</v>
      </c>
      <c r="J587" s="66" t="s">
        <v>37</v>
      </c>
      <c r="K587" s="66" t="s">
        <v>180</v>
      </c>
      <c r="L587" s="70" t="s">
        <v>206</v>
      </c>
      <c r="M587" s="68" t="s">
        <v>1787</v>
      </c>
      <c r="N587" s="68" t="s">
        <v>44</v>
      </c>
      <c r="O587" s="68" t="s">
        <v>1790</v>
      </c>
      <c r="P587" s="68">
        <v>4501930363</v>
      </c>
      <c r="Q587" s="303">
        <f t="shared" si="61"/>
        <v>1</v>
      </c>
      <c r="R587" s="303">
        <f t="shared" si="62"/>
        <v>74</v>
      </c>
      <c r="S587" s="68">
        <v>0</v>
      </c>
      <c r="T587" s="68">
        <v>0</v>
      </c>
      <c r="U587" s="68">
        <v>1</v>
      </c>
      <c r="V587" s="68">
        <v>74</v>
      </c>
      <c r="W587" s="68">
        <v>72.599999999999994</v>
      </c>
      <c r="X587" s="68">
        <v>120</v>
      </c>
      <c r="Y587" s="68">
        <v>80</v>
      </c>
      <c r="Z587" s="68">
        <v>81</v>
      </c>
      <c r="AA587" s="68">
        <v>1</v>
      </c>
      <c r="AB587" s="300">
        <f t="shared" si="63"/>
        <v>129.6</v>
      </c>
      <c r="AC587" s="300">
        <f t="shared" si="64"/>
        <v>0.78072289156626506</v>
      </c>
      <c r="AD587" s="68">
        <v>93861</v>
      </c>
      <c r="AE587" s="68" t="s">
        <v>109</v>
      </c>
      <c r="AF587" s="68" t="s">
        <v>317</v>
      </c>
      <c r="AG587" s="68" t="s">
        <v>317</v>
      </c>
      <c r="AH587" s="68" t="s">
        <v>1791</v>
      </c>
      <c r="AI587" s="309"/>
      <c r="AJ587" s="309"/>
      <c r="AK587" s="68" t="s">
        <v>37</v>
      </c>
      <c r="AL587" s="68" t="s">
        <v>54</v>
      </c>
      <c r="AM587" s="299">
        <f t="shared" ca="1" si="60"/>
        <v>2.6875</v>
      </c>
      <c r="AN587" s="51"/>
      <c r="AO587" s="61" t="s">
        <v>323</v>
      </c>
      <c r="AP587" s="62" t="s">
        <v>1787</v>
      </c>
      <c r="AQ587" s="62" t="s">
        <v>1978</v>
      </c>
      <c r="AR587" s="64">
        <v>44884.444444444445</v>
      </c>
      <c r="AS587" s="61" t="s">
        <v>151</v>
      </c>
      <c r="AT587" s="61">
        <v>407</v>
      </c>
      <c r="AU587" s="63">
        <v>0.44444444444444442</v>
      </c>
      <c r="AV587" s="61">
        <v>1</v>
      </c>
      <c r="AW587" s="61" t="s">
        <v>66</v>
      </c>
      <c r="AX587" s="52"/>
      <c r="AY587" s="52"/>
      <c r="AZ587" s="52"/>
      <c r="BA587" s="52"/>
    </row>
    <row r="588" spans="1:53" x14ac:dyDescent="0.25">
      <c r="A588" s="73">
        <v>327</v>
      </c>
      <c r="B588" s="72">
        <v>44882.399305555555</v>
      </c>
      <c r="C588" s="67">
        <v>0.40277777777777773</v>
      </c>
      <c r="D588" s="67">
        <v>0.40972222222222227</v>
      </c>
      <c r="E588" s="67">
        <v>0.41666666666666669</v>
      </c>
      <c r="F588" s="68" t="s">
        <v>171</v>
      </c>
      <c r="G588" s="68" t="s">
        <v>1805</v>
      </c>
      <c r="H588" s="71" t="s">
        <v>199</v>
      </c>
      <c r="I588" s="71" t="s">
        <v>174</v>
      </c>
      <c r="J588" s="71" t="s">
        <v>37</v>
      </c>
      <c r="K588" s="71" t="s">
        <v>180</v>
      </c>
      <c r="L588" s="47" t="s">
        <v>206</v>
      </c>
      <c r="M588" s="68" t="s">
        <v>1806</v>
      </c>
      <c r="N588" s="68" t="s">
        <v>42</v>
      </c>
      <c r="O588" s="68">
        <v>274010711</v>
      </c>
      <c r="P588" s="68" t="s">
        <v>1807</v>
      </c>
      <c r="Q588" s="303">
        <f t="shared" si="61"/>
        <v>11</v>
      </c>
      <c r="R588" s="303">
        <f t="shared" si="62"/>
        <v>618</v>
      </c>
      <c r="S588" s="68">
        <v>8</v>
      </c>
      <c r="T588" s="68">
        <v>116</v>
      </c>
      <c r="U588" s="68">
        <v>3</v>
      </c>
      <c r="V588" s="68">
        <v>502</v>
      </c>
      <c r="W588" s="68">
        <v>613.48</v>
      </c>
      <c r="X588" s="68">
        <v>123</v>
      </c>
      <c r="Y588" s="68">
        <v>83</v>
      </c>
      <c r="Z588" s="68">
        <v>75</v>
      </c>
      <c r="AA588" s="68">
        <v>3</v>
      </c>
      <c r="AB588" s="300">
        <f t="shared" si="63"/>
        <v>382.83749999999998</v>
      </c>
      <c r="AC588" s="300">
        <f t="shared" si="64"/>
        <v>2.3062499999999999</v>
      </c>
      <c r="AD588" s="68">
        <v>22561.919999999998</v>
      </c>
      <c r="AE588" s="68" t="s">
        <v>109</v>
      </c>
      <c r="AF588" s="68" t="s">
        <v>317</v>
      </c>
      <c r="AG588" s="68" t="s">
        <v>317</v>
      </c>
      <c r="AH588" s="68" t="s">
        <v>1808</v>
      </c>
      <c r="AI588" s="309"/>
      <c r="AJ588" s="309"/>
      <c r="AK588" s="68" t="s">
        <v>37</v>
      </c>
      <c r="AL588" s="68" t="s">
        <v>49</v>
      </c>
      <c r="AM588" s="299">
        <f t="shared" ca="1" si="60"/>
        <v>0.29166666666424135</v>
      </c>
      <c r="AN588" s="51"/>
      <c r="AO588" s="78" t="s">
        <v>232</v>
      </c>
      <c r="AP588" s="62" t="s">
        <v>1806</v>
      </c>
      <c r="AQ588" s="61" t="s">
        <v>1893</v>
      </c>
      <c r="AR588" s="64">
        <v>44882.690972222219</v>
      </c>
      <c r="AS588" s="61" t="s">
        <v>136</v>
      </c>
      <c r="AT588" s="61" t="s">
        <v>225</v>
      </c>
      <c r="AU588" s="63">
        <v>0.69097222222222221</v>
      </c>
      <c r="AV588" s="61">
        <v>2</v>
      </c>
      <c r="AW588" s="61" t="s">
        <v>66</v>
      </c>
      <c r="AX588" s="52"/>
      <c r="AY588" s="52"/>
      <c r="AZ588" s="52"/>
      <c r="BA588" s="52"/>
    </row>
    <row r="589" spans="1:53" x14ac:dyDescent="0.25">
      <c r="A589" s="73">
        <v>327</v>
      </c>
      <c r="B589" s="72">
        <v>44882.399305555555</v>
      </c>
      <c r="C589" s="67">
        <v>0.40277777777777773</v>
      </c>
      <c r="D589" s="67">
        <v>0.40972222222222227</v>
      </c>
      <c r="E589" s="67">
        <v>0.41666666666666669</v>
      </c>
      <c r="F589" s="68" t="s">
        <v>171</v>
      </c>
      <c r="G589" s="68" t="s">
        <v>1805</v>
      </c>
      <c r="H589" s="66" t="s">
        <v>199</v>
      </c>
      <c r="I589" s="66" t="s">
        <v>174</v>
      </c>
      <c r="J589" s="66" t="s">
        <v>37</v>
      </c>
      <c r="K589" s="66" t="s">
        <v>180</v>
      </c>
      <c r="L589" s="70" t="s">
        <v>206</v>
      </c>
      <c r="M589" s="68" t="s">
        <v>1806</v>
      </c>
      <c r="N589" s="68" t="s">
        <v>42</v>
      </c>
      <c r="O589" s="68">
        <v>274010711</v>
      </c>
      <c r="P589" s="68" t="s">
        <v>1807</v>
      </c>
      <c r="Q589" s="303">
        <f t="shared" si="61"/>
        <v>0</v>
      </c>
      <c r="R589" s="303">
        <f t="shared" si="62"/>
        <v>0</v>
      </c>
      <c r="S589" s="68">
        <v>0</v>
      </c>
      <c r="T589" s="68">
        <v>0</v>
      </c>
      <c r="U589" s="68">
        <v>0</v>
      </c>
      <c r="V589" s="68">
        <v>0</v>
      </c>
      <c r="W589" s="68">
        <v>0</v>
      </c>
      <c r="X589" s="68">
        <v>60</v>
      </c>
      <c r="Y589" s="68">
        <v>40</v>
      </c>
      <c r="Z589" s="68">
        <v>30</v>
      </c>
      <c r="AA589" s="68">
        <v>8</v>
      </c>
      <c r="AB589" s="300">
        <f t="shared" si="63"/>
        <v>96</v>
      </c>
      <c r="AC589" s="300">
        <f t="shared" si="64"/>
        <v>0.57831325301204817</v>
      </c>
      <c r="AD589" s="68">
        <v>0</v>
      </c>
      <c r="AE589" s="68">
        <v>0</v>
      </c>
      <c r="AF589" s="68" t="s">
        <v>317</v>
      </c>
      <c r="AG589" s="68" t="s">
        <v>317</v>
      </c>
      <c r="AH589" s="68" t="s">
        <v>1808</v>
      </c>
      <c r="AI589" s="309"/>
      <c r="AJ589" s="309"/>
      <c r="AK589" s="68" t="s">
        <v>48</v>
      </c>
      <c r="AL589" s="68" t="s">
        <v>49</v>
      </c>
      <c r="AM589" s="299">
        <f t="shared" ca="1" si="60"/>
        <v>0.29166666666424135</v>
      </c>
      <c r="AN589" s="51"/>
      <c r="AO589" s="78" t="s">
        <v>232</v>
      </c>
      <c r="AP589" s="62" t="s">
        <v>1806</v>
      </c>
      <c r="AQ589" s="61" t="s">
        <v>1893</v>
      </c>
      <c r="AR589" s="64">
        <v>44882.690972222219</v>
      </c>
      <c r="AS589" s="61" t="s">
        <v>136</v>
      </c>
      <c r="AT589" s="61" t="s">
        <v>225</v>
      </c>
      <c r="AU589" s="63">
        <v>0.69097222222222221</v>
      </c>
      <c r="AV589" s="61">
        <v>2</v>
      </c>
      <c r="AW589" s="61" t="s">
        <v>66</v>
      </c>
      <c r="AX589" s="52"/>
      <c r="AY589" s="52"/>
      <c r="AZ589" s="52"/>
      <c r="BA589" s="52"/>
    </row>
    <row r="590" spans="1:53" x14ac:dyDescent="0.25">
      <c r="A590" s="73">
        <v>328</v>
      </c>
      <c r="B590" s="72">
        <v>44882.399305555555</v>
      </c>
      <c r="C590" s="67">
        <v>0.40277777777777773</v>
      </c>
      <c r="D590" s="67">
        <v>0.40972222222222227</v>
      </c>
      <c r="E590" s="67">
        <v>0.41666666666666669</v>
      </c>
      <c r="F590" s="68" t="s">
        <v>171</v>
      </c>
      <c r="G590" s="68" t="s">
        <v>1805</v>
      </c>
      <c r="H590" s="66" t="s">
        <v>199</v>
      </c>
      <c r="I590" s="66" t="s">
        <v>174</v>
      </c>
      <c r="J590" s="66" t="s">
        <v>37</v>
      </c>
      <c r="K590" s="66" t="s">
        <v>180</v>
      </c>
      <c r="L590" s="70" t="s">
        <v>206</v>
      </c>
      <c r="M590" s="68" t="s">
        <v>1806</v>
      </c>
      <c r="N590" s="68" t="s">
        <v>42</v>
      </c>
      <c r="O590" s="68">
        <v>274010710</v>
      </c>
      <c r="P590" s="68" t="s">
        <v>1809</v>
      </c>
      <c r="Q590" s="303">
        <f t="shared" si="61"/>
        <v>11</v>
      </c>
      <c r="R590" s="303">
        <f t="shared" si="62"/>
        <v>468</v>
      </c>
      <c r="S590" s="68">
        <v>9</v>
      </c>
      <c r="T590" s="68">
        <v>158</v>
      </c>
      <c r="U590" s="68">
        <v>2</v>
      </c>
      <c r="V590" s="68">
        <v>310</v>
      </c>
      <c r="W590" s="68">
        <v>480.3</v>
      </c>
      <c r="X590" s="68">
        <v>123</v>
      </c>
      <c r="Y590" s="68">
        <v>83</v>
      </c>
      <c r="Z590" s="68">
        <v>75</v>
      </c>
      <c r="AA590" s="68">
        <v>2</v>
      </c>
      <c r="AB590" s="300">
        <f t="shared" si="63"/>
        <v>255.22499999999999</v>
      </c>
      <c r="AC590" s="300">
        <f t="shared" si="64"/>
        <v>1.5374999999999999</v>
      </c>
      <c r="AD590" s="68">
        <v>11389.44</v>
      </c>
      <c r="AE590" s="68" t="s">
        <v>109</v>
      </c>
      <c r="AF590" s="68" t="s">
        <v>317</v>
      </c>
      <c r="AG590" s="68" t="s">
        <v>317</v>
      </c>
      <c r="AH590" s="68" t="s">
        <v>1810</v>
      </c>
      <c r="AI590" s="309"/>
      <c r="AJ590" s="309"/>
      <c r="AK590" s="68" t="s">
        <v>37</v>
      </c>
      <c r="AL590" s="68" t="s">
        <v>49</v>
      </c>
      <c r="AM590" s="299">
        <f t="shared" ca="1" si="60"/>
        <v>0.29166666666424135</v>
      </c>
      <c r="AN590" s="51"/>
      <c r="AO590" s="78" t="s">
        <v>232</v>
      </c>
      <c r="AP590" s="62" t="s">
        <v>1806</v>
      </c>
      <c r="AQ590" s="61" t="s">
        <v>1893</v>
      </c>
      <c r="AR590" s="64">
        <v>44882.690972222219</v>
      </c>
      <c r="AS590" s="61" t="s">
        <v>136</v>
      </c>
      <c r="AT590" s="61" t="s">
        <v>225</v>
      </c>
      <c r="AU590" s="63">
        <v>0.69097222222222221</v>
      </c>
      <c r="AV590" s="61">
        <v>2</v>
      </c>
      <c r="AW590" s="61" t="s">
        <v>66</v>
      </c>
      <c r="AX590" s="52"/>
      <c r="AY590" s="52"/>
      <c r="AZ590" s="52"/>
      <c r="BA590" s="52"/>
    </row>
    <row r="591" spans="1:53" x14ac:dyDescent="0.25">
      <c r="A591" s="73">
        <v>328</v>
      </c>
      <c r="B591" s="72">
        <v>44882.399305555555</v>
      </c>
      <c r="C591" s="67">
        <v>0.40277777777777773</v>
      </c>
      <c r="D591" s="67">
        <v>0.40972222222222227</v>
      </c>
      <c r="E591" s="67">
        <v>0.41666666666666669</v>
      </c>
      <c r="F591" s="68" t="s">
        <v>171</v>
      </c>
      <c r="G591" s="68" t="s">
        <v>1805</v>
      </c>
      <c r="H591" s="66" t="s">
        <v>199</v>
      </c>
      <c r="I591" s="66" t="s">
        <v>174</v>
      </c>
      <c r="J591" s="66" t="s">
        <v>37</v>
      </c>
      <c r="K591" s="66" t="s">
        <v>180</v>
      </c>
      <c r="L591" s="70" t="s">
        <v>206</v>
      </c>
      <c r="M591" s="68" t="s">
        <v>1806</v>
      </c>
      <c r="N591" s="68" t="s">
        <v>42</v>
      </c>
      <c r="O591" s="68">
        <v>274010710</v>
      </c>
      <c r="P591" s="68" t="s">
        <v>1809</v>
      </c>
      <c r="Q591" s="303">
        <f t="shared" si="61"/>
        <v>0</v>
      </c>
      <c r="R591" s="303">
        <f t="shared" si="62"/>
        <v>0</v>
      </c>
      <c r="S591" s="68">
        <v>0</v>
      </c>
      <c r="T591" s="68">
        <v>0</v>
      </c>
      <c r="U591" s="68">
        <v>0</v>
      </c>
      <c r="V591" s="68">
        <v>0</v>
      </c>
      <c r="W591" s="68">
        <v>0</v>
      </c>
      <c r="X591" s="68">
        <v>60</v>
      </c>
      <c r="Y591" s="68">
        <v>40</v>
      </c>
      <c r="Z591" s="68">
        <v>30</v>
      </c>
      <c r="AA591" s="68">
        <v>9</v>
      </c>
      <c r="AB591" s="300">
        <f t="shared" si="63"/>
        <v>108</v>
      </c>
      <c r="AC591" s="300">
        <f t="shared" si="64"/>
        <v>0.6506024096385542</v>
      </c>
      <c r="AD591" s="68">
        <v>0</v>
      </c>
      <c r="AE591" s="68">
        <v>0</v>
      </c>
      <c r="AF591" s="68" t="s">
        <v>317</v>
      </c>
      <c r="AG591" s="68" t="s">
        <v>317</v>
      </c>
      <c r="AH591" s="68" t="s">
        <v>1810</v>
      </c>
      <c r="AI591" s="309"/>
      <c r="AJ591" s="309"/>
      <c r="AK591" s="68" t="s">
        <v>48</v>
      </c>
      <c r="AL591" s="68" t="s">
        <v>49</v>
      </c>
      <c r="AM591" s="299">
        <f t="shared" ca="1" si="60"/>
        <v>0.29166666666424135</v>
      </c>
      <c r="AN591" s="51"/>
      <c r="AO591" s="78" t="s">
        <v>232</v>
      </c>
      <c r="AP591" s="62" t="s">
        <v>1806</v>
      </c>
      <c r="AQ591" s="61" t="s">
        <v>1893</v>
      </c>
      <c r="AR591" s="64">
        <v>44882.690972222219</v>
      </c>
      <c r="AS591" s="61" t="s">
        <v>136</v>
      </c>
      <c r="AT591" s="61" t="s">
        <v>225</v>
      </c>
      <c r="AU591" s="63">
        <v>0.69097222222222221</v>
      </c>
      <c r="AV591" s="61">
        <v>2</v>
      </c>
      <c r="AW591" s="61" t="s">
        <v>66</v>
      </c>
      <c r="AX591" s="52"/>
      <c r="AY591" s="52"/>
      <c r="AZ591" s="52"/>
      <c r="BA591" s="52"/>
    </row>
    <row r="592" spans="1:53" x14ac:dyDescent="0.25">
      <c r="A592" s="73">
        <v>329</v>
      </c>
      <c r="B592" s="72">
        <v>44882.416666666664</v>
      </c>
      <c r="C592" s="67">
        <v>0.41666666666666669</v>
      </c>
      <c r="D592" s="67">
        <v>0.4201388888888889</v>
      </c>
      <c r="E592" s="67">
        <v>0.43055555555555558</v>
      </c>
      <c r="F592" s="68" t="s">
        <v>169</v>
      </c>
      <c r="G592" s="68" t="s">
        <v>1811</v>
      </c>
      <c r="H592" s="66" t="s">
        <v>45</v>
      </c>
      <c r="I592" s="66" t="s">
        <v>141</v>
      </c>
      <c r="J592" s="66" t="s">
        <v>37</v>
      </c>
      <c r="K592" s="66" t="s">
        <v>63</v>
      </c>
      <c r="L592" s="66" t="s">
        <v>215</v>
      </c>
      <c r="M592" s="68" t="s">
        <v>1812</v>
      </c>
      <c r="N592" s="68" t="s">
        <v>42</v>
      </c>
      <c r="O592" s="68">
        <v>1500560</v>
      </c>
      <c r="P592" s="68">
        <v>4201475488</v>
      </c>
      <c r="Q592" s="303">
        <f t="shared" si="61"/>
        <v>1</v>
      </c>
      <c r="R592" s="303">
        <f t="shared" si="62"/>
        <v>186</v>
      </c>
      <c r="S592" s="68">
        <v>0</v>
      </c>
      <c r="T592" s="68">
        <v>0</v>
      </c>
      <c r="U592" s="68">
        <v>1</v>
      </c>
      <c r="V592" s="38">
        <v>186</v>
      </c>
      <c r="W592" s="38">
        <v>163.19999999999999</v>
      </c>
      <c r="X592" s="68">
        <v>97</v>
      </c>
      <c r="Y592" s="68">
        <v>87</v>
      </c>
      <c r="Z592" s="68">
        <v>84</v>
      </c>
      <c r="AA592" s="68">
        <v>1</v>
      </c>
      <c r="AB592" s="300">
        <f t="shared" si="63"/>
        <v>118.146</v>
      </c>
      <c r="AC592" s="300">
        <f t="shared" si="64"/>
        <v>0.71172289156626511</v>
      </c>
      <c r="AD592" s="68">
        <v>1042.8</v>
      </c>
      <c r="AE592" s="68" t="s">
        <v>109</v>
      </c>
      <c r="AF592" s="68" t="s">
        <v>317</v>
      </c>
      <c r="AG592" s="68" t="s">
        <v>317</v>
      </c>
      <c r="AH592" s="68" t="s">
        <v>1813</v>
      </c>
      <c r="AI592" s="309"/>
      <c r="AJ592" s="309"/>
      <c r="AK592" s="68" t="s">
        <v>37</v>
      </c>
      <c r="AL592" s="68" t="s">
        <v>39</v>
      </c>
      <c r="AM592" s="299">
        <f t="shared" ca="1" si="60"/>
        <v>0.11111111111677019</v>
      </c>
      <c r="AN592" s="51"/>
      <c r="AO592" s="78" t="s">
        <v>78</v>
      </c>
      <c r="AP592" s="61" t="s">
        <v>1812</v>
      </c>
      <c r="AQ592" s="61" t="s">
        <v>1889</v>
      </c>
      <c r="AR592" s="64">
        <v>44882.527777777781</v>
      </c>
      <c r="AS592" s="57" t="s">
        <v>173</v>
      </c>
      <c r="AT592" s="61" t="s">
        <v>225</v>
      </c>
      <c r="AU592" s="63">
        <v>0.52777777777777779</v>
      </c>
      <c r="AV592" s="61">
        <v>1</v>
      </c>
      <c r="AW592" s="61" t="s">
        <v>66</v>
      </c>
      <c r="AX592" s="52"/>
      <c r="AY592" s="52"/>
      <c r="AZ592" s="52"/>
      <c r="BA592" s="52"/>
    </row>
    <row r="593" spans="1:53" x14ac:dyDescent="0.25">
      <c r="A593" s="73">
        <v>330</v>
      </c>
      <c r="B593" s="72">
        <v>44882.416666666664</v>
      </c>
      <c r="C593" s="67">
        <v>0.41666666666666669</v>
      </c>
      <c r="D593" s="67">
        <v>0.4201388888888889</v>
      </c>
      <c r="E593" s="67">
        <v>0.43055555555555558</v>
      </c>
      <c r="F593" s="68" t="s">
        <v>169</v>
      </c>
      <c r="G593" s="68" t="s">
        <v>1811</v>
      </c>
      <c r="H593" s="66" t="s">
        <v>45</v>
      </c>
      <c r="I593" s="66" t="s">
        <v>141</v>
      </c>
      <c r="J593" s="66" t="s">
        <v>37</v>
      </c>
      <c r="K593" s="66" t="s">
        <v>63</v>
      </c>
      <c r="L593" s="66" t="s">
        <v>215</v>
      </c>
      <c r="M593" s="68" t="s">
        <v>1812</v>
      </c>
      <c r="N593" s="68" t="s">
        <v>42</v>
      </c>
      <c r="O593" s="68">
        <v>1500559</v>
      </c>
      <c r="P593" s="68">
        <v>4201478745</v>
      </c>
      <c r="Q593" s="303">
        <f t="shared" si="61"/>
        <v>1</v>
      </c>
      <c r="R593" s="303">
        <f t="shared" si="62"/>
        <v>101</v>
      </c>
      <c r="S593" s="68">
        <v>0</v>
      </c>
      <c r="T593" s="68">
        <v>0</v>
      </c>
      <c r="U593" s="68">
        <v>1</v>
      </c>
      <c r="V593" s="68">
        <v>101</v>
      </c>
      <c r="W593" s="68">
        <v>99</v>
      </c>
      <c r="X593" s="68">
        <v>81</v>
      </c>
      <c r="Y593" s="68">
        <v>56</v>
      </c>
      <c r="Z593" s="68">
        <v>54</v>
      </c>
      <c r="AA593" s="68">
        <v>1</v>
      </c>
      <c r="AB593" s="300">
        <f t="shared" si="63"/>
        <v>40.823999999999998</v>
      </c>
      <c r="AC593" s="300">
        <f t="shared" si="64"/>
        <v>0.24592771084337348</v>
      </c>
      <c r="AD593" s="68">
        <v>1302</v>
      </c>
      <c r="AE593" s="68" t="s">
        <v>109</v>
      </c>
      <c r="AF593" s="68" t="s">
        <v>317</v>
      </c>
      <c r="AG593" s="68" t="s">
        <v>317</v>
      </c>
      <c r="AH593" s="68" t="s">
        <v>1814</v>
      </c>
      <c r="AI593" s="309"/>
      <c r="AJ593" s="309"/>
      <c r="AK593" s="68" t="s">
        <v>37</v>
      </c>
      <c r="AL593" s="68" t="s">
        <v>39</v>
      </c>
      <c r="AM593" s="299">
        <f t="shared" ca="1" si="60"/>
        <v>0.11111111111677019</v>
      </c>
      <c r="AN593" s="51"/>
      <c r="AO593" s="78" t="s">
        <v>78</v>
      </c>
      <c r="AP593" s="61" t="s">
        <v>1812</v>
      </c>
      <c r="AQ593" s="61" t="s">
        <v>1889</v>
      </c>
      <c r="AR593" s="64">
        <v>44882.527777777781</v>
      </c>
      <c r="AS593" s="57" t="s">
        <v>173</v>
      </c>
      <c r="AT593" s="61" t="s">
        <v>225</v>
      </c>
      <c r="AU593" s="63">
        <v>0.52777777777777779</v>
      </c>
      <c r="AV593" s="61">
        <v>1</v>
      </c>
      <c r="AW593" s="61" t="s">
        <v>66</v>
      </c>
      <c r="AX593" s="52"/>
      <c r="AY593" s="52"/>
      <c r="AZ593" s="52"/>
      <c r="BA593" s="52"/>
    </row>
    <row r="594" spans="1:53" x14ac:dyDescent="0.25">
      <c r="A594" s="73">
        <v>331</v>
      </c>
      <c r="B594" s="72">
        <v>44882.430555555555</v>
      </c>
      <c r="C594" s="67">
        <v>0.4375</v>
      </c>
      <c r="D594" s="67">
        <v>0.44097222222222227</v>
      </c>
      <c r="E594" s="67">
        <v>0.44444444444444442</v>
      </c>
      <c r="F594" s="68" t="s">
        <v>171</v>
      </c>
      <c r="G594" s="68" t="s">
        <v>95</v>
      </c>
      <c r="H594" s="66" t="s">
        <v>342</v>
      </c>
      <c r="I594" s="66" t="s">
        <v>342</v>
      </c>
      <c r="J594" s="66" t="s">
        <v>37</v>
      </c>
      <c r="K594" s="66" t="s">
        <v>180</v>
      </c>
      <c r="L594" s="70" t="s">
        <v>206</v>
      </c>
      <c r="M594" s="68" t="s">
        <v>1815</v>
      </c>
      <c r="N594" s="68" t="s">
        <v>1816</v>
      </c>
      <c r="O594" s="68" t="s">
        <v>1817</v>
      </c>
      <c r="P594" s="68">
        <v>29542280</v>
      </c>
      <c r="Q594" s="303">
        <f t="shared" si="61"/>
        <v>1</v>
      </c>
      <c r="R594" s="303">
        <f t="shared" si="62"/>
        <v>428</v>
      </c>
      <c r="S594" s="68">
        <v>0</v>
      </c>
      <c r="T594" s="68">
        <v>0</v>
      </c>
      <c r="U594" s="68">
        <v>1</v>
      </c>
      <c r="V594" s="68">
        <v>428</v>
      </c>
      <c r="W594" s="68">
        <v>450</v>
      </c>
      <c r="X594" s="68">
        <v>84</v>
      </c>
      <c r="Y594" s="68">
        <v>83</v>
      </c>
      <c r="Z594" s="68">
        <v>78</v>
      </c>
      <c r="AA594" s="68">
        <v>1</v>
      </c>
      <c r="AB594" s="300">
        <f t="shared" si="63"/>
        <v>90.635999999999996</v>
      </c>
      <c r="AC594" s="300">
        <f t="shared" si="64"/>
        <v>0.54599999999999993</v>
      </c>
      <c r="AD594" s="68">
        <v>2360.4</v>
      </c>
      <c r="AE594" s="68" t="s">
        <v>109</v>
      </c>
      <c r="AF594" s="68" t="s">
        <v>317</v>
      </c>
      <c r="AG594" s="68" t="s">
        <v>317</v>
      </c>
      <c r="AH594" s="68" t="s">
        <v>1818</v>
      </c>
      <c r="AI594" s="309"/>
      <c r="AJ594" s="309"/>
      <c r="AK594" s="68" t="s">
        <v>37</v>
      </c>
      <c r="AL594" s="68" t="s">
        <v>49</v>
      </c>
      <c r="AM594" s="299">
        <f t="shared" ca="1" si="60"/>
        <v>2.0138888888905058</v>
      </c>
      <c r="AN594" s="51"/>
      <c r="AO594" s="61" t="s">
        <v>53</v>
      </c>
      <c r="AP594" s="62" t="s">
        <v>1815</v>
      </c>
      <c r="AQ594" s="62" t="s">
        <v>1978</v>
      </c>
      <c r="AR594" s="64">
        <v>44884.444444444445</v>
      </c>
      <c r="AS594" s="61" t="s">
        <v>151</v>
      </c>
      <c r="AT594" s="61">
        <v>407</v>
      </c>
      <c r="AU594" s="63">
        <v>0.44444444444444442</v>
      </c>
      <c r="AV594" s="61">
        <v>1</v>
      </c>
      <c r="AW594" s="61" t="s">
        <v>66</v>
      </c>
      <c r="AX594" s="52"/>
      <c r="AY594" s="52"/>
      <c r="AZ594" s="52"/>
      <c r="BA594" s="52"/>
    </row>
    <row r="595" spans="1:53" x14ac:dyDescent="0.25">
      <c r="A595" s="73">
        <v>332</v>
      </c>
      <c r="B595" s="72">
        <v>44882.430555555555</v>
      </c>
      <c r="C595" s="67">
        <v>0.4375</v>
      </c>
      <c r="D595" s="67">
        <v>0.44097222222222227</v>
      </c>
      <c r="E595" s="67">
        <v>0.44444444444444442</v>
      </c>
      <c r="F595" s="68" t="s">
        <v>171</v>
      </c>
      <c r="G595" s="68" t="s">
        <v>95</v>
      </c>
      <c r="H595" s="66" t="s">
        <v>342</v>
      </c>
      <c r="I595" s="66" t="s">
        <v>342</v>
      </c>
      <c r="J595" s="66" t="s">
        <v>37</v>
      </c>
      <c r="K595" s="66" t="s">
        <v>180</v>
      </c>
      <c r="L595" s="70" t="s">
        <v>206</v>
      </c>
      <c r="M595" s="68" t="s">
        <v>1819</v>
      </c>
      <c r="N595" s="68" t="s">
        <v>175</v>
      </c>
      <c r="O595" s="68" t="s">
        <v>1820</v>
      </c>
      <c r="P595" s="68" t="s">
        <v>510</v>
      </c>
      <c r="Q595" s="303">
        <f t="shared" si="61"/>
        <v>3</v>
      </c>
      <c r="R595" s="303">
        <f t="shared" si="62"/>
        <v>1773</v>
      </c>
      <c r="S595" s="68">
        <v>0</v>
      </c>
      <c r="T595" s="68">
        <v>0</v>
      </c>
      <c r="U595" s="68">
        <v>3</v>
      </c>
      <c r="V595" s="68">
        <v>1773</v>
      </c>
      <c r="W595" s="68">
        <v>1650</v>
      </c>
      <c r="X595" s="68">
        <v>84</v>
      </c>
      <c r="Y595" s="68">
        <v>83</v>
      </c>
      <c r="Z595" s="68">
        <v>78</v>
      </c>
      <c r="AA595" s="68">
        <v>1</v>
      </c>
      <c r="AB595" s="300">
        <f t="shared" si="63"/>
        <v>90.635999999999996</v>
      </c>
      <c r="AC595" s="300">
        <f t="shared" si="64"/>
        <v>0.54599999999999993</v>
      </c>
      <c r="AD595" s="68">
        <v>15610.32</v>
      </c>
      <c r="AE595" s="68" t="s">
        <v>109</v>
      </c>
      <c r="AF595" s="68" t="s">
        <v>317</v>
      </c>
      <c r="AG595" s="68" t="s">
        <v>317</v>
      </c>
      <c r="AH595" s="68" t="s">
        <v>1821</v>
      </c>
      <c r="AI595" s="309"/>
      <c r="AJ595" s="309"/>
      <c r="AK595" s="68" t="s">
        <v>37</v>
      </c>
      <c r="AL595" s="68" t="s">
        <v>49</v>
      </c>
      <c r="AM595" s="299">
        <f t="shared" ca="1" si="60"/>
        <v>0.26041666666424135</v>
      </c>
      <c r="AN595" s="51"/>
      <c r="AO595" s="78" t="s">
        <v>181</v>
      </c>
      <c r="AP595" s="62" t="s">
        <v>1819</v>
      </c>
      <c r="AQ595" s="61" t="s">
        <v>1892</v>
      </c>
      <c r="AR595" s="64">
        <v>44882.690972222219</v>
      </c>
      <c r="AS595" s="61" t="s">
        <v>136</v>
      </c>
      <c r="AT595" s="61" t="s">
        <v>225</v>
      </c>
      <c r="AU595" s="63">
        <v>0.69097222222222221</v>
      </c>
      <c r="AV595" s="61">
        <v>2</v>
      </c>
      <c r="AW595" s="61" t="s">
        <v>66</v>
      </c>
      <c r="AX595" s="52"/>
      <c r="AY595" s="52"/>
      <c r="AZ595" s="52"/>
      <c r="BA595" s="52"/>
    </row>
    <row r="596" spans="1:53" x14ac:dyDescent="0.25">
      <c r="A596" s="73">
        <v>332</v>
      </c>
      <c r="B596" s="72">
        <v>44882.430555555555</v>
      </c>
      <c r="C596" s="67">
        <v>0.4375</v>
      </c>
      <c r="D596" s="67">
        <v>0.44097222222222227</v>
      </c>
      <c r="E596" s="67">
        <v>0.44444444444444442</v>
      </c>
      <c r="F596" s="68" t="s">
        <v>171</v>
      </c>
      <c r="G596" s="68" t="s">
        <v>95</v>
      </c>
      <c r="H596" s="66" t="s">
        <v>342</v>
      </c>
      <c r="I596" s="66" t="s">
        <v>342</v>
      </c>
      <c r="J596" s="66" t="s">
        <v>37</v>
      </c>
      <c r="K596" s="66" t="s">
        <v>180</v>
      </c>
      <c r="L596" s="70" t="s">
        <v>206</v>
      </c>
      <c r="M596" s="68" t="s">
        <v>1819</v>
      </c>
      <c r="N596" s="68" t="s">
        <v>175</v>
      </c>
      <c r="O596" s="68" t="s">
        <v>1820</v>
      </c>
      <c r="P596" s="68" t="s">
        <v>510</v>
      </c>
      <c r="Q596" s="303">
        <f t="shared" si="61"/>
        <v>0</v>
      </c>
      <c r="R596" s="303">
        <f t="shared" si="62"/>
        <v>0</v>
      </c>
      <c r="S596" s="68">
        <v>0</v>
      </c>
      <c r="T596" s="68">
        <v>0</v>
      </c>
      <c r="U596" s="68">
        <v>0</v>
      </c>
      <c r="V596" s="68">
        <v>0</v>
      </c>
      <c r="W596" s="68">
        <v>0</v>
      </c>
      <c r="X596" s="68">
        <v>99</v>
      </c>
      <c r="Y596" s="68">
        <v>98</v>
      </c>
      <c r="Z596" s="68">
        <v>76</v>
      </c>
      <c r="AA596" s="68">
        <v>2</v>
      </c>
      <c r="AB596" s="300">
        <f t="shared" si="63"/>
        <v>245.78399999999999</v>
      </c>
      <c r="AC596" s="300">
        <f t="shared" si="64"/>
        <v>1.4806265060240964</v>
      </c>
      <c r="AD596" s="68">
        <v>0</v>
      </c>
      <c r="AE596" s="68">
        <v>0</v>
      </c>
      <c r="AF596" s="68" t="s">
        <v>317</v>
      </c>
      <c r="AG596" s="68" t="s">
        <v>317</v>
      </c>
      <c r="AH596" s="68" t="s">
        <v>1821</v>
      </c>
      <c r="AI596" s="309"/>
      <c r="AJ596" s="309"/>
      <c r="AK596" s="68" t="s">
        <v>37</v>
      </c>
      <c r="AL596" s="68" t="s">
        <v>49</v>
      </c>
      <c r="AM596" s="299">
        <f t="shared" ca="1" si="60"/>
        <v>0.26041666666424135</v>
      </c>
      <c r="AN596" s="51"/>
      <c r="AO596" s="78" t="s">
        <v>181</v>
      </c>
      <c r="AP596" s="62" t="s">
        <v>1819</v>
      </c>
      <c r="AQ596" s="61" t="s">
        <v>1892</v>
      </c>
      <c r="AR596" s="64">
        <v>44882.690972222219</v>
      </c>
      <c r="AS596" s="61" t="s">
        <v>136</v>
      </c>
      <c r="AT596" s="61" t="s">
        <v>225</v>
      </c>
      <c r="AU596" s="63">
        <v>0.69097222222222221</v>
      </c>
      <c r="AV596" s="61">
        <v>2</v>
      </c>
      <c r="AW596" s="61" t="s">
        <v>66</v>
      </c>
      <c r="AX596" s="52"/>
      <c r="AY596" s="52"/>
      <c r="AZ596" s="52"/>
      <c r="BA596" s="52"/>
    </row>
    <row r="597" spans="1:53" x14ac:dyDescent="0.25">
      <c r="A597" s="73">
        <v>333</v>
      </c>
      <c r="B597" s="72">
        <v>44882.440972222219</v>
      </c>
      <c r="C597" s="67">
        <v>0.44791666666666669</v>
      </c>
      <c r="D597" s="67">
        <v>0.4513888888888889</v>
      </c>
      <c r="E597" s="67">
        <v>0.4548611111111111</v>
      </c>
      <c r="F597" s="68" t="s">
        <v>171</v>
      </c>
      <c r="G597" s="68" t="s">
        <v>811</v>
      </c>
      <c r="H597" s="66" t="s">
        <v>91</v>
      </c>
      <c r="I597" s="66" t="s">
        <v>118</v>
      </c>
      <c r="J597" s="66" t="s">
        <v>41</v>
      </c>
      <c r="K597" s="66" t="s">
        <v>180</v>
      </c>
      <c r="L597" s="70" t="s">
        <v>206</v>
      </c>
      <c r="M597" s="68" t="s">
        <v>1822</v>
      </c>
      <c r="N597" s="68" t="s">
        <v>44</v>
      </c>
      <c r="O597" s="68">
        <v>1054969150</v>
      </c>
      <c r="P597" s="68">
        <v>1213942295</v>
      </c>
      <c r="Q597" s="303">
        <f t="shared" si="61"/>
        <v>1</v>
      </c>
      <c r="R597" s="303">
        <f t="shared" si="62"/>
        <v>63</v>
      </c>
      <c r="S597" s="68">
        <v>0</v>
      </c>
      <c r="T597" s="68">
        <v>0</v>
      </c>
      <c r="U597" s="68">
        <v>1</v>
      </c>
      <c r="V597" s="68">
        <v>63</v>
      </c>
      <c r="W597" s="68">
        <v>64</v>
      </c>
      <c r="X597" s="68">
        <v>132</v>
      </c>
      <c r="Y597" s="68">
        <v>75</v>
      </c>
      <c r="Z597" s="68">
        <v>72</v>
      </c>
      <c r="AA597" s="68">
        <v>1</v>
      </c>
      <c r="AB597" s="300">
        <f t="shared" si="63"/>
        <v>118.8</v>
      </c>
      <c r="AC597" s="300">
        <f t="shared" si="64"/>
        <v>0.71566265060240963</v>
      </c>
      <c r="AD597" s="68">
        <v>2626.06</v>
      </c>
      <c r="AE597" s="68" t="s">
        <v>109</v>
      </c>
      <c r="AF597" s="68" t="s">
        <v>317</v>
      </c>
      <c r="AG597" s="68" t="s">
        <v>317</v>
      </c>
      <c r="AH597" s="68" t="s">
        <v>1823</v>
      </c>
      <c r="AI597" s="309"/>
      <c r="AJ597" s="309"/>
      <c r="AK597" s="68" t="s">
        <v>41</v>
      </c>
      <c r="AL597" s="68" t="s">
        <v>49</v>
      </c>
      <c r="AM597" s="299">
        <f t="shared" ca="1" si="60"/>
        <v>2.0034722222262644</v>
      </c>
      <c r="AN597" s="51"/>
      <c r="AO597" s="61" t="s">
        <v>53</v>
      </c>
      <c r="AP597" s="62" t="s">
        <v>1822</v>
      </c>
      <c r="AQ597" s="62" t="s">
        <v>1978</v>
      </c>
      <c r="AR597" s="64">
        <v>44884.444444444445</v>
      </c>
      <c r="AS597" s="61" t="s">
        <v>151</v>
      </c>
      <c r="AT597" s="61">
        <v>407</v>
      </c>
      <c r="AU597" s="63">
        <v>0.44444444444444442</v>
      </c>
      <c r="AV597" s="61">
        <v>1</v>
      </c>
      <c r="AW597" s="61" t="s">
        <v>66</v>
      </c>
      <c r="AX597" s="52"/>
      <c r="AY597" s="52"/>
      <c r="AZ597" s="52"/>
      <c r="BA597" s="52"/>
    </row>
    <row r="598" spans="1:53" x14ac:dyDescent="0.25">
      <c r="A598" s="73">
        <v>334</v>
      </c>
      <c r="B598" s="72">
        <v>44882.444444444445</v>
      </c>
      <c r="C598" s="67">
        <v>0.44791666666666669</v>
      </c>
      <c r="D598" s="67">
        <v>0.4548611111111111</v>
      </c>
      <c r="E598" s="67">
        <v>0.46180555555555558</v>
      </c>
      <c r="F598" s="68" t="s">
        <v>171</v>
      </c>
      <c r="G598" s="68" t="s">
        <v>321</v>
      </c>
      <c r="H598" s="66" t="s">
        <v>195</v>
      </c>
      <c r="I598" s="66" t="s">
        <v>195</v>
      </c>
      <c r="J598" s="66" t="s">
        <v>37</v>
      </c>
      <c r="K598" s="66" t="s">
        <v>180</v>
      </c>
      <c r="L598" s="66" t="s">
        <v>209</v>
      </c>
      <c r="M598" s="68" t="s">
        <v>1824</v>
      </c>
      <c r="N598" s="68" t="s">
        <v>42</v>
      </c>
      <c r="O598" s="68" t="s">
        <v>1825</v>
      </c>
      <c r="P598" s="68">
        <v>2101075897</v>
      </c>
      <c r="Q598" s="303">
        <f t="shared" si="61"/>
        <v>2</v>
      </c>
      <c r="R598" s="303">
        <f t="shared" si="62"/>
        <v>373</v>
      </c>
      <c r="S598" s="68">
        <v>0</v>
      </c>
      <c r="T598" s="68">
        <v>0</v>
      </c>
      <c r="U598" s="68">
        <v>2</v>
      </c>
      <c r="V598" s="68">
        <v>373</v>
      </c>
      <c r="W598" s="68">
        <v>398</v>
      </c>
      <c r="X598" s="68">
        <v>114</v>
      </c>
      <c r="Y598" s="68">
        <v>80</v>
      </c>
      <c r="Z598" s="68">
        <v>92</v>
      </c>
      <c r="AA598" s="68">
        <v>2</v>
      </c>
      <c r="AB598" s="300">
        <f t="shared" si="63"/>
        <v>279.68</v>
      </c>
      <c r="AC598" s="300">
        <f t="shared" si="64"/>
        <v>1.6848192771084338</v>
      </c>
      <c r="AD598" s="68">
        <v>17670.080000000002</v>
      </c>
      <c r="AE598" s="68" t="s">
        <v>109</v>
      </c>
      <c r="AF598" s="68" t="s">
        <v>317</v>
      </c>
      <c r="AG598" s="68" t="s">
        <v>317</v>
      </c>
      <c r="AH598" s="68" t="s">
        <v>1826</v>
      </c>
      <c r="AI598" s="309"/>
      <c r="AJ598" s="309"/>
      <c r="AK598" s="68" t="s">
        <v>41</v>
      </c>
      <c r="AL598" s="68" t="s">
        <v>54</v>
      </c>
      <c r="AM598" s="299">
        <f t="shared" ca="1" si="60"/>
        <v>6.5972222218988463E-2</v>
      </c>
      <c r="AN598" s="51"/>
      <c r="AO598" s="78" t="s">
        <v>128</v>
      </c>
      <c r="AP598" s="62" t="s">
        <v>1824</v>
      </c>
      <c r="AQ598" s="61" t="s">
        <v>1888</v>
      </c>
      <c r="AR598" s="64">
        <v>44882.510416666664</v>
      </c>
      <c r="AS598" s="61" t="s">
        <v>95</v>
      </c>
      <c r="AT598" s="61" t="s">
        <v>225</v>
      </c>
      <c r="AU598" s="59">
        <v>0.51041666666666663</v>
      </c>
      <c r="AV598" s="61">
        <v>1</v>
      </c>
      <c r="AW598" s="61" t="s">
        <v>66</v>
      </c>
      <c r="AX598" s="52"/>
      <c r="AY598" s="52"/>
      <c r="AZ598" s="52"/>
      <c r="BA598" s="52"/>
    </row>
    <row r="599" spans="1:53" x14ac:dyDescent="0.25">
      <c r="A599" s="73">
        <v>335</v>
      </c>
      <c r="B599" s="72">
        <v>44882.444444444445</v>
      </c>
      <c r="C599" s="67">
        <v>0.44791666666666669</v>
      </c>
      <c r="D599" s="67">
        <v>0.4548611111111111</v>
      </c>
      <c r="E599" s="67">
        <v>0.46180555555555558</v>
      </c>
      <c r="F599" s="68" t="s">
        <v>171</v>
      </c>
      <c r="G599" s="68" t="s">
        <v>321</v>
      </c>
      <c r="H599" s="66" t="s">
        <v>195</v>
      </c>
      <c r="I599" s="66" t="s">
        <v>195</v>
      </c>
      <c r="J599" s="66" t="s">
        <v>37</v>
      </c>
      <c r="K599" s="66" t="s">
        <v>180</v>
      </c>
      <c r="L599" s="66" t="s">
        <v>209</v>
      </c>
      <c r="M599" s="68" t="s">
        <v>1827</v>
      </c>
      <c r="N599" s="68" t="s">
        <v>42</v>
      </c>
      <c r="O599" s="68" t="s">
        <v>1828</v>
      </c>
      <c r="P599" s="68">
        <v>2101075894</v>
      </c>
      <c r="Q599" s="303">
        <f t="shared" si="61"/>
        <v>3</v>
      </c>
      <c r="R599" s="303">
        <f t="shared" si="62"/>
        <v>645</v>
      </c>
      <c r="S599" s="68">
        <v>0</v>
      </c>
      <c r="T599" s="68">
        <v>0</v>
      </c>
      <c r="U599" s="68">
        <v>3</v>
      </c>
      <c r="V599" s="68">
        <v>645</v>
      </c>
      <c r="W599" s="68">
        <v>675</v>
      </c>
      <c r="X599" s="68">
        <v>114</v>
      </c>
      <c r="Y599" s="68">
        <v>80</v>
      </c>
      <c r="Z599" s="68">
        <v>110</v>
      </c>
      <c r="AA599" s="68">
        <v>2</v>
      </c>
      <c r="AB599" s="300">
        <f t="shared" si="63"/>
        <v>334.4</v>
      </c>
      <c r="AC599" s="300">
        <f t="shared" si="64"/>
        <v>2.0144578313253012</v>
      </c>
      <c r="AD599" s="68">
        <v>26912.639999999999</v>
      </c>
      <c r="AE599" s="68" t="s">
        <v>109</v>
      </c>
      <c r="AF599" s="68" t="s">
        <v>317</v>
      </c>
      <c r="AG599" s="68" t="s">
        <v>317</v>
      </c>
      <c r="AH599" s="68" t="s">
        <v>1829</v>
      </c>
      <c r="AI599" s="309"/>
      <c r="AJ599" s="309"/>
      <c r="AK599" s="68" t="s">
        <v>41</v>
      </c>
      <c r="AL599" s="68" t="s">
        <v>54</v>
      </c>
      <c r="AM599" s="299">
        <f t="shared" ca="1" si="60"/>
        <v>6.5972222218988463E-2</v>
      </c>
      <c r="AN599" s="51"/>
      <c r="AO599" s="78" t="s">
        <v>132</v>
      </c>
      <c r="AP599" s="62" t="s">
        <v>1827</v>
      </c>
      <c r="AQ599" s="61" t="s">
        <v>1888</v>
      </c>
      <c r="AR599" s="64">
        <v>44882.510416666664</v>
      </c>
      <c r="AS599" s="61" t="s">
        <v>95</v>
      </c>
      <c r="AT599" s="61" t="s">
        <v>225</v>
      </c>
      <c r="AU599" s="59">
        <v>0.51041666666666663</v>
      </c>
      <c r="AV599" s="61">
        <v>1</v>
      </c>
      <c r="AW599" s="61" t="s">
        <v>66</v>
      </c>
      <c r="AX599" s="52"/>
      <c r="AY599" s="52"/>
      <c r="AZ599" s="52"/>
      <c r="BA599" s="52"/>
    </row>
    <row r="600" spans="1:53" x14ac:dyDescent="0.25">
      <c r="A600" s="73">
        <v>335</v>
      </c>
      <c r="B600" s="72">
        <v>44882.444444444445</v>
      </c>
      <c r="C600" s="67">
        <v>0.44791666666666669</v>
      </c>
      <c r="D600" s="67">
        <v>0.4548611111111111</v>
      </c>
      <c r="E600" s="67">
        <v>0.46180555555555558</v>
      </c>
      <c r="F600" s="68" t="s">
        <v>171</v>
      </c>
      <c r="G600" s="68" t="s">
        <v>321</v>
      </c>
      <c r="H600" s="66" t="s">
        <v>195</v>
      </c>
      <c r="I600" s="66" t="s">
        <v>195</v>
      </c>
      <c r="J600" s="66" t="s">
        <v>37</v>
      </c>
      <c r="K600" s="66" t="s">
        <v>180</v>
      </c>
      <c r="L600" s="66" t="s">
        <v>209</v>
      </c>
      <c r="M600" s="68" t="s">
        <v>1827</v>
      </c>
      <c r="N600" s="68" t="s">
        <v>42</v>
      </c>
      <c r="O600" s="68" t="s">
        <v>1828</v>
      </c>
      <c r="P600" s="68">
        <v>2101075894</v>
      </c>
      <c r="Q600" s="303">
        <f t="shared" si="61"/>
        <v>0</v>
      </c>
      <c r="R600" s="303">
        <f t="shared" si="62"/>
        <v>0</v>
      </c>
      <c r="S600" s="68">
        <v>0</v>
      </c>
      <c r="T600" s="68">
        <v>0</v>
      </c>
      <c r="U600" s="68">
        <v>0</v>
      </c>
      <c r="V600" s="68">
        <v>0</v>
      </c>
      <c r="W600" s="68">
        <v>0</v>
      </c>
      <c r="X600" s="68">
        <v>114</v>
      </c>
      <c r="Y600" s="68">
        <v>80</v>
      </c>
      <c r="Z600" s="68">
        <v>130</v>
      </c>
      <c r="AA600" s="68">
        <v>1</v>
      </c>
      <c r="AB600" s="300">
        <f t="shared" si="63"/>
        <v>197.6</v>
      </c>
      <c r="AC600" s="300">
        <f t="shared" si="64"/>
        <v>1.1903614457831324</v>
      </c>
      <c r="AD600" s="68">
        <v>0</v>
      </c>
      <c r="AE600" s="68">
        <v>0</v>
      </c>
      <c r="AF600" s="68" t="s">
        <v>317</v>
      </c>
      <c r="AG600" s="68" t="s">
        <v>317</v>
      </c>
      <c r="AH600" s="68" t="s">
        <v>1829</v>
      </c>
      <c r="AI600" s="309"/>
      <c r="AJ600" s="309"/>
      <c r="AK600" s="68" t="s">
        <v>41</v>
      </c>
      <c r="AL600" s="68" t="s">
        <v>54</v>
      </c>
      <c r="AM600" s="299">
        <f t="shared" ca="1" si="60"/>
        <v>6.5972222218988463E-2</v>
      </c>
      <c r="AN600" s="51"/>
      <c r="AO600" s="78" t="s">
        <v>132</v>
      </c>
      <c r="AP600" s="62" t="s">
        <v>1827</v>
      </c>
      <c r="AQ600" s="61" t="s">
        <v>1888</v>
      </c>
      <c r="AR600" s="64">
        <v>44882.510416666664</v>
      </c>
      <c r="AS600" s="61" t="s">
        <v>95</v>
      </c>
      <c r="AT600" s="61" t="s">
        <v>225</v>
      </c>
      <c r="AU600" s="59">
        <v>0.51041666666666663</v>
      </c>
      <c r="AV600" s="61">
        <v>1</v>
      </c>
      <c r="AW600" s="61" t="s">
        <v>66</v>
      </c>
      <c r="AX600" s="52"/>
      <c r="AY600" s="52"/>
      <c r="AZ600" s="52"/>
      <c r="BA600" s="52"/>
    </row>
    <row r="601" spans="1:53" x14ac:dyDescent="0.25">
      <c r="A601" s="73">
        <v>336</v>
      </c>
      <c r="B601" s="72">
        <v>44882.444444444445</v>
      </c>
      <c r="C601" s="67">
        <v>0.44791666666666669</v>
      </c>
      <c r="D601" s="67">
        <v>0.4548611111111111</v>
      </c>
      <c r="E601" s="67">
        <v>0.46180555555555558</v>
      </c>
      <c r="F601" s="68" t="s">
        <v>171</v>
      </c>
      <c r="G601" s="68" t="s">
        <v>321</v>
      </c>
      <c r="H601" s="66" t="s">
        <v>195</v>
      </c>
      <c r="I601" s="66" t="s">
        <v>195</v>
      </c>
      <c r="J601" s="66" t="s">
        <v>37</v>
      </c>
      <c r="K601" s="66" t="s">
        <v>180</v>
      </c>
      <c r="L601" s="66" t="s">
        <v>209</v>
      </c>
      <c r="M601" s="68" t="s">
        <v>1824</v>
      </c>
      <c r="N601" s="68" t="s">
        <v>42</v>
      </c>
      <c r="O601" s="68" t="s">
        <v>1830</v>
      </c>
      <c r="P601" s="68">
        <v>2101075896</v>
      </c>
      <c r="Q601" s="303">
        <f t="shared" si="61"/>
        <v>6</v>
      </c>
      <c r="R601" s="303">
        <f t="shared" si="62"/>
        <v>1499</v>
      </c>
      <c r="S601" s="68">
        <v>0</v>
      </c>
      <c r="T601" s="68">
        <v>0</v>
      </c>
      <c r="U601" s="68">
        <v>6</v>
      </c>
      <c r="V601" s="68">
        <v>1499</v>
      </c>
      <c r="W601" s="68">
        <v>1553</v>
      </c>
      <c r="X601" s="68">
        <v>114</v>
      </c>
      <c r="Y601" s="68">
        <v>80</v>
      </c>
      <c r="Z601" s="68">
        <v>110</v>
      </c>
      <c r="AA601" s="68">
        <v>3</v>
      </c>
      <c r="AB601" s="300">
        <f t="shared" si="63"/>
        <v>501.6</v>
      </c>
      <c r="AC601" s="300">
        <f t="shared" si="64"/>
        <v>3.0216867469879518</v>
      </c>
      <c r="AD601" s="68">
        <v>61126.76</v>
      </c>
      <c r="AE601" s="68" t="s">
        <v>109</v>
      </c>
      <c r="AF601" s="68" t="s">
        <v>317</v>
      </c>
      <c r="AG601" s="68" t="s">
        <v>317</v>
      </c>
      <c r="AH601" s="68" t="s">
        <v>1831</v>
      </c>
      <c r="AI601" s="309"/>
      <c r="AJ601" s="309"/>
      <c r="AK601" s="68" t="s">
        <v>41</v>
      </c>
      <c r="AL601" s="68" t="s">
        <v>54</v>
      </c>
      <c r="AM601" s="299">
        <f t="shared" ca="1" si="60"/>
        <v>6.5972222218988463E-2</v>
      </c>
      <c r="AN601" s="51"/>
      <c r="AO601" s="78" t="s">
        <v>128</v>
      </c>
      <c r="AP601" s="62" t="s">
        <v>1824</v>
      </c>
      <c r="AQ601" s="61" t="s">
        <v>1888</v>
      </c>
      <c r="AR601" s="64">
        <v>44882.510416666664</v>
      </c>
      <c r="AS601" s="61" t="s">
        <v>95</v>
      </c>
      <c r="AT601" s="61" t="s">
        <v>225</v>
      </c>
      <c r="AU601" s="59">
        <v>0.51041666666666663</v>
      </c>
      <c r="AV601" s="61">
        <v>1</v>
      </c>
      <c r="AW601" s="61" t="s">
        <v>66</v>
      </c>
      <c r="AX601" s="52"/>
      <c r="AY601" s="52"/>
      <c r="AZ601" s="52"/>
      <c r="BA601" s="52"/>
    </row>
    <row r="602" spans="1:53" x14ac:dyDescent="0.25">
      <c r="A602" s="73">
        <v>336</v>
      </c>
      <c r="B602" s="72">
        <v>44882.444444444445</v>
      </c>
      <c r="C602" s="67">
        <v>0.44791666666666669</v>
      </c>
      <c r="D602" s="67">
        <v>0.4548611111111111</v>
      </c>
      <c r="E602" s="67">
        <v>0.46180555555555558</v>
      </c>
      <c r="F602" s="68" t="s">
        <v>171</v>
      </c>
      <c r="G602" s="68" t="s">
        <v>321</v>
      </c>
      <c r="H602" s="66" t="s">
        <v>195</v>
      </c>
      <c r="I602" s="66" t="s">
        <v>195</v>
      </c>
      <c r="J602" s="66" t="s">
        <v>37</v>
      </c>
      <c r="K602" s="66" t="s">
        <v>180</v>
      </c>
      <c r="L602" s="66" t="s">
        <v>209</v>
      </c>
      <c r="M602" s="68" t="s">
        <v>1824</v>
      </c>
      <c r="N602" s="68" t="s">
        <v>42</v>
      </c>
      <c r="O602" s="68" t="s">
        <v>1830</v>
      </c>
      <c r="P602" s="68">
        <v>2101075896</v>
      </c>
      <c r="Q602" s="303">
        <f t="shared" si="61"/>
        <v>0</v>
      </c>
      <c r="R602" s="303">
        <f t="shared" si="62"/>
        <v>0</v>
      </c>
      <c r="S602" s="68">
        <v>0</v>
      </c>
      <c r="T602" s="68">
        <v>0</v>
      </c>
      <c r="U602" s="68">
        <v>0</v>
      </c>
      <c r="V602" s="68">
        <v>0</v>
      </c>
      <c r="W602" s="68">
        <v>0</v>
      </c>
      <c r="X602" s="68">
        <v>114</v>
      </c>
      <c r="Y602" s="68">
        <v>80</v>
      </c>
      <c r="Z602" s="68">
        <v>130</v>
      </c>
      <c r="AA602" s="68">
        <v>3</v>
      </c>
      <c r="AB602" s="300">
        <f t="shared" si="63"/>
        <v>592.79999999999995</v>
      </c>
      <c r="AC602" s="300">
        <f t="shared" si="64"/>
        <v>3.5710843373493972</v>
      </c>
      <c r="AD602" s="68">
        <v>0</v>
      </c>
      <c r="AE602" s="68">
        <v>0</v>
      </c>
      <c r="AF602" s="68" t="s">
        <v>317</v>
      </c>
      <c r="AG602" s="68" t="s">
        <v>317</v>
      </c>
      <c r="AH602" s="68" t="s">
        <v>1831</v>
      </c>
      <c r="AI602" s="309"/>
      <c r="AJ602" s="309"/>
      <c r="AK602" s="68" t="s">
        <v>41</v>
      </c>
      <c r="AL602" s="68" t="s">
        <v>54</v>
      </c>
      <c r="AM602" s="299">
        <f t="shared" ca="1" si="60"/>
        <v>6.5972222218988463E-2</v>
      </c>
      <c r="AN602" s="51"/>
      <c r="AO602" s="78" t="s">
        <v>128</v>
      </c>
      <c r="AP602" s="62" t="s">
        <v>1824</v>
      </c>
      <c r="AQ602" s="61" t="s">
        <v>1888</v>
      </c>
      <c r="AR602" s="64">
        <v>44882.510416666664</v>
      </c>
      <c r="AS602" s="61" t="s">
        <v>95</v>
      </c>
      <c r="AT602" s="61" t="s">
        <v>225</v>
      </c>
      <c r="AU602" s="59">
        <v>0.51041666666666663</v>
      </c>
      <c r="AV602" s="61">
        <v>1</v>
      </c>
      <c r="AW602" s="61" t="s">
        <v>66</v>
      </c>
      <c r="AX602" s="52"/>
      <c r="AY602" s="52"/>
      <c r="AZ602" s="52"/>
      <c r="BA602" s="52"/>
    </row>
    <row r="603" spans="1:53" x14ac:dyDescent="0.25">
      <c r="A603" s="73">
        <v>337</v>
      </c>
      <c r="B603" s="72">
        <v>44882.475694444445</v>
      </c>
      <c r="C603" s="67">
        <v>0.47916666666666669</v>
      </c>
      <c r="D603" s="67">
        <v>0.49652777777777773</v>
      </c>
      <c r="E603" s="67">
        <v>0.51041666666666663</v>
      </c>
      <c r="F603" s="68" t="s">
        <v>170</v>
      </c>
      <c r="G603" s="68" t="s">
        <v>1832</v>
      </c>
      <c r="H603" s="71" t="s">
        <v>187</v>
      </c>
      <c r="I603" s="71" t="s">
        <v>110</v>
      </c>
      <c r="J603" s="71" t="s">
        <v>37</v>
      </c>
      <c r="K603" s="71" t="s">
        <v>63</v>
      </c>
      <c r="L603" s="71" t="s">
        <v>212</v>
      </c>
      <c r="M603" s="68" t="s">
        <v>1833</v>
      </c>
      <c r="N603" s="68" t="s">
        <v>186</v>
      </c>
      <c r="O603" s="68">
        <v>21222231571</v>
      </c>
      <c r="P603" s="68">
        <v>5051993510</v>
      </c>
      <c r="Q603" s="303">
        <f t="shared" si="61"/>
        <v>1</v>
      </c>
      <c r="R603" s="303">
        <f t="shared" si="62"/>
        <v>80</v>
      </c>
      <c r="S603" s="68">
        <v>0</v>
      </c>
      <c r="T603" s="68">
        <v>0</v>
      </c>
      <c r="U603" s="68">
        <v>1</v>
      </c>
      <c r="V603" s="68">
        <v>80</v>
      </c>
      <c r="W603" s="68">
        <v>78.8</v>
      </c>
      <c r="X603" s="68">
        <v>80</v>
      </c>
      <c r="Y603" s="68">
        <v>60</v>
      </c>
      <c r="Z603" s="68">
        <v>44</v>
      </c>
      <c r="AA603" s="68">
        <v>1</v>
      </c>
      <c r="AB603" s="300">
        <f t="shared" si="63"/>
        <v>35.200000000000003</v>
      </c>
      <c r="AC603" s="300">
        <f t="shared" si="64"/>
        <v>0.21204819277108436</v>
      </c>
      <c r="AD603" s="68">
        <v>1794.48</v>
      </c>
      <c r="AE603" s="68" t="s">
        <v>109</v>
      </c>
      <c r="AF603" s="68" t="s">
        <v>317</v>
      </c>
      <c r="AG603" s="68" t="s">
        <v>317</v>
      </c>
      <c r="AH603" s="68" t="s">
        <v>1834</v>
      </c>
      <c r="AI603" s="309"/>
      <c r="AJ603" s="309"/>
      <c r="AK603" s="68" t="s">
        <v>41</v>
      </c>
      <c r="AL603" s="68" t="s">
        <v>39</v>
      </c>
      <c r="AM603" s="299">
        <f t="shared" ca="1" si="60"/>
        <v>0.15625</v>
      </c>
      <c r="AN603" s="51"/>
      <c r="AO603" s="78" t="s">
        <v>131</v>
      </c>
      <c r="AP603" s="62" t="s">
        <v>1833</v>
      </c>
      <c r="AQ603" s="61" t="s">
        <v>1890</v>
      </c>
      <c r="AR603" s="64">
        <v>44882.631944444445</v>
      </c>
      <c r="AS603" s="61" t="s">
        <v>117</v>
      </c>
      <c r="AT603" s="61" t="s">
        <v>225</v>
      </c>
      <c r="AU603" s="59">
        <v>0.63194444444444442</v>
      </c>
      <c r="AV603" s="61">
        <v>2</v>
      </c>
      <c r="AW603" s="61" t="s">
        <v>66</v>
      </c>
      <c r="AX603" s="52"/>
      <c r="AY603" s="52"/>
      <c r="AZ603" s="52"/>
      <c r="BA603" s="52"/>
    </row>
    <row r="604" spans="1:53" x14ac:dyDescent="0.25">
      <c r="A604" s="73">
        <v>338</v>
      </c>
      <c r="B604" s="72">
        <v>44882.475694444445</v>
      </c>
      <c r="C604" s="67">
        <v>0.47916666666666669</v>
      </c>
      <c r="D604" s="67">
        <v>0.49652777777777773</v>
      </c>
      <c r="E604" s="67">
        <v>0.51041666666666663</v>
      </c>
      <c r="F604" s="68" t="s">
        <v>170</v>
      </c>
      <c r="G604" s="68" t="s">
        <v>1832</v>
      </c>
      <c r="H604" s="66" t="s">
        <v>187</v>
      </c>
      <c r="I604" s="66" t="s">
        <v>110</v>
      </c>
      <c r="J604" s="66" t="s">
        <v>37</v>
      </c>
      <c r="K604" s="66" t="s">
        <v>63</v>
      </c>
      <c r="L604" s="66" t="s">
        <v>212</v>
      </c>
      <c r="M604" s="68" t="s">
        <v>1833</v>
      </c>
      <c r="N604" s="68" t="s">
        <v>186</v>
      </c>
      <c r="O604" s="68">
        <v>21222231569</v>
      </c>
      <c r="P604" s="68">
        <v>5051991088</v>
      </c>
      <c r="Q604" s="303">
        <f t="shared" si="61"/>
        <v>1</v>
      </c>
      <c r="R604" s="303">
        <f t="shared" si="62"/>
        <v>2</v>
      </c>
      <c r="S604" s="68">
        <v>1</v>
      </c>
      <c r="T604" s="68">
        <v>2</v>
      </c>
      <c r="U604" s="68">
        <v>0</v>
      </c>
      <c r="V604" s="68">
        <v>0</v>
      </c>
      <c r="W604" s="68">
        <v>1.595</v>
      </c>
      <c r="X604" s="68">
        <v>26</v>
      </c>
      <c r="Y604" s="68">
        <v>20</v>
      </c>
      <c r="Z604" s="68">
        <v>17</v>
      </c>
      <c r="AA604" s="68">
        <v>1</v>
      </c>
      <c r="AB604" s="300">
        <f t="shared" si="63"/>
        <v>1.4733333333333334</v>
      </c>
      <c r="AC604" s="300">
        <f t="shared" si="64"/>
        <v>8.8755020080321292E-3</v>
      </c>
      <c r="AD604" s="68">
        <v>99.98</v>
      </c>
      <c r="AE604" s="68" t="s">
        <v>109</v>
      </c>
      <c r="AF604" s="68" t="s">
        <v>317</v>
      </c>
      <c r="AG604" s="68" t="s">
        <v>317</v>
      </c>
      <c r="AH604" s="68" t="s">
        <v>1835</v>
      </c>
      <c r="AI604" s="309"/>
      <c r="AJ604" s="309"/>
      <c r="AK604" s="68" t="s">
        <v>48</v>
      </c>
      <c r="AL604" s="68" t="s">
        <v>39</v>
      </c>
      <c r="AM604" s="299">
        <f t="shared" ca="1" si="60"/>
        <v>0.15625</v>
      </c>
      <c r="AN604" s="51"/>
      <c r="AO604" s="78" t="s">
        <v>131</v>
      </c>
      <c r="AP604" s="62" t="s">
        <v>1833</v>
      </c>
      <c r="AQ604" s="61" t="s">
        <v>1890</v>
      </c>
      <c r="AR604" s="64">
        <v>44882.631944444445</v>
      </c>
      <c r="AS604" s="61" t="s">
        <v>117</v>
      </c>
      <c r="AT604" s="61" t="s">
        <v>225</v>
      </c>
      <c r="AU604" s="59">
        <v>0.63194444444444442</v>
      </c>
      <c r="AV604" s="61">
        <v>2</v>
      </c>
      <c r="AW604" s="61" t="s">
        <v>66</v>
      </c>
      <c r="AX604" s="52"/>
      <c r="AY604" s="52"/>
      <c r="AZ604" s="52"/>
      <c r="BA604" s="52"/>
    </row>
    <row r="605" spans="1:53" x14ac:dyDescent="0.25">
      <c r="A605" s="73">
        <v>339</v>
      </c>
      <c r="B605" s="72">
        <v>44882.475694444445</v>
      </c>
      <c r="C605" s="67">
        <v>0.47916666666666669</v>
      </c>
      <c r="D605" s="67">
        <v>0.49652777777777773</v>
      </c>
      <c r="E605" s="67">
        <v>0.51041666666666663</v>
      </c>
      <c r="F605" s="68" t="s">
        <v>170</v>
      </c>
      <c r="G605" s="68" t="s">
        <v>1832</v>
      </c>
      <c r="H605" s="66" t="s">
        <v>187</v>
      </c>
      <c r="I605" s="66" t="s">
        <v>110</v>
      </c>
      <c r="J605" s="66" t="s">
        <v>37</v>
      </c>
      <c r="K605" s="66" t="s">
        <v>63</v>
      </c>
      <c r="L605" s="66" t="s">
        <v>212</v>
      </c>
      <c r="M605" s="68" t="s">
        <v>1833</v>
      </c>
      <c r="N605" s="68" t="s">
        <v>186</v>
      </c>
      <c r="O605" s="68">
        <v>21222231568</v>
      </c>
      <c r="P605" s="68">
        <v>5051989209</v>
      </c>
      <c r="Q605" s="303">
        <f t="shared" si="61"/>
        <v>1</v>
      </c>
      <c r="R605" s="303">
        <f t="shared" si="62"/>
        <v>1</v>
      </c>
      <c r="S605" s="68">
        <v>1</v>
      </c>
      <c r="T605" s="68">
        <v>1</v>
      </c>
      <c r="U605" s="68">
        <v>0</v>
      </c>
      <c r="V605" s="68">
        <v>0</v>
      </c>
      <c r="W605" s="68">
        <v>1.2450000000000001</v>
      </c>
      <c r="X605" s="68">
        <v>26</v>
      </c>
      <c r="Y605" s="68">
        <v>20</v>
      </c>
      <c r="Z605" s="68">
        <v>17</v>
      </c>
      <c r="AA605" s="68">
        <v>1</v>
      </c>
      <c r="AB605" s="300">
        <f t="shared" si="63"/>
        <v>1.4733333333333334</v>
      </c>
      <c r="AC605" s="300">
        <f t="shared" si="64"/>
        <v>8.8755020080321292E-3</v>
      </c>
      <c r="AD605" s="68">
        <v>56.38</v>
      </c>
      <c r="AE605" s="68" t="s">
        <v>109</v>
      </c>
      <c r="AF605" s="68" t="s">
        <v>317</v>
      </c>
      <c r="AG605" s="68" t="s">
        <v>317</v>
      </c>
      <c r="AH605" s="68" t="s">
        <v>1836</v>
      </c>
      <c r="AI605" s="309"/>
      <c r="AJ605" s="309"/>
      <c r="AK605" s="68" t="s">
        <v>48</v>
      </c>
      <c r="AL605" s="68" t="s">
        <v>39</v>
      </c>
      <c r="AM605" s="299">
        <f t="shared" ca="1" si="60"/>
        <v>0.15625</v>
      </c>
      <c r="AN605" s="51"/>
      <c r="AO605" s="78" t="s">
        <v>131</v>
      </c>
      <c r="AP605" s="62" t="s">
        <v>1833</v>
      </c>
      <c r="AQ605" s="61" t="s">
        <v>1890</v>
      </c>
      <c r="AR605" s="64">
        <v>44882.631944444445</v>
      </c>
      <c r="AS605" s="61" t="s">
        <v>117</v>
      </c>
      <c r="AT605" s="61" t="s">
        <v>225</v>
      </c>
      <c r="AU605" s="59">
        <v>0.63194444444444442</v>
      </c>
      <c r="AV605" s="61">
        <v>2</v>
      </c>
      <c r="AW605" s="61" t="s">
        <v>66</v>
      </c>
      <c r="AX605" s="52"/>
      <c r="AY605" s="52"/>
      <c r="AZ605" s="52"/>
      <c r="BA605" s="52"/>
    </row>
    <row r="606" spans="1:53" x14ac:dyDescent="0.25">
      <c r="A606" s="73">
        <v>340</v>
      </c>
      <c r="B606" s="72">
        <v>44882.475694444445</v>
      </c>
      <c r="C606" s="67">
        <v>0.47916666666666669</v>
      </c>
      <c r="D606" s="67">
        <v>0.49652777777777773</v>
      </c>
      <c r="E606" s="67">
        <v>0.51041666666666663</v>
      </c>
      <c r="F606" s="68" t="s">
        <v>170</v>
      </c>
      <c r="G606" s="68" t="s">
        <v>1832</v>
      </c>
      <c r="H606" s="66" t="s">
        <v>187</v>
      </c>
      <c r="I606" s="66" t="s">
        <v>110</v>
      </c>
      <c r="J606" s="66" t="s">
        <v>37</v>
      </c>
      <c r="K606" s="66" t="s">
        <v>63</v>
      </c>
      <c r="L606" s="66" t="s">
        <v>212</v>
      </c>
      <c r="M606" s="68" t="s">
        <v>1833</v>
      </c>
      <c r="N606" s="68" t="s">
        <v>186</v>
      </c>
      <c r="O606" s="68">
        <v>21222231570</v>
      </c>
      <c r="P606" s="68">
        <v>5051991755</v>
      </c>
      <c r="Q606" s="303">
        <f t="shared" si="61"/>
        <v>1</v>
      </c>
      <c r="R606" s="303">
        <f t="shared" si="62"/>
        <v>3</v>
      </c>
      <c r="S606" s="68">
        <v>1</v>
      </c>
      <c r="T606" s="68">
        <v>3</v>
      </c>
      <c r="U606" s="68">
        <v>0</v>
      </c>
      <c r="V606" s="68">
        <v>0</v>
      </c>
      <c r="W606" s="68">
        <v>3.45</v>
      </c>
      <c r="X606" s="68">
        <v>26</v>
      </c>
      <c r="Y606" s="68">
        <v>20</v>
      </c>
      <c r="Z606" s="68">
        <v>17</v>
      </c>
      <c r="AA606" s="68">
        <v>1</v>
      </c>
      <c r="AB606" s="300">
        <f t="shared" si="63"/>
        <v>1.4733333333333334</v>
      </c>
      <c r="AC606" s="300">
        <f t="shared" si="64"/>
        <v>8.8755020080321292E-3</v>
      </c>
      <c r="AD606" s="68">
        <v>297.85000000000002</v>
      </c>
      <c r="AE606" s="68" t="s">
        <v>109</v>
      </c>
      <c r="AF606" s="68" t="s">
        <v>317</v>
      </c>
      <c r="AG606" s="68" t="s">
        <v>317</v>
      </c>
      <c r="AH606" s="68" t="s">
        <v>1837</v>
      </c>
      <c r="AI606" s="309"/>
      <c r="AJ606" s="309"/>
      <c r="AK606" s="68" t="s">
        <v>48</v>
      </c>
      <c r="AL606" s="68" t="s">
        <v>39</v>
      </c>
      <c r="AM606" s="299">
        <f t="shared" ca="1" si="60"/>
        <v>0.15625</v>
      </c>
      <c r="AN606" s="51"/>
      <c r="AO606" s="78" t="s">
        <v>131</v>
      </c>
      <c r="AP606" s="62" t="s">
        <v>1833</v>
      </c>
      <c r="AQ606" s="61" t="s">
        <v>1890</v>
      </c>
      <c r="AR606" s="64">
        <v>44882.631944444445</v>
      </c>
      <c r="AS606" s="61" t="s">
        <v>117</v>
      </c>
      <c r="AT606" s="61" t="s">
        <v>225</v>
      </c>
      <c r="AU606" s="59">
        <v>0.63194444444444442</v>
      </c>
      <c r="AV606" s="61">
        <v>2</v>
      </c>
      <c r="AW606" s="61" t="s">
        <v>66</v>
      </c>
      <c r="AX606" s="52"/>
      <c r="AY606" s="52"/>
      <c r="AZ606" s="52"/>
      <c r="BA606" s="52"/>
    </row>
    <row r="607" spans="1:53" x14ac:dyDescent="0.25">
      <c r="A607" s="73">
        <v>341</v>
      </c>
      <c r="B607" s="72">
        <v>44882.475694444445</v>
      </c>
      <c r="C607" s="67">
        <v>0.47916666666666669</v>
      </c>
      <c r="D607" s="67">
        <v>0.49652777777777773</v>
      </c>
      <c r="E607" s="67">
        <v>0.51041666666666663</v>
      </c>
      <c r="F607" s="68" t="s">
        <v>170</v>
      </c>
      <c r="G607" s="68" t="s">
        <v>1832</v>
      </c>
      <c r="H607" s="66" t="s">
        <v>187</v>
      </c>
      <c r="I607" s="66" t="s">
        <v>153</v>
      </c>
      <c r="J607" s="66" t="s">
        <v>37</v>
      </c>
      <c r="K607" s="66" t="s">
        <v>63</v>
      </c>
      <c r="L607" s="66" t="s">
        <v>212</v>
      </c>
      <c r="M607" s="68" t="s">
        <v>1838</v>
      </c>
      <c r="N607" s="68" t="s">
        <v>42</v>
      </c>
      <c r="O607" s="68">
        <v>21222231545</v>
      </c>
      <c r="P607" s="68">
        <v>5052002629</v>
      </c>
      <c r="Q607" s="303">
        <f t="shared" si="61"/>
        <v>1</v>
      </c>
      <c r="R607" s="303">
        <f t="shared" si="62"/>
        <v>4</v>
      </c>
      <c r="S607" s="68">
        <v>1</v>
      </c>
      <c r="T607" s="68">
        <v>4</v>
      </c>
      <c r="U607" s="68">
        <v>0</v>
      </c>
      <c r="V607" s="68">
        <v>0</v>
      </c>
      <c r="W607" s="68">
        <v>4.05</v>
      </c>
      <c r="X607" s="68">
        <v>26</v>
      </c>
      <c r="Y607" s="68">
        <v>20</v>
      </c>
      <c r="Z607" s="68">
        <v>17</v>
      </c>
      <c r="AA607" s="68">
        <v>1</v>
      </c>
      <c r="AB607" s="300">
        <f t="shared" si="63"/>
        <v>1.4733333333333334</v>
      </c>
      <c r="AC607" s="300">
        <f t="shared" si="64"/>
        <v>8.8755020080321292E-3</v>
      </c>
      <c r="AD607" s="68">
        <v>114.46</v>
      </c>
      <c r="AE607" s="68" t="s">
        <v>109</v>
      </c>
      <c r="AF607" s="68" t="s">
        <v>317</v>
      </c>
      <c r="AG607" s="68" t="s">
        <v>317</v>
      </c>
      <c r="AH607" s="68" t="s">
        <v>1839</v>
      </c>
      <c r="AI607" s="309"/>
      <c r="AJ607" s="309"/>
      <c r="AK607" s="68" t="s">
        <v>48</v>
      </c>
      <c r="AL607" s="68" t="s">
        <v>39</v>
      </c>
      <c r="AM607" s="299">
        <f t="shared" ca="1" si="60"/>
        <v>4.0763888888905058</v>
      </c>
      <c r="AN607" s="51"/>
      <c r="AO607" s="61" t="s">
        <v>120</v>
      </c>
      <c r="AP607" s="62" t="s">
        <v>1838</v>
      </c>
      <c r="AQ607" s="61" t="s">
        <v>2046</v>
      </c>
      <c r="AR607" s="64">
        <v>44886.552083333336</v>
      </c>
      <c r="AS607" s="57" t="s">
        <v>117</v>
      </c>
      <c r="AT607" s="61" t="s">
        <v>225</v>
      </c>
      <c r="AU607" s="63">
        <v>0.55208333333333337</v>
      </c>
      <c r="AV607" s="61">
        <v>1</v>
      </c>
      <c r="AW607" s="61" t="s">
        <v>66</v>
      </c>
      <c r="AX607" s="52"/>
      <c r="AY607" s="52"/>
      <c r="AZ607" s="52"/>
      <c r="BA607" s="52"/>
    </row>
    <row r="608" spans="1:53" x14ac:dyDescent="0.25">
      <c r="A608" s="73">
        <v>342</v>
      </c>
      <c r="B608" s="72">
        <v>44882.475694444445</v>
      </c>
      <c r="C608" s="67">
        <v>0.47916666666666669</v>
      </c>
      <c r="D608" s="67">
        <v>0.49652777777777773</v>
      </c>
      <c r="E608" s="67">
        <v>0.51041666666666663</v>
      </c>
      <c r="F608" s="68" t="s">
        <v>170</v>
      </c>
      <c r="G608" s="68" t="s">
        <v>1832</v>
      </c>
      <c r="H608" s="66" t="s">
        <v>187</v>
      </c>
      <c r="I608" s="66" t="s">
        <v>153</v>
      </c>
      <c r="J608" s="66" t="s">
        <v>37</v>
      </c>
      <c r="K608" s="66" t="s">
        <v>63</v>
      </c>
      <c r="L608" s="66" t="s">
        <v>212</v>
      </c>
      <c r="M608" s="68" t="s">
        <v>1838</v>
      </c>
      <c r="N608" s="68" t="s">
        <v>42</v>
      </c>
      <c r="O608" s="68">
        <v>21222231544</v>
      </c>
      <c r="P608" s="68">
        <v>5051999252</v>
      </c>
      <c r="Q608" s="303">
        <f t="shared" si="61"/>
        <v>1</v>
      </c>
      <c r="R608" s="303">
        <f t="shared" si="62"/>
        <v>8</v>
      </c>
      <c r="S608" s="68">
        <v>1</v>
      </c>
      <c r="T608" s="68">
        <v>8</v>
      </c>
      <c r="U608" s="68">
        <v>0</v>
      </c>
      <c r="V608" s="68">
        <v>0</v>
      </c>
      <c r="W608" s="68">
        <v>8.1</v>
      </c>
      <c r="X608" s="68">
        <v>30</v>
      </c>
      <c r="Y608" s="68">
        <v>30</v>
      </c>
      <c r="Z608" s="68">
        <v>30</v>
      </c>
      <c r="AA608" s="68">
        <v>1</v>
      </c>
      <c r="AB608" s="300">
        <f t="shared" si="63"/>
        <v>4.5</v>
      </c>
      <c r="AC608" s="300">
        <f t="shared" si="64"/>
        <v>2.710843373493976E-2</v>
      </c>
      <c r="AD608" s="68">
        <v>260.32</v>
      </c>
      <c r="AE608" s="68" t="s">
        <v>109</v>
      </c>
      <c r="AF608" s="68" t="s">
        <v>317</v>
      </c>
      <c r="AG608" s="68" t="s">
        <v>317</v>
      </c>
      <c r="AH608" s="68" t="s">
        <v>1840</v>
      </c>
      <c r="AI608" s="309"/>
      <c r="AJ608" s="309"/>
      <c r="AK608" s="68" t="s">
        <v>48</v>
      </c>
      <c r="AL608" s="68" t="s">
        <v>39</v>
      </c>
      <c r="AM608" s="299">
        <f t="shared" ca="1" si="60"/>
        <v>4.0763888888905058</v>
      </c>
      <c r="AN608" s="51"/>
      <c r="AO608" s="61" t="s">
        <v>120</v>
      </c>
      <c r="AP608" s="62" t="s">
        <v>1838</v>
      </c>
      <c r="AQ608" s="61" t="s">
        <v>2046</v>
      </c>
      <c r="AR608" s="64">
        <v>44886.552083333336</v>
      </c>
      <c r="AS608" s="57" t="s">
        <v>117</v>
      </c>
      <c r="AT608" s="61" t="s">
        <v>225</v>
      </c>
      <c r="AU608" s="63">
        <v>0.55208333333333337</v>
      </c>
      <c r="AV608" s="61">
        <v>1</v>
      </c>
      <c r="AW608" s="61" t="s">
        <v>66</v>
      </c>
      <c r="AX608" s="52"/>
      <c r="AY608" s="52"/>
      <c r="AZ608" s="52"/>
      <c r="BA608" s="52"/>
    </row>
    <row r="609" spans="1:54" x14ac:dyDescent="0.25">
      <c r="A609" s="73">
        <v>343</v>
      </c>
      <c r="B609" s="72">
        <v>44882.475694444445</v>
      </c>
      <c r="C609" s="67">
        <v>0.47916666666666669</v>
      </c>
      <c r="D609" s="67">
        <v>0.49652777777777773</v>
      </c>
      <c r="E609" s="67">
        <v>0.51041666666666663</v>
      </c>
      <c r="F609" s="68" t="s">
        <v>170</v>
      </c>
      <c r="G609" s="68" t="s">
        <v>1832</v>
      </c>
      <c r="H609" s="66" t="s">
        <v>187</v>
      </c>
      <c r="I609" s="66" t="s">
        <v>153</v>
      </c>
      <c r="J609" s="66" t="s">
        <v>37</v>
      </c>
      <c r="K609" s="66" t="s">
        <v>63</v>
      </c>
      <c r="L609" s="66" t="s">
        <v>212</v>
      </c>
      <c r="M609" s="68" t="s">
        <v>1838</v>
      </c>
      <c r="N609" s="68" t="s">
        <v>42</v>
      </c>
      <c r="O609" s="68">
        <v>21222231536</v>
      </c>
      <c r="P609" s="68">
        <v>5051998461</v>
      </c>
      <c r="Q609" s="303">
        <f t="shared" si="61"/>
        <v>1</v>
      </c>
      <c r="R609" s="303">
        <f t="shared" si="62"/>
        <v>62</v>
      </c>
      <c r="S609" s="68">
        <v>0</v>
      </c>
      <c r="T609" s="68">
        <v>0</v>
      </c>
      <c r="U609" s="68">
        <v>1</v>
      </c>
      <c r="V609" s="68">
        <v>62</v>
      </c>
      <c r="W609" s="68">
        <v>63.4</v>
      </c>
      <c r="X609" s="68">
        <v>65</v>
      </c>
      <c r="Y609" s="68">
        <v>47</v>
      </c>
      <c r="Z609" s="68">
        <v>54</v>
      </c>
      <c r="AA609" s="68">
        <v>1</v>
      </c>
      <c r="AB609" s="300">
        <f t="shared" si="63"/>
        <v>27.495000000000001</v>
      </c>
      <c r="AC609" s="300">
        <f t="shared" si="64"/>
        <v>0.16563253012048193</v>
      </c>
      <c r="AD609" s="68">
        <v>239.78</v>
      </c>
      <c r="AE609" s="68" t="s">
        <v>109</v>
      </c>
      <c r="AF609" s="68" t="s">
        <v>317</v>
      </c>
      <c r="AG609" s="68" t="s">
        <v>317</v>
      </c>
      <c r="AH609" s="68" t="s">
        <v>1841</v>
      </c>
      <c r="AI609" s="309"/>
      <c r="AJ609" s="309"/>
      <c r="AK609" s="68" t="s">
        <v>1842</v>
      </c>
      <c r="AL609" s="68" t="s">
        <v>39</v>
      </c>
      <c r="AM609" s="299">
        <f t="shared" ca="1" si="60"/>
        <v>4.0763888888905058</v>
      </c>
      <c r="AN609" s="51"/>
      <c r="AO609" s="61" t="s">
        <v>120</v>
      </c>
      <c r="AP609" s="62" t="s">
        <v>1838</v>
      </c>
      <c r="AQ609" s="61" t="s">
        <v>2046</v>
      </c>
      <c r="AR609" s="64">
        <v>44886.552083333336</v>
      </c>
      <c r="AS609" s="57" t="s">
        <v>117</v>
      </c>
      <c r="AT609" s="61" t="s">
        <v>225</v>
      </c>
      <c r="AU609" s="63">
        <v>0.55208333333333337</v>
      </c>
      <c r="AV609" s="61">
        <v>1</v>
      </c>
      <c r="AW609" s="61" t="s">
        <v>66</v>
      </c>
      <c r="AX609" s="52"/>
      <c r="AY609" s="52"/>
      <c r="AZ609" s="52"/>
      <c r="BA609" s="52"/>
    </row>
    <row r="610" spans="1:54" x14ac:dyDescent="0.25">
      <c r="A610" s="73">
        <v>344</v>
      </c>
      <c r="B610" s="72">
        <v>44882.475694444445</v>
      </c>
      <c r="C610" s="67">
        <v>0.47916666666666669</v>
      </c>
      <c r="D610" s="67">
        <v>0.49652777777777773</v>
      </c>
      <c r="E610" s="67">
        <v>0.51041666666666663</v>
      </c>
      <c r="F610" s="68" t="s">
        <v>170</v>
      </c>
      <c r="G610" s="68" t="s">
        <v>1832</v>
      </c>
      <c r="H610" s="66" t="s">
        <v>156</v>
      </c>
      <c r="I610" s="66" t="s">
        <v>162</v>
      </c>
      <c r="J610" s="66" t="s">
        <v>37</v>
      </c>
      <c r="K610" s="66" t="s">
        <v>63</v>
      </c>
      <c r="L610" s="66" t="s">
        <v>212</v>
      </c>
      <c r="M610" s="68" t="s">
        <v>1843</v>
      </c>
      <c r="N610" s="68" t="s">
        <v>158</v>
      </c>
      <c r="O610" s="68" t="s">
        <v>1844</v>
      </c>
      <c r="P610" s="68" t="s">
        <v>364</v>
      </c>
      <c r="Q610" s="303">
        <f t="shared" si="61"/>
        <v>2</v>
      </c>
      <c r="R610" s="303">
        <f t="shared" si="62"/>
        <v>112</v>
      </c>
      <c r="S610" s="68">
        <v>0</v>
      </c>
      <c r="T610" s="68">
        <v>0</v>
      </c>
      <c r="U610" s="68">
        <v>2</v>
      </c>
      <c r="V610" s="68">
        <v>112</v>
      </c>
      <c r="W610" s="68">
        <v>108.9</v>
      </c>
      <c r="X610" s="68">
        <v>41</v>
      </c>
      <c r="Y610" s="68">
        <v>39</v>
      </c>
      <c r="Z610" s="68">
        <v>49</v>
      </c>
      <c r="AA610" s="68">
        <v>2</v>
      </c>
      <c r="AB610" s="300">
        <f t="shared" si="63"/>
        <v>26.117000000000001</v>
      </c>
      <c r="AC610" s="300">
        <f t="shared" si="64"/>
        <v>0.15733132530120483</v>
      </c>
      <c r="AD610" s="68">
        <v>2843.3</v>
      </c>
      <c r="AE610" s="68" t="s">
        <v>109</v>
      </c>
      <c r="AF610" s="68" t="s">
        <v>317</v>
      </c>
      <c r="AG610" s="68" t="s">
        <v>317</v>
      </c>
      <c r="AH610" s="68" t="s">
        <v>1845</v>
      </c>
      <c r="AI610" s="309"/>
      <c r="AJ610" s="309"/>
      <c r="AK610" s="68" t="s">
        <v>37</v>
      </c>
      <c r="AL610" s="68" t="s">
        <v>39</v>
      </c>
      <c r="AM610" s="299">
        <f t="shared" ca="1" si="60"/>
        <v>4.0763888888905058</v>
      </c>
      <c r="AN610" s="51"/>
      <c r="AO610" s="61" t="s">
        <v>159</v>
      </c>
      <c r="AP610" s="62" t="s">
        <v>1843</v>
      </c>
      <c r="AQ610" s="61" t="s">
        <v>2045</v>
      </c>
      <c r="AR610" s="64">
        <v>44886.552083333336</v>
      </c>
      <c r="AS610" s="57" t="s">
        <v>117</v>
      </c>
      <c r="AT610" s="61" t="s">
        <v>225</v>
      </c>
      <c r="AU610" s="63">
        <v>0.55208333333333337</v>
      </c>
      <c r="AV610" s="61">
        <v>1</v>
      </c>
      <c r="AW610" s="61" t="s">
        <v>66</v>
      </c>
      <c r="AX610" s="52"/>
      <c r="AY610" s="52"/>
      <c r="AZ610" s="52"/>
      <c r="BA610" s="52"/>
    </row>
    <row r="611" spans="1:54" x14ac:dyDescent="0.25">
      <c r="A611" s="73">
        <v>345</v>
      </c>
      <c r="B611" s="72">
        <v>44882.475694444445</v>
      </c>
      <c r="C611" s="67">
        <v>0.47916666666666669</v>
      </c>
      <c r="D611" s="67">
        <v>0.49652777777777773</v>
      </c>
      <c r="E611" s="67">
        <v>0.51041666666666663</v>
      </c>
      <c r="F611" s="68" t="s">
        <v>170</v>
      </c>
      <c r="G611" s="68" t="s">
        <v>1832</v>
      </c>
      <c r="H611" s="66" t="s">
        <v>156</v>
      </c>
      <c r="I611" s="66" t="s">
        <v>110</v>
      </c>
      <c r="J611" s="66" t="s">
        <v>37</v>
      </c>
      <c r="K611" s="66" t="s">
        <v>63</v>
      </c>
      <c r="L611" s="66" t="s">
        <v>212</v>
      </c>
      <c r="M611" s="68" t="s">
        <v>1846</v>
      </c>
      <c r="N611" s="68" t="s">
        <v>186</v>
      </c>
      <c r="O611" s="68" t="s">
        <v>1847</v>
      </c>
      <c r="P611" s="68" t="s">
        <v>367</v>
      </c>
      <c r="Q611" s="303">
        <f t="shared" si="61"/>
        <v>4</v>
      </c>
      <c r="R611" s="303">
        <f t="shared" si="62"/>
        <v>106</v>
      </c>
      <c r="S611" s="68">
        <v>0</v>
      </c>
      <c r="T611" s="68">
        <v>0</v>
      </c>
      <c r="U611" s="68">
        <v>4</v>
      </c>
      <c r="V611" s="68">
        <v>106</v>
      </c>
      <c r="W611" s="68">
        <v>108.29</v>
      </c>
      <c r="X611" s="68">
        <v>40</v>
      </c>
      <c r="Y611" s="68">
        <v>35</v>
      </c>
      <c r="Z611" s="68">
        <v>13</v>
      </c>
      <c r="AA611" s="68">
        <v>1</v>
      </c>
      <c r="AB611" s="300">
        <f t="shared" si="63"/>
        <v>3.0333333333333332</v>
      </c>
      <c r="AC611" s="300">
        <f t="shared" si="64"/>
        <v>1.8273092369477911E-2</v>
      </c>
      <c r="AD611" s="68">
        <v>3798.68</v>
      </c>
      <c r="AE611" s="68" t="s">
        <v>109</v>
      </c>
      <c r="AF611" s="68" t="s">
        <v>317</v>
      </c>
      <c r="AG611" s="68" t="s">
        <v>317</v>
      </c>
      <c r="AH611" s="68" t="s">
        <v>1848</v>
      </c>
      <c r="AI611" s="309"/>
      <c r="AJ611" s="309"/>
      <c r="AK611" s="68" t="s">
        <v>37</v>
      </c>
      <c r="AL611" s="68" t="s">
        <v>39</v>
      </c>
      <c r="AM611" s="299">
        <f t="shared" ca="1" si="60"/>
        <v>0.15625</v>
      </c>
      <c r="AN611" s="51"/>
      <c r="AO611" s="78" t="s">
        <v>131</v>
      </c>
      <c r="AP611" s="62" t="s">
        <v>1846</v>
      </c>
      <c r="AQ611" s="61" t="s">
        <v>1890</v>
      </c>
      <c r="AR611" s="64">
        <v>44882.631944444445</v>
      </c>
      <c r="AS611" s="61" t="s">
        <v>117</v>
      </c>
      <c r="AT611" s="61" t="s">
        <v>225</v>
      </c>
      <c r="AU611" s="59">
        <v>0.63194444444444442</v>
      </c>
      <c r="AV611" s="61">
        <v>2</v>
      </c>
      <c r="AW611" s="61" t="s">
        <v>66</v>
      </c>
      <c r="AX611" s="52"/>
      <c r="AY611" s="52"/>
      <c r="AZ611" s="52"/>
      <c r="BA611" s="52"/>
    </row>
    <row r="612" spans="1:54" x14ac:dyDescent="0.25">
      <c r="A612" s="73">
        <v>345</v>
      </c>
      <c r="B612" s="72">
        <v>44882.475694444445</v>
      </c>
      <c r="C612" s="67">
        <v>0.47916666666666669</v>
      </c>
      <c r="D612" s="67">
        <v>0.49652777777777773</v>
      </c>
      <c r="E612" s="67">
        <v>0.51041666666666663</v>
      </c>
      <c r="F612" s="68" t="s">
        <v>170</v>
      </c>
      <c r="G612" s="68" t="s">
        <v>1832</v>
      </c>
      <c r="H612" s="66" t="s">
        <v>156</v>
      </c>
      <c r="I612" s="66" t="s">
        <v>110</v>
      </c>
      <c r="J612" s="66" t="s">
        <v>37</v>
      </c>
      <c r="K612" s="66" t="s">
        <v>63</v>
      </c>
      <c r="L612" s="66" t="s">
        <v>212</v>
      </c>
      <c r="M612" s="68" t="s">
        <v>1846</v>
      </c>
      <c r="N612" s="68" t="s">
        <v>186</v>
      </c>
      <c r="O612" s="68" t="s">
        <v>1847</v>
      </c>
      <c r="P612" s="68" t="s">
        <v>367</v>
      </c>
      <c r="Q612" s="303">
        <f t="shared" si="61"/>
        <v>0</v>
      </c>
      <c r="R612" s="303">
        <f t="shared" si="62"/>
        <v>0</v>
      </c>
      <c r="S612" s="68">
        <v>0</v>
      </c>
      <c r="T612" s="68">
        <v>0</v>
      </c>
      <c r="U612" s="68">
        <v>0</v>
      </c>
      <c r="V612" s="68">
        <v>0</v>
      </c>
      <c r="W612" s="68">
        <v>0</v>
      </c>
      <c r="X612" s="68">
        <v>40</v>
      </c>
      <c r="Y612" s="68">
        <v>37</v>
      </c>
      <c r="Z612" s="68">
        <v>28</v>
      </c>
      <c r="AA612" s="68">
        <v>2</v>
      </c>
      <c r="AB612" s="300">
        <f t="shared" si="63"/>
        <v>13.813333333333333</v>
      </c>
      <c r="AC612" s="300">
        <f t="shared" si="64"/>
        <v>8.3212851405622484E-2</v>
      </c>
      <c r="AD612" s="68">
        <v>0</v>
      </c>
      <c r="AE612" s="68">
        <v>0</v>
      </c>
      <c r="AF612" s="68" t="s">
        <v>317</v>
      </c>
      <c r="AG612" s="68" t="s">
        <v>317</v>
      </c>
      <c r="AH612" s="68" t="s">
        <v>1848</v>
      </c>
      <c r="AI612" s="309"/>
      <c r="AJ612" s="309"/>
      <c r="AK612" s="68" t="s">
        <v>37</v>
      </c>
      <c r="AL612" s="68" t="s">
        <v>39</v>
      </c>
      <c r="AM612" s="299">
        <f t="shared" ca="1" si="60"/>
        <v>0.15625</v>
      </c>
      <c r="AN612" s="51"/>
      <c r="AO612" s="78" t="s">
        <v>131</v>
      </c>
      <c r="AP612" s="62" t="s">
        <v>1846</v>
      </c>
      <c r="AQ612" s="61" t="s">
        <v>1890</v>
      </c>
      <c r="AR612" s="64">
        <v>44882.631944444445</v>
      </c>
      <c r="AS612" s="61" t="s">
        <v>117</v>
      </c>
      <c r="AT612" s="61" t="s">
        <v>225</v>
      </c>
      <c r="AU612" s="59">
        <v>0.63194444444444442</v>
      </c>
      <c r="AV612" s="61">
        <v>2</v>
      </c>
      <c r="AW612" s="61" t="s">
        <v>66</v>
      </c>
      <c r="AX612" s="52"/>
      <c r="AY612" s="52"/>
      <c r="AZ612" s="52"/>
      <c r="BA612" s="52"/>
    </row>
    <row r="613" spans="1:54" x14ac:dyDescent="0.25">
      <c r="A613" s="73">
        <v>345</v>
      </c>
      <c r="B613" s="72">
        <v>44882.475694444445</v>
      </c>
      <c r="C613" s="67">
        <v>0.47916666666666669</v>
      </c>
      <c r="D613" s="67">
        <v>0.49652777777777773</v>
      </c>
      <c r="E613" s="67">
        <v>0.51041666666666663</v>
      </c>
      <c r="F613" s="68" t="s">
        <v>170</v>
      </c>
      <c r="G613" s="68" t="s">
        <v>1832</v>
      </c>
      <c r="H613" s="66" t="s">
        <v>156</v>
      </c>
      <c r="I613" s="66" t="s">
        <v>110</v>
      </c>
      <c r="J613" s="66" t="s">
        <v>37</v>
      </c>
      <c r="K613" s="66" t="s">
        <v>63</v>
      </c>
      <c r="L613" s="66" t="s">
        <v>212</v>
      </c>
      <c r="M613" s="68" t="s">
        <v>1846</v>
      </c>
      <c r="N613" s="68" t="s">
        <v>186</v>
      </c>
      <c r="O613" s="68" t="s">
        <v>1847</v>
      </c>
      <c r="P613" s="68" t="s">
        <v>367</v>
      </c>
      <c r="Q613" s="303">
        <f t="shared" si="61"/>
        <v>0</v>
      </c>
      <c r="R613" s="303">
        <f t="shared" si="62"/>
        <v>0</v>
      </c>
      <c r="S613" s="68">
        <v>0</v>
      </c>
      <c r="T613" s="68">
        <v>0</v>
      </c>
      <c r="U613" s="68">
        <v>0</v>
      </c>
      <c r="V613" s="68">
        <v>0</v>
      </c>
      <c r="W613" s="68">
        <v>0</v>
      </c>
      <c r="X613" s="68">
        <v>41</v>
      </c>
      <c r="Y613" s="68">
        <v>39</v>
      </c>
      <c r="Z613" s="68">
        <v>48</v>
      </c>
      <c r="AA613" s="68">
        <v>1</v>
      </c>
      <c r="AB613" s="300">
        <f t="shared" si="63"/>
        <v>12.792</v>
      </c>
      <c r="AC613" s="300">
        <f t="shared" si="64"/>
        <v>7.7060240963855414E-2</v>
      </c>
      <c r="AD613" s="68">
        <v>0</v>
      </c>
      <c r="AE613" s="68">
        <v>0</v>
      </c>
      <c r="AF613" s="68" t="s">
        <v>317</v>
      </c>
      <c r="AG613" s="68" t="s">
        <v>317</v>
      </c>
      <c r="AH613" s="68" t="s">
        <v>1848</v>
      </c>
      <c r="AI613" s="309"/>
      <c r="AJ613" s="309"/>
      <c r="AK613" s="68" t="s">
        <v>37</v>
      </c>
      <c r="AL613" s="68" t="s">
        <v>39</v>
      </c>
      <c r="AM613" s="299">
        <f t="shared" ca="1" si="60"/>
        <v>0.15625</v>
      </c>
      <c r="AN613" s="51"/>
      <c r="AO613" s="78" t="s">
        <v>131</v>
      </c>
      <c r="AP613" s="62" t="s">
        <v>1846</v>
      </c>
      <c r="AQ613" s="61" t="s">
        <v>1890</v>
      </c>
      <c r="AR613" s="64">
        <v>44882.631944444445</v>
      </c>
      <c r="AS613" s="61" t="s">
        <v>117</v>
      </c>
      <c r="AT613" s="61" t="s">
        <v>225</v>
      </c>
      <c r="AU613" s="59">
        <v>0.63194444444444442</v>
      </c>
      <c r="AV613" s="61">
        <v>2</v>
      </c>
      <c r="AW613" s="61" t="s">
        <v>66</v>
      </c>
      <c r="AX613" s="52"/>
      <c r="AY613" s="52"/>
      <c r="AZ613" s="52"/>
      <c r="BA613" s="52"/>
    </row>
    <row r="614" spans="1:54" x14ac:dyDescent="0.25">
      <c r="A614" s="73">
        <v>346</v>
      </c>
      <c r="B614" s="72">
        <v>44882.475694444445</v>
      </c>
      <c r="C614" s="67">
        <v>0.47916666666666669</v>
      </c>
      <c r="D614" s="67">
        <v>0.49652777777777773</v>
      </c>
      <c r="E614" s="67">
        <v>0.51041666666666663</v>
      </c>
      <c r="F614" s="68" t="s">
        <v>170</v>
      </c>
      <c r="G614" s="68" t="s">
        <v>1832</v>
      </c>
      <c r="H614" s="66" t="s">
        <v>57</v>
      </c>
      <c r="I614" s="66" t="s">
        <v>1849</v>
      </c>
      <c r="J614" s="66" t="s">
        <v>37</v>
      </c>
      <c r="K614" s="66" t="s">
        <v>63</v>
      </c>
      <c r="L614" s="66" t="s">
        <v>209</v>
      </c>
      <c r="M614" s="68" t="s">
        <v>1850</v>
      </c>
      <c r="N614" s="68" t="s">
        <v>186</v>
      </c>
      <c r="O614" s="68" t="s">
        <v>1851</v>
      </c>
      <c r="P614" s="68">
        <v>81954474</v>
      </c>
      <c r="Q614" s="303">
        <f t="shared" si="61"/>
        <v>1</v>
      </c>
      <c r="R614" s="303">
        <f t="shared" si="62"/>
        <v>85</v>
      </c>
      <c r="S614" s="68">
        <v>0</v>
      </c>
      <c r="T614" s="68">
        <v>0</v>
      </c>
      <c r="U614" s="68">
        <v>1</v>
      </c>
      <c r="V614" s="68">
        <v>85</v>
      </c>
      <c r="W614" s="68">
        <v>85</v>
      </c>
      <c r="X614" s="68">
        <v>80</v>
      </c>
      <c r="Y614" s="68">
        <v>60</v>
      </c>
      <c r="Z614" s="68">
        <v>69</v>
      </c>
      <c r="AA614" s="68">
        <v>1</v>
      </c>
      <c r="AB614" s="300">
        <f t="shared" si="63"/>
        <v>55.2</v>
      </c>
      <c r="AC614" s="300">
        <f t="shared" si="64"/>
        <v>0.3325301204819277</v>
      </c>
      <c r="AD614" s="68">
        <v>719.91</v>
      </c>
      <c r="AE614" s="68" t="s">
        <v>109</v>
      </c>
      <c r="AF614" s="68" t="s">
        <v>317</v>
      </c>
      <c r="AG614" s="68" t="s">
        <v>317</v>
      </c>
      <c r="AH614" s="68" t="s">
        <v>1852</v>
      </c>
      <c r="AI614" s="309"/>
      <c r="AJ614" s="309"/>
      <c r="AK614" s="68" t="s">
        <v>37</v>
      </c>
      <c r="AL614" s="68" t="s">
        <v>39</v>
      </c>
      <c r="AM614" s="299">
        <f t="shared" ca="1" si="60"/>
        <v>0.15625</v>
      </c>
      <c r="AN614" s="51"/>
      <c r="AO614" s="78" t="s">
        <v>131</v>
      </c>
      <c r="AP614" s="61" t="s">
        <v>1850</v>
      </c>
      <c r="AQ614" s="61" t="s">
        <v>1890</v>
      </c>
      <c r="AR614" s="64">
        <v>44882.631944444445</v>
      </c>
      <c r="AS614" s="61" t="s">
        <v>117</v>
      </c>
      <c r="AT614" s="61" t="s">
        <v>225</v>
      </c>
      <c r="AU614" s="59">
        <v>0.63194444444444442</v>
      </c>
      <c r="AV614" s="61">
        <v>2</v>
      </c>
      <c r="AW614" s="61" t="s">
        <v>66</v>
      </c>
      <c r="AX614" s="52"/>
      <c r="AY614" s="52"/>
      <c r="AZ614" s="52"/>
      <c r="BA614" s="52"/>
    </row>
    <row r="615" spans="1:54" x14ac:dyDescent="0.25">
      <c r="A615" s="73">
        <v>347</v>
      </c>
      <c r="B615" s="72">
        <v>44882.475694444445</v>
      </c>
      <c r="C615" s="67">
        <v>0.47916666666666669</v>
      </c>
      <c r="D615" s="67">
        <v>0.49652777777777773</v>
      </c>
      <c r="E615" s="67">
        <v>0.51041666666666663</v>
      </c>
      <c r="F615" s="68" t="s">
        <v>170</v>
      </c>
      <c r="G615" s="68" t="s">
        <v>1832</v>
      </c>
      <c r="H615" s="66" t="s">
        <v>57</v>
      </c>
      <c r="I615" s="66" t="s">
        <v>1849</v>
      </c>
      <c r="J615" s="66" t="s">
        <v>37</v>
      </c>
      <c r="K615" s="66" t="s">
        <v>63</v>
      </c>
      <c r="L615" s="66" t="s">
        <v>209</v>
      </c>
      <c r="M615" s="68" t="s">
        <v>1850</v>
      </c>
      <c r="N615" s="68" t="s">
        <v>186</v>
      </c>
      <c r="O615" s="68" t="s">
        <v>1853</v>
      </c>
      <c r="P615" s="68">
        <v>81954480</v>
      </c>
      <c r="Q615" s="303">
        <f t="shared" si="61"/>
        <v>1</v>
      </c>
      <c r="R615" s="303">
        <f t="shared" si="62"/>
        <v>85</v>
      </c>
      <c r="S615" s="68">
        <v>0</v>
      </c>
      <c r="T615" s="68">
        <v>0</v>
      </c>
      <c r="U615" s="68">
        <v>1</v>
      </c>
      <c r="V615" s="68">
        <v>85</v>
      </c>
      <c r="W615" s="68">
        <v>86</v>
      </c>
      <c r="X615" s="68">
        <v>80</v>
      </c>
      <c r="Y615" s="68">
        <v>60</v>
      </c>
      <c r="Z615" s="68">
        <v>69</v>
      </c>
      <c r="AA615" s="68">
        <v>1</v>
      </c>
      <c r="AB615" s="300">
        <f t="shared" si="63"/>
        <v>55.2</v>
      </c>
      <c r="AC615" s="300">
        <f t="shared" si="64"/>
        <v>0.3325301204819277</v>
      </c>
      <c r="AD615" s="68">
        <v>706.71</v>
      </c>
      <c r="AE615" s="68" t="s">
        <v>109</v>
      </c>
      <c r="AF615" s="68" t="s">
        <v>317</v>
      </c>
      <c r="AG615" s="68" t="s">
        <v>317</v>
      </c>
      <c r="AH615" s="68" t="s">
        <v>1854</v>
      </c>
      <c r="AI615" s="309"/>
      <c r="AJ615" s="309"/>
      <c r="AK615" s="68" t="s">
        <v>37</v>
      </c>
      <c r="AL615" s="68" t="s">
        <v>39</v>
      </c>
      <c r="AM615" s="299">
        <f t="shared" ca="1" si="60"/>
        <v>0.15625</v>
      </c>
      <c r="AN615" s="51"/>
      <c r="AO615" s="78" t="s">
        <v>131</v>
      </c>
      <c r="AP615" s="61" t="s">
        <v>1850</v>
      </c>
      <c r="AQ615" s="61" t="s">
        <v>1890</v>
      </c>
      <c r="AR615" s="64">
        <v>44882.631944444445</v>
      </c>
      <c r="AS615" s="61" t="s">
        <v>117</v>
      </c>
      <c r="AT615" s="61" t="s">
        <v>225</v>
      </c>
      <c r="AU615" s="59">
        <v>0.63194444444444442</v>
      </c>
      <c r="AV615" s="61">
        <v>2</v>
      </c>
      <c r="AW615" s="61" t="s">
        <v>66</v>
      </c>
      <c r="AX615" s="52"/>
      <c r="AY615" s="52"/>
      <c r="AZ615" s="52"/>
      <c r="BA615" s="52"/>
    </row>
    <row r="616" spans="1:54" x14ac:dyDescent="0.25">
      <c r="A616" s="73">
        <v>348</v>
      </c>
      <c r="B616" s="72">
        <v>44882.475694444445</v>
      </c>
      <c r="C616" s="67">
        <v>0.47916666666666669</v>
      </c>
      <c r="D616" s="67">
        <v>0.49652777777777773</v>
      </c>
      <c r="E616" s="67">
        <v>0.51041666666666663</v>
      </c>
      <c r="F616" s="68" t="s">
        <v>170</v>
      </c>
      <c r="G616" s="68" t="s">
        <v>1832</v>
      </c>
      <c r="H616" s="66" t="s">
        <v>45</v>
      </c>
      <c r="I616" s="66" t="s">
        <v>1295</v>
      </c>
      <c r="J616" s="66" t="s">
        <v>37</v>
      </c>
      <c r="K616" s="66" t="s">
        <v>63</v>
      </c>
      <c r="L616" s="66" t="s">
        <v>215</v>
      </c>
      <c r="M616" s="68" t="s">
        <v>1855</v>
      </c>
      <c r="N616" s="68" t="s">
        <v>42</v>
      </c>
      <c r="O616" s="68">
        <v>3500718</v>
      </c>
      <c r="P616" s="68">
        <v>2047347</v>
      </c>
      <c r="Q616" s="303">
        <f t="shared" si="61"/>
        <v>1</v>
      </c>
      <c r="R616" s="303">
        <f t="shared" si="62"/>
        <v>34</v>
      </c>
      <c r="S616" s="68">
        <v>0</v>
      </c>
      <c r="T616" s="68">
        <v>0</v>
      </c>
      <c r="U616" s="68">
        <v>1</v>
      </c>
      <c r="V616" s="68">
        <v>34</v>
      </c>
      <c r="W616" s="68">
        <v>33.6</v>
      </c>
      <c r="X616" s="68">
        <v>80</v>
      </c>
      <c r="Y616" s="68">
        <v>80</v>
      </c>
      <c r="Z616" s="68">
        <v>23</v>
      </c>
      <c r="AA616" s="68">
        <v>1</v>
      </c>
      <c r="AB616" s="300">
        <f t="shared" si="63"/>
        <v>24.533333333333335</v>
      </c>
      <c r="AC616" s="300">
        <f t="shared" si="64"/>
        <v>0.14779116465863454</v>
      </c>
      <c r="AD616" s="68">
        <v>872.5</v>
      </c>
      <c r="AE616" s="68" t="s">
        <v>109</v>
      </c>
      <c r="AF616" s="68" t="s">
        <v>317</v>
      </c>
      <c r="AG616" s="68" t="s">
        <v>317</v>
      </c>
      <c r="AH616" s="68" t="s">
        <v>1856</v>
      </c>
      <c r="AI616" s="309"/>
      <c r="AJ616" s="309"/>
      <c r="AK616" s="68" t="s">
        <v>37</v>
      </c>
      <c r="AL616" s="68" t="s">
        <v>39</v>
      </c>
      <c r="AM616" s="299">
        <f t="shared" ref="AM616:AM679" ca="1" si="65">IF(AP616="",NOW()-B616,AR616-B616)</f>
        <v>1.1284722222189885</v>
      </c>
      <c r="AN616" s="51"/>
      <c r="AO616" s="78" t="s">
        <v>386</v>
      </c>
      <c r="AP616" s="62" t="s">
        <v>1855</v>
      </c>
      <c r="AQ616" s="61" t="s">
        <v>1931</v>
      </c>
      <c r="AR616" s="64">
        <v>44883.604166666664</v>
      </c>
      <c r="AS616" s="57" t="s">
        <v>117</v>
      </c>
      <c r="AT616" s="61" t="s">
        <v>225</v>
      </c>
      <c r="AU616" s="63">
        <v>0.60416666666666663</v>
      </c>
      <c r="AV616" s="61">
        <v>1</v>
      </c>
      <c r="AW616" s="61" t="s">
        <v>66</v>
      </c>
      <c r="AX616" s="52"/>
      <c r="AY616" s="52"/>
      <c r="AZ616" s="52"/>
      <c r="BA616" s="52"/>
    </row>
    <row r="617" spans="1:54" x14ac:dyDescent="0.25">
      <c r="A617" s="73">
        <v>349</v>
      </c>
      <c r="B617" s="72">
        <v>44882.583333333336</v>
      </c>
      <c r="C617" s="67">
        <v>0.59027777777777779</v>
      </c>
      <c r="D617" s="67">
        <v>0.59375</v>
      </c>
      <c r="E617" s="67">
        <v>0.60763888888888895</v>
      </c>
      <c r="F617" s="68" t="s">
        <v>170</v>
      </c>
      <c r="G617" s="68" t="s">
        <v>235</v>
      </c>
      <c r="H617" s="66" t="s">
        <v>227</v>
      </c>
      <c r="I617" s="66" t="s">
        <v>189</v>
      </c>
      <c r="J617" s="66" t="s">
        <v>37</v>
      </c>
      <c r="K617" s="66" t="s">
        <v>63</v>
      </c>
      <c r="L617" s="66" t="s">
        <v>209</v>
      </c>
      <c r="M617" s="68" t="s">
        <v>1857</v>
      </c>
      <c r="N617" s="68" t="s">
        <v>43</v>
      </c>
      <c r="O617" s="77">
        <v>930931932</v>
      </c>
      <c r="P617" s="77">
        <v>297203181730845</v>
      </c>
      <c r="Q617" s="303">
        <f t="shared" ref="Q617:Q680" si="66">S617+U617</f>
        <v>5</v>
      </c>
      <c r="R617" s="303">
        <f t="shared" ref="R617:R680" si="67">T617+V617</f>
        <v>1170</v>
      </c>
      <c r="S617" s="68">
        <v>0</v>
      </c>
      <c r="T617" s="68">
        <v>0</v>
      </c>
      <c r="U617" s="68">
        <v>5</v>
      </c>
      <c r="V617" s="68">
        <v>1170</v>
      </c>
      <c r="W617" s="68">
        <v>1042</v>
      </c>
      <c r="X617" s="68">
        <v>169</v>
      </c>
      <c r="Y617" s="68">
        <v>98</v>
      </c>
      <c r="Z617" s="68">
        <v>95</v>
      </c>
      <c r="AA617" s="68">
        <v>5</v>
      </c>
      <c r="AB617" s="300">
        <f t="shared" ref="AB617:AB680" si="68">X617*Y617*Z617*AA617/6000</f>
        <v>1311.1583333333333</v>
      </c>
      <c r="AC617" s="300">
        <f t="shared" ref="AC617:AC680" si="69">AB617/166</f>
        <v>7.8985441767068272</v>
      </c>
      <c r="AD617" s="68" t="s">
        <v>48</v>
      </c>
      <c r="AE617" s="68" t="s">
        <v>48</v>
      </c>
      <c r="AF617" s="68" t="s">
        <v>317</v>
      </c>
      <c r="AG617" s="68" t="s">
        <v>317</v>
      </c>
      <c r="AH617" s="68" t="s">
        <v>1858</v>
      </c>
      <c r="AI617" s="309"/>
      <c r="AJ617" s="309"/>
      <c r="AK617" s="68" t="s">
        <v>37</v>
      </c>
      <c r="AL617" s="68" t="s">
        <v>49</v>
      </c>
      <c r="AM617" s="299">
        <f t="shared" ca="1" si="65"/>
        <v>0.15972222221898846</v>
      </c>
      <c r="AN617" s="51"/>
      <c r="AO617" s="78" t="s">
        <v>179</v>
      </c>
      <c r="AP617" s="62" t="s">
        <v>1857</v>
      </c>
      <c r="AQ617" s="61" t="s">
        <v>1894</v>
      </c>
      <c r="AR617" s="64">
        <v>44882.743055555555</v>
      </c>
      <c r="AS617" s="61" t="s">
        <v>95</v>
      </c>
      <c r="AT617" s="61" t="s">
        <v>225</v>
      </c>
      <c r="AU617" s="59">
        <v>0.74305555555555547</v>
      </c>
      <c r="AV617" s="61">
        <v>2</v>
      </c>
      <c r="AW617" s="61" t="s">
        <v>66</v>
      </c>
      <c r="AX617" s="52"/>
      <c r="AY617" s="52"/>
      <c r="AZ617" s="52"/>
      <c r="BA617" s="52"/>
    </row>
    <row r="618" spans="1:54" x14ac:dyDescent="0.25">
      <c r="A618" s="73">
        <v>350</v>
      </c>
      <c r="B618" s="72">
        <v>44882.590277777781</v>
      </c>
      <c r="C618" s="67">
        <v>0.59375</v>
      </c>
      <c r="D618" s="67">
        <v>0.60069444444444442</v>
      </c>
      <c r="E618" s="67">
        <v>0.61458333333333337</v>
      </c>
      <c r="F618" s="68" t="s">
        <v>169</v>
      </c>
      <c r="G618" s="68" t="s">
        <v>1859</v>
      </c>
      <c r="H618" s="66" t="s">
        <v>494</v>
      </c>
      <c r="I618" s="66" t="s">
        <v>377</v>
      </c>
      <c r="J618" s="66" t="s">
        <v>37</v>
      </c>
      <c r="K618" s="66" t="s">
        <v>241</v>
      </c>
      <c r="L618" s="66">
        <v>0</v>
      </c>
      <c r="M618" s="68" t="s">
        <v>1860</v>
      </c>
      <c r="N618" s="68" t="s">
        <v>42</v>
      </c>
      <c r="O618" s="68" t="s">
        <v>1861</v>
      </c>
      <c r="P618" s="68">
        <v>10048495</v>
      </c>
      <c r="Q618" s="303">
        <f t="shared" si="66"/>
        <v>36</v>
      </c>
      <c r="R618" s="303">
        <f t="shared" si="67"/>
        <v>563</v>
      </c>
      <c r="S618" s="68">
        <v>36</v>
      </c>
      <c r="T618" s="68">
        <v>563</v>
      </c>
      <c r="U618" s="68">
        <v>0</v>
      </c>
      <c r="V618" s="68">
        <v>0</v>
      </c>
      <c r="W618" s="68">
        <v>544.91899999999998</v>
      </c>
      <c r="X618" s="68">
        <v>65</v>
      </c>
      <c r="Y618" s="68">
        <v>46</v>
      </c>
      <c r="Z618" s="68">
        <v>30</v>
      </c>
      <c r="AA618" s="68">
        <v>31</v>
      </c>
      <c r="AB618" s="300">
        <f t="shared" si="68"/>
        <v>463.45</v>
      </c>
      <c r="AC618" s="300">
        <f t="shared" si="69"/>
        <v>2.7918674698795178</v>
      </c>
      <c r="AD618" s="68">
        <v>14463.8</v>
      </c>
      <c r="AE618" s="68" t="s">
        <v>109</v>
      </c>
      <c r="AF618" s="68" t="s">
        <v>317</v>
      </c>
      <c r="AG618" s="68" t="s">
        <v>317</v>
      </c>
      <c r="AH618" s="68" t="s">
        <v>1862</v>
      </c>
      <c r="AI618" s="309"/>
      <c r="AJ618" s="309"/>
      <c r="AK618" s="68" t="s">
        <v>1863</v>
      </c>
      <c r="AL618" s="68" t="s">
        <v>56</v>
      </c>
      <c r="AM618" s="299">
        <f t="shared" ca="1" si="65"/>
        <v>1.0138888888832298</v>
      </c>
      <c r="AN618" s="51"/>
      <c r="AO618" s="78" t="s">
        <v>107</v>
      </c>
      <c r="AP618" s="62" t="s">
        <v>1860</v>
      </c>
      <c r="AQ618" s="61" t="s">
        <v>1930</v>
      </c>
      <c r="AR618" s="64">
        <v>44883.604166666664</v>
      </c>
      <c r="AS618" s="57" t="s">
        <v>117</v>
      </c>
      <c r="AT618" s="61" t="s">
        <v>225</v>
      </c>
      <c r="AU618" s="63">
        <v>0.60416666666666663</v>
      </c>
      <c r="AV618" s="61">
        <v>1</v>
      </c>
      <c r="AW618" s="61" t="s">
        <v>66</v>
      </c>
      <c r="AX618" s="52"/>
      <c r="AY618" s="52"/>
      <c r="AZ618" s="52"/>
      <c r="BA618" s="52"/>
    </row>
    <row r="619" spans="1:54" x14ac:dyDescent="0.25">
      <c r="A619" s="73">
        <v>350</v>
      </c>
      <c r="B619" s="72">
        <v>44882.590277777781</v>
      </c>
      <c r="C619" s="67">
        <v>0.59375</v>
      </c>
      <c r="D619" s="67">
        <v>0.60069444444444442</v>
      </c>
      <c r="E619" s="67">
        <v>0.61458333333333337</v>
      </c>
      <c r="F619" s="68" t="s">
        <v>169</v>
      </c>
      <c r="G619" s="68" t="s">
        <v>1859</v>
      </c>
      <c r="H619" s="66" t="s">
        <v>494</v>
      </c>
      <c r="I619" s="66" t="s">
        <v>377</v>
      </c>
      <c r="J619" s="66" t="s">
        <v>37</v>
      </c>
      <c r="K619" s="66" t="s">
        <v>241</v>
      </c>
      <c r="L619" s="66">
        <v>0</v>
      </c>
      <c r="M619" s="68" t="s">
        <v>1860</v>
      </c>
      <c r="N619" s="68" t="s">
        <v>42</v>
      </c>
      <c r="O619" s="68" t="s">
        <v>1861</v>
      </c>
      <c r="P619" s="68">
        <v>10048495</v>
      </c>
      <c r="Q619" s="303">
        <f t="shared" si="66"/>
        <v>0</v>
      </c>
      <c r="R619" s="303">
        <f t="shared" si="67"/>
        <v>0</v>
      </c>
      <c r="S619" s="68">
        <v>0</v>
      </c>
      <c r="T619" s="68">
        <v>0</v>
      </c>
      <c r="U619" s="68">
        <v>0</v>
      </c>
      <c r="V619" s="68">
        <v>0</v>
      </c>
      <c r="W619" s="68">
        <v>0</v>
      </c>
      <c r="X619" s="68">
        <v>65</v>
      </c>
      <c r="Y619" s="68">
        <v>46</v>
      </c>
      <c r="Z619" s="68">
        <v>15</v>
      </c>
      <c r="AA619" s="68">
        <v>5</v>
      </c>
      <c r="AB619" s="300">
        <f t="shared" si="68"/>
        <v>37.375</v>
      </c>
      <c r="AC619" s="300">
        <f t="shared" si="69"/>
        <v>0.22515060240963855</v>
      </c>
      <c r="AD619" s="68">
        <v>0</v>
      </c>
      <c r="AE619" s="68">
        <v>0</v>
      </c>
      <c r="AF619" s="68" t="s">
        <v>317</v>
      </c>
      <c r="AG619" s="68" t="s">
        <v>317</v>
      </c>
      <c r="AH619" s="68" t="s">
        <v>1862</v>
      </c>
      <c r="AI619" s="309"/>
      <c r="AJ619" s="309"/>
      <c r="AK619" s="68" t="s">
        <v>1863</v>
      </c>
      <c r="AL619" s="68" t="s">
        <v>56</v>
      </c>
      <c r="AM619" s="299">
        <f t="shared" ca="1" si="65"/>
        <v>1.0138888888832298</v>
      </c>
      <c r="AN619" s="51"/>
      <c r="AO619" s="78" t="s">
        <v>107</v>
      </c>
      <c r="AP619" s="62" t="s">
        <v>1860</v>
      </c>
      <c r="AQ619" s="61" t="s">
        <v>1930</v>
      </c>
      <c r="AR619" s="64">
        <v>44883.604166666664</v>
      </c>
      <c r="AS619" s="57" t="s">
        <v>117</v>
      </c>
      <c r="AT619" s="61" t="s">
        <v>225</v>
      </c>
      <c r="AU619" s="63">
        <v>0.60416666666666663</v>
      </c>
      <c r="AV619" s="61">
        <v>1</v>
      </c>
      <c r="AW619" s="61" t="s">
        <v>66</v>
      </c>
      <c r="AX619" s="52"/>
      <c r="AY619" s="52"/>
      <c r="AZ619" s="52"/>
      <c r="BA619" s="52"/>
    </row>
    <row r="620" spans="1:54" ht="15.75" thickBot="1" x14ac:dyDescent="0.3">
      <c r="A620" s="73">
        <v>351</v>
      </c>
      <c r="B620" s="72">
        <v>44882.708333333336</v>
      </c>
      <c r="C620" s="67">
        <v>0.70833333333333337</v>
      </c>
      <c r="D620" s="67">
        <v>0.71527777777777779</v>
      </c>
      <c r="E620" s="67">
        <v>0.71875</v>
      </c>
      <c r="F620" s="68" t="s">
        <v>171</v>
      </c>
      <c r="G620" s="68" t="s">
        <v>279</v>
      </c>
      <c r="H620" s="71" t="s">
        <v>350</v>
      </c>
      <c r="I620" s="71" t="s">
        <v>350</v>
      </c>
      <c r="J620" s="71" t="s">
        <v>41</v>
      </c>
      <c r="K620" s="71" t="s">
        <v>63</v>
      </c>
      <c r="L620" s="71" t="s">
        <v>209</v>
      </c>
      <c r="M620" s="68" t="s">
        <v>1864</v>
      </c>
      <c r="N620" s="68" t="s">
        <v>42</v>
      </c>
      <c r="O620" s="68" t="s">
        <v>1865</v>
      </c>
      <c r="P620" s="68">
        <v>49478905</v>
      </c>
      <c r="Q620" s="303">
        <f t="shared" si="66"/>
        <v>12</v>
      </c>
      <c r="R620" s="303">
        <f t="shared" si="67"/>
        <v>94</v>
      </c>
      <c r="S620" s="68">
        <v>12</v>
      </c>
      <c r="T620" s="38">
        <v>94</v>
      </c>
      <c r="U620" s="68">
        <v>0</v>
      </c>
      <c r="V620" s="68">
        <v>0</v>
      </c>
      <c r="W620" s="38">
        <v>128.32</v>
      </c>
      <c r="X620" s="68">
        <v>33</v>
      </c>
      <c r="Y620" s="68">
        <v>26</v>
      </c>
      <c r="Z620" s="68">
        <v>23</v>
      </c>
      <c r="AA620" s="68">
        <v>12</v>
      </c>
      <c r="AB620" s="300">
        <f t="shared" si="68"/>
        <v>39.468000000000004</v>
      </c>
      <c r="AC620" s="300">
        <f t="shared" si="69"/>
        <v>0.23775903614457833</v>
      </c>
      <c r="AD620" s="68">
        <v>6120</v>
      </c>
      <c r="AE620" s="68" t="s">
        <v>109</v>
      </c>
      <c r="AF620" s="68" t="s">
        <v>317</v>
      </c>
      <c r="AG620" s="68" t="s">
        <v>317</v>
      </c>
      <c r="AH620" s="68" t="s">
        <v>1866</v>
      </c>
      <c r="AI620" s="309"/>
      <c r="AJ620" s="309"/>
      <c r="AK620" s="68" t="s">
        <v>48</v>
      </c>
      <c r="AL620" s="68" t="s">
        <v>56</v>
      </c>
      <c r="AM620" s="299">
        <f t="shared" ca="1" si="65"/>
        <v>6.8263888888832298</v>
      </c>
      <c r="AN620" s="51"/>
      <c r="AO620" s="61" t="s">
        <v>213</v>
      </c>
      <c r="AP620" s="91" t="s">
        <v>2307</v>
      </c>
      <c r="AQ620" s="59" t="s">
        <v>2308</v>
      </c>
      <c r="AR620" s="64">
        <v>44889.534722222219</v>
      </c>
      <c r="AS620" s="61" t="s">
        <v>136</v>
      </c>
      <c r="AT620" s="61" t="s">
        <v>225</v>
      </c>
      <c r="AU620" s="63">
        <v>0.53472222222222221</v>
      </c>
      <c r="AV620" s="61">
        <v>1</v>
      </c>
      <c r="AW620" s="61" t="s">
        <v>66</v>
      </c>
      <c r="AX620" s="52"/>
      <c r="AY620" s="52"/>
      <c r="AZ620" s="52"/>
      <c r="BA620" s="52"/>
    </row>
    <row r="621" spans="1:54" ht="15.75" thickBot="1" x14ac:dyDescent="0.3">
      <c r="A621" s="73">
        <v>352</v>
      </c>
      <c r="B621" s="72">
        <v>44882.75</v>
      </c>
      <c r="C621" s="67">
        <v>0.75</v>
      </c>
      <c r="D621" s="67">
        <v>0.75347222222222221</v>
      </c>
      <c r="E621" s="67">
        <v>0.75347222222222221</v>
      </c>
      <c r="F621" s="68" t="s">
        <v>171</v>
      </c>
      <c r="G621" s="68" t="s">
        <v>148</v>
      </c>
      <c r="H621" s="71" t="s">
        <v>339</v>
      </c>
      <c r="I621" s="71" t="s">
        <v>91</v>
      </c>
      <c r="J621" s="71" t="s">
        <v>37</v>
      </c>
      <c r="K621" s="71" t="s">
        <v>180</v>
      </c>
      <c r="L621" s="47" t="s">
        <v>206</v>
      </c>
      <c r="M621" s="68" t="s">
        <v>1867</v>
      </c>
      <c r="N621" s="68" t="s">
        <v>44</v>
      </c>
      <c r="O621" s="68" t="s">
        <v>1868</v>
      </c>
      <c r="P621" s="68">
        <v>4501930364</v>
      </c>
      <c r="Q621" s="303">
        <f t="shared" si="66"/>
        <v>1</v>
      </c>
      <c r="R621" s="303">
        <f t="shared" si="67"/>
        <v>72</v>
      </c>
      <c r="S621" s="68">
        <v>0</v>
      </c>
      <c r="T621" s="68">
        <v>0</v>
      </c>
      <c r="U621" s="68">
        <v>1</v>
      </c>
      <c r="V621" s="68">
        <v>72</v>
      </c>
      <c r="W621" s="68">
        <v>74</v>
      </c>
      <c r="X621" s="68">
        <v>120</v>
      </c>
      <c r="Y621" s="68">
        <v>80</v>
      </c>
      <c r="Z621" s="68">
        <v>81</v>
      </c>
      <c r="AA621" s="68">
        <v>1</v>
      </c>
      <c r="AB621" s="300">
        <f t="shared" si="68"/>
        <v>129.6</v>
      </c>
      <c r="AC621" s="300">
        <f t="shared" si="69"/>
        <v>0.78072289156626506</v>
      </c>
      <c r="AD621" s="68">
        <v>93861</v>
      </c>
      <c r="AE621" s="68" t="s">
        <v>109</v>
      </c>
      <c r="AF621" s="68" t="s">
        <v>317</v>
      </c>
      <c r="AG621" s="68" t="s">
        <v>317</v>
      </c>
      <c r="AH621" s="68" t="s">
        <v>1869</v>
      </c>
      <c r="AI621" s="309"/>
      <c r="AJ621" s="309"/>
      <c r="AK621" s="68" t="s">
        <v>37</v>
      </c>
      <c r="AL621" s="68" t="s">
        <v>54</v>
      </c>
      <c r="AM621" s="299">
        <f t="shared" ca="1" si="65"/>
        <v>1.6944444444452529</v>
      </c>
      <c r="AN621" s="75"/>
      <c r="AO621" s="61" t="s">
        <v>323</v>
      </c>
      <c r="AP621" s="62" t="s">
        <v>1867</v>
      </c>
      <c r="AQ621" s="62" t="s">
        <v>1978</v>
      </c>
      <c r="AR621" s="64">
        <v>44884.444444444445</v>
      </c>
      <c r="AS621" s="61" t="s">
        <v>151</v>
      </c>
      <c r="AT621" s="61">
        <v>407</v>
      </c>
      <c r="AU621" s="63">
        <v>0.44444444444444442</v>
      </c>
      <c r="AV621" s="61">
        <v>1</v>
      </c>
      <c r="AW621" s="61" t="s">
        <v>66</v>
      </c>
      <c r="AX621" s="76"/>
      <c r="AY621" s="76"/>
      <c r="AZ621" s="76"/>
      <c r="BA621" s="76"/>
      <c r="BB621" s="74"/>
    </row>
    <row r="622" spans="1:54" ht="15.75" thickBot="1" x14ac:dyDescent="0.3">
      <c r="A622" s="73">
        <v>353</v>
      </c>
      <c r="B622" s="72">
        <v>44882.739583333336</v>
      </c>
      <c r="C622" s="67">
        <v>0.74305555555555547</v>
      </c>
      <c r="D622" s="67">
        <v>0.74652777777777779</v>
      </c>
      <c r="E622" s="67">
        <v>0.78125</v>
      </c>
      <c r="F622" s="68" t="s">
        <v>169</v>
      </c>
      <c r="G622" s="68" t="s">
        <v>193</v>
      </c>
      <c r="H622" s="66" t="s">
        <v>191</v>
      </c>
      <c r="I622" s="66" t="s">
        <v>192</v>
      </c>
      <c r="J622" s="66" t="s">
        <v>37</v>
      </c>
      <c r="K622" s="66" t="s">
        <v>180</v>
      </c>
      <c r="L622" s="70" t="s">
        <v>206</v>
      </c>
      <c r="M622" s="68" t="s">
        <v>1870</v>
      </c>
      <c r="N622" s="68" t="s">
        <v>42</v>
      </c>
      <c r="O622" s="68" t="s">
        <v>1871</v>
      </c>
      <c r="P622" s="68" t="s">
        <v>1872</v>
      </c>
      <c r="Q622" s="303">
        <f t="shared" si="66"/>
        <v>32</v>
      </c>
      <c r="R622" s="303">
        <f t="shared" si="67"/>
        <v>340</v>
      </c>
      <c r="S622" s="68">
        <v>32</v>
      </c>
      <c r="T622" s="68">
        <v>340</v>
      </c>
      <c r="U622" s="68">
        <v>0</v>
      </c>
      <c r="V622" s="68">
        <v>0</v>
      </c>
      <c r="W622" s="68">
        <v>337.82</v>
      </c>
      <c r="X622" s="68">
        <v>58</v>
      </c>
      <c r="Y622" s="68">
        <v>38</v>
      </c>
      <c r="Z622" s="68">
        <v>29</v>
      </c>
      <c r="AA622" s="68">
        <v>22</v>
      </c>
      <c r="AB622" s="300">
        <f t="shared" si="68"/>
        <v>234.35866666666666</v>
      </c>
      <c r="AC622" s="300">
        <f t="shared" si="69"/>
        <v>1.4117991967871486</v>
      </c>
      <c r="AD622" s="68">
        <v>6217.22</v>
      </c>
      <c r="AE622" s="68" t="s">
        <v>109</v>
      </c>
      <c r="AF622" s="68" t="s">
        <v>317</v>
      </c>
      <c r="AG622" s="68" t="s">
        <v>317</v>
      </c>
      <c r="AH622" s="68" t="s">
        <v>1873</v>
      </c>
      <c r="AI622" s="309"/>
      <c r="AJ622" s="309"/>
      <c r="AK622" s="68" t="s">
        <v>48</v>
      </c>
      <c r="AL622" s="68" t="s">
        <v>50</v>
      </c>
      <c r="AM622" s="299">
        <f t="shared" ca="1" si="65"/>
        <v>0.86458333332848269</v>
      </c>
      <c r="AN622" s="75"/>
      <c r="AO622" s="78" t="s">
        <v>135</v>
      </c>
      <c r="AP622" s="62" t="s">
        <v>1870</v>
      </c>
      <c r="AQ622" s="61" t="s">
        <v>1933</v>
      </c>
      <c r="AR622" s="64">
        <v>44883.604166666664</v>
      </c>
      <c r="AS622" s="57" t="s">
        <v>117</v>
      </c>
      <c r="AT622" s="61" t="s">
        <v>225</v>
      </c>
      <c r="AU622" s="63">
        <v>0.60416666666666663</v>
      </c>
      <c r="AV622" s="61">
        <v>1</v>
      </c>
      <c r="AW622" s="61" t="s">
        <v>66</v>
      </c>
      <c r="AX622" s="76"/>
      <c r="AY622" s="76"/>
      <c r="AZ622" s="76"/>
      <c r="BA622" s="76"/>
      <c r="BB622" s="74"/>
    </row>
    <row r="623" spans="1:54" ht="15.75" thickBot="1" x14ac:dyDescent="0.3">
      <c r="A623" s="73">
        <v>353</v>
      </c>
      <c r="B623" s="72">
        <v>44882.739583333336</v>
      </c>
      <c r="C623" s="67">
        <v>0.74305555555555547</v>
      </c>
      <c r="D623" s="67">
        <v>0.74652777777777779</v>
      </c>
      <c r="E623" s="67">
        <v>0.78125</v>
      </c>
      <c r="F623" s="68" t="s">
        <v>169</v>
      </c>
      <c r="G623" s="68" t="s">
        <v>193</v>
      </c>
      <c r="H623" s="66" t="s">
        <v>191</v>
      </c>
      <c r="I623" s="66" t="s">
        <v>192</v>
      </c>
      <c r="J623" s="66" t="s">
        <v>37</v>
      </c>
      <c r="K623" s="66" t="s">
        <v>180</v>
      </c>
      <c r="L623" s="70" t="s">
        <v>206</v>
      </c>
      <c r="M623" s="68" t="s">
        <v>1870</v>
      </c>
      <c r="N623" s="68" t="s">
        <v>42</v>
      </c>
      <c r="O623" s="68" t="s">
        <v>1871</v>
      </c>
      <c r="P623" s="68" t="s">
        <v>1872</v>
      </c>
      <c r="Q623" s="303">
        <f t="shared" si="66"/>
        <v>0</v>
      </c>
      <c r="R623" s="303">
        <f t="shared" si="67"/>
        <v>0</v>
      </c>
      <c r="S623" s="68">
        <v>0</v>
      </c>
      <c r="T623" s="68">
        <v>0</v>
      </c>
      <c r="U623" s="68">
        <v>0</v>
      </c>
      <c r="V623" s="68">
        <v>0</v>
      </c>
      <c r="W623" s="68">
        <v>0</v>
      </c>
      <c r="X623" s="68">
        <v>58</v>
      </c>
      <c r="Y623" s="68">
        <v>38</v>
      </c>
      <c r="Z623" s="68">
        <v>22</v>
      </c>
      <c r="AA623" s="68">
        <v>5</v>
      </c>
      <c r="AB623" s="300">
        <f t="shared" si="68"/>
        <v>40.406666666666666</v>
      </c>
      <c r="AC623" s="300">
        <f t="shared" si="69"/>
        <v>0.24341365461847389</v>
      </c>
      <c r="AD623" s="68">
        <v>0</v>
      </c>
      <c r="AE623" s="68">
        <v>0</v>
      </c>
      <c r="AF623" s="68" t="s">
        <v>317</v>
      </c>
      <c r="AG623" s="68" t="s">
        <v>317</v>
      </c>
      <c r="AH623" s="68" t="s">
        <v>1873</v>
      </c>
      <c r="AI623" s="309"/>
      <c r="AJ623" s="309"/>
      <c r="AK623" s="68" t="s">
        <v>48</v>
      </c>
      <c r="AL623" s="68" t="s">
        <v>50</v>
      </c>
      <c r="AM623" s="299">
        <f t="shared" ca="1" si="65"/>
        <v>0.86458333332848269</v>
      </c>
      <c r="AN623" s="75"/>
      <c r="AO623" s="78" t="s">
        <v>135</v>
      </c>
      <c r="AP623" s="62" t="s">
        <v>1870</v>
      </c>
      <c r="AQ623" s="61" t="s">
        <v>1933</v>
      </c>
      <c r="AR623" s="64">
        <v>44883.604166666664</v>
      </c>
      <c r="AS623" s="57" t="s">
        <v>117</v>
      </c>
      <c r="AT623" s="61" t="s">
        <v>225</v>
      </c>
      <c r="AU623" s="63">
        <v>0.60416666666666663</v>
      </c>
      <c r="AV623" s="61">
        <v>1</v>
      </c>
      <c r="AW623" s="61" t="s">
        <v>66</v>
      </c>
      <c r="AX623" s="76"/>
      <c r="AY623" s="76"/>
      <c r="AZ623" s="76"/>
      <c r="BA623" s="76"/>
      <c r="BB623" s="74"/>
    </row>
    <row r="624" spans="1:54" ht="15.75" thickBot="1" x14ac:dyDescent="0.3">
      <c r="A624" s="73">
        <v>353</v>
      </c>
      <c r="B624" s="72">
        <v>44882.739583333336</v>
      </c>
      <c r="C624" s="67">
        <v>0.74305555555555547</v>
      </c>
      <c r="D624" s="67">
        <v>0.74652777777777779</v>
      </c>
      <c r="E624" s="67">
        <v>0.78125</v>
      </c>
      <c r="F624" s="68" t="s">
        <v>169</v>
      </c>
      <c r="G624" s="68" t="s">
        <v>193</v>
      </c>
      <c r="H624" s="66" t="s">
        <v>191</v>
      </c>
      <c r="I624" s="66" t="s">
        <v>192</v>
      </c>
      <c r="J624" s="66" t="s">
        <v>37</v>
      </c>
      <c r="K624" s="66" t="s">
        <v>180</v>
      </c>
      <c r="L624" s="70" t="s">
        <v>206</v>
      </c>
      <c r="M624" s="68" t="s">
        <v>1870</v>
      </c>
      <c r="N624" s="68" t="s">
        <v>42</v>
      </c>
      <c r="O624" s="68" t="s">
        <v>1871</v>
      </c>
      <c r="P624" s="68" t="s">
        <v>1872</v>
      </c>
      <c r="Q624" s="303">
        <f t="shared" si="66"/>
        <v>0</v>
      </c>
      <c r="R624" s="303">
        <f t="shared" si="67"/>
        <v>0</v>
      </c>
      <c r="S624" s="68">
        <v>0</v>
      </c>
      <c r="T624" s="68">
        <v>0</v>
      </c>
      <c r="U624" s="68">
        <v>0</v>
      </c>
      <c r="V624" s="68">
        <v>0</v>
      </c>
      <c r="W624" s="68">
        <v>0</v>
      </c>
      <c r="X624" s="68">
        <v>38</v>
      </c>
      <c r="Y624" s="68">
        <v>29</v>
      </c>
      <c r="Z624" s="68">
        <v>15</v>
      </c>
      <c r="AA624" s="68">
        <v>5</v>
      </c>
      <c r="AB624" s="300">
        <f t="shared" si="68"/>
        <v>13.775</v>
      </c>
      <c r="AC624" s="300">
        <f t="shared" si="69"/>
        <v>8.2981927710843381E-2</v>
      </c>
      <c r="AD624" s="68">
        <v>0</v>
      </c>
      <c r="AE624" s="68">
        <v>0</v>
      </c>
      <c r="AF624" s="68" t="s">
        <v>317</v>
      </c>
      <c r="AG624" s="68" t="s">
        <v>317</v>
      </c>
      <c r="AH624" s="68" t="s">
        <v>1873</v>
      </c>
      <c r="AI624" s="309"/>
      <c r="AJ624" s="309"/>
      <c r="AK624" s="68" t="s">
        <v>48</v>
      </c>
      <c r="AL624" s="68" t="s">
        <v>50</v>
      </c>
      <c r="AM624" s="299">
        <f t="shared" ca="1" si="65"/>
        <v>0.86458333332848269</v>
      </c>
      <c r="AN624" s="75"/>
      <c r="AO624" s="78" t="s">
        <v>135</v>
      </c>
      <c r="AP624" s="62" t="s">
        <v>1870</v>
      </c>
      <c r="AQ624" s="61" t="s">
        <v>1933</v>
      </c>
      <c r="AR624" s="64">
        <v>44883.604166666664</v>
      </c>
      <c r="AS624" s="57" t="s">
        <v>117</v>
      </c>
      <c r="AT624" s="61" t="s">
        <v>225</v>
      </c>
      <c r="AU624" s="63">
        <v>0.60416666666666663</v>
      </c>
      <c r="AV624" s="61">
        <v>1</v>
      </c>
      <c r="AW624" s="61" t="s">
        <v>66</v>
      </c>
      <c r="AX624" s="76"/>
      <c r="AY624" s="76"/>
      <c r="AZ624" s="76"/>
      <c r="BA624" s="76"/>
      <c r="BB624" s="74"/>
    </row>
    <row r="625" spans="1:54" x14ac:dyDescent="0.25">
      <c r="A625" s="73">
        <v>354</v>
      </c>
      <c r="B625" s="72">
        <v>44883.402777777781</v>
      </c>
      <c r="C625" s="67">
        <v>0.40972222222222227</v>
      </c>
      <c r="D625" s="67">
        <v>0.41666666666666669</v>
      </c>
      <c r="E625" s="67">
        <v>0.4375</v>
      </c>
      <c r="F625" s="68" t="s">
        <v>171</v>
      </c>
      <c r="G625" s="68" t="s">
        <v>173</v>
      </c>
      <c r="H625" s="71" t="s">
        <v>342</v>
      </c>
      <c r="I625" s="71" t="s">
        <v>342</v>
      </c>
      <c r="J625" s="71" t="s">
        <v>37</v>
      </c>
      <c r="K625" s="71" t="s">
        <v>180</v>
      </c>
      <c r="L625" s="47" t="s">
        <v>206</v>
      </c>
      <c r="M625" s="68" t="s">
        <v>1919</v>
      </c>
      <c r="N625" s="68" t="s">
        <v>42</v>
      </c>
      <c r="O625" s="68" t="s">
        <v>1896</v>
      </c>
      <c r="P625" s="68" t="s">
        <v>1897</v>
      </c>
      <c r="Q625" s="303">
        <f t="shared" si="66"/>
        <v>5</v>
      </c>
      <c r="R625" s="303">
        <f t="shared" si="67"/>
        <v>2459</v>
      </c>
      <c r="S625" s="68">
        <v>0</v>
      </c>
      <c r="T625" s="68">
        <v>0</v>
      </c>
      <c r="U625" s="68">
        <v>5</v>
      </c>
      <c r="V625" s="68">
        <v>2459</v>
      </c>
      <c r="W625" s="68">
        <v>2400</v>
      </c>
      <c r="X625" s="68">
        <v>99</v>
      </c>
      <c r="Y625" s="68">
        <v>99</v>
      </c>
      <c r="Z625" s="68">
        <v>76</v>
      </c>
      <c r="AA625" s="68">
        <v>5</v>
      </c>
      <c r="AB625" s="300">
        <f t="shared" si="68"/>
        <v>620.73</v>
      </c>
      <c r="AC625" s="300">
        <f t="shared" si="69"/>
        <v>3.7393373493975903</v>
      </c>
      <c r="AD625" s="68" t="s">
        <v>48</v>
      </c>
      <c r="AE625" s="68" t="s">
        <v>48</v>
      </c>
      <c r="AF625" s="68" t="s">
        <v>317</v>
      </c>
      <c r="AG625" s="68" t="s">
        <v>317</v>
      </c>
      <c r="AH625" s="68" t="s">
        <v>1898</v>
      </c>
      <c r="AI625" s="309"/>
      <c r="AJ625" s="309"/>
      <c r="AK625" s="68" t="s">
        <v>37</v>
      </c>
      <c r="AL625" s="68" t="s">
        <v>49</v>
      </c>
      <c r="AM625" s="299">
        <f t="shared" ca="1" si="65"/>
        <v>0.20138888888322981</v>
      </c>
      <c r="AN625" s="51"/>
      <c r="AO625" s="78" t="s">
        <v>107</v>
      </c>
      <c r="AP625" s="62" t="s">
        <v>1919</v>
      </c>
      <c r="AQ625" s="61" t="s">
        <v>1930</v>
      </c>
      <c r="AR625" s="64">
        <v>44883.604166666664</v>
      </c>
      <c r="AS625" s="57" t="s">
        <v>117</v>
      </c>
      <c r="AT625" s="61" t="s">
        <v>225</v>
      </c>
      <c r="AU625" s="63">
        <v>0.60416666666666663</v>
      </c>
      <c r="AV625" s="61">
        <v>1</v>
      </c>
      <c r="AW625" s="61" t="s">
        <v>66</v>
      </c>
      <c r="AX625" s="52"/>
      <c r="AY625" s="52"/>
      <c r="AZ625" s="52"/>
      <c r="BA625" s="52"/>
    </row>
    <row r="626" spans="1:54" x14ac:dyDescent="0.25">
      <c r="A626" s="73">
        <v>355</v>
      </c>
      <c r="B626" s="72">
        <v>44883.402777777781</v>
      </c>
      <c r="C626" s="67">
        <v>0.40972222222222227</v>
      </c>
      <c r="D626" s="67">
        <v>0.41666666666666669</v>
      </c>
      <c r="E626" s="67">
        <v>0.4375</v>
      </c>
      <c r="F626" s="68" t="s">
        <v>171</v>
      </c>
      <c r="G626" s="68" t="s">
        <v>173</v>
      </c>
      <c r="H626" s="66" t="s">
        <v>342</v>
      </c>
      <c r="I626" s="66" t="s">
        <v>342</v>
      </c>
      <c r="J626" s="66" t="s">
        <v>37</v>
      </c>
      <c r="K626" s="66" t="s">
        <v>180</v>
      </c>
      <c r="L626" s="70" t="s">
        <v>206</v>
      </c>
      <c r="M626" s="68" t="s">
        <v>1895</v>
      </c>
      <c r="N626" s="68" t="s">
        <v>42</v>
      </c>
      <c r="O626" s="68" t="s">
        <v>1899</v>
      </c>
      <c r="P626" s="68">
        <v>29530093</v>
      </c>
      <c r="Q626" s="303">
        <f t="shared" si="66"/>
        <v>1</v>
      </c>
      <c r="R626" s="303">
        <f t="shared" si="67"/>
        <v>138</v>
      </c>
      <c r="S626" s="68">
        <v>0</v>
      </c>
      <c r="T626" s="68">
        <v>0</v>
      </c>
      <c r="U626" s="68">
        <v>1</v>
      </c>
      <c r="V626" s="68">
        <v>138</v>
      </c>
      <c r="W626" s="68">
        <v>148.75200000000001</v>
      </c>
      <c r="X626" s="68">
        <v>82</v>
      </c>
      <c r="Y626" s="68">
        <v>77</v>
      </c>
      <c r="Z626" s="68">
        <v>64</v>
      </c>
      <c r="AA626" s="68">
        <v>1</v>
      </c>
      <c r="AB626" s="300">
        <f t="shared" si="68"/>
        <v>67.349333333333334</v>
      </c>
      <c r="AC626" s="300">
        <f t="shared" si="69"/>
        <v>0.40571887550200803</v>
      </c>
      <c r="AD626" s="68">
        <v>1039.74</v>
      </c>
      <c r="AE626" s="68" t="s">
        <v>109</v>
      </c>
      <c r="AF626" s="68" t="s">
        <v>317</v>
      </c>
      <c r="AG626" s="68" t="s">
        <v>317</v>
      </c>
      <c r="AH626" s="68" t="s">
        <v>1900</v>
      </c>
      <c r="AI626" s="309"/>
      <c r="AJ626" s="309"/>
      <c r="AK626" s="68" t="s">
        <v>48</v>
      </c>
      <c r="AL626" s="68" t="s">
        <v>49</v>
      </c>
      <c r="AM626" s="299">
        <f t="shared" ca="1" si="65"/>
        <v>0.20138888888322981</v>
      </c>
      <c r="AN626" s="51"/>
      <c r="AO626" s="78" t="s">
        <v>107</v>
      </c>
      <c r="AP626" s="62" t="s">
        <v>1895</v>
      </c>
      <c r="AQ626" s="61" t="s">
        <v>1930</v>
      </c>
      <c r="AR626" s="64">
        <v>44883.604166666664</v>
      </c>
      <c r="AS626" s="57" t="s">
        <v>117</v>
      </c>
      <c r="AT626" s="61" t="s">
        <v>225</v>
      </c>
      <c r="AU626" s="63">
        <v>0.60416666666666663</v>
      </c>
      <c r="AV626" s="61">
        <v>1</v>
      </c>
      <c r="AW626" s="61" t="s">
        <v>66</v>
      </c>
      <c r="AX626" s="52"/>
      <c r="AY626" s="52"/>
      <c r="AZ626" s="52"/>
      <c r="BA626" s="52"/>
    </row>
    <row r="627" spans="1:54" x14ac:dyDescent="0.25">
      <c r="A627" s="73">
        <v>356</v>
      </c>
      <c r="B627" s="72">
        <v>44883.416666666664</v>
      </c>
      <c r="C627" s="67">
        <v>0.41666666666666669</v>
      </c>
      <c r="D627" s="67">
        <v>0.4236111111111111</v>
      </c>
      <c r="E627" s="67">
        <v>0.44444444444444442</v>
      </c>
      <c r="F627" s="68" t="s">
        <v>171</v>
      </c>
      <c r="G627" s="68" t="s">
        <v>329</v>
      </c>
      <c r="H627" s="66" t="s">
        <v>291</v>
      </c>
      <c r="I627" s="66" t="s">
        <v>172</v>
      </c>
      <c r="J627" s="66" t="s">
        <v>37</v>
      </c>
      <c r="K627" s="66" t="s">
        <v>180</v>
      </c>
      <c r="L627" s="70" t="s">
        <v>206</v>
      </c>
      <c r="M627" s="68" t="s">
        <v>1901</v>
      </c>
      <c r="N627" s="68" t="s">
        <v>59</v>
      </c>
      <c r="O627" s="68" t="s">
        <v>1902</v>
      </c>
      <c r="P627" s="68">
        <v>804629</v>
      </c>
      <c r="Q627" s="303">
        <f t="shared" si="66"/>
        <v>13</v>
      </c>
      <c r="R627" s="303">
        <f t="shared" si="67"/>
        <v>169</v>
      </c>
      <c r="S627" s="68">
        <v>13</v>
      </c>
      <c r="T627" s="68">
        <v>169</v>
      </c>
      <c r="U627" s="68">
        <v>0</v>
      </c>
      <c r="V627" s="68">
        <v>0</v>
      </c>
      <c r="W627" s="68">
        <v>168</v>
      </c>
      <c r="X627" s="68">
        <v>35</v>
      </c>
      <c r="Y627" s="68">
        <v>29</v>
      </c>
      <c r="Z627" s="68">
        <v>18</v>
      </c>
      <c r="AA627" s="68">
        <v>13</v>
      </c>
      <c r="AB627" s="300">
        <f t="shared" si="68"/>
        <v>39.585000000000001</v>
      </c>
      <c r="AC627" s="300">
        <f t="shared" si="69"/>
        <v>0.23846385542168674</v>
      </c>
      <c r="AD627" s="68">
        <v>4015.7</v>
      </c>
      <c r="AE627" s="68" t="s">
        <v>111</v>
      </c>
      <c r="AF627" s="68" t="s">
        <v>317</v>
      </c>
      <c r="AG627" s="68" t="s">
        <v>317</v>
      </c>
      <c r="AH627" s="68" t="s">
        <v>1903</v>
      </c>
      <c r="AI627" s="309"/>
      <c r="AJ627" s="309"/>
      <c r="AK627" s="68" t="s">
        <v>48</v>
      </c>
      <c r="AL627" s="68" t="s">
        <v>56</v>
      </c>
      <c r="AM627" s="299">
        <f t="shared" ca="1" si="65"/>
        <v>0.27083333333575865</v>
      </c>
      <c r="AN627" s="51"/>
      <c r="AO627" s="78" t="s">
        <v>70</v>
      </c>
      <c r="AP627" s="62" t="s">
        <v>1901</v>
      </c>
      <c r="AQ627" s="61" t="s">
        <v>1934</v>
      </c>
      <c r="AR627" s="64">
        <v>44883.6875</v>
      </c>
      <c r="AS627" s="57" t="s">
        <v>117</v>
      </c>
      <c r="AT627" s="61" t="s">
        <v>225</v>
      </c>
      <c r="AU627" s="63">
        <v>0.6875</v>
      </c>
      <c r="AV627" s="61">
        <v>2</v>
      </c>
      <c r="AW627" s="61" t="s">
        <v>66</v>
      </c>
      <c r="AX627" s="52"/>
      <c r="AY627" s="52"/>
      <c r="AZ627" s="52"/>
      <c r="BA627" s="52"/>
    </row>
    <row r="628" spans="1:54" x14ac:dyDescent="0.25">
      <c r="A628" s="73">
        <v>357</v>
      </c>
      <c r="B628" s="72">
        <v>44883.416666666664</v>
      </c>
      <c r="C628" s="67">
        <v>0.41666666666666669</v>
      </c>
      <c r="D628" s="67">
        <v>0.4236111111111111</v>
      </c>
      <c r="E628" s="67">
        <v>0.44791666666666669</v>
      </c>
      <c r="F628" s="68" t="s">
        <v>171</v>
      </c>
      <c r="G628" s="68" t="s">
        <v>329</v>
      </c>
      <c r="H628" s="66" t="s">
        <v>1904</v>
      </c>
      <c r="I628" s="66" t="s">
        <v>1905</v>
      </c>
      <c r="J628" s="66" t="s">
        <v>37</v>
      </c>
      <c r="K628" s="66" t="s">
        <v>180</v>
      </c>
      <c r="L628" s="66">
        <v>0</v>
      </c>
      <c r="M628" s="68" t="s">
        <v>1906</v>
      </c>
      <c r="N628" s="68" t="s">
        <v>186</v>
      </c>
      <c r="O628" s="68">
        <v>5121592032</v>
      </c>
      <c r="P628" s="68">
        <v>7019673</v>
      </c>
      <c r="Q628" s="303">
        <f t="shared" si="66"/>
        <v>1</v>
      </c>
      <c r="R628" s="303">
        <f t="shared" si="67"/>
        <v>130</v>
      </c>
      <c r="S628" s="68">
        <v>0</v>
      </c>
      <c r="T628" s="68">
        <v>0</v>
      </c>
      <c r="U628" s="68">
        <v>1</v>
      </c>
      <c r="V628" s="68">
        <v>130</v>
      </c>
      <c r="W628" s="68">
        <v>29</v>
      </c>
      <c r="X628" s="68">
        <v>122</v>
      </c>
      <c r="Y628" s="68">
        <v>102</v>
      </c>
      <c r="Z628" s="68">
        <v>119</v>
      </c>
      <c r="AA628" s="68">
        <v>1</v>
      </c>
      <c r="AB628" s="300">
        <f t="shared" si="68"/>
        <v>246.80600000000001</v>
      </c>
      <c r="AC628" s="300">
        <f t="shared" si="69"/>
        <v>1.4867831325301206</v>
      </c>
      <c r="AD628" s="68">
        <v>135531.29</v>
      </c>
      <c r="AE628" s="68" t="s">
        <v>109</v>
      </c>
      <c r="AF628" s="68" t="s">
        <v>317</v>
      </c>
      <c r="AG628" s="68" t="s">
        <v>317</v>
      </c>
      <c r="AH628" s="68" t="s">
        <v>1907</v>
      </c>
      <c r="AI628" s="309"/>
      <c r="AJ628" s="309"/>
      <c r="AK628" s="68" t="s">
        <v>37</v>
      </c>
      <c r="AL628" s="68" t="s">
        <v>49</v>
      </c>
      <c r="AM628" s="299">
        <f t="shared" ca="1" si="65"/>
        <v>4.1354166666715173</v>
      </c>
      <c r="AN628" s="51"/>
      <c r="AO628" s="61" t="s">
        <v>131</v>
      </c>
      <c r="AP628" s="62" t="s">
        <v>1906</v>
      </c>
      <c r="AQ628" s="61" t="s">
        <v>2177</v>
      </c>
      <c r="AR628" s="64">
        <v>44887.552083333336</v>
      </c>
      <c r="AS628" s="61" t="s">
        <v>95</v>
      </c>
      <c r="AT628" s="61" t="s">
        <v>225</v>
      </c>
      <c r="AU628" s="59">
        <v>0.55208333333333337</v>
      </c>
      <c r="AV628" s="61">
        <v>1</v>
      </c>
      <c r="AW628" s="61" t="s">
        <v>66</v>
      </c>
      <c r="AX628" s="52"/>
      <c r="AY628" s="52"/>
      <c r="AZ628" s="52"/>
      <c r="BA628" s="52"/>
    </row>
    <row r="629" spans="1:54" x14ac:dyDescent="0.25">
      <c r="A629" s="73">
        <v>358</v>
      </c>
      <c r="B629" s="72">
        <v>44883.416666666664</v>
      </c>
      <c r="C629" s="67">
        <v>0.41666666666666669</v>
      </c>
      <c r="D629" s="67">
        <v>0.4236111111111111</v>
      </c>
      <c r="E629" s="67">
        <v>0.4513888888888889</v>
      </c>
      <c r="F629" s="68" t="s">
        <v>171</v>
      </c>
      <c r="G629" s="68" t="s">
        <v>329</v>
      </c>
      <c r="H629" s="66" t="s">
        <v>315</v>
      </c>
      <c r="I629" s="66" t="s">
        <v>172</v>
      </c>
      <c r="J629" s="66" t="s">
        <v>37</v>
      </c>
      <c r="K629" s="66" t="s">
        <v>180</v>
      </c>
      <c r="L629" s="70" t="s">
        <v>206</v>
      </c>
      <c r="M629" s="68" t="s">
        <v>1908</v>
      </c>
      <c r="N629" s="68" t="s">
        <v>59</v>
      </c>
      <c r="O629" s="68" t="s">
        <v>1909</v>
      </c>
      <c r="P629" s="68">
        <v>791452</v>
      </c>
      <c r="Q629" s="303">
        <f t="shared" si="66"/>
        <v>2</v>
      </c>
      <c r="R629" s="303">
        <f t="shared" si="67"/>
        <v>233</v>
      </c>
      <c r="S629" s="68">
        <v>0</v>
      </c>
      <c r="T629" s="68">
        <v>0</v>
      </c>
      <c r="U629" s="68">
        <v>2</v>
      </c>
      <c r="V629" s="68">
        <v>233</v>
      </c>
      <c r="W629" s="68">
        <v>222</v>
      </c>
      <c r="X629" s="68">
        <v>92</v>
      </c>
      <c r="Y629" s="68">
        <v>62</v>
      </c>
      <c r="Z629" s="68">
        <v>94</v>
      </c>
      <c r="AA629" s="68">
        <v>2</v>
      </c>
      <c r="AB629" s="300">
        <f t="shared" si="68"/>
        <v>178.72533333333334</v>
      </c>
      <c r="AC629" s="300">
        <f t="shared" si="69"/>
        <v>1.0766586345381526</v>
      </c>
      <c r="AD629" s="68">
        <v>2626</v>
      </c>
      <c r="AE629" s="68" t="s">
        <v>111</v>
      </c>
      <c r="AF629" s="68" t="s">
        <v>317</v>
      </c>
      <c r="AG629" s="68" t="s">
        <v>317</v>
      </c>
      <c r="AH629" s="68" t="s">
        <v>1910</v>
      </c>
      <c r="AI629" s="309"/>
      <c r="AJ629" s="309"/>
      <c r="AK629" s="68" t="s">
        <v>37</v>
      </c>
      <c r="AL629" s="68" t="s">
        <v>49</v>
      </c>
      <c r="AM629" s="299">
        <f t="shared" ca="1" si="65"/>
        <v>0.27083333333575865</v>
      </c>
      <c r="AN629" s="51"/>
      <c r="AO629" s="78" t="s">
        <v>70</v>
      </c>
      <c r="AP629" s="62" t="s">
        <v>1908</v>
      </c>
      <c r="AQ629" s="61" t="s">
        <v>1934</v>
      </c>
      <c r="AR629" s="64">
        <v>44883.6875</v>
      </c>
      <c r="AS629" s="57" t="s">
        <v>117</v>
      </c>
      <c r="AT629" s="61" t="s">
        <v>225</v>
      </c>
      <c r="AU629" s="63">
        <v>0.6875</v>
      </c>
      <c r="AV629" s="61">
        <v>2</v>
      </c>
      <c r="AW629" s="61" t="s">
        <v>66</v>
      </c>
      <c r="AX629" s="52"/>
      <c r="AY629" s="52"/>
      <c r="AZ629" s="52"/>
      <c r="BA629" s="52"/>
    </row>
    <row r="630" spans="1:54" x14ac:dyDescent="0.25">
      <c r="A630" s="95">
        <v>359</v>
      </c>
      <c r="B630" s="72">
        <v>44883.416666666664</v>
      </c>
      <c r="C630" s="67">
        <v>0.41666666666666669</v>
      </c>
      <c r="D630" s="67">
        <v>0.4236111111111111</v>
      </c>
      <c r="E630" s="67">
        <v>0.4513888888888889</v>
      </c>
      <c r="F630" s="68" t="s">
        <v>171</v>
      </c>
      <c r="G630" s="68" t="s">
        <v>329</v>
      </c>
      <c r="H630" s="66" t="s">
        <v>315</v>
      </c>
      <c r="I630" s="66" t="s">
        <v>172</v>
      </c>
      <c r="J630" s="66" t="s">
        <v>37</v>
      </c>
      <c r="K630" s="66" t="s">
        <v>180</v>
      </c>
      <c r="L630" s="70" t="s">
        <v>206</v>
      </c>
      <c r="M630" s="68" t="s">
        <v>1908</v>
      </c>
      <c r="N630" s="68" t="s">
        <v>59</v>
      </c>
      <c r="O630" s="68" t="s">
        <v>1911</v>
      </c>
      <c r="P630" s="68">
        <v>802903</v>
      </c>
      <c r="Q630" s="303">
        <f t="shared" si="66"/>
        <v>1</v>
      </c>
      <c r="R630" s="303">
        <f t="shared" si="67"/>
        <v>126</v>
      </c>
      <c r="S630" s="68">
        <v>0</v>
      </c>
      <c r="T630" s="68">
        <v>0</v>
      </c>
      <c r="U630" s="68">
        <v>1</v>
      </c>
      <c r="V630" s="68">
        <v>126</v>
      </c>
      <c r="W630" s="68">
        <v>112.5</v>
      </c>
      <c r="X630" s="68">
        <v>132</v>
      </c>
      <c r="Y630" s="68">
        <v>65</v>
      </c>
      <c r="Z630" s="68">
        <v>105</v>
      </c>
      <c r="AA630" s="68">
        <v>1</v>
      </c>
      <c r="AB630" s="300">
        <f t="shared" si="68"/>
        <v>150.15</v>
      </c>
      <c r="AC630" s="300">
        <f t="shared" si="69"/>
        <v>0.9045180722891567</v>
      </c>
      <c r="AD630" s="68">
        <v>868.5</v>
      </c>
      <c r="AE630" s="68" t="s">
        <v>111</v>
      </c>
      <c r="AF630" s="68" t="s">
        <v>317</v>
      </c>
      <c r="AG630" s="68" t="s">
        <v>317</v>
      </c>
      <c r="AH630" s="68" t="s">
        <v>1912</v>
      </c>
      <c r="AI630" s="309"/>
      <c r="AJ630" s="309"/>
      <c r="AK630" s="68" t="s">
        <v>37</v>
      </c>
      <c r="AL630" s="68" t="s">
        <v>49</v>
      </c>
      <c r="AM630" s="299">
        <f t="shared" ca="1" si="65"/>
        <v>0.27083333333575865</v>
      </c>
      <c r="AN630" s="51"/>
      <c r="AO630" s="78" t="s">
        <v>70</v>
      </c>
      <c r="AP630" s="62" t="s">
        <v>1908</v>
      </c>
      <c r="AQ630" s="61" t="s">
        <v>1934</v>
      </c>
      <c r="AR630" s="64">
        <v>44883.6875</v>
      </c>
      <c r="AS630" s="57" t="s">
        <v>117</v>
      </c>
      <c r="AT630" s="61" t="s">
        <v>225</v>
      </c>
      <c r="AU630" s="63">
        <v>0.6875</v>
      </c>
      <c r="AV630" s="61">
        <v>2</v>
      </c>
      <c r="AW630" s="61" t="s">
        <v>66</v>
      </c>
      <c r="AX630" s="52"/>
      <c r="AY630" s="52"/>
      <c r="AZ630" s="52"/>
      <c r="BA630" s="52"/>
    </row>
    <row r="631" spans="1:54" x14ac:dyDescent="0.25">
      <c r="A631" s="73">
        <v>360</v>
      </c>
      <c r="B631" s="72">
        <v>44883.416666666664</v>
      </c>
      <c r="C631" s="67">
        <v>0.41666666666666669</v>
      </c>
      <c r="D631" s="67">
        <v>0.4236111111111111</v>
      </c>
      <c r="E631" s="67">
        <v>0.4513888888888889</v>
      </c>
      <c r="F631" s="68" t="s">
        <v>171</v>
      </c>
      <c r="G631" s="68" t="s">
        <v>329</v>
      </c>
      <c r="H631" s="66" t="s">
        <v>315</v>
      </c>
      <c r="I631" s="66" t="s">
        <v>172</v>
      </c>
      <c r="J631" s="66" t="s">
        <v>37</v>
      </c>
      <c r="K631" s="66" t="s">
        <v>180</v>
      </c>
      <c r="L631" s="70" t="s">
        <v>206</v>
      </c>
      <c r="M631" s="68" t="s">
        <v>1908</v>
      </c>
      <c r="N631" s="68" t="s">
        <v>59</v>
      </c>
      <c r="O631" s="68" t="s">
        <v>1913</v>
      </c>
      <c r="P631" s="68">
        <v>800331</v>
      </c>
      <c r="Q631" s="303">
        <f t="shared" si="66"/>
        <v>2</v>
      </c>
      <c r="R631" s="303">
        <f t="shared" si="67"/>
        <v>50</v>
      </c>
      <c r="S631" s="68">
        <v>2</v>
      </c>
      <c r="T631" s="68">
        <v>50</v>
      </c>
      <c r="U631" s="68">
        <v>0</v>
      </c>
      <c r="V631" s="68">
        <v>0</v>
      </c>
      <c r="W631" s="68">
        <v>47</v>
      </c>
      <c r="X631" s="68">
        <v>52</v>
      </c>
      <c r="Y631" s="68">
        <v>31</v>
      </c>
      <c r="Z631" s="68">
        <v>31</v>
      </c>
      <c r="AA631" s="68">
        <v>2</v>
      </c>
      <c r="AB631" s="300">
        <f t="shared" si="68"/>
        <v>16.657333333333334</v>
      </c>
      <c r="AC631" s="300">
        <f t="shared" si="69"/>
        <v>0.10034538152610442</v>
      </c>
      <c r="AD631" s="68">
        <v>1568</v>
      </c>
      <c r="AE631" s="68" t="s">
        <v>111</v>
      </c>
      <c r="AF631" s="68" t="s">
        <v>317</v>
      </c>
      <c r="AG631" s="68" t="s">
        <v>317</v>
      </c>
      <c r="AH631" s="68" t="s">
        <v>1914</v>
      </c>
      <c r="AI631" s="309"/>
      <c r="AJ631" s="309"/>
      <c r="AK631" s="68" t="s">
        <v>48</v>
      </c>
      <c r="AL631" s="68" t="s">
        <v>56</v>
      </c>
      <c r="AM631" s="299">
        <f t="shared" ca="1" si="65"/>
        <v>0.27083333333575865</v>
      </c>
      <c r="AN631" s="51"/>
      <c r="AO631" s="78" t="s">
        <v>70</v>
      </c>
      <c r="AP631" s="62" t="s">
        <v>1908</v>
      </c>
      <c r="AQ631" s="61" t="s">
        <v>1934</v>
      </c>
      <c r="AR631" s="64">
        <v>44883.6875</v>
      </c>
      <c r="AS631" s="57" t="s">
        <v>117</v>
      </c>
      <c r="AT631" s="61" t="s">
        <v>225</v>
      </c>
      <c r="AU631" s="63">
        <v>0.6875</v>
      </c>
      <c r="AV631" s="61">
        <v>2</v>
      </c>
      <c r="AW631" s="61" t="s">
        <v>66</v>
      </c>
      <c r="AX631" s="52"/>
      <c r="AY631" s="52"/>
      <c r="AZ631" s="52"/>
      <c r="BA631" s="52"/>
    </row>
    <row r="632" spans="1:54" x14ac:dyDescent="0.25">
      <c r="A632" s="73">
        <v>361</v>
      </c>
      <c r="B632" s="72">
        <v>44883.416666666664</v>
      </c>
      <c r="C632" s="67">
        <v>0.41666666666666669</v>
      </c>
      <c r="D632" s="67">
        <v>0.4236111111111111</v>
      </c>
      <c r="E632" s="67">
        <v>0.4513888888888889</v>
      </c>
      <c r="F632" s="68" t="s">
        <v>171</v>
      </c>
      <c r="G632" s="68" t="s">
        <v>329</v>
      </c>
      <c r="H632" s="66" t="s">
        <v>315</v>
      </c>
      <c r="I632" s="66" t="s">
        <v>172</v>
      </c>
      <c r="J632" s="66" t="s">
        <v>37</v>
      </c>
      <c r="K632" s="66" t="s">
        <v>180</v>
      </c>
      <c r="L632" s="70" t="s">
        <v>206</v>
      </c>
      <c r="M632" s="68" t="s">
        <v>1908</v>
      </c>
      <c r="N632" s="68" t="s">
        <v>59</v>
      </c>
      <c r="O632" s="68" t="s">
        <v>1915</v>
      </c>
      <c r="P632" s="68">
        <v>809673</v>
      </c>
      <c r="Q632" s="303">
        <f t="shared" si="66"/>
        <v>1</v>
      </c>
      <c r="R632" s="303">
        <f t="shared" si="67"/>
        <v>31</v>
      </c>
      <c r="S632" s="68">
        <v>1</v>
      </c>
      <c r="T632" s="68">
        <v>31</v>
      </c>
      <c r="U632" s="68">
        <v>0</v>
      </c>
      <c r="V632" s="68">
        <v>0</v>
      </c>
      <c r="W632" s="68">
        <v>30.5</v>
      </c>
      <c r="X632" s="68">
        <v>59</v>
      </c>
      <c r="Y632" s="68">
        <v>48</v>
      </c>
      <c r="Z632" s="68">
        <v>32</v>
      </c>
      <c r="AA632" s="68">
        <v>1</v>
      </c>
      <c r="AB632" s="300">
        <f t="shared" si="68"/>
        <v>15.103999999999999</v>
      </c>
      <c r="AC632" s="300">
        <f t="shared" si="69"/>
        <v>9.0987951807228906E-2</v>
      </c>
      <c r="AD632" s="68">
        <v>659.5</v>
      </c>
      <c r="AE632" s="68" t="s">
        <v>111</v>
      </c>
      <c r="AF632" s="68" t="s">
        <v>317</v>
      </c>
      <c r="AG632" s="68" t="s">
        <v>317</v>
      </c>
      <c r="AH632" s="68" t="s">
        <v>1916</v>
      </c>
      <c r="AI632" s="309"/>
      <c r="AJ632" s="309"/>
      <c r="AK632" s="68" t="s">
        <v>48</v>
      </c>
      <c r="AL632" s="68" t="s">
        <v>56</v>
      </c>
      <c r="AM632" s="299">
        <f t="shared" ca="1" si="65"/>
        <v>0.27083333333575865</v>
      </c>
      <c r="AN632" s="51"/>
      <c r="AO632" s="78" t="s">
        <v>70</v>
      </c>
      <c r="AP632" s="62" t="s">
        <v>1908</v>
      </c>
      <c r="AQ632" s="61" t="s">
        <v>1934</v>
      </c>
      <c r="AR632" s="64">
        <v>44883.6875</v>
      </c>
      <c r="AS632" s="57" t="s">
        <v>117</v>
      </c>
      <c r="AT632" s="61" t="s">
        <v>225</v>
      </c>
      <c r="AU632" s="63">
        <v>0.6875</v>
      </c>
      <c r="AV632" s="61">
        <v>2</v>
      </c>
      <c r="AW632" s="61" t="s">
        <v>66</v>
      </c>
      <c r="AX632" s="52"/>
      <c r="AY632" s="52"/>
      <c r="AZ632" s="52"/>
      <c r="BA632" s="52"/>
    </row>
    <row r="633" spans="1:54" x14ac:dyDescent="0.25">
      <c r="A633" s="73">
        <v>362</v>
      </c>
      <c r="B633" s="72">
        <v>44883.416666666664</v>
      </c>
      <c r="C633" s="67">
        <v>0.41666666666666669</v>
      </c>
      <c r="D633" s="67">
        <v>0.4236111111111111</v>
      </c>
      <c r="E633" s="67">
        <v>0.4513888888888889</v>
      </c>
      <c r="F633" s="68" t="s">
        <v>171</v>
      </c>
      <c r="G633" s="68" t="s">
        <v>329</v>
      </c>
      <c r="H633" s="66" t="s">
        <v>315</v>
      </c>
      <c r="I633" s="66" t="s">
        <v>172</v>
      </c>
      <c r="J633" s="66" t="s">
        <v>37</v>
      </c>
      <c r="K633" s="66" t="s">
        <v>180</v>
      </c>
      <c r="L633" s="70" t="s">
        <v>206</v>
      </c>
      <c r="M633" s="68" t="s">
        <v>1908</v>
      </c>
      <c r="N633" s="68" t="s">
        <v>59</v>
      </c>
      <c r="O633" s="68" t="s">
        <v>1917</v>
      </c>
      <c r="P633" s="68">
        <v>807074</v>
      </c>
      <c r="Q633" s="303">
        <f t="shared" si="66"/>
        <v>1</v>
      </c>
      <c r="R633" s="303">
        <f t="shared" si="67"/>
        <v>25</v>
      </c>
      <c r="S633" s="68">
        <v>1</v>
      </c>
      <c r="T633" s="68">
        <v>25</v>
      </c>
      <c r="U633" s="68">
        <v>0</v>
      </c>
      <c r="V633" s="68">
        <v>0</v>
      </c>
      <c r="W633" s="68">
        <v>23.5</v>
      </c>
      <c r="X633" s="68">
        <v>50</v>
      </c>
      <c r="Y633" s="68">
        <v>31</v>
      </c>
      <c r="Z633" s="68">
        <v>35</v>
      </c>
      <c r="AA633" s="68">
        <v>1</v>
      </c>
      <c r="AB633" s="300">
        <f t="shared" si="68"/>
        <v>9.0416666666666661</v>
      </c>
      <c r="AC633" s="300">
        <f t="shared" si="69"/>
        <v>5.4467871485943772E-2</v>
      </c>
      <c r="AD633" s="68">
        <v>784</v>
      </c>
      <c r="AE633" s="68" t="s">
        <v>111</v>
      </c>
      <c r="AF633" s="68" t="s">
        <v>317</v>
      </c>
      <c r="AG633" s="68" t="s">
        <v>317</v>
      </c>
      <c r="AH633" s="68" t="s">
        <v>1918</v>
      </c>
      <c r="AI633" s="309"/>
      <c r="AJ633" s="309"/>
      <c r="AK633" s="68" t="s">
        <v>48</v>
      </c>
      <c r="AL633" s="68" t="s">
        <v>56</v>
      </c>
      <c r="AM633" s="299">
        <f t="shared" ca="1" si="65"/>
        <v>0.27083333333575865</v>
      </c>
      <c r="AN633" s="51"/>
      <c r="AO633" s="78" t="s">
        <v>70</v>
      </c>
      <c r="AP633" s="62" t="s">
        <v>1908</v>
      </c>
      <c r="AQ633" s="61" t="s">
        <v>1934</v>
      </c>
      <c r="AR633" s="64">
        <v>44883.6875</v>
      </c>
      <c r="AS633" s="57" t="s">
        <v>117</v>
      </c>
      <c r="AT633" s="61" t="s">
        <v>225</v>
      </c>
      <c r="AU633" s="63">
        <v>0.6875</v>
      </c>
      <c r="AV633" s="61">
        <v>2</v>
      </c>
      <c r="AW633" s="61" t="s">
        <v>66</v>
      </c>
      <c r="AX633" s="52"/>
      <c r="AY633" s="52"/>
      <c r="AZ633" s="52"/>
      <c r="BA633" s="52"/>
    </row>
    <row r="634" spans="1:54" x14ac:dyDescent="0.25">
      <c r="A634" s="73">
        <v>363</v>
      </c>
      <c r="B634" s="72">
        <v>44883.472222222219</v>
      </c>
      <c r="C634" s="67">
        <v>0.47569444444444442</v>
      </c>
      <c r="D634" s="67">
        <v>0.47916666666666669</v>
      </c>
      <c r="E634" s="67">
        <v>0.5</v>
      </c>
      <c r="F634" s="68" t="s">
        <v>170</v>
      </c>
      <c r="G634" s="68" t="s">
        <v>1599</v>
      </c>
      <c r="H634" s="71" t="s">
        <v>227</v>
      </c>
      <c r="I634" s="71" t="s">
        <v>189</v>
      </c>
      <c r="J634" s="71" t="s">
        <v>37</v>
      </c>
      <c r="K634" s="71" t="s">
        <v>63</v>
      </c>
      <c r="L634" s="71" t="s">
        <v>209</v>
      </c>
      <c r="M634" s="68" t="s">
        <v>1920</v>
      </c>
      <c r="N634" s="68" t="s">
        <v>42</v>
      </c>
      <c r="O634" s="68">
        <v>935</v>
      </c>
      <c r="P634" s="68">
        <v>2197</v>
      </c>
      <c r="Q634" s="303">
        <f t="shared" si="66"/>
        <v>9</v>
      </c>
      <c r="R634" s="303">
        <f t="shared" si="67"/>
        <v>167</v>
      </c>
      <c r="S634" s="68">
        <v>9</v>
      </c>
      <c r="T634" s="68">
        <v>167</v>
      </c>
      <c r="U634" s="68">
        <v>0</v>
      </c>
      <c r="V634" s="68">
        <v>0</v>
      </c>
      <c r="W634" s="68">
        <v>162</v>
      </c>
      <c r="X634" s="68">
        <v>84</v>
      </c>
      <c r="Y634" s="68">
        <v>53</v>
      </c>
      <c r="Z634" s="68">
        <v>63</v>
      </c>
      <c r="AA634" s="68">
        <v>9</v>
      </c>
      <c r="AB634" s="300">
        <f t="shared" si="68"/>
        <v>420.714</v>
      </c>
      <c r="AC634" s="300">
        <f t="shared" si="69"/>
        <v>2.5344216867469878</v>
      </c>
      <c r="AD634" s="68">
        <v>5540.4</v>
      </c>
      <c r="AE634" s="68" t="s">
        <v>109</v>
      </c>
      <c r="AF634" s="68" t="s">
        <v>317</v>
      </c>
      <c r="AG634" s="68" t="s">
        <v>317</v>
      </c>
      <c r="AH634" s="68" t="s">
        <v>1921</v>
      </c>
      <c r="AI634" s="309"/>
      <c r="AJ634" s="309"/>
      <c r="AK634" s="68" t="s">
        <v>48</v>
      </c>
      <c r="AL634" s="68" t="s">
        <v>56</v>
      </c>
      <c r="AM634" s="299">
        <f t="shared" ca="1" si="65"/>
        <v>0.11805555556202307</v>
      </c>
      <c r="AN634" s="51"/>
      <c r="AO634" s="78" t="s">
        <v>89</v>
      </c>
      <c r="AP634" s="62" t="s">
        <v>1920</v>
      </c>
      <c r="AQ634" s="61" t="s">
        <v>1929</v>
      </c>
      <c r="AR634" s="64">
        <v>44883.590277777781</v>
      </c>
      <c r="AS634" s="57" t="s">
        <v>173</v>
      </c>
      <c r="AT634" s="61" t="s">
        <v>225</v>
      </c>
      <c r="AU634" s="63">
        <v>0.59027777777777779</v>
      </c>
      <c r="AV634" s="61">
        <v>1</v>
      </c>
      <c r="AW634" s="61" t="s">
        <v>66</v>
      </c>
      <c r="AX634" s="52"/>
      <c r="AY634" s="52"/>
      <c r="AZ634" s="52"/>
      <c r="BA634" s="52"/>
    </row>
    <row r="635" spans="1:54" x14ac:dyDescent="0.25">
      <c r="A635" s="73">
        <v>364</v>
      </c>
      <c r="B635" s="72">
        <v>44883.472222222219</v>
      </c>
      <c r="C635" s="67">
        <v>0.47569444444444442</v>
      </c>
      <c r="D635" s="67">
        <v>0.47916666666666669</v>
      </c>
      <c r="E635" s="67">
        <v>0.5</v>
      </c>
      <c r="F635" s="68" t="s">
        <v>170</v>
      </c>
      <c r="G635" s="68" t="s">
        <v>1599</v>
      </c>
      <c r="H635" s="66" t="s">
        <v>227</v>
      </c>
      <c r="I635" s="66" t="s">
        <v>189</v>
      </c>
      <c r="J635" s="66" t="s">
        <v>37</v>
      </c>
      <c r="K635" s="66" t="s">
        <v>63</v>
      </c>
      <c r="L635" s="66" t="s">
        <v>209</v>
      </c>
      <c r="M635" s="68" t="s">
        <v>1922</v>
      </c>
      <c r="N635" s="68" t="s">
        <v>43</v>
      </c>
      <c r="O635" s="77">
        <v>933934</v>
      </c>
      <c r="P635" s="68" t="s">
        <v>1923</v>
      </c>
      <c r="Q635" s="303">
        <f t="shared" si="66"/>
        <v>6</v>
      </c>
      <c r="R635" s="303">
        <f t="shared" si="67"/>
        <v>1071</v>
      </c>
      <c r="S635" s="68">
        <v>1</v>
      </c>
      <c r="T635" s="68">
        <v>18</v>
      </c>
      <c r="U635" s="68">
        <v>5</v>
      </c>
      <c r="V635" s="68">
        <v>1053</v>
      </c>
      <c r="W635" s="68">
        <v>1028</v>
      </c>
      <c r="X635" s="68">
        <v>160</v>
      </c>
      <c r="Y635" s="68">
        <v>137</v>
      </c>
      <c r="Z635" s="68">
        <v>79</v>
      </c>
      <c r="AA635" s="68">
        <v>5</v>
      </c>
      <c r="AB635" s="300">
        <f t="shared" si="68"/>
        <v>1443.0666666666666</v>
      </c>
      <c r="AC635" s="300">
        <f t="shared" si="69"/>
        <v>8.6931726907630527</v>
      </c>
      <c r="AD635" s="68" t="s">
        <v>48</v>
      </c>
      <c r="AE635" s="68" t="s">
        <v>48</v>
      </c>
      <c r="AF635" s="68" t="s">
        <v>317</v>
      </c>
      <c r="AG635" s="68" t="s">
        <v>317</v>
      </c>
      <c r="AH635" s="68" t="s">
        <v>1924</v>
      </c>
      <c r="AI635" s="309"/>
      <c r="AJ635" s="309"/>
      <c r="AK635" s="68" t="s">
        <v>37</v>
      </c>
      <c r="AL635" s="68" t="s">
        <v>39</v>
      </c>
      <c r="AM635" s="299">
        <f t="shared" ca="1" si="65"/>
        <v>0.11805555556202307</v>
      </c>
      <c r="AN635" s="51"/>
      <c r="AO635" s="78" t="s">
        <v>179</v>
      </c>
      <c r="AP635" s="62" t="s">
        <v>1922</v>
      </c>
      <c r="AQ635" s="61" t="s">
        <v>1928</v>
      </c>
      <c r="AR635" s="64">
        <v>44883.590277777781</v>
      </c>
      <c r="AS635" s="57" t="s">
        <v>173</v>
      </c>
      <c r="AT635" s="61" t="s">
        <v>225</v>
      </c>
      <c r="AU635" s="63">
        <v>0.59027777777777779</v>
      </c>
      <c r="AV635" s="61">
        <v>1</v>
      </c>
      <c r="AW635" s="61" t="s">
        <v>66</v>
      </c>
      <c r="AX635" s="52"/>
      <c r="AY635" s="52"/>
      <c r="AZ635" s="52"/>
      <c r="BA635" s="52"/>
    </row>
    <row r="636" spans="1:54" x14ac:dyDescent="0.25">
      <c r="A636" s="73">
        <v>364</v>
      </c>
      <c r="B636" s="72">
        <v>44883.472222222219</v>
      </c>
      <c r="C636" s="67">
        <v>0.47569444444444442</v>
      </c>
      <c r="D636" s="67">
        <v>0.47916666666666669</v>
      </c>
      <c r="E636" s="67">
        <v>0.5</v>
      </c>
      <c r="F636" s="68" t="s">
        <v>170</v>
      </c>
      <c r="G636" s="68" t="s">
        <v>1599</v>
      </c>
      <c r="H636" s="66" t="s">
        <v>227</v>
      </c>
      <c r="I636" s="66" t="s">
        <v>189</v>
      </c>
      <c r="J636" s="66" t="s">
        <v>37</v>
      </c>
      <c r="K636" s="66" t="s">
        <v>63</v>
      </c>
      <c r="L636" s="66" t="s">
        <v>209</v>
      </c>
      <c r="M636" s="68" t="s">
        <v>1922</v>
      </c>
      <c r="N636" s="68" t="s">
        <v>43</v>
      </c>
      <c r="O636" s="77">
        <v>933934</v>
      </c>
      <c r="P636" s="68" t="s">
        <v>1923</v>
      </c>
      <c r="Q636" s="303">
        <f t="shared" si="66"/>
        <v>0</v>
      </c>
      <c r="R636" s="303">
        <f t="shared" si="67"/>
        <v>0</v>
      </c>
      <c r="S636" s="68">
        <v>0</v>
      </c>
      <c r="T636" s="68">
        <v>0</v>
      </c>
      <c r="U636" s="68">
        <v>0</v>
      </c>
      <c r="V636" s="68">
        <v>0</v>
      </c>
      <c r="W636" s="68">
        <v>0</v>
      </c>
      <c r="X636" s="68">
        <v>55</v>
      </c>
      <c r="Y636" s="68">
        <v>42</v>
      </c>
      <c r="Z636" s="68">
        <v>18</v>
      </c>
      <c r="AA636" s="68">
        <v>1</v>
      </c>
      <c r="AB636" s="300">
        <f t="shared" si="68"/>
        <v>6.93</v>
      </c>
      <c r="AC636" s="300">
        <f t="shared" si="69"/>
        <v>4.174698795180723E-2</v>
      </c>
      <c r="AD636" s="68">
        <v>0</v>
      </c>
      <c r="AE636" s="68">
        <v>0</v>
      </c>
      <c r="AF636" s="68" t="s">
        <v>317</v>
      </c>
      <c r="AG636" s="68" t="s">
        <v>317</v>
      </c>
      <c r="AH636" s="68" t="s">
        <v>1924</v>
      </c>
      <c r="AI636" s="309"/>
      <c r="AJ636" s="309"/>
      <c r="AK636" s="68" t="s">
        <v>48</v>
      </c>
      <c r="AL636" s="68" t="s">
        <v>39</v>
      </c>
      <c r="AM636" s="299">
        <f t="shared" ca="1" si="65"/>
        <v>0.11805555556202307</v>
      </c>
      <c r="AN636" s="51"/>
      <c r="AO636" s="78" t="s">
        <v>179</v>
      </c>
      <c r="AP636" s="62" t="s">
        <v>1922</v>
      </c>
      <c r="AQ636" s="61" t="s">
        <v>1928</v>
      </c>
      <c r="AR636" s="64">
        <v>44883.590277777781</v>
      </c>
      <c r="AS636" s="57" t="s">
        <v>173</v>
      </c>
      <c r="AT636" s="61" t="s">
        <v>225</v>
      </c>
      <c r="AU636" s="63">
        <v>0.59027777777777779</v>
      </c>
      <c r="AV636" s="61">
        <v>1</v>
      </c>
      <c r="AW636" s="61" t="s">
        <v>66</v>
      </c>
      <c r="AX636" s="52"/>
      <c r="AY636" s="52"/>
      <c r="AZ636" s="52"/>
      <c r="BA636" s="52"/>
    </row>
    <row r="637" spans="1:54" ht="15.75" thickBot="1" x14ac:dyDescent="0.3">
      <c r="A637" s="73">
        <v>365</v>
      </c>
      <c r="B637" s="72">
        <v>44883.482638888891</v>
      </c>
      <c r="C637" s="67">
        <v>0.4861111111111111</v>
      </c>
      <c r="D637" s="67">
        <v>0.48958333333333331</v>
      </c>
      <c r="E637" s="67">
        <v>0.50347222222222221</v>
      </c>
      <c r="F637" s="68" t="s">
        <v>170</v>
      </c>
      <c r="G637" s="68" t="s">
        <v>276</v>
      </c>
      <c r="H637" s="66" t="s">
        <v>57</v>
      </c>
      <c r="I637" s="66" t="s">
        <v>92</v>
      </c>
      <c r="J637" s="66" t="s">
        <v>37</v>
      </c>
      <c r="K637" s="66" t="s">
        <v>63</v>
      </c>
      <c r="L637" s="66" t="s">
        <v>209</v>
      </c>
      <c r="M637" s="68" t="s">
        <v>1925</v>
      </c>
      <c r="N637" s="68" t="s">
        <v>42</v>
      </c>
      <c r="O637" s="68" t="s">
        <v>1926</v>
      </c>
      <c r="P637" s="68">
        <v>81962294</v>
      </c>
      <c r="Q637" s="303">
        <f t="shared" si="66"/>
        <v>1</v>
      </c>
      <c r="R637" s="303">
        <f t="shared" si="67"/>
        <v>239</v>
      </c>
      <c r="S637" s="68">
        <v>0</v>
      </c>
      <c r="T637" s="68">
        <v>0</v>
      </c>
      <c r="U637" s="68">
        <v>1</v>
      </c>
      <c r="V637" s="68">
        <v>239</v>
      </c>
      <c r="W637" s="68">
        <v>240</v>
      </c>
      <c r="X637" s="68">
        <v>109</v>
      </c>
      <c r="Y637" s="68">
        <v>84</v>
      </c>
      <c r="Z637" s="68">
        <v>76</v>
      </c>
      <c r="AA637" s="68">
        <v>1</v>
      </c>
      <c r="AB637" s="300">
        <f t="shared" si="68"/>
        <v>115.976</v>
      </c>
      <c r="AC637" s="300">
        <f t="shared" si="69"/>
        <v>0.6986506024096385</v>
      </c>
      <c r="AD637" s="68">
        <v>1232.69</v>
      </c>
      <c r="AE637" s="68" t="s">
        <v>109</v>
      </c>
      <c r="AF637" s="68" t="s">
        <v>317</v>
      </c>
      <c r="AG637" s="68" t="s">
        <v>317</v>
      </c>
      <c r="AH637" s="68" t="s">
        <v>1927</v>
      </c>
      <c r="AI637" s="309"/>
      <c r="AJ637" s="309"/>
      <c r="AK637" s="68" t="s">
        <v>37</v>
      </c>
      <c r="AL637" s="68" t="s">
        <v>39</v>
      </c>
      <c r="AM637" s="299">
        <f t="shared" ca="1" si="65"/>
        <v>1.0381944444452529</v>
      </c>
      <c r="AN637" s="51"/>
      <c r="AO637" s="61" t="s">
        <v>83</v>
      </c>
      <c r="AP637" s="62" t="s">
        <v>1925</v>
      </c>
      <c r="AQ637" s="61" t="s">
        <v>1979</v>
      </c>
      <c r="AR637" s="64">
        <v>44884.520833333336</v>
      </c>
      <c r="AS637" s="61" t="s">
        <v>133</v>
      </c>
      <c r="AT637" s="61" t="s">
        <v>65</v>
      </c>
      <c r="AU637" s="63">
        <v>0.52083333333333337</v>
      </c>
      <c r="AV637" s="61">
        <v>1</v>
      </c>
      <c r="AW637" s="61" t="s">
        <v>66</v>
      </c>
      <c r="AX637" s="52"/>
      <c r="AY637" s="52"/>
      <c r="AZ637" s="52"/>
      <c r="BA637" s="52"/>
    </row>
    <row r="638" spans="1:54" ht="15.75" thickBot="1" x14ac:dyDescent="0.3">
      <c r="A638" s="73">
        <v>366</v>
      </c>
      <c r="B638" s="72">
        <v>44883.659722222219</v>
      </c>
      <c r="C638" s="67">
        <v>0.66319444444444442</v>
      </c>
      <c r="D638" s="67">
        <v>0.66666666666666663</v>
      </c>
      <c r="E638" s="67">
        <v>0.68055555555555547</v>
      </c>
      <c r="F638" s="68" t="s">
        <v>171</v>
      </c>
      <c r="G638" s="68" t="s">
        <v>151</v>
      </c>
      <c r="H638" s="71" t="s">
        <v>1935</v>
      </c>
      <c r="I638" s="71" t="s">
        <v>1411</v>
      </c>
      <c r="J638" s="71" t="s">
        <v>41</v>
      </c>
      <c r="K638" s="71" t="s">
        <v>180</v>
      </c>
      <c r="L638" s="71" t="s">
        <v>206</v>
      </c>
      <c r="M638" s="68" t="s">
        <v>1936</v>
      </c>
      <c r="N638" s="68" t="s">
        <v>42</v>
      </c>
      <c r="O638" s="68">
        <v>6</v>
      </c>
      <c r="P638" s="68">
        <v>71758</v>
      </c>
      <c r="Q638" s="303">
        <f t="shared" si="66"/>
        <v>6</v>
      </c>
      <c r="R638" s="303">
        <f t="shared" si="67"/>
        <v>124</v>
      </c>
      <c r="S638" s="68">
        <v>6</v>
      </c>
      <c r="T638" s="68">
        <v>124</v>
      </c>
      <c r="U638" s="68">
        <v>0</v>
      </c>
      <c r="V638" s="68">
        <v>0</v>
      </c>
      <c r="W638" s="93">
        <v>121.1</v>
      </c>
      <c r="X638" s="68">
        <v>70</v>
      </c>
      <c r="Y638" s="68">
        <v>59</v>
      </c>
      <c r="Z638" s="68">
        <v>29</v>
      </c>
      <c r="AA638" s="68">
        <v>1</v>
      </c>
      <c r="AB638" s="300">
        <f t="shared" si="68"/>
        <v>19.961666666666666</v>
      </c>
      <c r="AC638" s="300">
        <f t="shared" si="69"/>
        <v>0.12025100401606426</v>
      </c>
      <c r="AD638" s="68">
        <v>68800</v>
      </c>
      <c r="AE638" s="68" t="s">
        <v>109</v>
      </c>
      <c r="AF638" s="68" t="s">
        <v>317</v>
      </c>
      <c r="AG638" s="68" t="s">
        <v>317</v>
      </c>
      <c r="AH638" s="68" t="s">
        <v>1937</v>
      </c>
      <c r="AI638" s="309"/>
      <c r="AJ638" s="309"/>
      <c r="AK638" s="68" t="s">
        <v>48</v>
      </c>
      <c r="AL638" s="68" t="s">
        <v>56</v>
      </c>
      <c r="AM638" s="299">
        <f t="shared" ca="1" si="65"/>
        <v>0.96875</v>
      </c>
      <c r="AN638" s="75"/>
      <c r="AO638" s="61" t="s">
        <v>127</v>
      </c>
      <c r="AP638" s="62" t="s">
        <v>1936</v>
      </c>
      <c r="AQ638" s="61" t="s">
        <v>1981</v>
      </c>
      <c r="AR638" s="64">
        <v>44884.628472222219</v>
      </c>
      <c r="AS638" s="61" t="s">
        <v>148</v>
      </c>
      <c r="AT638" s="61" t="s">
        <v>1982</v>
      </c>
      <c r="AU638" s="63">
        <v>0.62847222222222221</v>
      </c>
      <c r="AV638" s="61">
        <v>1</v>
      </c>
      <c r="AW638" s="61" t="s">
        <v>66</v>
      </c>
      <c r="AX638" s="76"/>
      <c r="AY638" s="76"/>
      <c r="AZ638" s="76"/>
      <c r="BA638" s="76"/>
      <c r="BB638" s="74"/>
    </row>
    <row r="639" spans="1:54" ht="15.75" thickBot="1" x14ac:dyDescent="0.3">
      <c r="A639" s="73">
        <v>366</v>
      </c>
      <c r="B639" s="72">
        <v>44883.659722222219</v>
      </c>
      <c r="C639" s="67">
        <v>0.66319444444444442</v>
      </c>
      <c r="D639" s="67">
        <v>0.66666666666666663</v>
      </c>
      <c r="E639" s="67">
        <v>0.68055555555555547</v>
      </c>
      <c r="F639" s="68" t="s">
        <v>171</v>
      </c>
      <c r="G639" s="68" t="s">
        <v>151</v>
      </c>
      <c r="H639" s="71" t="s">
        <v>1935</v>
      </c>
      <c r="I639" s="71" t="s">
        <v>1411</v>
      </c>
      <c r="J639" s="71" t="s">
        <v>41</v>
      </c>
      <c r="K639" s="71" t="s">
        <v>180</v>
      </c>
      <c r="L639" s="71" t="s">
        <v>206</v>
      </c>
      <c r="M639" s="68" t="s">
        <v>1936</v>
      </c>
      <c r="N639" s="68" t="s">
        <v>42</v>
      </c>
      <c r="O639" s="68">
        <v>6</v>
      </c>
      <c r="P639" s="68">
        <v>71758</v>
      </c>
      <c r="Q639" s="303">
        <f t="shared" si="66"/>
        <v>0</v>
      </c>
      <c r="R639" s="303">
        <f t="shared" si="67"/>
        <v>0</v>
      </c>
      <c r="S639" s="68">
        <v>0</v>
      </c>
      <c r="T639" s="68">
        <v>0</v>
      </c>
      <c r="U639" s="68">
        <v>0</v>
      </c>
      <c r="V639" s="68">
        <v>0</v>
      </c>
      <c r="W639" s="68">
        <v>0</v>
      </c>
      <c r="X639" s="68">
        <v>73</v>
      </c>
      <c r="Y639" s="68">
        <v>46</v>
      </c>
      <c r="Z639" s="68">
        <v>33</v>
      </c>
      <c r="AA639" s="68">
        <v>1</v>
      </c>
      <c r="AB639" s="300">
        <f t="shared" si="68"/>
        <v>18.469000000000001</v>
      </c>
      <c r="AC639" s="300">
        <f t="shared" si="69"/>
        <v>0.11125903614457833</v>
      </c>
      <c r="AD639" s="68">
        <v>0</v>
      </c>
      <c r="AE639" s="68">
        <v>0</v>
      </c>
      <c r="AF639" s="68" t="s">
        <v>317</v>
      </c>
      <c r="AG639" s="68" t="s">
        <v>317</v>
      </c>
      <c r="AH639" s="68" t="s">
        <v>1937</v>
      </c>
      <c r="AI639" s="309"/>
      <c r="AJ639" s="309"/>
      <c r="AK639" s="68" t="s">
        <v>48</v>
      </c>
      <c r="AL639" s="68" t="s">
        <v>56</v>
      </c>
      <c r="AM639" s="299">
        <f t="shared" ca="1" si="65"/>
        <v>0.96875</v>
      </c>
      <c r="AN639" s="75"/>
      <c r="AO639" s="61" t="s">
        <v>127</v>
      </c>
      <c r="AP639" s="62" t="s">
        <v>1936</v>
      </c>
      <c r="AQ639" s="61" t="s">
        <v>1981</v>
      </c>
      <c r="AR639" s="64">
        <v>44884.628472222219</v>
      </c>
      <c r="AS639" s="61" t="s">
        <v>148</v>
      </c>
      <c r="AT639" s="61" t="s">
        <v>1982</v>
      </c>
      <c r="AU639" s="63">
        <v>0.62847222222222221</v>
      </c>
      <c r="AV639" s="61">
        <v>1</v>
      </c>
      <c r="AW639" s="61" t="s">
        <v>66</v>
      </c>
      <c r="AX639" s="76"/>
      <c r="AY639" s="76"/>
      <c r="AZ639" s="76"/>
      <c r="BA639" s="76"/>
      <c r="BB639" s="74"/>
    </row>
    <row r="640" spans="1:54" ht="15.75" thickBot="1" x14ac:dyDescent="0.3">
      <c r="A640" s="73">
        <v>366</v>
      </c>
      <c r="B640" s="72">
        <v>44883.659722222219</v>
      </c>
      <c r="C640" s="67">
        <v>0.66319444444444442</v>
      </c>
      <c r="D640" s="67">
        <v>0.66666666666666663</v>
      </c>
      <c r="E640" s="67">
        <v>0.68055555555555547</v>
      </c>
      <c r="F640" s="68" t="s">
        <v>171</v>
      </c>
      <c r="G640" s="68" t="s">
        <v>151</v>
      </c>
      <c r="H640" s="71" t="s">
        <v>1935</v>
      </c>
      <c r="I640" s="71" t="s">
        <v>1411</v>
      </c>
      <c r="J640" s="71" t="s">
        <v>41</v>
      </c>
      <c r="K640" s="71" t="s">
        <v>180</v>
      </c>
      <c r="L640" s="71" t="s">
        <v>206</v>
      </c>
      <c r="M640" s="68" t="s">
        <v>1936</v>
      </c>
      <c r="N640" s="68" t="s">
        <v>42</v>
      </c>
      <c r="O640" s="68">
        <v>6</v>
      </c>
      <c r="P640" s="68">
        <v>71758</v>
      </c>
      <c r="Q640" s="303">
        <f t="shared" si="66"/>
        <v>0</v>
      </c>
      <c r="R640" s="303">
        <f t="shared" si="67"/>
        <v>0</v>
      </c>
      <c r="S640" s="68">
        <v>0</v>
      </c>
      <c r="T640" s="68">
        <v>0</v>
      </c>
      <c r="U640" s="68">
        <v>0</v>
      </c>
      <c r="V640" s="68">
        <v>0</v>
      </c>
      <c r="W640" s="68">
        <v>0</v>
      </c>
      <c r="X640" s="68">
        <v>55</v>
      </c>
      <c r="Y640" s="68">
        <v>39</v>
      </c>
      <c r="Z640" s="68">
        <v>14</v>
      </c>
      <c r="AA640" s="68">
        <v>1</v>
      </c>
      <c r="AB640" s="300">
        <f t="shared" si="68"/>
        <v>5.0049999999999999</v>
      </c>
      <c r="AC640" s="300">
        <f t="shared" si="69"/>
        <v>3.0150602409638554E-2</v>
      </c>
      <c r="AD640" s="68">
        <v>0</v>
      </c>
      <c r="AE640" s="68">
        <v>0</v>
      </c>
      <c r="AF640" s="68" t="s">
        <v>317</v>
      </c>
      <c r="AG640" s="68" t="s">
        <v>317</v>
      </c>
      <c r="AH640" s="68" t="s">
        <v>1937</v>
      </c>
      <c r="AI640" s="309"/>
      <c r="AJ640" s="309"/>
      <c r="AK640" s="68" t="s">
        <v>48</v>
      </c>
      <c r="AL640" s="68" t="s">
        <v>56</v>
      </c>
      <c r="AM640" s="299">
        <f t="shared" ca="1" si="65"/>
        <v>0.96875</v>
      </c>
      <c r="AN640" s="75"/>
      <c r="AO640" s="61" t="s">
        <v>127</v>
      </c>
      <c r="AP640" s="62" t="s">
        <v>1936</v>
      </c>
      <c r="AQ640" s="61" t="s">
        <v>1981</v>
      </c>
      <c r="AR640" s="64">
        <v>44884.628472222219</v>
      </c>
      <c r="AS640" s="61" t="s">
        <v>148</v>
      </c>
      <c r="AT640" s="61" t="s">
        <v>1982</v>
      </c>
      <c r="AU640" s="63">
        <v>0.62847222222222221</v>
      </c>
      <c r="AV640" s="61">
        <v>1</v>
      </c>
      <c r="AW640" s="61" t="s">
        <v>66</v>
      </c>
      <c r="AX640" s="76"/>
      <c r="AY640" s="76"/>
      <c r="AZ640" s="76"/>
      <c r="BA640" s="76"/>
      <c r="BB640" s="74"/>
    </row>
    <row r="641" spans="1:54" ht="15.75" thickBot="1" x14ac:dyDescent="0.3">
      <c r="A641" s="73">
        <v>366</v>
      </c>
      <c r="B641" s="72">
        <v>44883.659722222219</v>
      </c>
      <c r="C641" s="67">
        <v>0.66319444444444442</v>
      </c>
      <c r="D641" s="67">
        <v>0.66666666666666663</v>
      </c>
      <c r="E641" s="67">
        <v>0.68055555555555547</v>
      </c>
      <c r="F641" s="68" t="s">
        <v>171</v>
      </c>
      <c r="G641" s="68" t="s">
        <v>151</v>
      </c>
      <c r="H641" s="71" t="s">
        <v>1935</v>
      </c>
      <c r="I641" s="71" t="s">
        <v>1411</v>
      </c>
      <c r="J641" s="71" t="s">
        <v>41</v>
      </c>
      <c r="K641" s="71" t="s">
        <v>180</v>
      </c>
      <c r="L641" s="71" t="s">
        <v>206</v>
      </c>
      <c r="M641" s="68" t="s">
        <v>1936</v>
      </c>
      <c r="N641" s="68" t="s">
        <v>42</v>
      </c>
      <c r="O641" s="68">
        <v>6</v>
      </c>
      <c r="P641" s="68">
        <v>71758</v>
      </c>
      <c r="Q641" s="303">
        <f t="shared" si="66"/>
        <v>0</v>
      </c>
      <c r="R641" s="303">
        <f t="shared" si="67"/>
        <v>0</v>
      </c>
      <c r="S641" s="68">
        <v>0</v>
      </c>
      <c r="T641" s="68">
        <v>0</v>
      </c>
      <c r="U641" s="68">
        <v>0</v>
      </c>
      <c r="V641" s="68">
        <v>0</v>
      </c>
      <c r="W641" s="68">
        <v>0</v>
      </c>
      <c r="X641" s="68">
        <v>50</v>
      </c>
      <c r="Y641" s="68">
        <v>48</v>
      </c>
      <c r="Z641" s="68">
        <v>31</v>
      </c>
      <c r="AA641" s="68">
        <v>1</v>
      </c>
      <c r="AB641" s="300">
        <f t="shared" si="68"/>
        <v>12.4</v>
      </c>
      <c r="AC641" s="300">
        <f t="shared" si="69"/>
        <v>7.4698795180722893E-2</v>
      </c>
      <c r="AD641" s="68">
        <v>0</v>
      </c>
      <c r="AE641" s="68">
        <v>0</v>
      </c>
      <c r="AF641" s="68" t="s">
        <v>317</v>
      </c>
      <c r="AG641" s="68" t="s">
        <v>317</v>
      </c>
      <c r="AH641" s="68" t="s">
        <v>1937</v>
      </c>
      <c r="AI641" s="309"/>
      <c r="AJ641" s="309"/>
      <c r="AK641" s="68" t="s">
        <v>48</v>
      </c>
      <c r="AL641" s="68" t="s">
        <v>56</v>
      </c>
      <c r="AM641" s="299">
        <f t="shared" ca="1" si="65"/>
        <v>0.96875</v>
      </c>
      <c r="AN641" s="75"/>
      <c r="AO641" s="61" t="s">
        <v>127</v>
      </c>
      <c r="AP641" s="62" t="s">
        <v>1936</v>
      </c>
      <c r="AQ641" s="61" t="s">
        <v>1981</v>
      </c>
      <c r="AR641" s="64">
        <v>44884.628472222219</v>
      </c>
      <c r="AS641" s="61" t="s">
        <v>148</v>
      </c>
      <c r="AT641" s="61" t="s">
        <v>1982</v>
      </c>
      <c r="AU641" s="63">
        <v>0.62847222222222221</v>
      </c>
      <c r="AV641" s="61">
        <v>1</v>
      </c>
      <c r="AW641" s="61" t="s">
        <v>66</v>
      </c>
      <c r="AX641" s="76"/>
      <c r="AY641" s="76"/>
      <c r="AZ641" s="76"/>
      <c r="BA641" s="76"/>
      <c r="BB641" s="74"/>
    </row>
    <row r="642" spans="1:54" ht="15.75" thickBot="1" x14ac:dyDescent="0.3">
      <c r="A642" s="73">
        <v>366</v>
      </c>
      <c r="B642" s="72">
        <v>44883.659722222219</v>
      </c>
      <c r="C642" s="67">
        <v>0.66319444444444442</v>
      </c>
      <c r="D642" s="67">
        <v>0.66666666666666663</v>
      </c>
      <c r="E642" s="67">
        <v>0.68055555555555547</v>
      </c>
      <c r="F642" s="68" t="s">
        <v>171</v>
      </c>
      <c r="G642" s="68" t="s">
        <v>151</v>
      </c>
      <c r="H642" s="71" t="s">
        <v>1935</v>
      </c>
      <c r="I642" s="71" t="s">
        <v>1411</v>
      </c>
      <c r="J642" s="71" t="s">
        <v>41</v>
      </c>
      <c r="K642" s="71" t="s">
        <v>180</v>
      </c>
      <c r="L642" s="71" t="s">
        <v>206</v>
      </c>
      <c r="M642" s="68" t="s">
        <v>1936</v>
      </c>
      <c r="N642" s="68" t="s">
        <v>42</v>
      </c>
      <c r="O642" s="68">
        <v>6</v>
      </c>
      <c r="P642" s="68">
        <v>71758</v>
      </c>
      <c r="Q642" s="303">
        <f t="shared" si="66"/>
        <v>0</v>
      </c>
      <c r="R642" s="303">
        <f t="shared" si="67"/>
        <v>0</v>
      </c>
      <c r="S642" s="68">
        <v>0</v>
      </c>
      <c r="T642" s="68">
        <v>0</v>
      </c>
      <c r="U642" s="68">
        <v>0</v>
      </c>
      <c r="V642" s="68">
        <v>0</v>
      </c>
      <c r="W642" s="68">
        <v>0</v>
      </c>
      <c r="X642" s="68">
        <v>54</v>
      </c>
      <c r="Y642" s="68">
        <v>49</v>
      </c>
      <c r="Z642" s="68">
        <v>46</v>
      </c>
      <c r="AA642" s="68">
        <v>1</v>
      </c>
      <c r="AB642" s="300">
        <f t="shared" si="68"/>
        <v>20.286000000000001</v>
      </c>
      <c r="AC642" s="300">
        <f t="shared" si="69"/>
        <v>0.12220481927710844</v>
      </c>
      <c r="AD642" s="68">
        <v>0</v>
      </c>
      <c r="AE642" s="68">
        <v>0</v>
      </c>
      <c r="AF642" s="68" t="s">
        <v>317</v>
      </c>
      <c r="AG642" s="68" t="s">
        <v>317</v>
      </c>
      <c r="AH642" s="68" t="s">
        <v>1937</v>
      </c>
      <c r="AI642" s="309"/>
      <c r="AJ642" s="309"/>
      <c r="AK642" s="68" t="s">
        <v>48</v>
      </c>
      <c r="AL642" s="68" t="s">
        <v>56</v>
      </c>
      <c r="AM642" s="299">
        <f t="shared" ca="1" si="65"/>
        <v>0.96875</v>
      </c>
      <c r="AN642" s="75"/>
      <c r="AO642" s="61" t="s">
        <v>127</v>
      </c>
      <c r="AP642" s="62" t="s">
        <v>1936</v>
      </c>
      <c r="AQ642" s="61" t="s">
        <v>1981</v>
      </c>
      <c r="AR642" s="64">
        <v>44884.628472222219</v>
      </c>
      <c r="AS642" s="61" t="s">
        <v>148</v>
      </c>
      <c r="AT642" s="61" t="s">
        <v>1982</v>
      </c>
      <c r="AU642" s="63">
        <v>0.62847222222222221</v>
      </c>
      <c r="AV642" s="61">
        <v>1</v>
      </c>
      <c r="AW642" s="61" t="s">
        <v>66</v>
      </c>
      <c r="AX642" s="76"/>
      <c r="AY642" s="76"/>
      <c r="AZ642" s="76"/>
      <c r="BA642" s="76"/>
      <c r="BB642" s="74"/>
    </row>
    <row r="643" spans="1:54" ht="15.75" thickBot="1" x14ac:dyDescent="0.3">
      <c r="A643" s="73">
        <v>366</v>
      </c>
      <c r="B643" s="72">
        <v>44883.659722222219</v>
      </c>
      <c r="C643" s="67">
        <v>0.66319444444444442</v>
      </c>
      <c r="D643" s="67">
        <v>0.66666666666666663</v>
      </c>
      <c r="E643" s="67">
        <v>0.68055555555555547</v>
      </c>
      <c r="F643" s="68" t="s">
        <v>171</v>
      </c>
      <c r="G643" s="68" t="s">
        <v>151</v>
      </c>
      <c r="H643" s="71" t="s">
        <v>1935</v>
      </c>
      <c r="I643" s="71" t="s">
        <v>1411</v>
      </c>
      <c r="J643" s="71" t="s">
        <v>41</v>
      </c>
      <c r="K643" s="71" t="s">
        <v>180</v>
      </c>
      <c r="L643" s="71" t="s">
        <v>206</v>
      </c>
      <c r="M643" s="68" t="s">
        <v>1936</v>
      </c>
      <c r="N643" s="68" t="s">
        <v>42</v>
      </c>
      <c r="O643" s="68">
        <v>6</v>
      </c>
      <c r="P643" s="68">
        <v>71758</v>
      </c>
      <c r="Q643" s="303">
        <f t="shared" si="66"/>
        <v>0</v>
      </c>
      <c r="R643" s="303">
        <f t="shared" si="67"/>
        <v>0</v>
      </c>
      <c r="S643" s="68">
        <v>0</v>
      </c>
      <c r="T643" s="68">
        <v>0</v>
      </c>
      <c r="U643" s="68">
        <v>0</v>
      </c>
      <c r="V643" s="68">
        <v>0</v>
      </c>
      <c r="W643" s="68">
        <v>0</v>
      </c>
      <c r="X643" s="68">
        <v>84</v>
      </c>
      <c r="Y643" s="68">
        <v>69</v>
      </c>
      <c r="Z643" s="68">
        <v>44</v>
      </c>
      <c r="AA643" s="68">
        <v>1</v>
      </c>
      <c r="AB643" s="300">
        <f t="shared" si="68"/>
        <v>42.503999999999998</v>
      </c>
      <c r="AC643" s="300">
        <f t="shared" si="69"/>
        <v>0.25604819277108432</v>
      </c>
      <c r="AD643" s="68">
        <v>0</v>
      </c>
      <c r="AE643" s="68">
        <v>0</v>
      </c>
      <c r="AF643" s="68" t="s">
        <v>317</v>
      </c>
      <c r="AG643" s="68" t="s">
        <v>317</v>
      </c>
      <c r="AH643" s="68" t="s">
        <v>1937</v>
      </c>
      <c r="AI643" s="309"/>
      <c r="AJ643" s="309"/>
      <c r="AK643" s="68" t="s">
        <v>48</v>
      </c>
      <c r="AL643" s="68" t="s">
        <v>56</v>
      </c>
      <c r="AM643" s="299">
        <f t="shared" ca="1" si="65"/>
        <v>0.96875</v>
      </c>
      <c r="AN643" s="75"/>
      <c r="AO643" s="61" t="s">
        <v>127</v>
      </c>
      <c r="AP643" s="62" t="s">
        <v>1936</v>
      </c>
      <c r="AQ643" s="61" t="s">
        <v>1981</v>
      </c>
      <c r="AR643" s="64">
        <v>44884.628472222219</v>
      </c>
      <c r="AS643" s="61" t="s">
        <v>148</v>
      </c>
      <c r="AT643" s="61" t="s">
        <v>1982</v>
      </c>
      <c r="AU643" s="63">
        <v>0.62847222222222221</v>
      </c>
      <c r="AV643" s="61">
        <v>1</v>
      </c>
      <c r="AW643" s="61" t="s">
        <v>66</v>
      </c>
      <c r="AX643" s="76"/>
      <c r="AY643" s="76"/>
      <c r="AZ643" s="76"/>
      <c r="BA643" s="76"/>
      <c r="BB643" s="74"/>
    </row>
    <row r="644" spans="1:54" ht="15.75" thickBot="1" x14ac:dyDescent="0.3">
      <c r="A644" s="73">
        <v>367</v>
      </c>
      <c r="B644" s="72">
        <v>44883.666666666664</v>
      </c>
      <c r="C644" s="67">
        <v>0.67361111111111116</v>
      </c>
      <c r="D644" s="67">
        <v>0.67708333333333337</v>
      </c>
      <c r="E644" s="67">
        <v>0.6875</v>
      </c>
      <c r="F644" s="68" t="s">
        <v>171</v>
      </c>
      <c r="G644" s="68" t="s">
        <v>165</v>
      </c>
      <c r="H644" s="66" t="s">
        <v>277</v>
      </c>
      <c r="I644" s="66" t="s">
        <v>471</v>
      </c>
      <c r="J644" s="66" t="s">
        <v>37</v>
      </c>
      <c r="K644" s="66" t="s">
        <v>233</v>
      </c>
      <c r="L644" s="66" t="s">
        <v>206</v>
      </c>
      <c r="M644" s="68" t="s">
        <v>1938</v>
      </c>
      <c r="N644" s="68" t="s">
        <v>482</v>
      </c>
      <c r="O644" s="68">
        <v>145</v>
      </c>
      <c r="P644" s="68">
        <v>22656</v>
      </c>
      <c r="Q644" s="303">
        <f t="shared" si="66"/>
        <v>1</v>
      </c>
      <c r="R644" s="303">
        <f t="shared" si="67"/>
        <v>83</v>
      </c>
      <c r="S644" s="68">
        <v>0</v>
      </c>
      <c r="T644" s="68">
        <v>0</v>
      </c>
      <c r="U644" s="68">
        <v>1</v>
      </c>
      <c r="V644" s="93">
        <v>83</v>
      </c>
      <c r="W644" s="68">
        <v>81</v>
      </c>
      <c r="X644" s="68">
        <v>43</v>
      </c>
      <c r="Y644" s="68">
        <v>37</v>
      </c>
      <c r="Z644" s="68">
        <v>28</v>
      </c>
      <c r="AA644" s="68">
        <v>1</v>
      </c>
      <c r="AB644" s="300">
        <f t="shared" si="68"/>
        <v>7.424666666666667</v>
      </c>
      <c r="AC644" s="300">
        <f t="shared" si="69"/>
        <v>4.4726907630522089E-2</v>
      </c>
      <c r="AD644" s="68">
        <v>384.48</v>
      </c>
      <c r="AE644" s="68" t="s">
        <v>109</v>
      </c>
      <c r="AF644" s="68" t="s">
        <v>317</v>
      </c>
      <c r="AG644" s="68" t="s">
        <v>317</v>
      </c>
      <c r="AH644" s="68">
        <v>0</v>
      </c>
      <c r="AI644" s="309"/>
      <c r="AJ644" s="309"/>
      <c r="AK644" s="68" t="s">
        <v>41</v>
      </c>
      <c r="AL644" s="68" t="s">
        <v>54</v>
      </c>
      <c r="AM644" s="299">
        <f t="shared" ca="1" si="65"/>
        <v>4.8715277777810115</v>
      </c>
      <c r="AN644" s="75"/>
      <c r="AO644" s="61" t="s">
        <v>53</v>
      </c>
      <c r="AP644" s="91" t="s">
        <v>1938</v>
      </c>
      <c r="AQ644" s="59" t="s">
        <v>2259</v>
      </c>
      <c r="AR644" s="64">
        <v>44888.538194444445</v>
      </c>
      <c r="AS644" s="57" t="s">
        <v>173</v>
      </c>
      <c r="AT644" s="61" t="s">
        <v>225</v>
      </c>
      <c r="AU644" s="63">
        <v>0.53819444444444442</v>
      </c>
      <c r="AV644" s="61">
        <v>1</v>
      </c>
      <c r="AW644" s="61" t="s">
        <v>66</v>
      </c>
      <c r="AX644" s="76"/>
      <c r="AY644" s="76"/>
      <c r="AZ644" s="76"/>
      <c r="BA644" s="76"/>
      <c r="BB644" s="74"/>
    </row>
    <row r="645" spans="1:54" x14ac:dyDescent="0.25">
      <c r="A645" s="48">
        <v>368</v>
      </c>
      <c r="B645" s="46">
        <v>44883.78125</v>
      </c>
      <c r="C645" s="36">
        <v>0.78472222222222221</v>
      </c>
      <c r="D645" s="36">
        <v>0.78819444444444453</v>
      </c>
      <c r="E645" s="36">
        <v>0.79166666666666663</v>
      </c>
      <c r="F645" s="68" t="s">
        <v>171</v>
      </c>
      <c r="G645" s="37" t="s">
        <v>811</v>
      </c>
      <c r="H645" s="26" t="s">
        <v>217</v>
      </c>
      <c r="I645" s="26" t="s">
        <v>141</v>
      </c>
      <c r="J645" s="26" t="s">
        <v>41</v>
      </c>
      <c r="K645" s="60" t="s">
        <v>233</v>
      </c>
      <c r="L645" s="60" t="s">
        <v>209</v>
      </c>
      <c r="M645" s="37" t="s">
        <v>1939</v>
      </c>
      <c r="N645" s="37" t="s">
        <v>426</v>
      </c>
      <c r="O645" s="37" t="s">
        <v>1940</v>
      </c>
      <c r="P645" s="37">
        <v>4501204104</v>
      </c>
      <c r="Q645" s="303">
        <f t="shared" si="66"/>
        <v>1</v>
      </c>
      <c r="R645" s="303">
        <f t="shared" si="67"/>
        <v>91</v>
      </c>
      <c r="S645" s="37">
        <v>0</v>
      </c>
      <c r="T645" s="37">
        <v>0</v>
      </c>
      <c r="U645" s="37">
        <v>1</v>
      </c>
      <c r="V645" s="37">
        <v>91</v>
      </c>
      <c r="W645" s="37">
        <v>90</v>
      </c>
      <c r="X645" s="37">
        <v>107</v>
      </c>
      <c r="Y645" s="37">
        <v>107</v>
      </c>
      <c r="Z645" s="37">
        <v>50</v>
      </c>
      <c r="AA645" s="37">
        <v>1</v>
      </c>
      <c r="AB645" s="300">
        <f t="shared" si="68"/>
        <v>95.408333333333331</v>
      </c>
      <c r="AC645" s="300">
        <f t="shared" si="69"/>
        <v>0.5747489959839357</v>
      </c>
      <c r="AD645" s="37">
        <v>383.32</v>
      </c>
      <c r="AE645" s="68" t="s">
        <v>109</v>
      </c>
      <c r="AF645" s="68" t="s">
        <v>317</v>
      </c>
      <c r="AG645" s="68" t="s">
        <v>317</v>
      </c>
      <c r="AH645" s="37" t="s">
        <v>1941</v>
      </c>
      <c r="AI645" s="309"/>
      <c r="AJ645" s="309"/>
      <c r="AK645" s="37" t="s">
        <v>37</v>
      </c>
      <c r="AL645" s="37" t="s">
        <v>54</v>
      </c>
      <c r="AM645" s="299">
        <f t="shared" ca="1" si="65"/>
        <v>3.7083333333357587</v>
      </c>
      <c r="AN645" s="51"/>
      <c r="AO645" s="61" t="s">
        <v>120</v>
      </c>
      <c r="AP645" s="62" t="s">
        <v>1939</v>
      </c>
      <c r="AQ645" s="61" t="s">
        <v>2175</v>
      </c>
      <c r="AR645" s="64">
        <v>44887.489583333336</v>
      </c>
      <c r="AS645" s="57" t="s">
        <v>117</v>
      </c>
      <c r="AT645" s="61" t="s">
        <v>225</v>
      </c>
      <c r="AU645" s="63">
        <v>0.48958333333333331</v>
      </c>
      <c r="AV645" s="61">
        <v>1</v>
      </c>
      <c r="AW645" s="61" t="s">
        <v>66</v>
      </c>
      <c r="AX645" s="52"/>
      <c r="AY645" s="52"/>
      <c r="AZ645" s="52"/>
      <c r="BA645" s="52"/>
    </row>
    <row r="646" spans="1:54" x14ac:dyDescent="0.25">
      <c r="A646" s="48">
        <v>369</v>
      </c>
      <c r="B646" s="46">
        <v>44883.788194444445</v>
      </c>
      <c r="C646" s="36">
        <v>0.79166666666666663</v>
      </c>
      <c r="D646" s="36">
        <v>0.79513888888888884</v>
      </c>
      <c r="E646" s="36">
        <v>0.80208333333333337</v>
      </c>
      <c r="F646" s="68" t="s">
        <v>171</v>
      </c>
      <c r="G646" s="37" t="s">
        <v>475</v>
      </c>
      <c r="H646" s="26" t="s">
        <v>75</v>
      </c>
      <c r="I646" s="26" t="s">
        <v>110</v>
      </c>
      <c r="J646" s="26" t="s">
        <v>37</v>
      </c>
      <c r="K646" s="60" t="s">
        <v>180</v>
      </c>
      <c r="L646" s="65" t="s">
        <v>206</v>
      </c>
      <c r="M646" s="37" t="s">
        <v>1942</v>
      </c>
      <c r="N646" s="37" t="s">
        <v>154</v>
      </c>
      <c r="O646" s="37" t="s">
        <v>1943</v>
      </c>
      <c r="P646" s="37">
        <v>60030238</v>
      </c>
      <c r="Q646" s="303">
        <f t="shared" si="66"/>
        <v>1</v>
      </c>
      <c r="R646" s="303">
        <f t="shared" si="67"/>
        <v>123</v>
      </c>
      <c r="S646" s="37">
        <v>0</v>
      </c>
      <c r="T646" s="37">
        <v>0</v>
      </c>
      <c r="U646" s="37">
        <v>1</v>
      </c>
      <c r="V646" s="37">
        <v>123</v>
      </c>
      <c r="W646" s="37">
        <v>122</v>
      </c>
      <c r="X646" s="37">
        <v>71</v>
      </c>
      <c r="Y646" s="37">
        <v>71</v>
      </c>
      <c r="Z646" s="37">
        <v>46</v>
      </c>
      <c r="AA646" s="37">
        <v>1</v>
      </c>
      <c r="AB646" s="300">
        <f t="shared" si="68"/>
        <v>38.647666666666666</v>
      </c>
      <c r="AC646" s="300">
        <f t="shared" si="69"/>
        <v>0.23281726907630521</v>
      </c>
      <c r="AD646" s="37">
        <v>1756.92</v>
      </c>
      <c r="AE646" s="68" t="s">
        <v>109</v>
      </c>
      <c r="AF646" s="68" t="s">
        <v>317</v>
      </c>
      <c r="AG646" s="68" t="s">
        <v>317</v>
      </c>
      <c r="AH646" s="37" t="s">
        <v>1944</v>
      </c>
      <c r="AI646" s="309"/>
      <c r="AJ646" s="309"/>
      <c r="AK646" s="68" t="s">
        <v>37</v>
      </c>
      <c r="AL646" s="68" t="s">
        <v>54</v>
      </c>
      <c r="AM646" s="299">
        <f t="shared" ca="1" si="65"/>
        <v>4.7638888888905058</v>
      </c>
      <c r="AN646" s="51"/>
      <c r="AO646" s="61" t="s">
        <v>194</v>
      </c>
      <c r="AP646" s="91" t="s">
        <v>1942</v>
      </c>
      <c r="AQ646" s="59" t="s">
        <v>2264</v>
      </c>
      <c r="AR646" s="64">
        <v>44888.552083333336</v>
      </c>
      <c r="AS646" s="57" t="s">
        <v>117</v>
      </c>
      <c r="AT646" s="61" t="s">
        <v>225</v>
      </c>
      <c r="AU646" s="63">
        <v>0.55208333333333337</v>
      </c>
      <c r="AV646" s="61">
        <v>1</v>
      </c>
      <c r="AW646" s="61" t="s">
        <v>66</v>
      </c>
      <c r="AX646" s="52"/>
      <c r="AY646" s="52"/>
      <c r="AZ646" s="52"/>
      <c r="BA646" s="52"/>
    </row>
    <row r="647" spans="1:54" x14ac:dyDescent="0.25">
      <c r="A647" s="48">
        <v>370</v>
      </c>
      <c r="B647" s="72">
        <v>44883.788194444445</v>
      </c>
      <c r="C647" s="67">
        <v>0.79166666666666663</v>
      </c>
      <c r="D647" s="67">
        <v>0.79513888888888884</v>
      </c>
      <c r="E647" s="67">
        <v>0.80208333333333337</v>
      </c>
      <c r="F647" s="68" t="s">
        <v>171</v>
      </c>
      <c r="G647" s="68" t="s">
        <v>475</v>
      </c>
      <c r="H647" s="60" t="s">
        <v>75</v>
      </c>
      <c r="I647" s="60" t="s">
        <v>110</v>
      </c>
      <c r="J647" s="60" t="s">
        <v>37</v>
      </c>
      <c r="K647" s="60" t="s">
        <v>180</v>
      </c>
      <c r="L647" s="65" t="s">
        <v>206</v>
      </c>
      <c r="M647" s="37" t="s">
        <v>1945</v>
      </c>
      <c r="N647" s="68" t="s">
        <v>154</v>
      </c>
      <c r="O647" s="37" t="s">
        <v>1946</v>
      </c>
      <c r="P647" s="37">
        <v>60030640</v>
      </c>
      <c r="Q647" s="303">
        <f t="shared" si="66"/>
        <v>1</v>
      </c>
      <c r="R647" s="303">
        <f t="shared" si="67"/>
        <v>112</v>
      </c>
      <c r="S647" s="37">
        <v>0</v>
      </c>
      <c r="T647" s="37">
        <v>0</v>
      </c>
      <c r="U647" s="37">
        <v>1</v>
      </c>
      <c r="V647" s="37">
        <v>112</v>
      </c>
      <c r="W647" s="37">
        <v>114</v>
      </c>
      <c r="X647" s="37">
        <v>71</v>
      </c>
      <c r="Y647" s="68">
        <v>71</v>
      </c>
      <c r="Z647" s="68">
        <v>46</v>
      </c>
      <c r="AA647" s="68">
        <v>1</v>
      </c>
      <c r="AB647" s="300">
        <f t="shared" si="68"/>
        <v>38.647666666666666</v>
      </c>
      <c r="AC647" s="300">
        <f t="shared" si="69"/>
        <v>0.23281726907630521</v>
      </c>
      <c r="AD647" s="37">
        <v>488.4</v>
      </c>
      <c r="AE647" s="68" t="s">
        <v>109</v>
      </c>
      <c r="AF647" s="68" t="s">
        <v>317</v>
      </c>
      <c r="AG647" s="68" t="s">
        <v>317</v>
      </c>
      <c r="AH647" s="37" t="s">
        <v>1947</v>
      </c>
      <c r="AI647" s="309"/>
      <c r="AJ647" s="309"/>
      <c r="AK647" s="68" t="s">
        <v>37</v>
      </c>
      <c r="AL647" s="68" t="s">
        <v>54</v>
      </c>
      <c r="AM647" s="299">
        <f t="shared" ca="1" si="65"/>
        <v>4.7638888888905058</v>
      </c>
      <c r="AN647" s="51"/>
      <c r="AO647" s="61" t="s">
        <v>194</v>
      </c>
      <c r="AP647" s="91" t="s">
        <v>1945</v>
      </c>
      <c r="AQ647" s="59" t="s">
        <v>2264</v>
      </c>
      <c r="AR647" s="64">
        <v>44888.552083333336</v>
      </c>
      <c r="AS647" s="57" t="s">
        <v>117</v>
      </c>
      <c r="AT647" s="61" t="s">
        <v>225</v>
      </c>
      <c r="AU647" s="63">
        <v>0.55208333333333337</v>
      </c>
      <c r="AV647" s="61">
        <v>1</v>
      </c>
      <c r="AW647" s="61" t="s">
        <v>66</v>
      </c>
      <c r="AX647" s="52"/>
      <c r="AY647" s="52"/>
      <c r="AZ647" s="52"/>
      <c r="BA647" s="52"/>
    </row>
    <row r="648" spans="1:54" x14ac:dyDescent="0.25">
      <c r="A648" s="48">
        <v>371</v>
      </c>
      <c r="B648" s="46">
        <v>44884.375</v>
      </c>
      <c r="C648" s="36">
        <v>0.375</v>
      </c>
      <c r="D648" s="36">
        <v>0.38194444444444442</v>
      </c>
      <c r="E648" s="36">
        <v>0.39583333333333331</v>
      </c>
      <c r="F648" s="37" t="s">
        <v>171</v>
      </c>
      <c r="G648" s="37" t="s">
        <v>136</v>
      </c>
      <c r="H648" s="26" t="s">
        <v>195</v>
      </c>
      <c r="I648" s="60" t="s">
        <v>195</v>
      </c>
      <c r="J648" s="60" t="s">
        <v>37</v>
      </c>
      <c r="K648" s="60" t="s">
        <v>180</v>
      </c>
      <c r="L648" s="65" t="s">
        <v>206</v>
      </c>
      <c r="M648" s="61" t="s">
        <v>1954</v>
      </c>
      <c r="N648" s="37" t="s">
        <v>42</v>
      </c>
      <c r="O648" s="37" t="s">
        <v>1948</v>
      </c>
      <c r="P648" s="37">
        <v>2101077783</v>
      </c>
      <c r="Q648" s="303">
        <f t="shared" si="66"/>
        <v>1</v>
      </c>
      <c r="R648" s="303">
        <f t="shared" si="67"/>
        <v>215</v>
      </c>
      <c r="S648" s="37">
        <v>0</v>
      </c>
      <c r="T648" s="37">
        <v>0</v>
      </c>
      <c r="U648" s="37">
        <v>1</v>
      </c>
      <c r="V648" s="37">
        <v>215</v>
      </c>
      <c r="W648" s="37">
        <v>236</v>
      </c>
      <c r="X648" s="37">
        <v>114</v>
      </c>
      <c r="Y648" s="37">
        <v>80</v>
      </c>
      <c r="Z648" s="37">
        <v>112</v>
      </c>
      <c r="AA648" s="37">
        <v>1</v>
      </c>
      <c r="AB648" s="300">
        <f t="shared" si="68"/>
        <v>170.24</v>
      </c>
      <c r="AC648" s="300">
        <f t="shared" si="69"/>
        <v>1.0255421686746988</v>
      </c>
      <c r="AD648" s="37">
        <v>10724</v>
      </c>
      <c r="AE648" s="68" t="s">
        <v>109</v>
      </c>
      <c r="AF648" s="68" t="s">
        <v>317</v>
      </c>
      <c r="AG648" s="68" t="s">
        <v>317</v>
      </c>
      <c r="AH648" s="37" t="s">
        <v>1949</v>
      </c>
      <c r="AI648" s="309"/>
      <c r="AJ648" s="309"/>
      <c r="AK648" s="37" t="s">
        <v>406</v>
      </c>
      <c r="AL648" s="37" t="s">
        <v>49</v>
      </c>
      <c r="AM648" s="299">
        <f t="shared" ca="1" si="65"/>
        <v>0.14583333333575865</v>
      </c>
      <c r="AN648" s="51"/>
      <c r="AO648" s="61" t="s">
        <v>132</v>
      </c>
      <c r="AP648" s="62" t="s">
        <v>1954</v>
      </c>
      <c r="AQ648" s="61" t="s">
        <v>1980</v>
      </c>
      <c r="AR648" s="64">
        <v>44884.520833333336</v>
      </c>
      <c r="AS648" s="61" t="s">
        <v>133</v>
      </c>
      <c r="AT648" s="61" t="s">
        <v>65</v>
      </c>
      <c r="AU648" s="63">
        <v>0.52083333333333337</v>
      </c>
      <c r="AV648" s="61">
        <v>1</v>
      </c>
      <c r="AW648" s="61" t="s">
        <v>66</v>
      </c>
      <c r="AX648" s="52"/>
      <c r="AY648" s="52"/>
      <c r="AZ648" s="52"/>
      <c r="BA648" s="52"/>
    </row>
    <row r="649" spans="1:54" x14ac:dyDescent="0.25">
      <c r="A649" s="48">
        <v>372</v>
      </c>
      <c r="B649" s="72">
        <v>44884.375</v>
      </c>
      <c r="C649" s="67">
        <v>0.375</v>
      </c>
      <c r="D649" s="67">
        <v>0.38194444444444442</v>
      </c>
      <c r="E649" s="67">
        <v>0.39583333333333331</v>
      </c>
      <c r="F649" s="68" t="s">
        <v>171</v>
      </c>
      <c r="G649" s="68" t="s">
        <v>136</v>
      </c>
      <c r="H649" s="60" t="s">
        <v>195</v>
      </c>
      <c r="I649" s="60" t="s">
        <v>195</v>
      </c>
      <c r="J649" s="60" t="s">
        <v>37</v>
      </c>
      <c r="K649" s="60" t="s">
        <v>180</v>
      </c>
      <c r="L649" s="65" t="s">
        <v>206</v>
      </c>
      <c r="M649" s="61" t="s">
        <v>1954</v>
      </c>
      <c r="N649" s="68" t="s">
        <v>42</v>
      </c>
      <c r="O649" s="68" t="s">
        <v>1950</v>
      </c>
      <c r="P649" s="37">
        <v>2101077782</v>
      </c>
      <c r="Q649" s="303">
        <f t="shared" si="66"/>
        <v>1</v>
      </c>
      <c r="R649" s="303">
        <f t="shared" si="67"/>
        <v>213</v>
      </c>
      <c r="S649" s="37">
        <v>0</v>
      </c>
      <c r="T649" s="37">
        <v>0</v>
      </c>
      <c r="U649" s="37">
        <v>1</v>
      </c>
      <c r="V649" s="37">
        <v>213</v>
      </c>
      <c r="W649" s="37">
        <v>228</v>
      </c>
      <c r="X649" s="37">
        <v>114</v>
      </c>
      <c r="Y649" s="37">
        <v>80</v>
      </c>
      <c r="Z649" s="37">
        <v>101</v>
      </c>
      <c r="AA649" s="37">
        <v>1</v>
      </c>
      <c r="AB649" s="300">
        <f t="shared" si="68"/>
        <v>153.52000000000001</v>
      </c>
      <c r="AC649" s="300">
        <f t="shared" si="69"/>
        <v>0.92481927710843381</v>
      </c>
      <c r="AD649" s="37">
        <v>9146</v>
      </c>
      <c r="AE649" s="68" t="s">
        <v>109</v>
      </c>
      <c r="AF649" s="68" t="s">
        <v>317</v>
      </c>
      <c r="AG649" s="68" t="s">
        <v>317</v>
      </c>
      <c r="AH649" s="68" t="s">
        <v>1951</v>
      </c>
      <c r="AI649" s="309"/>
      <c r="AJ649" s="309"/>
      <c r="AK649" s="68" t="s">
        <v>406</v>
      </c>
      <c r="AL649" s="68" t="s">
        <v>49</v>
      </c>
      <c r="AM649" s="299">
        <f t="shared" ca="1" si="65"/>
        <v>0.14583333333575865</v>
      </c>
      <c r="AN649" s="51"/>
      <c r="AO649" s="61" t="s">
        <v>132</v>
      </c>
      <c r="AP649" s="62" t="s">
        <v>1954</v>
      </c>
      <c r="AQ649" s="61" t="s">
        <v>1980</v>
      </c>
      <c r="AR649" s="64">
        <v>44884.520833333336</v>
      </c>
      <c r="AS649" s="61" t="s">
        <v>133</v>
      </c>
      <c r="AT649" s="61" t="s">
        <v>65</v>
      </c>
      <c r="AU649" s="63">
        <v>0.52083333333333337</v>
      </c>
      <c r="AV649" s="61">
        <v>1</v>
      </c>
      <c r="AW649" s="61" t="s">
        <v>66</v>
      </c>
      <c r="AX649" s="52"/>
      <c r="AY649" s="52"/>
      <c r="AZ649" s="52"/>
      <c r="BA649" s="52"/>
    </row>
    <row r="650" spans="1:54" x14ac:dyDescent="0.25">
      <c r="A650" s="48">
        <v>373</v>
      </c>
      <c r="B650" s="72">
        <v>44884.375</v>
      </c>
      <c r="C650" s="67">
        <v>0.375</v>
      </c>
      <c r="D650" s="67">
        <v>0.38194444444444442</v>
      </c>
      <c r="E650" s="67">
        <v>0.39583333333333331</v>
      </c>
      <c r="F650" s="68" t="s">
        <v>171</v>
      </c>
      <c r="G650" s="68" t="s">
        <v>136</v>
      </c>
      <c r="H650" s="60" t="s">
        <v>195</v>
      </c>
      <c r="I650" s="60" t="s">
        <v>195</v>
      </c>
      <c r="J650" s="60" t="s">
        <v>37</v>
      </c>
      <c r="K650" s="60" t="s">
        <v>180</v>
      </c>
      <c r="L650" s="65" t="s">
        <v>206</v>
      </c>
      <c r="M650" s="61" t="s">
        <v>1955</v>
      </c>
      <c r="N650" s="68" t="s">
        <v>42</v>
      </c>
      <c r="O650" s="68" t="s">
        <v>1952</v>
      </c>
      <c r="P650" s="68">
        <v>2101077784</v>
      </c>
      <c r="Q650" s="303">
        <f t="shared" si="66"/>
        <v>4</v>
      </c>
      <c r="R650" s="303">
        <f t="shared" si="67"/>
        <v>837</v>
      </c>
      <c r="S650" s="37">
        <v>0</v>
      </c>
      <c r="T650" s="37">
        <v>0</v>
      </c>
      <c r="U650" s="37">
        <v>4</v>
      </c>
      <c r="V650" s="37">
        <f>272+230+271+64</f>
        <v>837</v>
      </c>
      <c r="W650" s="37">
        <v>886</v>
      </c>
      <c r="X650" s="37">
        <v>114</v>
      </c>
      <c r="Y650" s="37">
        <v>80</v>
      </c>
      <c r="Z650" s="37">
        <v>55</v>
      </c>
      <c r="AA650" s="37">
        <v>1</v>
      </c>
      <c r="AB650" s="300">
        <f t="shared" si="68"/>
        <v>83.6</v>
      </c>
      <c r="AC650" s="300">
        <f t="shared" si="69"/>
        <v>0.5036144578313253</v>
      </c>
      <c r="AD650" s="37">
        <v>28999</v>
      </c>
      <c r="AE650" s="68" t="s">
        <v>109</v>
      </c>
      <c r="AF650" s="68" t="s">
        <v>317</v>
      </c>
      <c r="AG650" s="68" t="s">
        <v>317</v>
      </c>
      <c r="AH650" s="37" t="s">
        <v>1953</v>
      </c>
      <c r="AI650" s="309"/>
      <c r="AJ650" s="309"/>
      <c r="AK650" s="68" t="s">
        <v>406</v>
      </c>
      <c r="AL650" s="68" t="s">
        <v>49</v>
      </c>
      <c r="AM650" s="299">
        <f t="shared" ca="1" si="65"/>
        <v>0.14583333333575865</v>
      </c>
      <c r="AN650" s="51"/>
      <c r="AO650" s="61" t="s">
        <v>128</v>
      </c>
      <c r="AP650" s="62" t="s">
        <v>1955</v>
      </c>
      <c r="AQ650" s="61" t="s">
        <v>1980</v>
      </c>
      <c r="AR650" s="64">
        <v>44884.520833333336</v>
      </c>
      <c r="AS650" s="61" t="s">
        <v>133</v>
      </c>
      <c r="AT650" s="61" t="s">
        <v>65</v>
      </c>
      <c r="AU650" s="63">
        <v>0.52083333333333337</v>
      </c>
      <c r="AV650" s="61">
        <v>1</v>
      </c>
      <c r="AW650" s="61" t="s">
        <v>66</v>
      </c>
      <c r="AX650" s="52"/>
      <c r="AY650" s="52"/>
      <c r="AZ650" s="52"/>
      <c r="BA650" s="52"/>
    </row>
    <row r="651" spans="1:54" x14ac:dyDescent="0.25">
      <c r="A651" s="73">
        <v>373</v>
      </c>
      <c r="B651" s="72">
        <v>44884.375</v>
      </c>
      <c r="C651" s="67">
        <v>0.375</v>
      </c>
      <c r="D651" s="67">
        <v>0.38194444444444442</v>
      </c>
      <c r="E651" s="67">
        <v>0.39583333333333331</v>
      </c>
      <c r="F651" s="68" t="s">
        <v>171</v>
      </c>
      <c r="G651" s="68" t="s">
        <v>136</v>
      </c>
      <c r="H651" s="60" t="s">
        <v>195</v>
      </c>
      <c r="I651" s="60" t="s">
        <v>195</v>
      </c>
      <c r="J651" s="60" t="s">
        <v>37</v>
      </c>
      <c r="K651" s="60" t="s">
        <v>180</v>
      </c>
      <c r="L651" s="65" t="s">
        <v>206</v>
      </c>
      <c r="M651" s="61" t="s">
        <v>1955</v>
      </c>
      <c r="N651" s="68" t="s">
        <v>42</v>
      </c>
      <c r="O651" s="68" t="s">
        <v>1952</v>
      </c>
      <c r="P651" s="68">
        <v>2101077784</v>
      </c>
      <c r="Q651" s="303">
        <f t="shared" si="66"/>
        <v>0</v>
      </c>
      <c r="R651" s="303">
        <f t="shared" si="67"/>
        <v>0</v>
      </c>
      <c r="S651" s="68">
        <v>0</v>
      </c>
      <c r="T651" s="68">
        <v>0</v>
      </c>
      <c r="U651" s="68">
        <v>0</v>
      </c>
      <c r="V651" s="68">
        <v>0</v>
      </c>
      <c r="W651" s="68">
        <v>0</v>
      </c>
      <c r="X651" s="37">
        <v>114</v>
      </c>
      <c r="Y651" s="37">
        <v>80</v>
      </c>
      <c r="Z651" s="37">
        <v>131</v>
      </c>
      <c r="AA651" s="37">
        <v>2</v>
      </c>
      <c r="AB651" s="300">
        <f t="shared" si="68"/>
        <v>398.24</v>
      </c>
      <c r="AC651" s="300">
        <f t="shared" si="69"/>
        <v>2.3990361445783135</v>
      </c>
      <c r="AD651" s="68">
        <v>0</v>
      </c>
      <c r="AE651" s="68">
        <v>0</v>
      </c>
      <c r="AF651" s="68">
        <v>0</v>
      </c>
      <c r="AG651" s="68">
        <v>0</v>
      </c>
      <c r="AH651" s="37">
        <v>0</v>
      </c>
      <c r="AI651" s="309"/>
      <c r="AJ651" s="309"/>
      <c r="AK651" s="68" t="s">
        <v>406</v>
      </c>
      <c r="AL651" s="68" t="s">
        <v>49</v>
      </c>
      <c r="AM651" s="299">
        <f t="shared" ca="1" si="65"/>
        <v>0.14583333333575865</v>
      </c>
      <c r="AN651" s="51"/>
      <c r="AO651" s="61" t="s">
        <v>128</v>
      </c>
      <c r="AP651" s="62" t="s">
        <v>1955</v>
      </c>
      <c r="AQ651" s="61" t="s">
        <v>1980</v>
      </c>
      <c r="AR651" s="64">
        <v>44884.520833333336</v>
      </c>
      <c r="AS651" s="61" t="s">
        <v>133</v>
      </c>
      <c r="AT651" s="61" t="s">
        <v>65</v>
      </c>
      <c r="AU651" s="63">
        <v>0.52083333333333337</v>
      </c>
      <c r="AV651" s="61">
        <v>1</v>
      </c>
      <c r="AW651" s="61" t="s">
        <v>66</v>
      </c>
      <c r="AX651" s="52"/>
      <c r="AY651" s="52"/>
      <c r="AZ651" s="52"/>
      <c r="BA651" s="52"/>
    </row>
    <row r="652" spans="1:54" x14ac:dyDescent="0.25">
      <c r="A652" s="73">
        <v>373</v>
      </c>
      <c r="B652" s="72">
        <v>44884.375</v>
      </c>
      <c r="C652" s="67">
        <v>0.375</v>
      </c>
      <c r="D652" s="67">
        <v>0.38194444444444442</v>
      </c>
      <c r="E652" s="67">
        <v>0.39583333333333331</v>
      </c>
      <c r="F652" s="68" t="s">
        <v>171</v>
      </c>
      <c r="G652" s="68" t="s">
        <v>136</v>
      </c>
      <c r="H652" s="60" t="s">
        <v>195</v>
      </c>
      <c r="I652" s="60" t="s">
        <v>195</v>
      </c>
      <c r="J652" s="60" t="s">
        <v>37</v>
      </c>
      <c r="K652" s="60" t="s">
        <v>180</v>
      </c>
      <c r="L652" s="65" t="s">
        <v>206</v>
      </c>
      <c r="M652" s="61" t="s">
        <v>1955</v>
      </c>
      <c r="N652" s="68" t="s">
        <v>42</v>
      </c>
      <c r="O652" s="68" t="s">
        <v>1952</v>
      </c>
      <c r="P652" s="68">
        <v>2101077784</v>
      </c>
      <c r="Q652" s="303">
        <f t="shared" si="66"/>
        <v>0</v>
      </c>
      <c r="R652" s="303">
        <f t="shared" si="67"/>
        <v>0</v>
      </c>
      <c r="S652" s="68">
        <v>0</v>
      </c>
      <c r="T652" s="68">
        <v>0</v>
      </c>
      <c r="U652" s="68">
        <v>0</v>
      </c>
      <c r="V652" s="68">
        <v>0</v>
      </c>
      <c r="W652" s="68">
        <v>0</v>
      </c>
      <c r="X652" s="37">
        <v>114</v>
      </c>
      <c r="Y652" s="37">
        <v>80</v>
      </c>
      <c r="Z652" s="37">
        <v>112</v>
      </c>
      <c r="AA652" s="37">
        <v>1</v>
      </c>
      <c r="AB652" s="300">
        <f t="shared" si="68"/>
        <v>170.24</v>
      </c>
      <c r="AC652" s="300">
        <f t="shared" si="69"/>
        <v>1.0255421686746988</v>
      </c>
      <c r="AD652" s="68">
        <v>0</v>
      </c>
      <c r="AE652" s="68">
        <v>0</v>
      </c>
      <c r="AF652" s="68">
        <v>0</v>
      </c>
      <c r="AG652" s="68">
        <v>0</v>
      </c>
      <c r="AH652" s="68">
        <v>0</v>
      </c>
      <c r="AI652" s="309"/>
      <c r="AJ652" s="309"/>
      <c r="AK652" s="68" t="s">
        <v>406</v>
      </c>
      <c r="AL652" s="68" t="s">
        <v>49</v>
      </c>
      <c r="AM652" s="299">
        <f t="shared" ca="1" si="65"/>
        <v>0.14583333333575865</v>
      </c>
      <c r="AN652" s="51"/>
      <c r="AO652" s="61" t="s">
        <v>128</v>
      </c>
      <c r="AP652" s="62" t="s">
        <v>1955</v>
      </c>
      <c r="AQ652" s="61" t="s">
        <v>1980</v>
      </c>
      <c r="AR652" s="64">
        <v>44884.520833333336</v>
      </c>
      <c r="AS652" s="61" t="s">
        <v>133</v>
      </c>
      <c r="AT652" s="61" t="s">
        <v>65</v>
      </c>
      <c r="AU652" s="63">
        <v>0.52083333333333337</v>
      </c>
      <c r="AV652" s="61">
        <v>1</v>
      </c>
      <c r="AW652" s="61" t="s">
        <v>66</v>
      </c>
      <c r="AX652" s="52"/>
      <c r="AY652" s="52"/>
      <c r="AZ652" s="52"/>
      <c r="BA652" s="52"/>
    </row>
    <row r="653" spans="1:54" x14ac:dyDescent="0.25">
      <c r="A653" s="48">
        <v>374</v>
      </c>
      <c r="B653" s="72">
        <v>44884.388888888891</v>
      </c>
      <c r="C653" s="36">
        <v>0.3923611111111111</v>
      </c>
      <c r="D653" s="36">
        <v>0.39583333333333331</v>
      </c>
      <c r="E653" s="36">
        <v>0.40625</v>
      </c>
      <c r="F653" s="37" t="s">
        <v>170</v>
      </c>
      <c r="G653" s="37" t="s">
        <v>387</v>
      </c>
      <c r="H653" s="26" t="s">
        <v>204</v>
      </c>
      <c r="I653" s="26" t="s">
        <v>110</v>
      </c>
      <c r="J653" s="60" t="s">
        <v>37</v>
      </c>
      <c r="K653" s="26" t="s">
        <v>63</v>
      </c>
      <c r="L653" s="26" t="s">
        <v>212</v>
      </c>
      <c r="M653" s="37" t="s">
        <v>1963</v>
      </c>
      <c r="N653" s="37" t="s">
        <v>186</v>
      </c>
      <c r="O653" s="37" t="s">
        <v>1956</v>
      </c>
      <c r="P653" s="37">
        <v>5051980127</v>
      </c>
      <c r="Q653" s="303">
        <f t="shared" si="66"/>
        <v>1</v>
      </c>
      <c r="R653" s="303">
        <f t="shared" si="67"/>
        <v>217</v>
      </c>
      <c r="S653" s="37">
        <v>0</v>
      </c>
      <c r="T653" s="37">
        <v>0</v>
      </c>
      <c r="U653" s="37">
        <v>1</v>
      </c>
      <c r="V653" s="37">
        <v>217</v>
      </c>
      <c r="W653" s="37">
        <v>203</v>
      </c>
      <c r="X653" s="37">
        <v>67</v>
      </c>
      <c r="Y653" s="37">
        <v>67</v>
      </c>
      <c r="Z653" s="37">
        <v>75</v>
      </c>
      <c r="AA653" s="37">
        <v>1</v>
      </c>
      <c r="AB653" s="300">
        <f t="shared" si="68"/>
        <v>56.112499999999997</v>
      </c>
      <c r="AC653" s="300">
        <f t="shared" si="69"/>
        <v>0.3380271084337349</v>
      </c>
      <c r="AD653" s="37">
        <v>2283</v>
      </c>
      <c r="AE653" s="37" t="s">
        <v>109</v>
      </c>
      <c r="AF653" s="37" t="s">
        <v>317</v>
      </c>
      <c r="AG653" s="37" t="s">
        <v>317</v>
      </c>
      <c r="AH653" s="37" t="s">
        <v>1957</v>
      </c>
      <c r="AI653" s="309"/>
      <c r="AJ653" s="309"/>
      <c r="AK653" s="37" t="s">
        <v>41</v>
      </c>
      <c r="AL653" s="37" t="s">
        <v>39</v>
      </c>
      <c r="AM653" s="299">
        <f t="shared" ca="1" si="65"/>
        <v>3.1631944444452529</v>
      </c>
      <c r="AN653" s="51"/>
      <c r="AO653" s="61" t="s">
        <v>131</v>
      </c>
      <c r="AP653" s="62" t="s">
        <v>1963</v>
      </c>
      <c r="AQ653" s="61" t="s">
        <v>2177</v>
      </c>
      <c r="AR653" s="64">
        <v>44887.552083333336</v>
      </c>
      <c r="AS653" s="61" t="s">
        <v>95</v>
      </c>
      <c r="AT653" s="61" t="s">
        <v>225</v>
      </c>
      <c r="AU653" s="59">
        <v>0.55208333333333337</v>
      </c>
      <c r="AV653" s="61">
        <v>1</v>
      </c>
      <c r="AW653" s="61" t="s">
        <v>66</v>
      </c>
      <c r="AX653" s="52"/>
      <c r="AY653" s="52"/>
      <c r="AZ653" s="52"/>
      <c r="BA653" s="52"/>
    </row>
    <row r="654" spans="1:54" x14ac:dyDescent="0.25">
      <c r="A654" s="48">
        <v>375</v>
      </c>
      <c r="B654" s="72">
        <v>44884.388888888891</v>
      </c>
      <c r="C654" s="36">
        <v>0.39583333333333331</v>
      </c>
      <c r="D654" s="36">
        <v>0.39930555555555558</v>
      </c>
      <c r="E654" s="67">
        <v>0.40625</v>
      </c>
      <c r="F654" s="37" t="s">
        <v>171</v>
      </c>
      <c r="G654" s="37" t="s">
        <v>1958</v>
      </c>
      <c r="H654" s="26" t="s">
        <v>85</v>
      </c>
      <c r="I654" s="26" t="s">
        <v>86</v>
      </c>
      <c r="J654" s="60" t="s">
        <v>37</v>
      </c>
      <c r="K654" s="26" t="s">
        <v>180</v>
      </c>
      <c r="L654" s="26" t="s">
        <v>206</v>
      </c>
      <c r="M654" s="37" t="s">
        <v>1962</v>
      </c>
      <c r="N654" s="37" t="s">
        <v>42</v>
      </c>
      <c r="O654" s="37" t="s">
        <v>1959</v>
      </c>
      <c r="P654" s="37" t="s">
        <v>1960</v>
      </c>
      <c r="Q654" s="303">
        <f t="shared" si="66"/>
        <v>2</v>
      </c>
      <c r="R654" s="303">
        <f t="shared" si="67"/>
        <v>466</v>
      </c>
      <c r="S654" s="37">
        <v>0</v>
      </c>
      <c r="T654" s="37">
        <v>0</v>
      </c>
      <c r="U654" s="37">
        <v>2</v>
      </c>
      <c r="V654" s="37">
        <f>319+147</f>
        <v>466</v>
      </c>
      <c r="W654" s="37">
        <v>457</v>
      </c>
      <c r="X654" s="37">
        <v>120</v>
      </c>
      <c r="Y654" s="37">
        <v>80</v>
      </c>
      <c r="Z654" s="37">
        <v>105</v>
      </c>
      <c r="AA654" s="37">
        <v>1</v>
      </c>
      <c r="AB654" s="300">
        <f t="shared" si="68"/>
        <v>168</v>
      </c>
      <c r="AC654" s="300">
        <f t="shared" si="69"/>
        <v>1.0120481927710843</v>
      </c>
      <c r="AD654" s="37">
        <v>7569</v>
      </c>
      <c r="AE654" s="37" t="s">
        <v>109</v>
      </c>
      <c r="AF654" s="68" t="s">
        <v>317</v>
      </c>
      <c r="AG654" s="68" t="s">
        <v>317</v>
      </c>
      <c r="AH654" s="37" t="s">
        <v>1961</v>
      </c>
      <c r="AI654" s="309"/>
      <c r="AJ654" s="309"/>
      <c r="AK654" s="37" t="s">
        <v>37</v>
      </c>
      <c r="AL654" s="68" t="s">
        <v>39</v>
      </c>
      <c r="AM654" s="299">
        <f t="shared" ca="1" si="65"/>
        <v>2.1631944444452529</v>
      </c>
      <c r="AN654" s="51"/>
      <c r="AO654" s="61" t="s">
        <v>87</v>
      </c>
      <c r="AP654" s="62" t="s">
        <v>1962</v>
      </c>
      <c r="AQ654" s="61" t="s">
        <v>2050</v>
      </c>
      <c r="AR654" s="64">
        <v>44886.552083333336</v>
      </c>
      <c r="AS654" s="57" t="s">
        <v>117</v>
      </c>
      <c r="AT654" s="61" t="s">
        <v>225</v>
      </c>
      <c r="AU654" s="63">
        <v>0.55208333333333337</v>
      </c>
      <c r="AV654" s="61">
        <v>1</v>
      </c>
      <c r="AW654" s="61" t="s">
        <v>66</v>
      </c>
      <c r="AX654" s="52"/>
      <c r="AY654" s="52"/>
      <c r="AZ654" s="52"/>
      <c r="BA654" s="52"/>
    </row>
    <row r="655" spans="1:54" x14ac:dyDescent="0.25">
      <c r="A655" s="73">
        <v>375</v>
      </c>
      <c r="B655" s="72">
        <v>44884.388888888891</v>
      </c>
      <c r="C655" s="67">
        <v>0.39583333333333331</v>
      </c>
      <c r="D655" s="67">
        <v>0.39930555555555558</v>
      </c>
      <c r="E655" s="67">
        <v>0.40625</v>
      </c>
      <c r="F655" s="68" t="s">
        <v>171</v>
      </c>
      <c r="G655" s="68" t="s">
        <v>1958</v>
      </c>
      <c r="H655" s="60" t="s">
        <v>85</v>
      </c>
      <c r="I655" s="60" t="s">
        <v>86</v>
      </c>
      <c r="J655" s="60" t="s">
        <v>37</v>
      </c>
      <c r="K655" s="60" t="s">
        <v>180</v>
      </c>
      <c r="L655" s="60" t="s">
        <v>206</v>
      </c>
      <c r="M655" s="68" t="s">
        <v>1962</v>
      </c>
      <c r="N655" s="68" t="s">
        <v>42</v>
      </c>
      <c r="O655" s="68" t="s">
        <v>1959</v>
      </c>
      <c r="P655" s="68" t="s">
        <v>1960</v>
      </c>
      <c r="Q655" s="303">
        <f t="shared" si="66"/>
        <v>0</v>
      </c>
      <c r="R655" s="303">
        <f t="shared" si="67"/>
        <v>0</v>
      </c>
      <c r="S655" s="37">
        <v>0</v>
      </c>
      <c r="T655" s="37">
        <v>0</v>
      </c>
      <c r="U655" s="37">
        <v>0</v>
      </c>
      <c r="V655" s="37">
        <v>0</v>
      </c>
      <c r="W655" s="37">
        <v>0</v>
      </c>
      <c r="X655" s="37">
        <v>120</v>
      </c>
      <c r="Y655" s="37">
        <v>80</v>
      </c>
      <c r="Z655" s="37">
        <v>51</v>
      </c>
      <c r="AA655" s="37">
        <v>1</v>
      </c>
      <c r="AB655" s="300">
        <f t="shared" si="68"/>
        <v>81.599999999999994</v>
      </c>
      <c r="AC655" s="300">
        <f t="shared" si="69"/>
        <v>0.49156626506024093</v>
      </c>
      <c r="AD655" s="37">
        <v>0</v>
      </c>
      <c r="AE655" s="37">
        <v>0</v>
      </c>
      <c r="AF655" s="37">
        <v>0</v>
      </c>
      <c r="AG655" s="37">
        <v>0</v>
      </c>
      <c r="AH655" s="37">
        <v>0</v>
      </c>
      <c r="AI655" s="309"/>
      <c r="AJ655" s="309"/>
      <c r="AK655" s="68" t="s">
        <v>37</v>
      </c>
      <c r="AL655" s="68" t="s">
        <v>39</v>
      </c>
      <c r="AM655" s="299">
        <f t="shared" ca="1" si="65"/>
        <v>2.1631944444452529</v>
      </c>
      <c r="AN655" s="51"/>
      <c r="AO655" s="61" t="s">
        <v>87</v>
      </c>
      <c r="AP655" s="62" t="s">
        <v>1962</v>
      </c>
      <c r="AQ655" s="61" t="s">
        <v>2050</v>
      </c>
      <c r="AR655" s="64">
        <v>44886.552083333336</v>
      </c>
      <c r="AS655" s="57" t="s">
        <v>117</v>
      </c>
      <c r="AT655" s="61" t="s">
        <v>225</v>
      </c>
      <c r="AU655" s="63">
        <v>0.55208333333333337</v>
      </c>
      <c r="AV655" s="61">
        <v>1</v>
      </c>
      <c r="AW655" s="61" t="s">
        <v>66</v>
      </c>
      <c r="AX655" s="52"/>
      <c r="AY655" s="52"/>
      <c r="AZ655" s="52"/>
      <c r="BA655" s="52"/>
    </row>
    <row r="656" spans="1:54" x14ac:dyDescent="0.25">
      <c r="A656" s="48">
        <v>376</v>
      </c>
      <c r="B656" s="72">
        <v>44884.409722222219</v>
      </c>
      <c r="C656" s="36">
        <v>0.40972222222222227</v>
      </c>
      <c r="D656" s="36">
        <v>0.41319444444444442</v>
      </c>
      <c r="E656" s="36">
        <v>0.41666666666666669</v>
      </c>
      <c r="F656" s="68" t="s">
        <v>171</v>
      </c>
      <c r="G656" s="37" t="s">
        <v>203</v>
      </c>
      <c r="H656" s="26" t="s">
        <v>91</v>
      </c>
      <c r="I656" s="26" t="s">
        <v>287</v>
      </c>
      <c r="J656" s="26" t="s">
        <v>41</v>
      </c>
      <c r="K656" s="26" t="s">
        <v>180</v>
      </c>
      <c r="L656" s="60" t="s">
        <v>206</v>
      </c>
      <c r="M656" s="37" t="s">
        <v>1965</v>
      </c>
      <c r="N656" s="37" t="s">
        <v>53</v>
      </c>
      <c r="O656" s="37">
        <v>1054969055</v>
      </c>
      <c r="P656" s="37">
        <v>1213939156</v>
      </c>
      <c r="Q656" s="303">
        <f t="shared" si="66"/>
        <v>1</v>
      </c>
      <c r="R656" s="303">
        <f t="shared" si="67"/>
        <v>27</v>
      </c>
      <c r="S656" s="37">
        <v>0</v>
      </c>
      <c r="T656" s="37">
        <v>0</v>
      </c>
      <c r="U656" s="37">
        <v>1</v>
      </c>
      <c r="V656" s="37">
        <v>27</v>
      </c>
      <c r="W656" s="37">
        <v>28</v>
      </c>
      <c r="X656" s="37">
        <v>77</v>
      </c>
      <c r="Y656" s="37">
        <v>50</v>
      </c>
      <c r="Z656" s="37">
        <v>71</v>
      </c>
      <c r="AA656" s="37">
        <v>1</v>
      </c>
      <c r="AB656" s="300">
        <f t="shared" si="68"/>
        <v>45.55833333333333</v>
      </c>
      <c r="AC656" s="300">
        <f t="shared" si="69"/>
        <v>0.27444779116465862</v>
      </c>
      <c r="AD656" s="37">
        <v>5516</v>
      </c>
      <c r="AE656" s="37" t="s">
        <v>109</v>
      </c>
      <c r="AF656" s="37" t="s">
        <v>317</v>
      </c>
      <c r="AG656" s="37" t="s">
        <v>317</v>
      </c>
      <c r="AH656" s="37" t="s">
        <v>1964</v>
      </c>
      <c r="AI656" s="309"/>
      <c r="AJ656" s="309"/>
      <c r="AK656" s="37" t="s">
        <v>37</v>
      </c>
      <c r="AL656" s="37" t="s">
        <v>49</v>
      </c>
      <c r="AM656" s="299">
        <f t="shared" ca="1" si="65"/>
        <v>3.3020833333357587</v>
      </c>
      <c r="AN656" s="51"/>
      <c r="AO656" s="61" t="s">
        <v>53</v>
      </c>
      <c r="AP656" s="91" t="s">
        <v>1965</v>
      </c>
      <c r="AQ656" s="59" t="s">
        <v>2185</v>
      </c>
      <c r="AR656" s="64">
        <v>44887.711805555555</v>
      </c>
      <c r="AS656" s="61" t="s">
        <v>483</v>
      </c>
      <c r="AT656" s="61" t="s">
        <v>65</v>
      </c>
      <c r="AU656" s="63">
        <v>0.71180555555555547</v>
      </c>
      <c r="AV656" s="61">
        <v>1</v>
      </c>
      <c r="AW656" s="61" t="s">
        <v>66</v>
      </c>
      <c r="AX656" s="52"/>
      <c r="AY656" s="52"/>
      <c r="AZ656" s="52"/>
      <c r="BA656" s="52"/>
    </row>
    <row r="657" spans="1:53" x14ac:dyDescent="0.25">
      <c r="A657" s="48">
        <v>377</v>
      </c>
      <c r="B657" s="72">
        <v>44884.472222222219</v>
      </c>
      <c r="C657" s="36">
        <v>0.47222222222222227</v>
      </c>
      <c r="D657" s="36">
        <v>0.47916666666666669</v>
      </c>
      <c r="E657" s="36">
        <v>0.4826388888888889</v>
      </c>
      <c r="F657" s="37" t="s">
        <v>170</v>
      </c>
      <c r="G657" s="37" t="s">
        <v>1966</v>
      </c>
      <c r="H657" s="26" t="s">
        <v>332</v>
      </c>
      <c r="I657" s="26" t="s">
        <v>429</v>
      </c>
      <c r="J657" s="26" t="s">
        <v>37</v>
      </c>
      <c r="K657" s="26" t="s">
        <v>63</v>
      </c>
      <c r="L657" s="26" t="s">
        <v>206</v>
      </c>
      <c r="M657" s="37" t="s">
        <v>1968</v>
      </c>
      <c r="N657" s="37" t="s">
        <v>42</v>
      </c>
      <c r="O657" s="37">
        <v>2053092261</v>
      </c>
      <c r="P657" s="37">
        <v>1052087289</v>
      </c>
      <c r="Q657" s="303">
        <f t="shared" si="66"/>
        <v>7</v>
      </c>
      <c r="R657" s="303">
        <f t="shared" si="67"/>
        <v>2385</v>
      </c>
      <c r="S657" s="37">
        <v>0</v>
      </c>
      <c r="T657" s="37">
        <v>0</v>
      </c>
      <c r="U657" s="37">
        <v>7</v>
      </c>
      <c r="V657" s="37">
        <f>341+342+340+342+339+340+341</f>
        <v>2385</v>
      </c>
      <c r="W657" s="37">
        <v>2387</v>
      </c>
      <c r="X657" s="37">
        <v>76</v>
      </c>
      <c r="Y657" s="37">
        <v>76</v>
      </c>
      <c r="Z657" s="37">
        <v>78</v>
      </c>
      <c r="AA657" s="37">
        <v>7</v>
      </c>
      <c r="AB657" s="300">
        <f t="shared" si="68"/>
        <v>525.61599999999999</v>
      </c>
      <c r="AC657" s="300">
        <f t="shared" si="69"/>
        <v>3.1663614457831324</v>
      </c>
      <c r="AD657" s="37">
        <v>24030</v>
      </c>
      <c r="AE657" s="37" t="s">
        <v>109</v>
      </c>
      <c r="AF657" s="37" t="s">
        <v>317</v>
      </c>
      <c r="AG657" s="37" t="s">
        <v>317</v>
      </c>
      <c r="AH657" s="37" t="s">
        <v>1967</v>
      </c>
      <c r="AI657" s="309"/>
      <c r="AJ657" s="309"/>
      <c r="AK657" s="37" t="s">
        <v>41</v>
      </c>
      <c r="AL657" s="37" t="s">
        <v>39</v>
      </c>
      <c r="AM657" s="299">
        <f t="shared" ca="1" si="65"/>
        <v>2.0798611111167702</v>
      </c>
      <c r="AN657" s="51"/>
      <c r="AO657" s="61" t="s">
        <v>120</v>
      </c>
      <c r="AP657" s="62" t="s">
        <v>1968</v>
      </c>
      <c r="AQ657" s="61" t="s">
        <v>2046</v>
      </c>
      <c r="AR657" s="64">
        <v>44886.552083333336</v>
      </c>
      <c r="AS657" s="57" t="s">
        <v>117</v>
      </c>
      <c r="AT657" s="61" t="s">
        <v>225</v>
      </c>
      <c r="AU657" s="63">
        <v>0.55208333333333337</v>
      </c>
      <c r="AV657" s="61">
        <v>1</v>
      </c>
      <c r="AW657" s="61" t="s">
        <v>66</v>
      </c>
      <c r="AX657" s="52"/>
      <c r="AY657" s="52"/>
      <c r="AZ657" s="52"/>
      <c r="BA657" s="52"/>
    </row>
    <row r="658" spans="1:53" x14ac:dyDescent="0.25">
      <c r="A658" s="48">
        <v>378</v>
      </c>
      <c r="B658" s="46">
        <v>44884.534722222219</v>
      </c>
      <c r="C658" s="36">
        <v>0.53819444444444442</v>
      </c>
      <c r="D658" s="36">
        <v>0.54513888888888895</v>
      </c>
      <c r="E658" s="36">
        <v>0.55208333333333337</v>
      </c>
      <c r="F658" s="68" t="s">
        <v>170</v>
      </c>
      <c r="G658" s="37" t="s">
        <v>1969</v>
      </c>
      <c r="H658" s="26" t="s">
        <v>227</v>
      </c>
      <c r="I658" s="26" t="s">
        <v>189</v>
      </c>
      <c r="J658" s="60" t="s">
        <v>37</v>
      </c>
      <c r="K658" s="60" t="s">
        <v>63</v>
      </c>
      <c r="L658" s="60" t="s">
        <v>209</v>
      </c>
      <c r="M658" s="37" t="s">
        <v>1970</v>
      </c>
      <c r="N658" s="37" t="s">
        <v>43</v>
      </c>
      <c r="O658" s="77">
        <v>936937</v>
      </c>
      <c r="P658" s="37" t="s">
        <v>1971</v>
      </c>
      <c r="Q658" s="303">
        <f t="shared" si="66"/>
        <v>5</v>
      </c>
      <c r="R658" s="303">
        <f t="shared" si="67"/>
        <v>649</v>
      </c>
      <c r="S658" s="37">
        <v>2</v>
      </c>
      <c r="T658" s="37">
        <v>42</v>
      </c>
      <c r="U658" s="37">
        <v>3</v>
      </c>
      <c r="V658" s="37">
        <f>198+204+205</f>
        <v>607</v>
      </c>
      <c r="W658" s="37">
        <v>666.07</v>
      </c>
      <c r="X658" s="37">
        <v>55</v>
      </c>
      <c r="Y658" s="37">
        <v>42</v>
      </c>
      <c r="Z658" s="37">
        <v>19</v>
      </c>
      <c r="AA658" s="37">
        <v>2</v>
      </c>
      <c r="AB658" s="300">
        <f t="shared" si="68"/>
        <v>14.63</v>
      </c>
      <c r="AC658" s="300">
        <f t="shared" si="69"/>
        <v>8.8132530120481931E-2</v>
      </c>
      <c r="AD658" s="37" t="s">
        <v>48</v>
      </c>
      <c r="AE658" s="68" t="s">
        <v>48</v>
      </c>
      <c r="AF658" s="68" t="s">
        <v>317</v>
      </c>
      <c r="AG658" s="68" t="s">
        <v>317</v>
      </c>
      <c r="AH658" s="37" t="s">
        <v>1972</v>
      </c>
      <c r="AI658" s="309"/>
      <c r="AJ658" s="309"/>
      <c r="AK658" s="37" t="s">
        <v>48</v>
      </c>
      <c r="AL658" s="37" t="s">
        <v>49</v>
      </c>
      <c r="AM658" s="299">
        <f t="shared" ca="1" si="65"/>
        <v>9.375E-2</v>
      </c>
      <c r="AN658" s="51"/>
      <c r="AO658" s="61" t="s">
        <v>179</v>
      </c>
      <c r="AP658" s="61" t="s">
        <v>1970</v>
      </c>
      <c r="AQ658" s="61" t="s">
        <v>1983</v>
      </c>
      <c r="AR658" s="64">
        <v>44884.628472222219</v>
      </c>
      <c r="AS658" s="61" t="s">
        <v>148</v>
      </c>
      <c r="AT658" s="61" t="s">
        <v>1982</v>
      </c>
      <c r="AU658" s="63">
        <v>0.62847222222222221</v>
      </c>
      <c r="AV658" s="61">
        <v>1</v>
      </c>
      <c r="AW658" s="61" t="s">
        <v>66</v>
      </c>
      <c r="AX658" s="52"/>
      <c r="AY658" s="52"/>
      <c r="AZ658" s="52"/>
      <c r="BA658" s="52"/>
    </row>
    <row r="659" spans="1:53" x14ac:dyDescent="0.25">
      <c r="A659" s="73">
        <v>378</v>
      </c>
      <c r="B659" s="72">
        <v>44884.534722222219</v>
      </c>
      <c r="C659" s="67">
        <v>0.53819444444444442</v>
      </c>
      <c r="D659" s="67">
        <v>0.54513888888888895</v>
      </c>
      <c r="E659" s="67">
        <v>0.55208333333333337</v>
      </c>
      <c r="F659" s="68" t="s">
        <v>170</v>
      </c>
      <c r="G659" s="68" t="s">
        <v>1969</v>
      </c>
      <c r="H659" s="60" t="s">
        <v>227</v>
      </c>
      <c r="I659" s="60" t="s">
        <v>189</v>
      </c>
      <c r="J659" s="60" t="s">
        <v>37</v>
      </c>
      <c r="K659" s="60" t="s">
        <v>63</v>
      </c>
      <c r="L659" s="60" t="s">
        <v>209</v>
      </c>
      <c r="M659" s="68" t="s">
        <v>1970</v>
      </c>
      <c r="N659" s="68" t="s">
        <v>43</v>
      </c>
      <c r="O659" s="77">
        <v>936937</v>
      </c>
      <c r="P659" s="68" t="s">
        <v>1971</v>
      </c>
      <c r="Q659" s="303">
        <f t="shared" si="66"/>
        <v>0</v>
      </c>
      <c r="R659" s="303">
        <f t="shared" si="67"/>
        <v>0</v>
      </c>
      <c r="S659" s="37">
        <v>0</v>
      </c>
      <c r="T659" s="37">
        <v>0</v>
      </c>
      <c r="U659" s="37">
        <v>0</v>
      </c>
      <c r="V659" s="37">
        <v>0</v>
      </c>
      <c r="W659" s="37">
        <v>0</v>
      </c>
      <c r="X659" s="37">
        <v>160</v>
      </c>
      <c r="Y659" s="37">
        <v>138</v>
      </c>
      <c r="Z659" s="37">
        <v>78</v>
      </c>
      <c r="AA659" s="37">
        <v>3</v>
      </c>
      <c r="AB659" s="300">
        <f t="shared" si="68"/>
        <v>861.12</v>
      </c>
      <c r="AC659" s="300">
        <f t="shared" si="69"/>
        <v>5.1874698795180727</v>
      </c>
      <c r="AD659" s="37">
        <v>0</v>
      </c>
      <c r="AE659" s="37">
        <v>0</v>
      </c>
      <c r="AF659" s="68" t="s">
        <v>317</v>
      </c>
      <c r="AG659" s="68" t="s">
        <v>317</v>
      </c>
      <c r="AH659" s="68" t="s">
        <v>1972</v>
      </c>
      <c r="AI659" s="309"/>
      <c r="AJ659" s="309"/>
      <c r="AK659" s="37" t="s">
        <v>37</v>
      </c>
      <c r="AL659" s="37" t="s">
        <v>49</v>
      </c>
      <c r="AM659" s="299">
        <f t="shared" ca="1" si="65"/>
        <v>9.375E-2</v>
      </c>
      <c r="AN659" s="51"/>
      <c r="AO659" s="61" t="s">
        <v>179</v>
      </c>
      <c r="AP659" s="61" t="s">
        <v>1970</v>
      </c>
      <c r="AQ659" s="61" t="s">
        <v>1983</v>
      </c>
      <c r="AR659" s="64">
        <v>44884.628472222219</v>
      </c>
      <c r="AS659" s="61" t="s">
        <v>148</v>
      </c>
      <c r="AT659" s="61" t="s">
        <v>1982</v>
      </c>
      <c r="AU659" s="63">
        <v>0.62847222222222221</v>
      </c>
      <c r="AV659" s="61">
        <v>1</v>
      </c>
      <c r="AW659" s="61" t="s">
        <v>66</v>
      </c>
      <c r="AX659" s="52"/>
      <c r="AY659" s="52"/>
      <c r="AZ659" s="52"/>
      <c r="BA659" s="52"/>
    </row>
    <row r="660" spans="1:53" x14ac:dyDescent="0.25">
      <c r="A660" s="48">
        <v>379</v>
      </c>
      <c r="B660" s="72">
        <v>44884.534722222219</v>
      </c>
      <c r="C660" s="67">
        <v>0.53819444444444442</v>
      </c>
      <c r="D660" s="67">
        <v>0.54513888888888895</v>
      </c>
      <c r="E660" s="67">
        <v>0.55208333333333337</v>
      </c>
      <c r="F660" s="68" t="s">
        <v>170</v>
      </c>
      <c r="G660" s="68" t="s">
        <v>1969</v>
      </c>
      <c r="H660" s="60" t="s">
        <v>227</v>
      </c>
      <c r="I660" s="60" t="s">
        <v>189</v>
      </c>
      <c r="J660" s="60" t="s">
        <v>37</v>
      </c>
      <c r="K660" s="60" t="s">
        <v>63</v>
      </c>
      <c r="L660" s="60" t="s">
        <v>209</v>
      </c>
      <c r="M660" s="68" t="s">
        <v>1970</v>
      </c>
      <c r="N660" s="68" t="s">
        <v>43</v>
      </c>
      <c r="O660" s="37">
        <v>938</v>
      </c>
      <c r="P660" s="37">
        <v>29017</v>
      </c>
      <c r="Q660" s="303">
        <f t="shared" si="66"/>
        <v>5</v>
      </c>
      <c r="R660" s="303">
        <f t="shared" si="67"/>
        <v>55</v>
      </c>
      <c r="S660" s="37">
        <v>5</v>
      </c>
      <c r="T660" s="38">
        <f>78-23</f>
        <v>55</v>
      </c>
      <c r="U660" s="37">
        <v>0</v>
      </c>
      <c r="V660" s="37">
        <v>0</v>
      </c>
      <c r="W660" s="38">
        <v>114.5</v>
      </c>
      <c r="X660" s="37">
        <v>90</v>
      </c>
      <c r="Y660" s="37">
        <v>37</v>
      </c>
      <c r="Z660" s="37">
        <v>51</v>
      </c>
      <c r="AA660" s="37">
        <v>5</v>
      </c>
      <c r="AB660" s="300">
        <f t="shared" si="68"/>
        <v>141.52500000000001</v>
      </c>
      <c r="AC660" s="300">
        <f t="shared" si="69"/>
        <v>0.85256024096385541</v>
      </c>
      <c r="AD660" s="37" t="s">
        <v>48</v>
      </c>
      <c r="AE660" s="37" t="s">
        <v>48</v>
      </c>
      <c r="AF660" s="68" t="s">
        <v>317</v>
      </c>
      <c r="AG660" s="68" t="s">
        <v>317</v>
      </c>
      <c r="AH660" s="37" t="s">
        <v>1973</v>
      </c>
      <c r="AI660" s="309"/>
      <c r="AJ660" s="309"/>
      <c r="AK660" s="37" t="s">
        <v>48</v>
      </c>
      <c r="AL660" s="37" t="s">
        <v>39</v>
      </c>
      <c r="AM660" s="299">
        <f t="shared" ca="1" si="65"/>
        <v>9.375E-2</v>
      </c>
      <c r="AN660" s="51"/>
      <c r="AO660" s="61" t="s">
        <v>179</v>
      </c>
      <c r="AP660" s="61" t="s">
        <v>1970</v>
      </c>
      <c r="AQ660" s="61" t="s">
        <v>1983</v>
      </c>
      <c r="AR660" s="64">
        <v>44884.628472222219</v>
      </c>
      <c r="AS660" s="61" t="s">
        <v>148</v>
      </c>
      <c r="AT660" s="61" t="s">
        <v>1982</v>
      </c>
      <c r="AU660" s="63">
        <v>0.62847222222222221</v>
      </c>
      <c r="AV660" s="61">
        <v>1</v>
      </c>
      <c r="AW660" s="61" t="s">
        <v>66</v>
      </c>
      <c r="AX660" s="52"/>
      <c r="AY660" s="52"/>
      <c r="AZ660" s="52"/>
      <c r="BA660" s="52"/>
    </row>
    <row r="661" spans="1:53" x14ac:dyDescent="0.25">
      <c r="A661" s="48">
        <v>380</v>
      </c>
      <c r="B661" s="46">
        <v>44884.600694444445</v>
      </c>
      <c r="C661" s="36">
        <v>0.60416666666666663</v>
      </c>
      <c r="D661" s="36">
        <v>0.61111111111111105</v>
      </c>
      <c r="E661" s="36">
        <v>0.61458333333333337</v>
      </c>
      <c r="F661" s="37" t="s">
        <v>169</v>
      </c>
      <c r="G661" s="37" t="s">
        <v>1974</v>
      </c>
      <c r="H661" s="26" t="s">
        <v>494</v>
      </c>
      <c r="I661" s="26" t="s">
        <v>377</v>
      </c>
      <c r="J661" s="26" t="s">
        <v>41</v>
      </c>
      <c r="K661" s="66" t="s">
        <v>241</v>
      </c>
      <c r="L661" s="66">
        <v>0</v>
      </c>
      <c r="M661" s="37" t="s">
        <v>1975</v>
      </c>
      <c r="N661" s="37" t="s">
        <v>42</v>
      </c>
      <c r="O661" s="37" t="s">
        <v>1976</v>
      </c>
      <c r="P661" s="37">
        <v>10048492</v>
      </c>
      <c r="Q661" s="303">
        <f t="shared" si="66"/>
        <v>54</v>
      </c>
      <c r="R661" s="303">
        <f t="shared" si="67"/>
        <v>914</v>
      </c>
      <c r="S661" s="37">
        <v>54</v>
      </c>
      <c r="T661" s="37">
        <f>368-21+345-22+267-23</f>
        <v>914</v>
      </c>
      <c r="U661" s="37">
        <v>0</v>
      </c>
      <c r="V661" s="37">
        <v>0</v>
      </c>
      <c r="W661" s="37">
        <v>900.79</v>
      </c>
      <c r="X661" s="37">
        <v>65</v>
      </c>
      <c r="Y661" s="37">
        <v>47</v>
      </c>
      <c r="Z661" s="37">
        <v>31</v>
      </c>
      <c r="AA661" s="37">
        <v>50</v>
      </c>
      <c r="AB661" s="300">
        <f t="shared" si="68"/>
        <v>789.20833333333337</v>
      </c>
      <c r="AC661" s="300">
        <f t="shared" si="69"/>
        <v>4.7542670682730925</v>
      </c>
      <c r="AD661" s="37">
        <v>20823.05</v>
      </c>
      <c r="AE661" s="37" t="s">
        <v>109</v>
      </c>
      <c r="AF661" s="68" t="s">
        <v>317</v>
      </c>
      <c r="AG661" s="68" t="s">
        <v>317</v>
      </c>
      <c r="AH661" s="37" t="s">
        <v>1977</v>
      </c>
      <c r="AI661" s="309"/>
      <c r="AJ661" s="309"/>
      <c r="AK661" s="68" t="s">
        <v>48</v>
      </c>
      <c r="AL661" s="37" t="s">
        <v>47</v>
      </c>
      <c r="AM661" s="299">
        <f t="shared" ca="1" si="65"/>
        <v>1.9513888888905058</v>
      </c>
      <c r="AN661" s="51"/>
      <c r="AO661" s="61" t="s">
        <v>107</v>
      </c>
      <c r="AP661" s="62" t="s">
        <v>1975</v>
      </c>
      <c r="AQ661" s="61" t="s">
        <v>2050</v>
      </c>
      <c r="AR661" s="64">
        <v>44886.552083333336</v>
      </c>
      <c r="AS661" s="57" t="s">
        <v>117</v>
      </c>
      <c r="AT661" s="61" t="s">
        <v>225</v>
      </c>
      <c r="AU661" s="63">
        <v>0.55208333333333337</v>
      </c>
      <c r="AV661" s="61">
        <v>1</v>
      </c>
      <c r="AW661" s="61" t="s">
        <v>66</v>
      </c>
      <c r="AX661" s="52"/>
      <c r="AY661" s="52"/>
      <c r="AZ661" s="52"/>
      <c r="BA661" s="52"/>
    </row>
    <row r="662" spans="1:53" x14ac:dyDescent="0.25">
      <c r="A662" s="73">
        <v>380</v>
      </c>
      <c r="B662" s="72">
        <v>44884.600694444445</v>
      </c>
      <c r="C662" s="67">
        <v>0.60416666666666663</v>
      </c>
      <c r="D662" s="67">
        <v>0.61111111111111105</v>
      </c>
      <c r="E662" s="67">
        <v>0.61458333333333337</v>
      </c>
      <c r="F662" s="68" t="s">
        <v>169</v>
      </c>
      <c r="G662" s="68" t="s">
        <v>1974</v>
      </c>
      <c r="H662" s="60" t="s">
        <v>494</v>
      </c>
      <c r="I662" s="60" t="s">
        <v>377</v>
      </c>
      <c r="J662" s="60" t="s">
        <v>41</v>
      </c>
      <c r="K662" s="66" t="s">
        <v>241</v>
      </c>
      <c r="L662" s="66">
        <v>0</v>
      </c>
      <c r="M662" s="68" t="s">
        <v>1975</v>
      </c>
      <c r="N662" s="68" t="s">
        <v>42</v>
      </c>
      <c r="O662" s="68" t="s">
        <v>1976</v>
      </c>
      <c r="P662" s="68">
        <v>10048492</v>
      </c>
      <c r="Q662" s="303">
        <f t="shared" si="66"/>
        <v>0</v>
      </c>
      <c r="R662" s="303">
        <f t="shared" si="67"/>
        <v>0</v>
      </c>
      <c r="S662" s="68">
        <v>0</v>
      </c>
      <c r="T662" s="68">
        <v>0</v>
      </c>
      <c r="U662" s="68">
        <v>0</v>
      </c>
      <c r="V662" s="68">
        <v>0</v>
      </c>
      <c r="W662" s="68">
        <v>0</v>
      </c>
      <c r="X662" s="37">
        <v>65</v>
      </c>
      <c r="Y662" s="37">
        <v>46</v>
      </c>
      <c r="Z662" s="37">
        <v>16</v>
      </c>
      <c r="AA662" s="37">
        <v>4</v>
      </c>
      <c r="AB662" s="300">
        <f t="shared" si="68"/>
        <v>31.893333333333334</v>
      </c>
      <c r="AC662" s="300">
        <f t="shared" si="69"/>
        <v>0.19212851405622491</v>
      </c>
      <c r="AD662" s="37">
        <v>0</v>
      </c>
      <c r="AE662" s="37">
        <v>0</v>
      </c>
      <c r="AF662" s="68" t="s">
        <v>317</v>
      </c>
      <c r="AG662" s="68" t="s">
        <v>317</v>
      </c>
      <c r="AH662" s="68" t="s">
        <v>1977</v>
      </c>
      <c r="AI662" s="309"/>
      <c r="AJ662" s="309"/>
      <c r="AK662" s="68" t="s">
        <v>48</v>
      </c>
      <c r="AL662" s="68" t="s">
        <v>47</v>
      </c>
      <c r="AM662" s="299">
        <f t="shared" ca="1" si="65"/>
        <v>1.9513888888905058</v>
      </c>
      <c r="AN662" s="51"/>
      <c r="AO662" s="61" t="s">
        <v>107</v>
      </c>
      <c r="AP662" s="62" t="s">
        <v>1975</v>
      </c>
      <c r="AQ662" s="61" t="s">
        <v>2050</v>
      </c>
      <c r="AR662" s="64">
        <v>44886.552083333336</v>
      </c>
      <c r="AS662" s="57" t="s">
        <v>117</v>
      </c>
      <c r="AT662" s="61" t="s">
        <v>225</v>
      </c>
      <c r="AU662" s="63">
        <v>0.55208333333333337</v>
      </c>
      <c r="AV662" s="61">
        <v>1</v>
      </c>
      <c r="AW662" s="61" t="s">
        <v>66</v>
      </c>
      <c r="AX662" s="52"/>
      <c r="AY662" s="52"/>
      <c r="AZ662" s="52"/>
      <c r="BA662" s="52"/>
    </row>
    <row r="663" spans="1:53" x14ac:dyDescent="0.25">
      <c r="A663" s="48">
        <v>381</v>
      </c>
      <c r="B663" s="46">
        <v>44884.635416666664</v>
      </c>
      <c r="C663" s="36">
        <v>0.63541666666666663</v>
      </c>
      <c r="D663" s="36">
        <v>0.63888888888888895</v>
      </c>
      <c r="E663" s="36">
        <v>0.64236111111111105</v>
      </c>
      <c r="F663" s="37" t="s">
        <v>171</v>
      </c>
      <c r="G663" s="37" t="s">
        <v>297</v>
      </c>
      <c r="H663" s="26" t="s">
        <v>339</v>
      </c>
      <c r="I663" s="26" t="s">
        <v>91</v>
      </c>
      <c r="J663" s="26" t="s">
        <v>37</v>
      </c>
      <c r="K663" s="26" t="s">
        <v>180</v>
      </c>
      <c r="L663" s="26" t="s">
        <v>206</v>
      </c>
      <c r="M663" s="37" t="s">
        <v>1985</v>
      </c>
      <c r="N663" s="37" t="s">
        <v>53</v>
      </c>
      <c r="O663" s="37">
        <v>2200131</v>
      </c>
      <c r="P663" s="37">
        <v>4501930365</v>
      </c>
      <c r="Q663" s="303">
        <f t="shared" si="66"/>
        <v>1</v>
      </c>
      <c r="R663" s="303">
        <f t="shared" si="67"/>
        <v>73</v>
      </c>
      <c r="S663" s="37">
        <v>0</v>
      </c>
      <c r="T663" s="37">
        <v>0</v>
      </c>
      <c r="U663" s="37">
        <v>1</v>
      </c>
      <c r="V663" s="37">
        <v>73</v>
      </c>
      <c r="W663" s="37">
        <v>74</v>
      </c>
      <c r="X663" s="37">
        <v>120</v>
      </c>
      <c r="Y663" s="37">
        <v>80</v>
      </c>
      <c r="Z663" s="37">
        <v>81</v>
      </c>
      <c r="AA663" s="37">
        <v>1</v>
      </c>
      <c r="AB663" s="300">
        <f t="shared" si="68"/>
        <v>129.6</v>
      </c>
      <c r="AC663" s="300">
        <f t="shared" si="69"/>
        <v>0.78072289156626506</v>
      </c>
      <c r="AD663" s="37">
        <v>3128</v>
      </c>
      <c r="AE663" s="37" t="s">
        <v>109</v>
      </c>
      <c r="AF663" s="37" t="s">
        <v>317</v>
      </c>
      <c r="AG663" s="37" t="s">
        <v>317</v>
      </c>
      <c r="AH663" s="37" t="s">
        <v>1984</v>
      </c>
      <c r="AI663" s="309"/>
      <c r="AJ663" s="309"/>
      <c r="AK663" s="37" t="s">
        <v>37</v>
      </c>
      <c r="AL663" s="37" t="s">
        <v>39</v>
      </c>
      <c r="AM663" s="299">
        <f t="shared" ca="1" si="65"/>
        <v>3.0763888888905058</v>
      </c>
      <c r="AN663" s="51"/>
      <c r="AO663" s="61" t="s">
        <v>323</v>
      </c>
      <c r="AP663" s="91" t="s">
        <v>1985</v>
      </c>
      <c r="AQ663" s="59" t="s">
        <v>2185</v>
      </c>
      <c r="AR663" s="64">
        <v>44887.711805555555</v>
      </c>
      <c r="AS663" s="61" t="s">
        <v>483</v>
      </c>
      <c r="AT663" s="61" t="s">
        <v>65</v>
      </c>
      <c r="AU663" s="63">
        <v>0.71180555555555547</v>
      </c>
      <c r="AV663" s="61">
        <v>1</v>
      </c>
      <c r="AW663" s="61" t="s">
        <v>66</v>
      </c>
      <c r="AX663" s="52"/>
      <c r="AY663" s="52"/>
      <c r="AZ663" s="52"/>
      <c r="BA663" s="52"/>
    </row>
    <row r="664" spans="1:53" x14ac:dyDescent="0.25">
      <c r="A664" s="48">
        <v>382</v>
      </c>
      <c r="B664" s="72">
        <v>44884.708333333336</v>
      </c>
      <c r="C664" s="36">
        <v>0.71527777777777779</v>
      </c>
      <c r="D664" s="36">
        <v>0.72222222222222221</v>
      </c>
      <c r="E664" s="36">
        <v>0.73263888888888884</v>
      </c>
      <c r="F664" s="37" t="s">
        <v>170</v>
      </c>
      <c r="G664" s="37" t="s">
        <v>1986</v>
      </c>
      <c r="H664" s="26" t="s">
        <v>46</v>
      </c>
      <c r="I664" s="26" t="s">
        <v>162</v>
      </c>
      <c r="J664" s="26" t="s">
        <v>41</v>
      </c>
      <c r="K664" s="26" t="s">
        <v>63</v>
      </c>
      <c r="L664" s="26" t="s">
        <v>214</v>
      </c>
      <c r="M664" s="37" t="s">
        <v>2002</v>
      </c>
      <c r="N664" s="60" t="s">
        <v>159</v>
      </c>
      <c r="O664" s="37" t="s">
        <v>1987</v>
      </c>
      <c r="P664" s="37" t="s">
        <v>1988</v>
      </c>
      <c r="Q664" s="303">
        <f t="shared" si="66"/>
        <v>3</v>
      </c>
      <c r="R664" s="303">
        <f t="shared" si="67"/>
        <v>990</v>
      </c>
      <c r="S664" s="37">
        <v>0</v>
      </c>
      <c r="T664" s="37">
        <v>0</v>
      </c>
      <c r="U664" s="37">
        <v>3</v>
      </c>
      <c r="V664" s="37">
        <f>637+127+226</f>
        <v>990</v>
      </c>
      <c r="W664" s="37">
        <v>1003</v>
      </c>
      <c r="X664" s="37">
        <v>105</v>
      </c>
      <c r="Y664" s="37">
        <v>72</v>
      </c>
      <c r="Z664" s="37">
        <v>68</v>
      </c>
      <c r="AA664" s="37">
        <v>1</v>
      </c>
      <c r="AB664" s="300">
        <f t="shared" si="68"/>
        <v>85.68</v>
      </c>
      <c r="AC664" s="300">
        <f t="shared" si="69"/>
        <v>0.516144578313253</v>
      </c>
      <c r="AD664" s="37" t="s">
        <v>48</v>
      </c>
      <c r="AE664" s="37" t="s">
        <v>48</v>
      </c>
      <c r="AF664" s="37" t="s">
        <v>317</v>
      </c>
      <c r="AG664" s="37" t="s">
        <v>317</v>
      </c>
      <c r="AH664" s="37" t="s">
        <v>1989</v>
      </c>
      <c r="AI664" s="309"/>
      <c r="AJ664" s="309"/>
      <c r="AK664" s="37" t="s">
        <v>41</v>
      </c>
      <c r="AL664" s="37" t="s">
        <v>49</v>
      </c>
      <c r="AM664" s="299">
        <f t="shared" ca="1" si="65"/>
        <v>1.84375</v>
      </c>
      <c r="AN664" s="51"/>
      <c r="AO664" s="61" t="s">
        <v>159</v>
      </c>
      <c r="AP664" s="62" t="s">
        <v>2002</v>
      </c>
      <c r="AQ664" s="61" t="s">
        <v>2045</v>
      </c>
      <c r="AR664" s="64">
        <v>44886.552083333336</v>
      </c>
      <c r="AS664" s="57" t="s">
        <v>117</v>
      </c>
      <c r="AT664" s="61" t="s">
        <v>225</v>
      </c>
      <c r="AU664" s="63">
        <v>0.55208333333333337</v>
      </c>
      <c r="AV664" s="61">
        <v>1</v>
      </c>
      <c r="AW664" s="61" t="s">
        <v>66</v>
      </c>
      <c r="AX664" s="52"/>
      <c r="AY664" s="52"/>
      <c r="AZ664" s="52"/>
      <c r="BA664" s="52"/>
    </row>
    <row r="665" spans="1:53" x14ac:dyDescent="0.25">
      <c r="A665" s="73">
        <v>382</v>
      </c>
      <c r="B665" s="72">
        <v>44884.708333333336</v>
      </c>
      <c r="C665" s="67">
        <v>0.71527777777777779</v>
      </c>
      <c r="D665" s="67">
        <v>0.72222222222222221</v>
      </c>
      <c r="E665" s="67">
        <v>0.73263888888888884</v>
      </c>
      <c r="F665" s="68" t="s">
        <v>170</v>
      </c>
      <c r="G665" s="68" t="s">
        <v>1986</v>
      </c>
      <c r="H665" s="60" t="s">
        <v>46</v>
      </c>
      <c r="I665" s="60" t="s">
        <v>162</v>
      </c>
      <c r="J665" s="60" t="s">
        <v>41</v>
      </c>
      <c r="K665" s="60" t="s">
        <v>63</v>
      </c>
      <c r="L665" s="60" t="s">
        <v>214</v>
      </c>
      <c r="M665" s="68" t="s">
        <v>2002</v>
      </c>
      <c r="N665" s="60" t="s">
        <v>159</v>
      </c>
      <c r="O665" s="68" t="s">
        <v>1987</v>
      </c>
      <c r="P665" s="68" t="s">
        <v>1988</v>
      </c>
      <c r="Q665" s="303">
        <f t="shared" si="66"/>
        <v>0</v>
      </c>
      <c r="R665" s="303">
        <f t="shared" si="67"/>
        <v>0</v>
      </c>
      <c r="S665" s="68">
        <v>0</v>
      </c>
      <c r="T665" s="68">
        <v>0</v>
      </c>
      <c r="U665" s="68">
        <v>0</v>
      </c>
      <c r="V665" s="68">
        <v>0</v>
      </c>
      <c r="W665" s="68">
        <v>0</v>
      </c>
      <c r="X665" s="37">
        <v>81</v>
      </c>
      <c r="Y665" s="37">
        <v>44</v>
      </c>
      <c r="Z665" s="37">
        <v>47</v>
      </c>
      <c r="AA665" s="37">
        <v>1</v>
      </c>
      <c r="AB665" s="300">
        <f t="shared" si="68"/>
        <v>27.917999999999999</v>
      </c>
      <c r="AC665" s="300">
        <f t="shared" si="69"/>
        <v>0.16818072289156627</v>
      </c>
      <c r="AD665" s="68">
        <v>0</v>
      </c>
      <c r="AE665" s="68">
        <v>0</v>
      </c>
      <c r="AF665" s="68">
        <v>0</v>
      </c>
      <c r="AG665" s="68">
        <v>0</v>
      </c>
      <c r="AH665" s="37">
        <v>0</v>
      </c>
      <c r="AI665" s="309"/>
      <c r="AJ665" s="309"/>
      <c r="AK665" s="68" t="s">
        <v>41</v>
      </c>
      <c r="AL665" s="68" t="s">
        <v>49</v>
      </c>
      <c r="AM665" s="299">
        <f t="shared" ca="1" si="65"/>
        <v>1.84375</v>
      </c>
      <c r="AN665" s="51"/>
      <c r="AO665" s="61" t="s">
        <v>159</v>
      </c>
      <c r="AP665" s="62" t="s">
        <v>2002</v>
      </c>
      <c r="AQ665" s="61" t="s">
        <v>2045</v>
      </c>
      <c r="AR665" s="64">
        <v>44886.552083333336</v>
      </c>
      <c r="AS665" s="57" t="s">
        <v>117</v>
      </c>
      <c r="AT665" s="61" t="s">
        <v>225</v>
      </c>
      <c r="AU665" s="63">
        <v>0.55208333333333337</v>
      </c>
      <c r="AV665" s="61">
        <v>1</v>
      </c>
      <c r="AW665" s="61" t="s">
        <v>66</v>
      </c>
      <c r="AX665" s="52"/>
      <c r="AY665" s="52"/>
      <c r="AZ665" s="52"/>
      <c r="BA665" s="52"/>
    </row>
    <row r="666" spans="1:53" x14ac:dyDescent="0.25">
      <c r="A666" s="73">
        <v>382</v>
      </c>
      <c r="B666" s="72">
        <v>44884.708333333336</v>
      </c>
      <c r="C666" s="67">
        <v>0.71527777777777779</v>
      </c>
      <c r="D666" s="67">
        <v>0.72222222222222221</v>
      </c>
      <c r="E666" s="67">
        <v>0.73263888888888884</v>
      </c>
      <c r="F666" s="68" t="s">
        <v>170</v>
      </c>
      <c r="G666" s="68" t="s">
        <v>1986</v>
      </c>
      <c r="H666" s="60" t="s">
        <v>46</v>
      </c>
      <c r="I666" s="60" t="s">
        <v>162</v>
      </c>
      <c r="J666" s="60" t="s">
        <v>41</v>
      </c>
      <c r="K666" s="60" t="s">
        <v>63</v>
      </c>
      <c r="L666" s="60" t="s">
        <v>214</v>
      </c>
      <c r="M666" s="68" t="s">
        <v>2002</v>
      </c>
      <c r="N666" s="60" t="s">
        <v>159</v>
      </c>
      <c r="O666" s="68" t="s">
        <v>1987</v>
      </c>
      <c r="P666" s="68" t="s">
        <v>1988</v>
      </c>
      <c r="Q666" s="303">
        <f t="shared" si="66"/>
        <v>0</v>
      </c>
      <c r="R666" s="303">
        <f t="shared" si="67"/>
        <v>0</v>
      </c>
      <c r="S666" s="68">
        <v>0</v>
      </c>
      <c r="T666" s="68">
        <v>0</v>
      </c>
      <c r="U666" s="68">
        <v>0</v>
      </c>
      <c r="V666" s="68">
        <v>0</v>
      </c>
      <c r="W666" s="68">
        <v>0</v>
      </c>
      <c r="X666" s="37">
        <v>75</v>
      </c>
      <c r="Y666" s="37">
        <v>74</v>
      </c>
      <c r="Z666" s="37">
        <v>58</v>
      </c>
      <c r="AA666" s="37">
        <v>1</v>
      </c>
      <c r="AB666" s="300">
        <f t="shared" si="68"/>
        <v>53.65</v>
      </c>
      <c r="AC666" s="300">
        <f t="shared" si="69"/>
        <v>0.32319277108433736</v>
      </c>
      <c r="AD666" s="68">
        <v>0</v>
      </c>
      <c r="AE666" s="68">
        <v>0</v>
      </c>
      <c r="AF666" s="68">
        <v>0</v>
      </c>
      <c r="AG666" s="68">
        <v>0</v>
      </c>
      <c r="AH666" s="68">
        <v>0</v>
      </c>
      <c r="AI666" s="309"/>
      <c r="AJ666" s="309"/>
      <c r="AK666" s="68" t="s">
        <v>41</v>
      </c>
      <c r="AL666" s="68" t="s">
        <v>49</v>
      </c>
      <c r="AM666" s="299">
        <f t="shared" ca="1" si="65"/>
        <v>1.84375</v>
      </c>
      <c r="AN666" s="51"/>
      <c r="AO666" s="61" t="s">
        <v>159</v>
      </c>
      <c r="AP666" s="62" t="s">
        <v>2002</v>
      </c>
      <c r="AQ666" s="61" t="s">
        <v>2045</v>
      </c>
      <c r="AR666" s="64">
        <v>44886.552083333336</v>
      </c>
      <c r="AS666" s="57" t="s">
        <v>117</v>
      </c>
      <c r="AT666" s="61" t="s">
        <v>225</v>
      </c>
      <c r="AU666" s="63">
        <v>0.55208333333333337</v>
      </c>
      <c r="AV666" s="61">
        <v>1</v>
      </c>
      <c r="AW666" s="61" t="s">
        <v>66</v>
      </c>
      <c r="AX666" s="52"/>
      <c r="AY666" s="52"/>
      <c r="AZ666" s="52"/>
      <c r="BA666" s="52"/>
    </row>
    <row r="667" spans="1:53" x14ac:dyDescent="0.25">
      <c r="A667" s="48">
        <v>383</v>
      </c>
      <c r="B667" s="72">
        <v>44884.708333333336</v>
      </c>
      <c r="C667" s="67">
        <v>0.71527777777777779</v>
      </c>
      <c r="D667" s="67">
        <v>0.72222222222222221</v>
      </c>
      <c r="E667" s="67">
        <v>0.73263888888888884</v>
      </c>
      <c r="F667" s="68" t="s">
        <v>170</v>
      </c>
      <c r="G667" s="68" t="s">
        <v>1986</v>
      </c>
      <c r="H667" s="60" t="s">
        <v>46</v>
      </c>
      <c r="I667" s="26" t="s">
        <v>71</v>
      </c>
      <c r="J667" s="60" t="s">
        <v>41</v>
      </c>
      <c r="K667" s="60" t="s">
        <v>63</v>
      </c>
      <c r="L667" s="60" t="s">
        <v>214</v>
      </c>
      <c r="M667" s="37" t="s">
        <v>2001</v>
      </c>
      <c r="N667" s="37" t="s">
        <v>72</v>
      </c>
      <c r="O667" s="37" t="s">
        <v>1990</v>
      </c>
      <c r="P667" s="37">
        <v>5367</v>
      </c>
      <c r="Q667" s="303">
        <f t="shared" si="66"/>
        <v>1</v>
      </c>
      <c r="R667" s="303">
        <f t="shared" si="67"/>
        <v>97</v>
      </c>
      <c r="S667" s="37">
        <v>0</v>
      </c>
      <c r="T667" s="37">
        <v>0</v>
      </c>
      <c r="U667" s="37">
        <v>1</v>
      </c>
      <c r="V667" s="37">
        <v>97</v>
      </c>
      <c r="W667" s="37">
        <v>93</v>
      </c>
      <c r="X667" s="37">
        <v>69</v>
      </c>
      <c r="Y667" s="37">
        <v>39</v>
      </c>
      <c r="Z667" s="37">
        <v>48</v>
      </c>
      <c r="AA667" s="37">
        <v>1</v>
      </c>
      <c r="AB667" s="300">
        <f t="shared" si="68"/>
        <v>21.527999999999999</v>
      </c>
      <c r="AC667" s="300">
        <f t="shared" si="69"/>
        <v>0.1296867469879518</v>
      </c>
      <c r="AD667" s="37" t="s">
        <v>48</v>
      </c>
      <c r="AE667" s="37" t="s">
        <v>48</v>
      </c>
      <c r="AF667" s="37" t="s">
        <v>317</v>
      </c>
      <c r="AG667" s="37" t="s">
        <v>317</v>
      </c>
      <c r="AH667" s="37" t="s">
        <v>1991</v>
      </c>
      <c r="AI667" s="309"/>
      <c r="AJ667" s="309"/>
      <c r="AK667" s="68" t="s">
        <v>41</v>
      </c>
      <c r="AL667" s="68" t="s">
        <v>49</v>
      </c>
      <c r="AM667" s="299">
        <f t="shared" ca="1" si="65"/>
        <v>3.84375</v>
      </c>
      <c r="AN667" s="51"/>
      <c r="AO667" s="61" t="s">
        <v>72</v>
      </c>
      <c r="AP667" s="91" t="s">
        <v>2001</v>
      </c>
      <c r="AQ667" s="59" t="s">
        <v>2263</v>
      </c>
      <c r="AR667" s="64">
        <v>44888.552083333336</v>
      </c>
      <c r="AS667" s="57" t="s">
        <v>117</v>
      </c>
      <c r="AT667" s="61" t="s">
        <v>225</v>
      </c>
      <c r="AU667" s="63">
        <v>0.55208333333333337</v>
      </c>
      <c r="AV667" s="61">
        <v>1</v>
      </c>
      <c r="AW667" s="61" t="s">
        <v>66</v>
      </c>
      <c r="AX667" s="52"/>
      <c r="AY667" s="52"/>
      <c r="AZ667" s="52"/>
      <c r="BA667" s="52"/>
    </row>
    <row r="668" spans="1:53" x14ac:dyDescent="0.25">
      <c r="A668" s="48">
        <v>384</v>
      </c>
      <c r="B668" s="72">
        <v>44884.708333333336</v>
      </c>
      <c r="C668" s="67">
        <v>0.71527777777777779</v>
      </c>
      <c r="D668" s="67">
        <v>0.72222222222222221</v>
      </c>
      <c r="E668" s="67">
        <v>0.73263888888888884</v>
      </c>
      <c r="F668" s="68" t="s">
        <v>170</v>
      </c>
      <c r="G668" s="68" t="s">
        <v>1986</v>
      </c>
      <c r="H668" s="26" t="s">
        <v>356</v>
      </c>
      <c r="I668" s="26" t="s">
        <v>40</v>
      </c>
      <c r="J668" s="60" t="s">
        <v>41</v>
      </c>
      <c r="K668" s="60" t="s">
        <v>63</v>
      </c>
      <c r="L668" s="26" t="s">
        <v>206</v>
      </c>
      <c r="M668" s="37" t="s">
        <v>2004</v>
      </c>
      <c r="N668" s="37" t="s">
        <v>42</v>
      </c>
      <c r="O668" s="37">
        <v>8275002223</v>
      </c>
      <c r="P668" s="37">
        <v>4400013271</v>
      </c>
      <c r="Q668" s="303">
        <f t="shared" si="66"/>
        <v>2</v>
      </c>
      <c r="R668" s="303">
        <f t="shared" si="67"/>
        <v>270</v>
      </c>
      <c r="S668" s="37">
        <v>0</v>
      </c>
      <c r="T668" s="37">
        <v>0</v>
      </c>
      <c r="U668" s="37">
        <v>2</v>
      </c>
      <c r="V668" s="37">
        <f>57+213</f>
        <v>270</v>
      </c>
      <c r="W668" s="37">
        <v>256</v>
      </c>
      <c r="X668" s="37">
        <v>141</v>
      </c>
      <c r="Y668" s="37">
        <v>39</v>
      </c>
      <c r="Z668" s="37">
        <v>62</v>
      </c>
      <c r="AA668" s="37">
        <v>1</v>
      </c>
      <c r="AB668" s="300">
        <f t="shared" si="68"/>
        <v>56.823</v>
      </c>
      <c r="AC668" s="300">
        <f t="shared" si="69"/>
        <v>0.34230722891566268</v>
      </c>
      <c r="AD668" s="37">
        <v>3678</v>
      </c>
      <c r="AE668" s="37" t="s">
        <v>109</v>
      </c>
      <c r="AF668" s="37" t="s">
        <v>317</v>
      </c>
      <c r="AG668" s="37" t="s">
        <v>317</v>
      </c>
      <c r="AH668" s="37" t="s">
        <v>1992</v>
      </c>
      <c r="AI668" s="309"/>
      <c r="AJ668" s="309"/>
      <c r="AK668" s="37" t="s">
        <v>37</v>
      </c>
      <c r="AL668" s="68" t="s">
        <v>49</v>
      </c>
      <c r="AM668" s="299">
        <f t="shared" ca="1" si="65"/>
        <v>1.84375</v>
      </c>
      <c r="AN668" s="51"/>
      <c r="AO668" s="61" t="s">
        <v>120</v>
      </c>
      <c r="AP668" s="62" t="s">
        <v>2004</v>
      </c>
      <c r="AQ668" s="61" t="s">
        <v>2046</v>
      </c>
      <c r="AR668" s="64">
        <v>44886.552083333336</v>
      </c>
      <c r="AS668" s="57" t="s">
        <v>117</v>
      </c>
      <c r="AT668" s="61" t="s">
        <v>225</v>
      </c>
      <c r="AU668" s="63">
        <v>0.55208333333333337</v>
      </c>
      <c r="AV668" s="61">
        <v>1</v>
      </c>
      <c r="AW668" s="61" t="s">
        <v>66</v>
      </c>
      <c r="AX668" s="52"/>
      <c r="AY668" s="52"/>
      <c r="AZ668" s="52"/>
      <c r="BA668" s="52"/>
    </row>
    <row r="669" spans="1:53" x14ac:dyDescent="0.25">
      <c r="A669" s="73">
        <v>384</v>
      </c>
      <c r="B669" s="72">
        <v>44884.708333333336</v>
      </c>
      <c r="C669" s="67">
        <v>0.71527777777777779</v>
      </c>
      <c r="D669" s="67">
        <v>0.72222222222222221</v>
      </c>
      <c r="E669" s="67">
        <v>0.73263888888888884</v>
      </c>
      <c r="F669" s="68" t="s">
        <v>170</v>
      </c>
      <c r="G669" s="68" t="s">
        <v>1986</v>
      </c>
      <c r="H669" s="60" t="s">
        <v>356</v>
      </c>
      <c r="I669" s="60" t="s">
        <v>40</v>
      </c>
      <c r="J669" s="60" t="s">
        <v>41</v>
      </c>
      <c r="K669" s="60" t="s">
        <v>63</v>
      </c>
      <c r="L669" s="60" t="s">
        <v>206</v>
      </c>
      <c r="M669" s="68" t="s">
        <v>2004</v>
      </c>
      <c r="N669" s="68" t="s">
        <v>42</v>
      </c>
      <c r="O669" s="68">
        <v>8275002223</v>
      </c>
      <c r="P669" s="68">
        <v>4400013271</v>
      </c>
      <c r="Q669" s="303">
        <f t="shared" si="66"/>
        <v>0</v>
      </c>
      <c r="R669" s="303">
        <f t="shared" si="67"/>
        <v>0</v>
      </c>
      <c r="S669" s="68">
        <v>0</v>
      </c>
      <c r="T669" s="68">
        <v>0</v>
      </c>
      <c r="U669" s="68">
        <v>0</v>
      </c>
      <c r="V669" s="68">
        <v>0</v>
      </c>
      <c r="W669" s="68">
        <v>0</v>
      </c>
      <c r="X669" s="68">
        <v>79</v>
      </c>
      <c r="Y669" s="68">
        <v>44</v>
      </c>
      <c r="Z669" s="68">
        <v>44</v>
      </c>
      <c r="AA669" s="68">
        <v>1</v>
      </c>
      <c r="AB669" s="300">
        <f t="shared" si="68"/>
        <v>25.490666666666666</v>
      </c>
      <c r="AC669" s="300">
        <f t="shared" si="69"/>
        <v>0.15355823293172691</v>
      </c>
      <c r="AD669" s="68">
        <v>3678.89</v>
      </c>
      <c r="AE669" s="68" t="s">
        <v>109</v>
      </c>
      <c r="AF669" s="68" t="s">
        <v>317</v>
      </c>
      <c r="AG669" s="68" t="s">
        <v>317</v>
      </c>
      <c r="AH669" s="68">
        <v>0</v>
      </c>
      <c r="AI669" s="309"/>
      <c r="AJ669" s="309"/>
      <c r="AK669" s="68" t="s">
        <v>37</v>
      </c>
      <c r="AL669" s="68" t="s">
        <v>49</v>
      </c>
      <c r="AM669" s="299">
        <f t="shared" ca="1" si="65"/>
        <v>1.84375</v>
      </c>
      <c r="AN669" s="75"/>
      <c r="AO669" s="61" t="s">
        <v>120</v>
      </c>
      <c r="AP669" s="62" t="s">
        <v>2004</v>
      </c>
      <c r="AQ669" s="61" t="s">
        <v>2046</v>
      </c>
      <c r="AR669" s="64">
        <v>44886.552083333336</v>
      </c>
      <c r="AS669" s="57" t="s">
        <v>117</v>
      </c>
      <c r="AT669" s="61" t="s">
        <v>225</v>
      </c>
      <c r="AU669" s="63">
        <v>0.55208333333333337</v>
      </c>
      <c r="AV669" s="61">
        <v>1</v>
      </c>
      <c r="AW669" s="61" t="s">
        <v>66</v>
      </c>
      <c r="AX669" s="76"/>
      <c r="AY669" s="76"/>
      <c r="AZ669" s="76"/>
      <c r="BA669" s="76"/>
    </row>
    <row r="670" spans="1:53" x14ac:dyDescent="0.25">
      <c r="A670" s="48">
        <v>385</v>
      </c>
      <c r="B670" s="72">
        <v>44884.708333333336</v>
      </c>
      <c r="C670" s="67">
        <v>0.71527777777777779</v>
      </c>
      <c r="D670" s="67">
        <v>0.72222222222222221</v>
      </c>
      <c r="E670" s="67">
        <v>0.73263888888888884</v>
      </c>
      <c r="F670" s="68" t="s">
        <v>170</v>
      </c>
      <c r="G670" s="68" t="s">
        <v>1986</v>
      </c>
      <c r="H670" s="60" t="s">
        <v>356</v>
      </c>
      <c r="I670" s="60" t="s">
        <v>40</v>
      </c>
      <c r="J670" s="60" t="s">
        <v>41</v>
      </c>
      <c r="K670" s="60" t="s">
        <v>63</v>
      </c>
      <c r="L670" s="60" t="s">
        <v>206</v>
      </c>
      <c r="M670" s="68" t="s">
        <v>2003</v>
      </c>
      <c r="N670" s="68" t="s">
        <v>42</v>
      </c>
      <c r="O670" s="37">
        <v>8275002222</v>
      </c>
      <c r="P670" s="37">
        <v>4513551638</v>
      </c>
      <c r="Q670" s="303">
        <f t="shared" si="66"/>
        <v>1</v>
      </c>
      <c r="R670" s="303">
        <f t="shared" si="67"/>
        <v>79</v>
      </c>
      <c r="S670" s="37">
        <v>0</v>
      </c>
      <c r="T670" s="37">
        <v>0</v>
      </c>
      <c r="U670" s="37">
        <v>1</v>
      </c>
      <c r="V670" s="37">
        <v>79</v>
      </c>
      <c r="W670" s="37">
        <v>76</v>
      </c>
      <c r="X670" s="37">
        <v>97</v>
      </c>
      <c r="Y670" s="37">
        <v>51</v>
      </c>
      <c r="Z670" s="37">
        <v>47</v>
      </c>
      <c r="AA670" s="37">
        <v>1</v>
      </c>
      <c r="AB670" s="300">
        <f t="shared" si="68"/>
        <v>38.7515</v>
      </c>
      <c r="AC670" s="300">
        <f t="shared" si="69"/>
        <v>0.23344277108433734</v>
      </c>
      <c r="AD670" s="37">
        <v>408</v>
      </c>
      <c r="AE670" s="37" t="s">
        <v>109</v>
      </c>
      <c r="AF670" s="68" t="s">
        <v>317</v>
      </c>
      <c r="AG670" s="68" t="s">
        <v>317</v>
      </c>
      <c r="AH670" s="37" t="s">
        <v>1993</v>
      </c>
      <c r="AI670" s="309"/>
      <c r="AJ670" s="309"/>
      <c r="AK670" s="68" t="s">
        <v>37</v>
      </c>
      <c r="AL670" s="68" t="s">
        <v>49</v>
      </c>
      <c r="AM670" s="299">
        <f t="shared" ca="1" si="65"/>
        <v>1.84375</v>
      </c>
      <c r="AN670" s="51"/>
      <c r="AO670" s="61" t="s">
        <v>120</v>
      </c>
      <c r="AP670" s="62" t="s">
        <v>2003</v>
      </c>
      <c r="AQ670" s="61" t="s">
        <v>2046</v>
      </c>
      <c r="AR670" s="64">
        <v>44886.552083333336</v>
      </c>
      <c r="AS670" s="57" t="s">
        <v>117</v>
      </c>
      <c r="AT670" s="61" t="s">
        <v>225</v>
      </c>
      <c r="AU670" s="63">
        <v>0.55208333333333337</v>
      </c>
      <c r="AV670" s="61">
        <v>1</v>
      </c>
      <c r="AW670" s="61" t="s">
        <v>66</v>
      </c>
      <c r="AX670" s="52"/>
      <c r="AY670" s="52"/>
      <c r="AZ670" s="52"/>
      <c r="BA670" s="52"/>
    </row>
    <row r="671" spans="1:53" x14ac:dyDescent="0.25">
      <c r="A671" s="48">
        <v>386</v>
      </c>
      <c r="B671" s="72">
        <v>44884.708333333336</v>
      </c>
      <c r="C671" s="67">
        <v>0.71527777777777779</v>
      </c>
      <c r="D671" s="67">
        <v>0.72222222222222221</v>
      </c>
      <c r="E671" s="67">
        <v>0.73263888888888884</v>
      </c>
      <c r="F671" s="68" t="s">
        <v>170</v>
      </c>
      <c r="G671" s="68" t="s">
        <v>1986</v>
      </c>
      <c r="H671" s="26" t="s">
        <v>55</v>
      </c>
      <c r="I671" s="26" t="s">
        <v>92</v>
      </c>
      <c r="J671" s="26" t="s">
        <v>37</v>
      </c>
      <c r="K671" s="60" t="s">
        <v>63</v>
      </c>
      <c r="L671" s="26" t="s">
        <v>216</v>
      </c>
      <c r="M671" s="37" t="s">
        <v>2005</v>
      </c>
      <c r="N671" s="37" t="s">
        <v>42</v>
      </c>
      <c r="O671" s="37">
        <v>92200801</v>
      </c>
      <c r="P671" s="37">
        <v>5051968301</v>
      </c>
      <c r="Q671" s="303">
        <f t="shared" si="66"/>
        <v>1</v>
      </c>
      <c r="R671" s="303">
        <f t="shared" si="67"/>
        <v>342</v>
      </c>
      <c r="S671" s="37">
        <v>0</v>
      </c>
      <c r="T671" s="37">
        <v>0</v>
      </c>
      <c r="U671" s="37">
        <v>1</v>
      </c>
      <c r="V671" s="37">
        <v>342</v>
      </c>
      <c r="W671" s="37">
        <v>333</v>
      </c>
      <c r="X671" s="37">
        <v>103</v>
      </c>
      <c r="Y671" s="37">
        <v>67</v>
      </c>
      <c r="Z671" s="37">
        <v>57</v>
      </c>
      <c r="AA671" s="37">
        <v>1</v>
      </c>
      <c r="AB671" s="300">
        <f t="shared" si="68"/>
        <v>65.5595</v>
      </c>
      <c r="AC671" s="300">
        <f t="shared" si="69"/>
        <v>0.39493674698795178</v>
      </c>
      <c r="AD671" s="37">
        <v>6148</v>
      </c>
      <c r="AE671" s="37" t="s">
        <v>109</v>
      </c>
      <c r="AF671" s="37" t="s">
        <v>317</v>
      </c>
      <c r="AG671" s="37" t="s">
        <v>317</v>
      </c>
      <c r="AH671" s="37" t="s">
        <v>1994</v>
      </c>
      <c r="AI671" s="309"/>
      <c r="AJ671" s="309"/>
      <c r="AK671" s="68" t="s">
        <v>37</v>
      </c>
      <c r="AL671" s="68" t="s">
        <v>49</v>
      </c>
      <c r="AM671" s="299">
        <f t="shared" ca="1" si="65"/>
        <v>1.84375</v>
      </c>
      <c r="AN671" s="51"/>
      <c r="AO671" s="61" t="s">
        <v>120</v>
      </c>
      <c r="AP671" s="62" t="s">
        <v>2005</v>
      </c>
      <c r="AQ671" s="61" t="s">
        <v>2046</v>
      </c>
      <c r="AR671" s="64">
        <v>44886.552083333336</v>
      </c>
      <c r="AS671" s="57" t="s">
        <v>117</v>
      </c>
      <c r="AT671" s="61" t="s">
        <v>225</v>
      </c>
      <c r="AU671" s="63">
        <v>0.55208333333333337</v>
      </c>
      <c r="AV671" s="61">
        <v>1</v>
      </c>
      <c r="AW671" s="61" t="s">
        <v>66</v>
      </c>
      <c r="AX671" s="52"/>
      <c r="AY671" s="52"/>
      <c r="AZ671" s="52"/>
      <c r="BA671" s="52"/>
    </row>
    <row r="672" spans="1:53" x14ac:dyDescent="0.25">
      <c r="A672" s="48">
        <v>387</v>
      </c>
      <c r="B672" s="72">
        <v>44884.708333333336</v>
      </c>
      <c r="C672" s="67">
        <v>0.71527777777777779</v>
      </c>
      <c r="D672" s="67">
        <v>0.72222222222222221</v>
      </c>
      <c r="E672" s="67">
        <v>0.73263888888888884</v>
      </c>
      <c r="F672" s="68" t="s">
        <v>170</v>
      </c>
      <c r="G672" s="68" t="s">
        <v>1986</v>
      </c>
      <c r="H672" s="26" t="s">
        <v>187</v>
      </c>
      <c r="I672" s="26" t="s">
        <v>110</v>
      </c>
      <c r="J672" s="60" t="s">
        <v>37</v>
      </c>
      <c r="K672" s="26" t="s">
        <v>63</v>
      </c>
      <c r="L672" s="26" t="s">
        <v>212</v>
      </c>
      <c r="M672" s="37" t="s">
        <v>2007</v>
      </c>
      <c r="N672" s="37" t="s">
        <v>186</v>
      </c>
      <c r="O672" s="37">
        <v>21222231534</v>
      </c>
      <c r="P672" s="37">
        <v>5051999704</v>
      </c>
      <c r="Q672" s="303">
        <f t="shared" si="66"/>
        <v>1</v>
      </c>
      <c r="R672" s="303">
        <f t="shared" si="67"/>
        <v>70</v>
      </c>
      <c r="S672" s="37">
        <v>0</v>
      </c>
      <c r="T672" s="37">
        <v>0</v>
      </c>
      <c r="U672" s="37">
        <v>1</v>
      </c>
      <c r="V672" s="37">
        <v>70</v>
      </c>
      <c r="W672" s="37">
        <v>81</v>
      </c>
      <c r="X672" s="37">
        <v>83</v>
      </c>
      <c r="Y672" s="37">
        <v>56</v>
      </c>
      <c r="Z672" s="37">
        <v>45</v>
      </c>
      <c r="AA672" s="37">
        <v>1</v>
      </c>
      <c r="AB672" s="300">
        <f t="shared" si="68"/>
        <v>34.86</v>
      </c>
      <c r="AC672" s="300">
        <f t="shared" si="69"/>
        <v>0.21</v>
      </c>
      <c r="AD672" s="37">
        <v>308</v>
      </c>
      <c r="AE672" s="37" t="s">
        <v>109</v>
      </c>
      <c r="AF672" s="68" t="s">
        <v>317</v>
      </c>
      <c r="AG672" s="68" t="s">
        <v>317</v>
      </c>
      <c r="AH672" s="37" t="s">
        <v>1995</v>
      </c>
      <c r="AI672" s="309"/>
      <c r="AJ672" s="309"/>
      <c r="AK672" s="37" t="s">
        <v>41</v>
      </c>
      <c r="AL672" s="37" t="s">
        <v>49</v>
      </c>
      <c r="AM672" s="299">
        <f t="shared" ca="1" si="65"/>
        <v>2.84375</v>
      </c>
      <c r="AN672" s="51"/>
      <c r="AO672" s="61" t="s">
        <v>131</v>
      </c>
      <c r="AP672" s="62" t="s">
        <v>2007</v>
      </c>
      <c r="AQ672" s="61" t="s">
        <v>2177</v>
      </c>
      <c r="AR672" s="64">
        <v>44887.552083333336</v>
      </c>
      <c r="AS672" s="61" t="s">
        <v>95</v>
      </c>
      <c r="AT672" s="61" t="s">
        <v>225</v>
      </c>
      <c r="AU672" s="59">
        <v>0.55208333333333337</v>
      </c>
      <c r="AV672" s="61">
        <v>1</v>
      </c>
      <c r="AW672" s="61" t="s">
        <v>66</v>
      </c>
      <c r="AX672" s="52"/>
      <c r="AY672" s="52"/>
      <c r="AZ672" s="52"/>
      <c r="BA672" s="52"/>
    </row>
    <row r="673" spans="1:54" x14ac:dyDescent="0.25">
      <c r="A673" s="48">
        <v>388</v>
      </c>
      <c r="B673" s="72">
        <v>44884.708333333336</v>
      </c>
      <c r="C673" s="67">
        <v>0.71527777777777779</v>
      </c>
      <c r="D673" s="67">
        <v>0.72222222222222221</v>
      </c>
      <c r="E673" s="67">
        <v>0.73263888888888884</v>
      </c>
      <c r="F673" s="68" t="s">
        <v>170</v>
      </c>
      <c r="G673" s="68" t="s">
        <v>1986</v>
      </c>
      <c r="H673" s="60" t="s">
        <v>187</v>
      </c>
      <c r="I673" s="60" t="s">
        <v>110</v>
      </c>
      <c r="J673" s="60" t="s">
        <v>37</v>
      </c>
      <c r="K673" s="60" t="s">
        <v>63</v>
      </c>
      <c r="L673" s="60" t="s">
        <v>212</v>
      </c>
      <c r="M673" s="68" t="s">
        <v>2007</v>
      </c>
      <c r="N673" s="68" t="s">
        <v>186</v>
      </c>
      <c r="O673" s="37">
        <v>21222231535</v>
      </c>
      <c r="P673" s="37">
        <v>5052000201</v>
      </c>
      <c r="Q673" s="303">
        <f t="shared" si="66"/>
        <v>1</v>
      </c>
      <c r="R673" s="303">
        <f t="shared" si="67"/>
        <v>36</v>
      </c>
      <c r="S673" s="37">
        <v>0</v>
      </c>
      <c r="T673" s="37">
        <v>0</v>
      </c>
      <c r="U673" s="37">
        <v>1</v>
      </c>
      <c r="V673" s="37">
        <v>36</v>
      </c>
      <c r="W673" s="37">
        <v>45</v>
      </c>
      <c r="X673" s="37">
        <v>55</v>
      </c>
      <c r="Y673" s="37">
        <v>39</v>
      </c>
      <c r="Z673" s="37">
        <v>41</v>
      </c>
      <c r="AA673" s="37">
        <v>1</v>
      </c>
      <c r="AB673" s="300">
        <f t="shared" si="68"/>
        <v>14.657500000000001</v>
      </c>
      <c r="AC673" s="300">
        <f t="shared" si="69"/>
        <v>8.8298192771084347E-2</v>
      </c>
      <c r="AD673" s="37">
        <v>255</v>
      </c>
      <c r="AE673" s="37" t="s">
        <v>109</v>
      </c>
      <c r="AF673" s="68" t="s">
        <v>317</v>
      </c>
      <c r="AG673" s="68" t="s">
        <v>317</v>
      </c>
      <c r="AH673" s="37" t="s">
        <v>1996</v>
      </c>
      <c r="AI673" s="309"/>
      <c r="AJ673" s="309"/>
      <c r="AK673" s="68" t="s">
        <v>41</v>
      </c>
      <c r="AL673" s="68" t="s">
        <v>49</v>
      </c>
      <c r="AM673" s="299">
        <f t="shared" ca="1" si="65"/>
        <v>2.84375</v>
      </c>
      <c r="AN673" s="51"/>
      <c r="AO673" s="61" t="s">
        <v>131</v>
      </c>
      <c r="AP673" s="62" t="s">
        <v>2007</v>
      </c>
      <c r="AQ673" s="61" t="s">
        <v>2177</v>
      </c>
      <c r="AR673" s="64">
        <v>44887.552083333336</v>
      </c>
      <c r="AS673" s="61" t="s">
        <v>95</v>
      </c>
      <c r="AT673" s="61" t="s">
        <v>225</v>
      </c>
      <c r="AU673" s="59">
        <v>0.55208333333333337</v>
      </c>
      <c r="AV673" s="61">
        <v>1</v>
      </c>
      <c r="AW673" s="61" t="s">
        <v>66</v>
      </c>
      <c r="AX673" s="52"/>
      <c r="AY673" s="52"/>
      <c r="AZ673" s="52"/>
      <c r="BA673" s="52"/>
    </row>
    <row r="674" spans="1:54" x14ac:dyDescent="0.25">
      <c r="A674" s="48">
        <v>389</v>
      </c>
      <c r="B674" s="72">
        <v>44884.708333333336</v>
      </c>
      <c r="C674" s="67">
        <v>0.71527777777777779</v>
      </c>
      <c r="D674" s="67">
        <v>0.72222222222222221</v>
      </c>
      <c r="E674" s="67">
        <v>0.73263888888888884</v>
      </c>
      <c r="F674" s="68" t="s">
        <v>170</v>
      </c>
      <c r="G674" s="68" t="s">
        <v>1986</v>
      </c>
      <c r="H674" s="60" t="s">
        <v>187</v>
      </c>
      <c r="I674" s="60" t="s">
        <v>110</v>
      </c>
      <c r="J674" s="60" t="s">
        <v>37</v>
      </c>
      <c r="K674" s="60" t="s">
        <v>63</v>
      </c>
      <c r="L674" s="60" t="s">
        <v>212</v>
      </c>
      <c r="M674" s="68" t="s">
        <v>2007</v>
      </c>
      <c r="N674" s="68" t="s">
        <v>186</v>
      </c>
      <c r="O674" s="37">
        <v>21222231533</v>
      </c>
      <c r="P674" s="37">
        <v>5051998064</v>
      </c>
      <c r="Q674" s="303">
        <f t="shared" si="66"/>
        <v>2</v>
      </c>
      <c r="R674" s="303">
        <f t="shared" si="67"/>
        <v>166</v>
      </c>
      <c r="S674" s="37">
        <v>0</v>
      </c>
      <c r="T674" s="37">
        <v>0</v>
      </c>
      <c r="U674" s="37">
        <v>2</v>
      </c>
      <c r="V674" s="37">
        <f>132+34</f>
        <v>166</v>
      </c>
      <c r="W674" s="37">
        <v>178</v>
      </c>
      <c r="X674" s="37">
        <v>93</v>
      </c>
      <c r="Y674" s="37">
        <v>56</v>
      </c>
      <c r="Z674" s="37">
        <v>64</v>
      </c>
      <c r="AA674" s="37">
        <v>1</v>
      </c>
      <c r="AB674" s="300">
        <f t="shared" si="68"/>
        <v>55.552</v>
      </c>
      <c r="AC674" s="300">
        <f t="shared" si="69"/>
        <v>0.33465060240963856</v>
      </c>
      <c r="AD674" s="37">
        <v>636</v>
      </c>
      <c r="AE674" s="68" t="s">
        <v>109</v>
      </c>
      <c r="AF674" s="68" t="s">
        <v>317</v>
      </c>
      <c r="AG674" s="68" t="s">
        <v>317</v>
      </c>
      <c r="AH674" s="37" t="s">
        <v>1997</v>
      </c>
      <c r="AI674" s="309"/>
      <c r="AJ674" s="309"/>
      <c r="AK674" s="68" t="s">
        <v>41</v>
      </c>
      <c r="AL674" s="68" t="s">
        <v>49</v>
      </c>
      <c r="AM674" s="299">
        <f t="shared" ca="1" si="65"/>
        <v>2.84375</v>
      </c>
      <c r="AN674" s="51"/>
      <c r="AO674" s="61" t="s">
        <v>131</v>
      </c>
      <c r="AP674" s="62" t="s">
        <v>2007</v>
      </c>
      <c r="AQ674" s="61" t="s">
        <v>2177</v>
      </c>
      <c r="AR674" s="64">
        <v>44887.552083333336</v>
      </c>
      <c r="AS674" s="61" t="s">
        <v>95</v>
      </c>
      <c r="AT674" s="61" t="s">
        <v>225</v>
      </c>
      <c r="AU674" s="59">
        <v>0.55208333333333337</v>
      </c>
      <c r="AV674" s="61">
        <v>1</v>
      </c>
      <c r="AW674" s="61" t="s">
        <v>66</v>
      </c>
      <c r="AX674" s="52"/>
      <c r="AY674" s="52"/>
      <c r="AZ674" s="52"/>
      <c r="BA674" s="52"/>
    </row>
    <row r="675" spans="1:54" x14ac:dyDescent="0.25">
      <c r="A675" s="73">
        <v>389</v>
      </c>
      <c r="B675" s="72">
        <v>44884.708333333336</v>
      </c>
      <c r="C675" s="67">
        <v>0.71527777777777779</v>
      </c>
      <c r="D675" s="67">
        <v>0.72222222222222221</v>
      </c>
      <c r="E675" s="67">
        <v>0.73263888888888884</v>
      </c>
      <c r="F675" s="68" t="s">
        <v>170</v>
      </c>
      <c r="G675" s="68" t="s">
        <v>1986</v>
      </c>
      <c r="H675" s="60" t="s">
        <v>187</v>
      </c>
      <c r="I675" s="60" t="s">
        <v>110</v>
      </c>
      <c r="J675" s="60" t="s">
        <v>37</v>
      </c>
      <c r="K675" s="60" t="s">
        <v>63</v>
      </c>
      <c r="L675" s="60" t="s">
        <v>212</v>
      </c>
      <c r="M675" s="68" t="s">
        <v>2007</v>
      </c>
      <c r="N675" s="68" t="s">
        <v>186</v>
      </c>
      <c r="O675" s="68">
        <v>21222231533</v>
      </c>
      <c r="P675" s="68">
        <v>5051998064</v>
      </c>
      <c r="Q675" s="303">
        <f t="shared" si="66"/>
        <v>0</v>
      </c>
      <c r="R675" s="303">
        <f t="shared" si="67"/>
        <v>0</v>
      </c>
      <c r="S675" s="37">
        <v>0</v>
      </c>
      <c r="T675" s="37">
        <v>0</v>
      </c>
      <c r="U675" s="37">
        <v>0</v>
      </c>
      <c r="V675" s="37">
        <v>0</v>
      </c>
      <c r="W675" s="37">
        <v>0</v>
      </c>
      <c r="X675" s="37">
        <v>56</v>
      </c>
      <c r="Y675" s="37">
        <v>39</v>
      </c>
      <c r="Z675" s="37">
        <v>40</v>
      </c>
      <c r="AA675" s="37">
        <v>1</v>
      </c>
      <c r="AB675" s="300">
        <f t="shared" si="68"/>
        <v>14.56</v>
      </c>
      <c r="AC675" s="300">
        <f t="shared" si="69"/>
        <v>8.7710843373493982E-2</v>
      </c>
      <c r="AD675" s="37">
        <v>0</v>
      </c>
      <c r="AE675" s="37">
        <v>0</v>
      </c>
      <c r="AF675" s="37">
        <v>0</v>
      </c>
      <c r="AG675" s="37">
        <v>0</v>
      </c>
      <c r="AH675" s="37">
        <v>0</v>
      </c>
      <c r="AI675" s="309"/>
      <c r="AJ675" s="309"/>
      <c r="AK675" s="68" t="s">
        <v>41</v>
      </c>
      <c r="AL675" s="68" t="s">
        <v>49</v>
      </c>
      <c r="AM675" s="299">
        <f t="shared" ca="1" si="65"/>
        <v>2.84375</v>
      </c>
      <c r="AN675" s="51"/>
      <c r="AO675" s="61" t="s">
        <v>131</v>
      </c>
      <c r="AP675" s="62" t="s">
        <v>2007</v>
      </c>
      <c r="AQ675" s="61" t="s">
        <v>2177</v>
      </c>
      <c r="AR675" s="64">
        <v>44887.552083333336</v>
      </c>
      <c r="AS675" s="61" t="s">
        <v>95</v>
      </c>
      <c r="AT675" s="61" t="s">
        <v>225</v>
      </c>
      <c r="AU675" s="59">
        <v>0.55208333333333337</v>
      </c>
      <c r="AV675" s="61">
        <v>1</v>
      </c>
      <c r="AW675" s="61" t="s">
        <v>66</v>
      </c>
      <c r="AX675" s="52"/>
      <c r="AY675" s="52"/>
      <c r="AZ675" s="52"/>
      <c r="BA675" s="52"/>
    </row>
    <row r="676" spans="1:54" x14ac:dyDescent="0.25">
      <c r="A676" s="48">
        <v>390</v>
      </c>
      <c r="B676" s="72">
        <v>44884.708333333336</v>
      </c>
      <c r="C676" s="67">
        <v>0.71527777777777779</v>
      </c>
      <c r="D676" s="67">
        <v>0.72222222222222221</v>
      </c>
      <c r="E676" s="67">
        <v>0.73263888888888884</v>
      </c>
      <c r="F676" s="68" t="s">
        <v>170</v>
      </c>
      <c r="G676" s="68" t="s">
        <v>1986</v>
      </c>
      <c r="H676" s="60" t="s">
        <v>187</v>
      </c>
      <c r="I676" s="60" t="s">
        <v>110</v>
      </c>
      <c r="J676" s="60" t="s">
        <v>37</v>
      </c>
      <c r="K676" s="60" t="s">
        <v>63</v>
      </c>
      <c r="L676" s="60" t="s">
        <v>212</v>
      </c>
      <c r="M676" s="68" t="s">
        <v>2007</v>
      </c>
      <c r="N676" s="68" t="s">
        <v>186</v>
      </c>
      <c r="O676" s="37">
        <v>21222231529</v>
      </c>
      <c r="P676" s="37">
        <v>5052003410</v>
      </c>
      <c r="Q676" s="303">
        <f t="shared" si="66"/>
        <v>1</v>
      </c>
      <c r="R676" s="303">
        <f t="shared" si="67"/>
        <v>106</v>
      </c>
      <c r="S676" s="37">
        <v>0</v>
      </c>
      <c r="T676" s="37">
        <v>0</v>
      </c>
      <c r="U676" s="37">
        <v>1</v>
      </c>
      <c r="V676" s="37">
        <v>106</v>
      </c>
      <c r="W676" s="37">
        <v>117</v>
      </c>
      <c r="X676" s="37">
        <v>99</v>
      </c>
      <c r="Y676" s="37">
        <v>81</v>
      </c>
      <c r="Z676" s="37">
        <v>47</v>
      </c>
      <c r="AA676" s="37">
        <v>1</v>
      </c>
      <c r="AB676" s="300">
        <f t="shared" si="68"/>
        <v>62.8155</v>
      </c>
      <c r="AC676" s="300">
        <f t="shared" si="69"/>
        <v>0.37840662650602408</v>
      </c>
      <c r="AD676" s="37">
        <v>440</v>
      </c>
      <c r="AE676" s="37" t="s">
        <v>109</v>
      </c>
      <c r="AF676" s="37" t="s">
        <v>317</v>
      </c>
      <c r="AG676" s="37" t="s">
        <v>317</v>
      </c>
      <c r="AH676" s="37" t="s">
        <v>1998</v>
      </c>
      <c r="AI676" s="309"/>
      <c r="AJ676" s="309"/>
      <c r="AK676" s="68" t="s">
        <v>41</v>
      </c>
      <c r="AL676" s="68" t="s">
        <v>49</v>
      </c>
      <c r="AM676" s="299">
        <f t="shared" ca="1" si="65"/>
        <v>2.84375</v>
      </c>
      <c r="AN676" s="51"/>
      <c r="AO676" s="61" t="s">
        <v>131</v>
      </c>
      <c r="AP676" s="62" t="s">
        <v>2007</v>
      </c>
      <c r="AQ676" s="61" t="s">
        <v>2177</v>
      </c>
      <c r="AR676" s="64">
        <v>44887.552083333336</v>
      </c>
      <c r="AS676" s="61" t="s">
        <v>95</v>
      </c>
      <c r="AT676" s="61" t="s">
        <v>225</v>
      </c>
      <c r="AU676" s="59">
        <v>0.55208333333333337</v>
      </c>
      <c r="AV676" s="61">
        <v>1</v>
      </c>
      <c r="AW676" s="61" t="s">
        <v>66</v>
      </c>
      <c r="AX676" s="52"/>
      <c r="AY676" s="52"/>
      <c r="AZ676" s="52"/>
      <c r="BA676" s="52"/>
    </row>
    <row r="677" spans="1:54" ht="15.75" thickBot="1" x14ac:dyDescent="0.3">
      <c r="A677" s="48">
        <v>391</v>
      </c>
      <c r="B677" s="72">
        <v>44884.708333333336</v>
      </c>
      <c r="C677" s="67">
        <v>0.71527777777777779</v>
      </c>
      <c r="D677" s="67">
        <v>0.72222222222222221</v>
      </c>
      <c r="E677" s="67">
        <v>0.73263888888888884</v>
      </c>
      <c r="F677" s="68" t="s">
        <v>170</v>
      </c>
      <c r="G677" s="68" t="s">
        <v>1986</v>
      </c>
      <c r="H677" s="26" t="s">
        <v>228</v>
      </c>
      <c r="I677" s="26" t="s">
        <v>1999</v>
      </c>
      <c r="J677" s="60" t="s">
        <v>37</v>
      </c>
      <c r="K677" s="60" t="s">
        <v>63</v>
      </c>
      <c r="L677" s="60" t="s">
        <v>212</v>
      </c>
      <c r="M677" s="37" t="s">
        <v>2006</v>
      </c>
      <c r="N677" s="68" t="s">
        <v>186</v>
      </c>
      <c r="O677" s="37">
        <v>1809</v>
      </c>
      <c r="P677" s="37">
        <v>7019</v>
      </c>
      <c r="Q677" s="303">
        <f t="shared" si="66"/>
        <v>1</v>
      </c>
      <c r="R677" s="303">
        <f t="shared" si="67"/>
        <v>196</v>
      </c>
      <c r="S677" s="37">
        <v>0</v>
      </c>
      <c r="T677" s="37">
        <v>0</v>
      </c>
      <c r="U677" s="37">
        <v>1</v>
      </c>
      <c r="V677" s="37">
        <v>196</v>
      </c>
      <c r="W677" s="37">
        <v>195</v>
      </c>
      <c r="X677" s="37">
        <v>60</v>
      </c>
      <c r="Y677" s="37">
        <v>60</v>
      </c>
      <c r="Z677" s="37">
        <v>50</v>
      </c>
      <c r="AA677" s="37">
        <v>1</v>
      </c>
      <c r="AB677" s="300">
        <f t="shared" si="68"/>
        <v>30</v>
      </c>
      <c r="AC677" s="300">
        <f t="shared" si="69"/>
        <v>0.18072289156626506</v>
      </c>
      <c r="AD677" s="37">
        <v>877</v>
      </c>
      <c r="AE677" s="37" t="s">
        <v>109</v>
      </c>
      <c r="AF677" s="68" t="s">
        <v>317</v>
      </c>
      <c r="AG677" s="68" t="s">
        <v>317</v>
      </c>
      <c r="AH677" s="37" t="s">
        <v>2000</v>
      </c>
      <c r="AI677" s="309"/>
      <c r="AJ677" s="309"/>
      <c r="AK677" s="37" t="s">
        <v>37</v>
      </c>
      <c r="AL677" s="68" t="s">
        <v>49</v>
      </c>
      <c r="AM677" s="299">
        <f t="shared" ca="1" si="65"/>
        <v>2.84375</v>
      </c>
      <c r="AN677" s="51"/>
      <c r="AO677" s="61" t="s">
        <v>131</v>
      </c>
      <c r="AP677" s="62" t="s">
        <v>2006</v>
      </c>
      <c r="AQ677" s="61" t="s">
        <v>2177</v>
      </c>
      <c r="AR677" s="64">
        <v>44887.552083333336</v>
      </c>
      <c r="AS677" s="61" t="s">
        <v>95</v>
      </c>
      <c r="AT677" s="61" t="s">
        <v>225</v>
      </c>
      <c r="AU677" s="59">
        <v>0.55208333333333337</v>
      </c>
      <c r="AV677" s="61">
        <v>1</v>
      </c>
      <c r="AW677" s="61" t="s">
        <v>66</v>
      </c>
      <c r="AX677" s="52"/>
      <c r="AY677" s="52"/>
      <c r="AZ677" s="52"/>
      <c r="BA677" s="52"/>
    </row>
    <row r="678" spans="1:54" ht="15.75" thickBot="1" x14ac:dyDescent="0.3">
      <c r="A678" s="73">
        <v>392</v>
      </c>
      <c r="B678" s="72">
        <v>44886.416666666664</v>
      </c>
      <c r="C678" s="67">
        <v>0.41666666666666669</v>
      </c>
      <c r="D678" s="67">
        <v>0.4236111111111111</v>
      </c>
      <c r="E678" s="67">
        <v>0.42708333333333331</v>
      </c>
      <c r="F678" s="68" t="s">
        <v>171</v>
      </c>
      <c r="G678" s="68" t="s">
        <v>203</v>
      </c>
      <c r="H678" s="71" t="s">
        <v>199</v>
      </c>
      <c r="I678" s="71" t="s">
        <v>174</v>
      </c>
      <c r="J678" s="71" t="s">
        <v>37</v>
      </c>
      <c r="K678" s="71" t="s">
        <v>180</v>
      </c>
      <c r="L678" s="47" t="s">
        <v>206</v>
      </c>
      <c r="M678" s="68" t="s">
        <v>2008</v>
      </c>
      <c r="N678" s="68" t="s">
        <v>42</v>
      </c>
      <c r="O678" s="68">
        <v>274010724</v>
      </c>
      <c r="P678" s="68" t="s">
        <v>2009</v>
      </c>
      <c r="Q678" s="303">
        <f t="shared" si="66"/>
        <v>6</v>
      </c>
      <c r="R678" s="303">
        <f t="shared" si="67"/>
        <v>973</v>
      </c>
      <c r="S678" s="68">
        <v>0</v>
      </c>
      <c r="T678" s="68">
        <v>0</v>
      </c>
      <c r="U678" s="68">
        <v>6</v>
      </c>
      <c r="V678" s="68">
        <v>973</v>
      </c>
      <c r="W678" s="68">
        <v>991.17</v>
      </c>
      <c r="X678" s="68">
        <v>123</v>
      </c>
      <c r="Y678" s="68">
        <v>83</v>
      </c>
      <c r="Z678" s="68">
        <v>75</v>
      </c>
      <c r="AA678" s="68">
        <v>6</v>
      </c>
      <c r="AB678" s="300">
        <f t="shared" si="68"/>
        <v>765.67499999999995</v>
      </c>
      <c r="AC678" s="300">
        <f t="shared" si="69"/>
        <v>4.6124999999999998</v>
      </c>
      <c r="AD678" s="68">
        <v>23696.639999999999</v>
      </c>
      <c r="AE678" s="68" t="s">
        <v>109</v>
      </c>
      <c r="AF678" s="68" t="s">
        <v>317</v>
      </c>
      <c r="AG678" s="68" t="s">
        <v>317</v>
      </c>
      <c r="AH678" s="68" t="s">
        <v>2010</v>
      </c>
      <c r="AI678" s="309"/>
      <c r="AJ678" s="309"/>
      <c r="AK678" s="68" t="s">
        <v>37</v>
      </c>
      <c r="AL678" s="68" t="s">
        <v>49</v>
      </c>
      <c r="AM678" s="299">
        <f t="shared" ca="1" si="65"/>
        <v>1.0729166666715173</v>
      </c>
      <c r="AN678" s="75"/>
      <c r="AO678" s="61" t="s">
        <v>232</v>
      </c>
      <c r="AP678" s="62" t="s">
        <v>2008</v>
      </c>
      <c r="AQ678" s="61" t="s">
        <v>2174</v>
      </c>
      <c r="AR678" s="64">
        <v>44887.489583333336</v>
      </c>
      <c r="AS678" s="57" t="s">
        <v>117</v>
      </c>
      <c r="AT678" s="61" t="s">
        <v>225</v>
      </c>
      <c r="AU678" s="63">
        <v>0.48958333333333331</v>
      </c>
      <c r="AV678" s="61">
        <v>1</v>
      </c>
      <c r="AW678" s="61" t="s">
        <v>66</v>
      </c>
      <c r="AX678" s="76"/>
      <c r="AY678" s="76"/>
      <c r="AZ678" s="76"/>
      <c r="BA678" s="76"/>
      <c r="BB678" s="74"/>
    </row>
    <row r="679" spans="1:54" ht="15.75" thickBot="1" x14ac:dyDescent="0.3">
      <c r="A679" s="73">
        <v>393</v>
      </c>
      <c r="B679" s="72">
        <v>44886.416666666664</v>
      </c>
      <c r="C679" s="67">
        <v>0.41666666666666669</v>
      </c>
      <c r="D679" s="67">
        <v>0.4236111111111111</v>
      </c>
      <c r="E679" s="67">
        <v>0.42708333333333331</v>
      </c>
      <c r="F679" s="68" t="s">
        <v>171</v>
      </c>
      <c r="G679" s="68" t="s">
        <v>203</v>
      </c>
      <c r="H679" s="66" t="s">
        <v>199</v>
      </c>
      <c r="I679" s="66" t="s">
        <v>174</v>
      </c>
      <c r="J679" s="66" t="s">
        <v>37</v>
      </c>
      <c r="K679" s="66" t="s">
        <v>180</v>
      </c>
      <c r="L679" s="70" t="s">
        <v>206</v>
      </c>
      <c r="M679" s="68" t="s">
        <v>2008</v>
      </c>
      <c r="N679" s="68" t="s">
        <v>42</v>
      </c>
      <c r="O679" s="68">
        <v>274010728</v>
      </c>
      <c r="P679" s="68" t="s">
        <v>2011</v>
      </c>
      <c r="Q679" s="303">
        <f t="shared" si="66"/>
        <v>8</v>
      </c>
      <c r="R679" s="303">
        <f t="shared" si="67"/>
        <v>110</v>
      </c>
      <c r="S679" s="68">
        <v>8</v>
      </c>
      <c r="T679" s="68">
        <v>110</v>
      </c>
      <c r="U679" s="68">
        <v>0</v>
      </c>
      <c r="V679" s="68">
        <v>0</v>
      </c>
      <c r="W679" s="68">
        <v>120.64</v>
      </c>
      <c r="X679" s="68">
        <v>60</v>
      </c>
      <c r="Y679" s="68">
        <v>40</v>
      </c>
      <c r="Z679" s="68">
        <v>30</v>
      </c>
      <c r="AA679" s="68">
        <v>8</v>
      </c>
      <c r="AB679" s="300">
        <f t="shared" si="68"/>
        <v>96</v>
      </c>
      <c r="AC679" s="300">
        <f t="shared" si="69"/>
        <v>0.57831325301204817</v>
      </c>
      <c r="AD679" s="68">
        <v>7539.2</v>
      </c>
      <c r="AE679" s="68" t="s">
        <v>109</v>
      </c>
      <c r="AF679" s="68" t="s">
        <v>317</v>
      </c>
      <c r="AG679" s="68" t="s">
        <v>317</v>
      </c>
      <c r="AH679" s="68" t="s">
        <v>2012</v>
      </c>
      <c r="AI679" s="309"/>
      <c r="AJ679" s="309"/>
      <c r="AK679" s="68" t="s">
        <v>48</v>
      </c>
      <c r="AL679" s="68" t="s">
        <v>49</v>
      </c>
      <c r="AM679" s="299">
        <f t="shared" ca="1" si="65"/>
        <v>1.0729166666715173</v>
      </c>
      <c r="AN679" s="75"/>
      <c r="AO679" s="61" t="s">
        <v>232</v>
      </c>
      <c r="AP679" s="62" t="s">
        <v>2008</v>
      </c>
      <c r="AQ679" s="61" t="s">
        <v>2174</v>
      </c>
      <c r="AR679" s="64">
        <v>44887.489583333336</v>
      </c>
      <c r="AS679" s="57" t="s">
        <v>117</v>
      </c>
      <c r="AT679" s="61" t="s">
        <v>225</v>
      </c>
      <c r="AU679" s="63">
        <v>0.48958333333333331</v>
      </c>
      <c r="AV679" s="61">
        <v>1</v>
      </c>
      <c r="AW679" s="61" t="s">
        <v>66</v>
      </c>
      <c r="AX679" s="76"/>
      <c r="AY679" s="76"/>
      <c r="AZ679" s="76"/>
      <c r="BA679" s="76"/>
      <c r="BB679" s="74"/>
    </row>
    <row r="680" spans="1:54" ht="15.75" thickBot="1" x14ac:dyDescent="0.3">
      <c r="A680" s="73">
        <v>394</v>
      </c>
      <c r="B680" s="72">
        <v>44886.416666666664</v>
      </c>
      <c r="C680" s="67">
        <v>0.4236111111111111</v>
      </c>
      <c r="D680" s="67">
        <v>0.43402777777777773</v>
      </c>
      <c r="E680" s="67">
        <v>0.44791666666666669</v>
      </c>
      <c r="F680" s="68" t="s">
        <v>170</v>
      </c>
      <c r="G680" s="68" t="s">
        <v>362</v>
      </c>
      <c r="H680" s="66" t="s">
        <v>46</v>
      </c>
      <c r="I680" s="66" t="s">
        <v>73</v>
      </c>
      <c r="J680" s="66" t="s">
        <v>41</v>
      </c>
      <c r="K680" s="66" t="s">
        <v>63</v>
      </c>
      <c r="L680" s="66" t="s">
        <v>214</v>
      </c>
      <c r="M680" s="68" t="s">
        <v>2013</v>
      </c>
      <c r="N680" s="68" t="s">
        <v>59</v>
      </c>
      <c r="O680" s="68" t="s">
        <v>2014</v>
      </c>
      <c r="P680" s="68" t="s">
        <v>2015</v>
      </c>
      <c r="Q680" s="303">
        <f t="shared" si="66"/>
        <v>2</v>
      </c>
      <c r="R680" s="303">
        <f t="shared" si="67"/>
        <v>427</v>
      </c>
      <c r="S680" s="68">
        <v>0</v>
      </c>
      <c r="T680" s="68">
        <v>0</v>
      </c>
      <c r="U680" s="68">
        <v>2</v>
      </c>
      <c r="V680" s="68">
        <v>427</v>
      </c>
      <c r="W680" s="68">
        <v>427</v>
      </c>
      <c r="X680" s="68">
        <v>80</v>
      </c>
      <c r="Y680" s="68">
        <v>54</v>
      </c>
      <c r="Z680" s="68">
        <v>68</v>
      </c>
      <c r="AA680" s="68">
        <v>1</v>
      </c>
      <c r="AB680" s="300">
        <f t="shared" si="68"/>
        <v>48.96</v>
      </c>
      <c r="AC680" s="300">
        <f t="shared" si="69"/>
        <v>0.29493975903614461</v>
      </c>
      <c r="AD680" s="68" t="s">
        <v>48</v>
      </c>
      <c r="AE680" s="68" t="s">
        <v>48</v>
      </c>
      <c r="AF680" s="68" t="s">
        <v>317</v>
      </c>
      <c r="AG680" s="68" t="s">
        <v>317</v>
      </c>
      <c r="AH680" s="68" t="s">
        <v>2016</v>
      </c>
      <c r="AI680" s="309"/>
      <c r="AJ680" s="309"/>
      <c r="AK680" s="68" t="s">
        <v>41</v>
      </c>
      <c r="AL680" s="68" t="s">
        <v>54</v>
      </c>
      <c r="AM680" s="299">
        <f t="shared" ref="AM680:AM743" ca="1" si="70">IF(AP680="",NOW()-B680,AR680-B680)</f>
        <v>1.2951388888905058</v>
      </c>
      <c r="AN680" s="75"/>
      <c r="AO680" s="61" t="s">
        <v>70</v>
      </c>
      <c r="AP680" s="62" t="s">
        <v>2013</v>
      </c>
      <c r="AQ680" s="61" t="s">
        <v>2186</v>
      </c>
      <c r="AR680" s="64">
        <v>44887.711805555555</v>
      </c>
      <c r="AS680" s="61" t="s">
        <v>483</v>
      </c>
      <c r="AT680" s="61" t="s">
        <v>65</v>
      </c>
      <c r="AU680" s="63">
        <v>0.71180555555555547</v>
      </c>
      <c r="AV680" s="61">
        <v>1</v>
      </c>
      <c r="AW680" s="61" t="s">
        <v>66</v>
      </c>
      <c r="AX680" s="76"/>
      <c r="AY680" s="76"/>
      <c r="AZ680" s="76"/>
      <c r="BA680" s="76"/>
      <c r="BB680" s="74"/>
    </row>
    <row r="681" spans="1:54" ht="15.75" thickBot="1" x14ac:dyDescent="0.3">
      <c r="A681" s="73">
        <v>394</v>
      </c>
      <c r="B681" s="72">
        <v>44886.416666666664</v>
      </c>
      <c r="C681" s="67">
        <v>0.4236111111111111</v>
      </c>
      <c r="D681" s="67">
        <v>0.43402777777777773</v>
      </c>
      <c r="E681" s="67">
        <v>0.44791666666666669</v>
      </c>
      <c r="F681" s="68" t="s">
        <v>170</v>
      </c>
      <c r="G681" s="68" t="s">
        <v>362</v>
      </c>
      <c r="H681" s="66" t="s">
        <v>46</v>
      </c>
      <c r="I681" s="66" t="s">
        <v>73</v>
      </c>
      <c r="J681" s="66" t="s">
        <v>41</v>
      </c>
      <c r="K681" s="66" t="s">
        <v>63</v>
      </c>
      <c r="L681" s="66" t="s">
        <v>214</v>
      </c>
      <c r="M681" s="68" t="s">
        <v>2013</v>
      </c>
      <c r="N681" s="68" t="s">
        <v>59</v>
      </c>
      <c r="O681" s="68" t="s">
        <v>2014</v>
      </c>
      <c r="P681" s="68" t="s">
        <v>2015</v>
      </c>
      <c r="Q681" s="303">
        <f t="shared" ref="Q681:Q744" si="71">S681+U681</f>
        <v>0</v>
      </c>
      <c r="R681" s="303">
        <f t="shared" ref="R681:R744" si="72">T681+V681</f>
        <v>0</v>
      </c>
      <c r="S681" s="68">
        <v>0</v>
      </c>
      <c r="T681" s="68">
        <v>0</v>
      </c>
      <c r="U681" s="68">
        <v>0</v>
      </c>
      <c r="V681" s="68">
        <v>0</v>
      </c>
      <c r="W681" s="68">
        <v>0</v>
      </c>
      <c r="X681" s="68">
        <v>70</v>
      </c>
      <c r="Y681" s="68">
        <v>52</v>
      </c>
      <c r="Z681" s="68">
        <v>61</v>
      </c>
      <c r="AA681" s="68">
        <v>1</v>
      </c>
      <c r="AB681" s="300">
        <f t="shared" ref="AB681:AB744" si="73">X681*Y681*Z681*AA681/6000</f>
        <v>37.006666666666668</v>
      </c>
      <c r="AC681" s="300">
        <f t="shared" ref="AC681:AC744" si="74">AB681/166</f>
        <v>0.22293172690763052</v>
      </c>
      <c r="AD681" s="68">
        <v>0</v>
      </c>
      <c r="AE681" s="68">
        <v>0</v>
      </c>
      <c r="AF681" s="68" t="s">
        <v>317</v>
      </c>
      <c r="AG681" s="68" t="s">
        <v>317</v>
      </c>
      <c r="AH681" s="68" t="s">
        <v>2016</v>
      </c>
      <c r="AI681" s="309"/>
      <c r="AJ681" s="309"/>
      <c r="AK681" s="68" t="s">
        <v>41</v>
      </c>
      <c r="AL681" s="68" t="s">
        <v>54</v>
      </c>
      <c r="AM681" s="299">
        <f t="shared" ca="1" si="70"/>
        <v>1.2951388888905058</v>
      </c>
      <c r="AN681" s="75"/>
      <c r="AO681" s="61" t="s">
        <v>70</v>
      </c>
      <c r="AP681" s="62" t="s">
        <v>2013</v>
      </c>
      <c r="AQ681" s="61" t="s">
        <v>2186</v>
      </c>
      <c r="AR681" s="64">
        <v>44887.711805555555</v>
      </c>
      <c r="AS681" s="61" t="s">
        <v>483</v>
      </c>
      <c r="AT681" s="61" t="s">
        <v>65</v>
      </c>
      <c r="AU681" s="63">
        <v>0.71180555555555547</v>
      </c>
      <c r="AV681" s="61">
        <v>1</v>
      </c>
      <c r="AW681" s="61" t="s">
        <v>66</v>
      </c>
      <c r="AX681" s="76"/>
      <c r="AY681" s="76"/>
      <c r="AZ681" s="76"/>
      <c r="BA681" s="76"/>
      <c r="BB681" s="74"/>
    </row>
    <row r="682" spans="1:54" ht="15.75" thickBot="1" x14ac:dyDescent="0.3">
      <c r="A682" s="73">
        <v>395</v>
      </c>
      <c r="B682" s="72">
        <v>44886.416666666664</v>
      </c>
      <c r="C682" s="67">
        <v>0.4236111111111111</v>
      </c>
      <c r="D682" s="67">
        <v>0.43402777777777773</v>
      </c>
      <c r="E682" s="67">
        <v>0.44791666666666669</v>
      </c>
      <c r="F682" s="68" t="s">
        <v>170</v>
      </c>
      <c r="G682" s="68" t="s">
        <v>362</v>
      </c>
      <c r="H682" s="66" t="s">
        <v>46</v>
      </c>
      <c r="I682" s="66" t="s">
        <v>110</v>
      </c>
      <c r="J682" s="66" t="s">
        <v>41</v>
      </c>
      <c r="K682" s="66" t="s">
        <v>63</v>
      </c>
      <c r="L682" s="66" t="s">
        <v>214</v>
      </c>
      <c r="M682" s="68" t="s">
        <v>2017</v>
      </c>
      <c r="N682" s="68" t="s">
        <v>186</v>
      </c>
      <c r="O682" s="68" t="s">
        <v>2018</v>
      </c>
      <c r="P682" s="68" t="s">
        <v>2019</v>
      </c>
      <c r="Q682" s="303">
        <f t="shared" si="71"/>
        <v>2</v>
      </c>
      <c r="R682" s="303">
        <f t="shared" si="72"/>
        <v>261</v>
      </c>
      <c r="S682" s="68">
        <v>0</v>
      </c>
      <c r="T682" s="68">
        <v>0</v>
      </c>
      <c r="U682" s="68">
        <v>2</v>
      </c>
      <c r="V682" s="68">
        <v>261</v>
      </c>
      <c r="W682" s="68">
        <v>246.6</v>
      </c>
      <c r="X682" s="68">
        <v>69</v>
      </c>
      <c r="Y682" s="68">
        <v>38</v>
      </c>
      <c r="Z682" s="68">
        <v>47</v>
      </c>
      <c r="AA682" s="68">
        <v>1</v>
      </c>
      <c r="AB682" s="300">
        <f t="shared" si="73"/>
        <v>20.539000000000001</v>
      </c>
      <c r="AC682" s="300">
        <f t="shared" si="74"/>
        <v>0.12372891566265061</v>
      </c>
      <c r="AD682" s="68" t="s">
        <v>48</v>
      </c>
      <c r="AE682" s="68" t="s">
        <v>48</v>
      </c>
      <c r="AF682" s="68" t="s">
        <v>317</v>
      </c>
      <c r="AG682" s="68" t="s">
        <v>317</v>
      </c>
      <c r="AH682" s="68" t="s">
        <v>2020</v>
      </c>
      <c r="AI682" s="309"/>
      <c r="AJ682" s="309"/>
      <c r="AK682" s="68" t="s">
        <v>41</v>
      </c>
      <c r="AL682" s="68" t="s">
        <v>54</v>
      </c>
      <c r="AM682" s="299">
        <f t="shared" ca="1" si="70"/>
        <v>1.1354166666715173</v>
      </c>
      <c r="AN682" s="75"/>
      <c r="AO682" s="61" t="s">
        <v>131</v>
      </c>
      <c r="AP682" s="62" t="s">
        <v>2017</v>
      </c>
      <c r="AQ682" s="61" t="s">
        <v>2177</v>
      </c>
      <c r="AR682" s="64">
        <v>44887.552083333336</v>
      </c>
      <c r="AS682" s="61" t="s">
        <v>95</v>
      </c>
      <c r="AT682" s="61" t="s">
        <v>225</v>
      </c>
      <c r="AU682" s="59">
        <v>0.55208333333333337</v>
      </c>
      <c r="AV682" s="61">
        <v>1</v>
      </c>
      <c r="AW682" s="61" t="s">
        <v>66</v>
      </c>
      <c r="AX682" s="76"/>
      <c r="AY682" s="76"/>
      <c r="AZ682" s="76"/>
      <c r="BA682" s="76"/>
      <c r="BB682" s="74"/>
    </row>
    <row r="683" spans="1:54" ht="15.75" thickBot="1" x14ac:dyDescent="0.3">
      <c r="A683" s="73">
        <v>395</v>
      </c>
      <c r="B683" s="72">
        <v>44886.416666666664</v>
      </c>
      <c r="C683" s="67">
        <v>0.4236111111111111</v>
      </c>
      <c r="D683" s="67">
        <v>0.43402777777777773</v>
      </c>
      <c r="E683" s="67">
        <v>0.44791666666666669</v>
      </c>
      <c r="F683" s="68" t="s">
        <v>170</v>
      </c>
      <c r="G683" s="68" t="s">
        <v>362</v>
      </c>
      <c r="H683" s="66" t="s">
        <v>46</v>
      </c>
      <c r="I683" s="66" t="s">
        <v>110</v>
      </c>
      <c r="J683" s="66" t="s">
        <v>41</v>
      </c>
      <c r="K683" s="66" t="s">
        <v>63</v>
      </c>
      <c r="L683" s="66" t="s">
        <v>214</v>
      </c>
      <c r="M683" s="68" t="s">
        <v>2017</v>
      </c>
      <c r="N683" s="68" t="s">
        <v>186</v>
      </c>
      <c r="O683" s="68" t="s">
        <v>2018</v>
      </c>
      <c r="P683" s="68" t="s">
        <v>2019</v>
      </c>
      <c r="Q683" s="303">
        <f t="shared" si="71"/>
        <v>0</v>
      </c>
      <c r="R683" s="303">
        <f t="shared" si="72"/>
        <v>0</v>
      </c>
      <c r="S683" s="68">
        <v>0</v>
      </c>
      <c r="T683" s="68">
        <v>0</v>
      </c>
      <c r="U683" s="68">
        <v>0</v>
      </c>
      <c r="V683" s="68">
        <v>0</v>
      </c>
      <c r="W683" s="68">
        <v>0</v>
      </c>
      <c r="X683" s="68">
        <v>92</v>
      </c>
      <c r="Y683" s="68">
        <v>50</v>
      </c>
      <c r="Z683" s="68">
        <v>51</v>
      </c>
      <c r="AA683" s="68">
        <v>1</v>
      </c>
      <c r="AB683" s="300">
        <f t="shared" si="73"/>
        <v>39.1</v>
      </c>
      <c r="AC683" s="300">
        <f t="shared" si="74"/>
        <v>0.23554216867469879</v>
      </c>
      <c r="AD683" s="68">
        <v>0</v>
      </c>
      <c r="AE683" s="68">
        <v>0</v>
      </c>
      <c r="AF683" s="68" t="s">
        <v>317</v>
      </c>
      <c r="AG683" s="68" t="s">
        <v>317</v>
      </c>
      <c r="AH683" s="68" t="s">
        <v>2020</v>
      </c>
      <c r="AI683" s="309"/>
      <c r="AJ683" s="309"/>
      <c r="AK683" s="68" t="s">
        <v>41</v>
      </c>
      <c r="AL683" s="68" t="s">
        <v>54</v>
      </c>
      <c r="AM683" s="299">
        <f t="shared" ca="1" si="70"/>
        <v>1.1354166666715173</v>
      </c>
      <c r="AN683" s="75"/>
      <c r="AO683" s="61" t="s">
        <v>131</v>
      </c>
      <c r="AP683" s="62" t="s">
        <v>2017</v>
      </c>
      <c r="AQ683" s="61" t="s">
        <v>2177</v>
      </c>
      <c r="AR683" s="64">
        <v>44887.552083333336</v>
      </c>
      <c r="AS683" s="61" t="s">
        <v>95</v>
      </c>
      <c r="AT683" s="61" t="s">
        <v>225</v>
      </c>
      <c r="AU683" s="59">
        <v>0.55208333333333337</v>
      </c>
      <c r="AV683" s="61">
        <v>1</v>
      </c>
      <c r="AW683" s="61" t="s">
        <v>66</v>
      </c>
      <c r="AX683" s="76"/>
      <c r="AY683" s="76"/>
      <c r="AZ683" s="76"/>
      <c r="BA683" s="76"/>
      <c r="BB683" s="74"/>
    </row>
    <row r="684" spans="1:54" ht="15.75" thickBot="1" x14ac:dyDescent="0.3">
      <c r="A684" s="73">
        <v>396</v>
      </c>
      <c r="B684" s="72">
        <v>44886.416666666664</v>
      </c>
      <c r="C684" s="67">
        <v>0.4236111111111111</v>
      </c>
      <c r="D684" s="67">
        <v>0.43402777777777773</v>
      </c>
      <c r="E684" s="67">
        <v>0.44791666666666669</v>
      </c>
      <c r="F684" s="68" t="s">
        <v>170</v>
      </c>
      <c r="G684" s="68" t="s">
        <v>362</v>
      </c>
      <c r="H684" s="66" t="s">
        <v>46</v>
      </c>
      <c r="I684" s="66" t="s">
        <v>92</v>
      </c>
      <c r="J684" s="66" t="s">
        <v>41</v>
      </c>
      <c r="K684" s="66" t="s">
        <v>63</v>
      </c>
      <c r="L684" s="66" t="s">
        <v>214</v>
      </c>
      <c r="M684" s="68" t="s">
        <v>2021</v>
      </c>
      <c r="N684" s="68" t="s">
        <v>42</v>
      </c>
      <c r="O684" s="68" t="s">
        <v>2022</v>
      </c>
      <c r="P684" s="68" t="s">
        <v>2023</v>
      </c>
      <c r="Q684" s="303">
        <f t="shared" si="71"/>
        <v>6</v>
      </c>
      <c r="R684" s="303">
        <f t="shared" si="72"/>
        <v>1640</v>
      </c>
      <c r="S684" s="68">
        <v>0</v>
      </c>
      <c r="T684" s="68">
        <v>0</v>
      </c>
      <c r="U684" s="68">
        <v>6</v>
      </c>
      <c r="V684" s="68">
        <v>1640</v>
      </c>
      <c r="W684" s="68">
        <v>1605</v>
      </c>
      <c r="X684" s="68">
        <v>105</v>
      </c>
      <c r="Y684" s="68">
        <v>72</v>
      </c>
      <c r="Z684" s="68">
        <v>66</v>
      </c>
      <c r="AA684" s="68">
        <v>1</v>
      </c>
      <c r="AB684" s="300">
        <f t="shared" si="73"/>
        <v>83.16</v>
      </c>
      <c r="AC684" s="300">
        <f t="shared" si="74"/>
        <v>0.50096385542168675</v>
      </c>
      <c r="AD684" s="68" t="s">
        <v>48</v>
      </c>
      <c r="AE684" s="68" t="s">
        <v>48</v>
      </c>
      <c r="AF684" s="68" t="s">
        <v>317</v>
      </c>
      <c r="AG684" s="68" t="s">
        <v>317</v>
      </c>
      <c r="AH684" s="68" t="s">
        <v>2024</v>
      </c>
      <c r="AI684" s="309"/>
      <c r="AJ684" s="309"/>
      <c r="AK684" s="68" t="s">
        <v>41</v>
      </c>
      <c r="AL684" s="68" t="s">
        <v>54</v>
      </c>
      <c r="AM684" s="299">
        <f t="shared" ca="1" si="70"/>
        <v>1.0729166666715173</v>
      </c>
      <c r="AN684" s="75"/>
      <c r="AO684" s="61" t="s">
        <v>120</v>
      </c>
      <c r="AP684" s="62" t="s">
        <v>2021</v>
      </c>
      <c r="AQ684" s="61" t="s">
        <v>2175</v>
      </c>
      <c r="AR684" s="64">
        <v>44887.489583333336</v>
      </c>
      <c r="AS684" s="57" t="s">
        <v>117</v>
      </c>
      <c r="AT684" s="61" t="s">
        <v>225</v>
      </c>
      <c r="AU684" s="63">
        <v>0.48958333333333331</v>
      </c>
      <c r="AV684" s="61">
        <v>1</v>
      </c>
      <c r="AW684" s="61" t="s">
        <v>66</v>
      </c>
      <c r="AX684" s="76"/>
      <c r="AY684" s="76"/>
      <c r="AZ684" s="76"/>
      <c r="BA684" s="76"/>
      <c r="BB684" s="74"/>
    </row>
    <row r="685" spans="1:54" ht="15.75" thickBot="1" x14ac:dyDescent="0.3">
      <c r="A685" s="73">
        <v>396</v>
      </c>
      <c r="B685" s="72">
        <v>44886.416666666664</v>
      </c>
      <c r="C685" s="67">
        <v>0.4236111111111111</v>
      </c>
      <c r="D685" s="67">
        <v>0.43402777777777773</v>
      </c>
      <c r="E685" s="67">
        <v>0.44791666666666669</v>
      </c>
      <c r="F685" s="68" t="s">
        <v>170</v>
      </c>
      <c r="G685" s="68" t="s">
        <v>362</v>
      </c>
      <c r="H685" s="66" t="s">
        <v>46</v>
      </c>
      <c r="I685" s="66" t="s">
        <v>92</v>
      </c>
      <c r="J685" s="66" t="s">
        <v>41</v>
      </c>
      <c r="K685" s="66" t="s">
        <v>63</v>
      </c>
      <c r="L685" s="66" t="s">
        <v>214</v>
      </c>
      <c r="M685" s="68" t="s">
        <v>2021</v>
      </c>
      <c r="N685" s="68" t="s">
        <v>42</v>
      </c>
      <c r="O685" s="68" t="s">
        <v>2022</v>
      </c>
      <c r="P685" s="68" t="s">
        <v>2023</v>
      </c>
      <c r="Q685" s="303">
        <f t="shared" si="71"/>
        <v>0</v>
      </c>
      <c r="R685" s="303">
        <f t="shared" si="72"/>
        <v>0</v>
      </c>
      <c r="S685" s="68">
        <v>0</v>
      </c>
      <c r="T685" s="68">
        <v>0</v>
      </c>
      <c r="U685" s="68">
        <v>0</v>
      </c>
      <c r="V685" s="68">
        <v>0</v>
      </c>
      <c r="W685" s="68">
        <v>0</v>
      </c>
      <c r="X685" s="68">
        <v>86</v>
      </c>
      <c r="Y685" s="68">
        <v>59</v>
      </c>
      <c r="Z685" s="68">
        <v>70</v>
      </c>
      <c r="AA685" s="68">
        <v>2</v>
      </c>
      <c r="AB685" s="300">
        <f t="shared" si="73"/>
        <v>118.39333333333333</v>
      </c>
      <c r="AC685" s="300">
        <f t="shared" si="74"/>
        <v>0.71321285140562252</v>
      </c>
      <c r="AD685" s="68">
        <v>0</v>
      </c>
      <c r="AE685" s="68">
        <v>0</v>
      </c>
      <c r="AF685" s="68" t="s">
        <v>317</v>
      </c>
      <c r="AG685" s="68" t="s">
        <v>317</v>
      </c>
      <c r="AH685" s="68" t="s">
        <v>2024</v>
      </c>
      <c r="AI685" s="309"/>
      <c r="AJ685" s="309"/>
      <c r="AK685" s="68" t="s">
        <v>41</v>
      </c>
      <c r="AL685" s="68" t="s">
        <v>54</v>
      </c>
      <c r="AM685" s="299">
        <f t="shared" ca="1" si="70"/>
        <v>1.0729166666715173</v>
      </c>
      <c r="AN685" s="75"/>
      <c r="AO685" s="61" t="s">
        <v>120</v>
      </c>
      <c r="AP685" s="62" t="s">
        <v>2021</v>
      </c>
      <c r="AQ685" s="61" t="s">
        <v>2175</v>
      </c>
      <c r="AR685" s="64">
        <v>44887.489583333336</v>
      </c>
      <c r="AS685" s="57" t="s">
        <v>117</v>
      </c>
      <c r="AT685" s="61" t="s">
        <v>225</v>
      </c>
      <c r="AU685" s="63">
        <v>0.48958333333333331</v>
      </c>
      <c r="AV685" s="61">
        <v>1</v>
      </c>
      <c r="AW685" s="61" t="s">
        <v>66</v>
      </c>
      <c r="AX685" s="76"/>
      <c r="AY685" s="76"/>
      <c r="AZ685" s="76"/>
      <c r="BA685" s="76"/>
      <c r="BB685" s="74"/>
    </row>
    <row r="686" spans="1:54" ht="15.75" thickBot="1" x14ac:dyDescent="0.3">
      <c r="A686" s="73">
        <v>396</v>
      </c>
      <c r="B686" s="72">
        <v>44886.416666666664</v>
      </c>
      <c r="C686" s="67">
        <v>0.4236111111111111</v>
      </c>
      <c r="D686" s="67">
        <v>0.43402777777777773</v>
      </c>
      <c r="E686" s="67">
        <v>0.44791666666666669</v>
      </c>
      <c r="F686" s="68" t="s">
        <v>170</v>
      </c>
      <c r="G686" s="68" t="s">
        <v>362</v>
      </c>
      <c r="H686" s="66" t="s">
        <v>46</v>
      </c>
      <c r="I686" s="66" t="s">
        <v>92</v>
      </c>
      <c r="J686" s="66" t="s">
        <v>41</v>
      </c>
      <c r="K686" s="66" t="s">
        <v>63</v>
      </c>
      <c r="L686" s="66" t="s">
        <v>214</v>
      </c>
      <c r="M686" s="68" t="s">
        <v>2021</v>
      </c>
      <c r="N686" s="68" t="s">
        <v>42</v>
      </c>
      <c r="O686" s="68" t="s">
        <v>2022</v>
      </c>
      <c r="P686" s="68" t="s">
        <v>2023</v>
      </c>
      <c r="Q686" s="303">
        <f t="shared" si="71"/>
        <v>0</v>
      </c>
      <c r="R686" s="303">
        <f t="shared" si="72"/>
        <v>0</v>
      </c>
      <c r="S686" s="68">
        <v>0</v>
      </c>
      <c r="T686" s="68">
        <v>0</v>
      </c>
      <c r="U686" s="68">
        <v>0</v>
      </c>
      <c r="V686" s="68">
        <v>0</v>
      </c>
      <c r="W686" s="68">
        <v>0</v>
      </c>
      <c r="X686" s="68">
        <v>93</v>
      </c>
      <c r="Y686" s="68">
        <v>50</v>
      </c>
      <c r="Z686" s="68">
        <v>51</v>
      </c>
      <c r="AA686" s="68">
        <v>1</v>
      </c>
      <c r="AB686" s="300">
        <f t="shared" si="73"/>
        <v>39.524999999999999</v>
      </c>
      <c r="AC686" s="300">
        <f t="shared" si="74"/>
        <v>0.2381024096385542</v>
      </c>
      <c r="AD686" s="68">
        <v>0</v>
      </c>
      <c r="AE686" s="68">
        <v>0</v>
      </c>
      <c r="AF686" s="68" t="s">
        <v>317</v>
      </c>
      <c r="AG686" s="68" t="s">
        <v>317</v>
      </c>
      <c r="AH686" s="68" t="s">
        <v>2024</v>
      </c>
      <c r="AI686" s="309"/>
      <c r="AJ686" s="309"/>
      <c r="AK686" s="68" t="s">
        <v>41</v>
      </c>
      <c r="AL686" s="68" t="s">
        <v>54</v>
      </c>
      <c r="AM686" s="299">
        <f t="shared" ca="1" si="70"/>
        <v>1.0729166666715173</v>
      </c>
      <c r="AN686" s="75"/>
      <c r="AO686" s="61" t="s">
        <v>120</v>
      </c>
      <c r="AP686" s="62" t="s">
        <v>2021</v>
      </c>
      <c r="AQ686" s="61" t="s">
        <v>2175</v>
      </c>
      <c r="AR686" s="64">
        <v>44887.489583333336</v>
      </c>
      <c r="AS686" s="57" t="s">
        <v>117</v>
      </c>
      <c r="AT686" s="61" t="s">
        <v>225</v>
      </c>
      <c r="AU686" s="63">
        <v>0.48958333333333331</v>
      </c>
      <c r="AV686" s="61">
        <v>1</v>
      </c>
      <c r="AW686" s="61" t="s">
        <v>66</v>
      </c>
      <c r="AX686" s="76"/>
      <c r="AY686" s="76"/>
      <c r="AZ686" s="76"/>
      <c r="BA686" s="76"/>
      <c r="BB686" s="74"/>
    </row>
    <row r="687" spans="1:54" ht="15.75" thickBot="1" x14ac:dyDescent="0.3">
      <c r="A687" s="73">
        <v>396</v>
      </c>
      <c r="B687" s="72">
        <v>44886.416666666664</v>
      </c>
      <c r="C687" s="67">
        <v>0.4236111111111111</v>
      </c>
      <c r="D687" s="67">
        <v>0.43402777777777773</v>
      </c>
      <c r="E687" s="67">
        <v>0.44791666666666669</v>
      </c>
      <c r="F687" s="68" t="s">
        <v>170</v>
      </c>
      <c r="G687" s="68" t="s">
        <v>362</v>
      </c>
      <c r="H687" s="66" t="s">
        <v>46</v>
      </c>
      <c r="I687" s="66" t="s">
        <v>92</v>
      </c>
      <c r="J687" s="66" t="s">
        <v>41</v>
      </c>
      <c r="K687" s="66" t="s">
        <v>63</v>
      </c>
      <c r="L687" s="66" t="s">
        <v>214</v>
      </c>
      <c r="M687" s="68" t="s">
        <v>2021</v>
      </c>
      <c r="N687" s="68" t="s">
        <v>42</v>
      </c>
      <c r="O687" s="68" t="s">
        <v>2022</v>
      </c>
      <c r="P687" s="68" t="s">
        <v>2023</v>
      </c>
      <c r="Q687" s="303">
        <f t="shared" si="71"/>
        <v>0</v>
      </c>
      <c r="R687" s="303">
        <f t="shared" si="72"/>
        <v>0</v>
      </c>
      <c r="S687" s="68">
        <v>0</v>
      </c>
      <c r="T687" s="68">
        <v>0</v>
      </c>
      <c r="U687" s="68">
        <v>0</v>
      </c>
      <c r="V687" s="68">
        <v>0</v>
      </c>
      <c r="W687" s="68">
        <v>0</v>
      </c>
      <c r="X687" s="68">
        <v>90</v>
      </c>
      <c r="Y687" s="68">
        <v>53</v>
      </c>
      <c r="Z687" s="68">
        <v>62</v>
      </c>
      <c r="AA687" s="68">
        <v>1</v>
      </c>
      <c r="AB687" s="300">
        <f t="shared" si="73"/>
        <v>49.29</v>
      </c>
      <c r="AC687" s="300">
        <f t="shared" si="74"/>
        <v>0.29692771084337349</v>
      </c>
      <c r="AD687" s="68">
        <v>0</v>
      </c>
      <c r="AE687" s="68">
        <v>0</v>
      </c>
      <c r="AF687" s="68" t="s">
        <v>317</v>
      </c>
      <c r="AG687" s="68" t="s">
        <v>317</v>
      </c>
      <c r="AH687" s="68" t="s">
        <v>2024</v>
      </c>
      <c r="AI687" s="309"/>
      <c r="AJ687" s="309"/>
      <c r="AK687" s="68" t="s">
        <v>41</v>
      </c>
      <c r="AL687" s="68" t="s">
        <v>54</v>
      </c>
      <c r="AM687" s="299">
        <f t="shared" ca="1" si="70"/>
        <v>1.0729166666715173</v>
      </c>
      <c r="AN687" s="75"/>
      <c r="AO687" s="61" t="s">
        <v>120</v>
      </c>
      <c r="AP687" s="62" t="s">
        <v>2021</v>
      </c>
      <c r="AQ687" s="61" t="s">
        <v>2175</v>
      </c>
      <c r="AR687" s="64">
        <v>44887.489583333336</v>
      </c>
      <c r="AS687" s="57" t="s">
        <v>117</v>
      </c>
      <c r="AT687" s="61" t="s">
        <v>225</v>
      </c>
      <c r="AU687" s="63">
        <v>0.48958333333333331</v>
      </c>
      <c r="AV687" s="61">
        <v>1</v>
      </c>
      <c r="AW687" s="61" t="s">
        <v>66</v>
      </c>
      <c r="AX687" s="76"/>
      <c r="AY687" s="76"/>
      <c r="AZ687" s="76"/>
      <c r="BA687" s="76"/>
      <c r="BB687" s="74"/>
    </row>
    <row r="688" spans="1:54" ht="15.75" thickBot="1" x14ac:dyDescent="0.3">
      <c r="A688" s="73">
        <v>396</v>
      </c>
      <c r="B688" s="72">
        <v>44886.416666666664</v>
      </c>
      <c r="C688" s="67">
        <v>0.4236111111111111</v>
      </c>
      <c r="D688" s="67">
        <v>0.43402777777777773</v>
      </c>
      <c r="E688" s="67">
        <v>0.44791666666666669</v>
      </c>
      <c r="F688" s="68" t="s">
        <v>170</v>
      </c>
      <c r="G688" s="68" t="s">
        <v>362</v>
      </c>
      <c r="H688" s="66" t="s">
        <v>46</v>
      </c>
      <c r="I688" s="66" t="s">
        <v>92</v>
      </c>
      <c r="J688" s="66" t="s">
        <v>41</v>
      </c>
      <c r="K688" s="66" t="s">
        <v>63</v>
      </c>
      <c r="L688" s="66" t="s">
        <v>214</v>
      </c>
      <c r="M688" s="68" t="s">
        <v>2021</v>
      </c>
      <c r="N688" s="68" t="s">
        <v>42</v>
      </c>
      <c r="O688" s="68" t="s">
        <v>2022</v>
      </c>
      <c r="P688" s="68" t="s">
        <v>2023</v>
      </c>
      <c r="Q688" s="303">
        <f t="shared" si="71"/>
        <v>0</v>
      </c>
      <c r="R688" s="303">
        <f t="shared" si="72"/>
        <v>0</v>
      </c>
      <c r="S688" s="68">
        <v>0</v>
      </c>
      <c r="T688" s="68">
        <v>0</v>
      </c>
      <c r="U688" s="68">
        <v>0</v>
      </c>
      <c r="V688" s="68">
        <v>0</v>
      </c>
      <c r="W688" s="68">
        <v>0</v>
      </c>
      <c r="X688" s="68">
        <v>44</v>
      </c>
      <c r="Y688" s="68">
        <v>43</v>
      </c>
      <c r="Z688" s="68">
        <v>47</v>
      </c>
      <c r="AA688" s="68">
        <v>1</v>
      </c>
      <c r="AB688" s="300">
        <f t="shared" si="73"/>
        <v>14.820666666666666</v>
      </c>
      <c r="AC688" s="300">
        <f t="shared" si="74"/>
        <v>8.928112449799197E-2</v>
      </c>
      <c r="AD688" s="68">
        <v>0</v>
      </c>
      <c r="AE688" s="68">
        <v>0</v>
      </c>
      <c r="AF688" s="68" t="s">
        <v>317</v>
      </c>
      <c r="AG688" s="68" t="s">
        <v>317</v>
      </c>
      <c r="AH688" s="68" t="s">
        <v>2024</v>
      </c>
      <c r="AI688" s="309"/>
      <c r="AJ688" s="309"/>
      <c r="AK688" s="68" t="s">
        <v>41</v>
      </c>
      <c r="AL688" s="68" t="s">
        <v>54</v>
      </c>
      <c r="AM688" s="299">
        <f t="shared" ca="1" si="70"/>
        <v>1.0729166666715173</v>
      </c>
      <c r="AN688" s="75"/>
      <c r="AO688" s="61" t="s">
        <v>120</v>
      </c>
      <c r="AP688" s="62" t="s">
        <v>2021</v>
      </c>
      <c r="AQ688" s="61" t="s">
        <v>2175</v>
      </c>
      <c r="AR688" s="64">
        <v>44887.489583333336</v>
      </c>
      <c r="AS688" s="57" t="s">
        <v>117</v>
      </c>
      <c r="AT688" s="61" t="s">
        <v>225</v>
      </c>
      <c r="AU688" s="63">
        <v>0.48958333333333331</v>
      </c>
      <c r="AV688" s="61">
        <v>1</v>
      </c>
      <c r="AW688" s="61" t="s">
        <v>66</v>
      </c>
      <c r="AX688" s="76"/>
      <c r="AY688" s="76"/>
      <c r="AZ688" s="76"/>
      <c r="BA688" s="76"/>
      <c r="BB688" s="74"/>
    </row>
    <row r="689" spans="1:54" ht="15.75" thickBot="1" x14ac:dyDescent="0.3">
      <c r="A689" s="73">
        <v>397</v>
      </c>
      <c r="B689" s="72">
        <v>44886.440972222219</v>
      </c>
      <c r="C689" s="67">
        <v>0.44444444444444442</v>
      </c>
      <c r="D689" s="67">
        <v>0.4513888888888889</v>
      </c>
      <c r="E689" s="67">
        <v>0.46527777777777773</v>
      </c>
      <c r="F689" s="68" t="s">
        <v>170</v>
      </c>
      <c r="G689" s="68" t="s">
        <v>1448</v>
      </c>
      <c r="H689" s="66" t="s">
        <v>227</v>
      </c>
      <c r="I689" s="66" t="s">
        <v>189</v>
      </c>
      <c r="J689" s="66" t="s">
        <v>37</v>
      </c>
      <c r="K689" s="66" t="s">
        <v>63</v>
      </c>
      <c r="L689" s="66" t="s">
        <v>209</v>
      </c>
      <c r="M689" s="68" t="s">
        <v>2025</v>
      </c>
      <c r="N689" s="68" t="s">
        <v>43</v>
      </c>
      <c r="O689" s="68">
        <v>939</v>
      </c>
      <c r="P689" s="68">
        <v>29852</v>
      </c>
      <c r="Q689" s="303">
        <f t="shared" si="71"/>
        <v>4</v>
      </c>
      <c r="R689" s="303">
        <f t="shared" si="72"/>
        <v>806</v>
      </c>
      <c r="S689" s="68">
        <v>0</v>
      </c>
      <c r="T689" s="68">
        <v>0</v>
      </c>
      <c r="U689" s="68">
        <v>4</v>
      </c>
      <c r="V689" s="68">
        <v>806</v>
      </c>
      <c r="W689" s="68">
        <v>800</v>
      </c>
      <c r="X689" s="68">
        <v>160</v>
      </c>
      <c r="Y689" s="68">
        <v>138</v>
      </c>
      <c r="Z689" s="68">
        <v>79</v>
      </c>
      <c r="AA689" s="68">
        <v>4</v>
      </c>
      <c r="AB689" s="300">
        <f t="shared" si="73"/>
        <v>1162.8800000000001</v>
      </c>
      <c r="AC689" s="300">
        <f t="shared" si="74"/>
        <v>7.0053012048192782</v>
      </c>
      <c r="AD689" s="68" t="s">
        <v>48</v>
      </c>
      <c r="AE689" s="68" t="s">
        <v>48</v>
      </c>
      <c r="AF689" s="68" t="s">
        <v>317</v>
      </c>
      <c r="AG689" s="68" t="s">
        <v>317</v>
      </c>
      <c r="AH689" s="68" t="s">
        <v>2026</v>
      </c>
      <c r="AI689" s="309"/>
      <c r="AJ689" s="309"/>
      <c r="AK689" s="68" t="s">
        <v>37</v>
      </c>
      <c r="AL689" s="68" t="s">
        <v>54</v>
      </c>
      <c r="AM689" s="299">
        <f t="shared" ca="1" si="70"/>
        <v>0.20138888889050577</v>
      </c>
      <c r="AN689" s="75"/>
      <c r="AO689" s="61" t="s">
        <v>179</v>
      </c>
      <c r="AP689" s="62" t="s">
        <v>2047</v>
      </c>
      <c r="AQ689" s="61" t="s">
        <v>2048</v>
      </c>
      <c r="AR689" s="64">
        <v>44886.642361111109</v>
      </c>
      <c r="AS689" s="57" t="s">
        <v>173</v>
      </c>
      <c r="AT689" s="61" t="s">
        <v>225</v>
      </c>
      <c r="AU689" s="63">
        <v>0.64236111111111105</v>
      </c>
      <c r="AV689" s="61">
        <v>1</v>
      </c>
      <c r="AW689" s="61" t="s">
        <v>66</v>
      </c>
      <c r="AX689" s="76"/>
      <c r="AY689" s="76"/>
      <c r="AZ689" s="76"/>
      <c r="BA689" s="76"/>
      <c r="BB689" s="74"/>
    </row>
    <row r="690" spans="1:54" ht="15.75" thickBot="1" x14ac:dyDescent="0.3">
      <c r="A690" s="73">
        <v>398</v>
      </c>
      <c r="B690" s="72">
        <v>44886.458333333336</v>
      </c>
      <c r="C690" s="67">
        <v>0.46180555555555558</v>
      </c>
      <c r="D690" s="67">
        <v>0.46875</v>
      </c>
      <c r="E690" s="67">
        <v>0.60416666666666663</v>
      </c>
      <c r="F690" s="68" t="s">
        <v>169</v>
      </c>
      <c r="G690" s="68" t="s">
        <v>2027</v>
      </c>
      <c r="H690" s="66" t="s">
        <v>494</v>
      </c>
      <c r="I690" s="66" t="s">
        <v>377</v>
      </c>
      <c r="J690" s="66" t="s">
        <v>41</v>
      </c>
      <c r="K690" s="66" t="s">
        <v>241</v>
      </c>
      <c r="L690" s="66">
        <v>0</v>
      </c>
      <c r="M690" s="68" t="s">
        <v>2028</v>
      </c>
      <c r="N690" s="68" t="s">
        <v>42</v>
      </c>
      <c r="O690" s="68" t="s">
        <v>2029</v>
      </c>
      <c r="P690" s="68">
        <v>10048489</v>
      </c>
      <c r="Q690" s="303">
        <f t="shared" si="71"/>
        <v>34</v>
      </c>
      <c r="R690" s="303">
        <f t="shared" si="72"/>
        <v>570</v>
      </c>
      <c r="S690" s="68">
        <v>34</v>
      </c>
      <c r="T690" s="68">
        <v>570</v>
      </c>
      <c r="U690" s="68">
        <v>0</v>
      </c>
      <c r="V690" s="68">
        <v>0</v>
      </c>
      <c r="W690" s="68">
        <v>554.98</v>
      </c>
      <c r="X690" s="68">
        <v>65</v>
      </c>
      <c r="Y690" s="68">
        <v>46</v>
      </c>
      <c r="Z690" s="68">
        <v>30</v>
      </c>
      <c r="AA690" s="68">
        <v>29</v>
      </c>
      <c r="AB690" s="300">
        <f t="shared" si="73"/>
        <v>433.55</v>
      </c>
      <c r="AC690" s="300">
        <f t="shared" si="74"/>
        <v>2.6117469879518072</v>
      </c>
      <c r="AD690" s="68">
        <v>13011.48</v>
      </c>
      <c r="AE690" s="68" t="s">
        <v>109</v>
      </c>
      <c r="AF690" s="68" t="s">
        <v>317</v>
      </c>
      <c r="AG690" s="68" t="s">
        <v>317</v>
      </c>
      <c r="AH690" s="68" t="s">
        <v>2030</v>
      </c>
      <c r="AI690" s="309"/>
      <c r="AJ690" s="309"/>
      <c r="AK690" s="68" t="s">
        <v>48</v>
      </c>
      <c r="AL690" s="68" t="s">
        <v>50</v>
      </c>
      <c r="AM690" s="299">
        <f t="shared" ca="1" si="70"/>
        <v>3.0763888888832298</v>
      </c>
      <c r="AN690" s="75"/>
      <c r="AO690" s="61" t="s">
        <v>107</v>
      </c>
      <c r="AP690" s="91" t="s">
        <v>2028</v>
      </c>
      <c r="AQ690" s="59" t="s">
        <v>2308</v>
      </c>
      <c r="AR690" s="64">
        <v>44889.534722222219</v>
      </c>
      <c r="AS690" s="61" t="s">
        <v>136</v>
      </c>
      <c r="AT690" s="61" t="s">
        <v>225</v>
      </c>
      <c r="AU690" s="63">
        <v>0.53472222222222221</v>
      </c>
      <c r="AV690" s="61">
        <v>1</v>
      </c>
      <c r="AW690" s="61" t="s">
        <v>66</v>
      </c>
      <c r="AX690" s="76"/>
      <c r="AY690" s="76"/>
      <c r="AZ690" s="76"/>
      <c r="BA690" s="76"/>
      <c r="BB690" s="74"/>
    </row>
    <row r="691" spans="1:54" ht="15.75" thickBot="1" x14ac:dyDescent="0.3">
      <c r="A691" s="73">
        <v>398</v>
      </c>
      <c r="B691" s="72">
        <v>44886.458333333336</v>
      </c>
      <c r="C691" s="67">
        <v>0.46180555555555558</v>
      </c>
      <c r="D691" s="67">
        <v>0.46875</v>
      </c>
      <c r="E691" s="67">
        <v>0.60416666666666663</v>
      </c>
      <c r="F691" s="68" t="s">
        <v>169</v>
      </c>
      <c r="G691" s="68" t="s">
        <v>2027</v>
      </c>
      <c r="H691" s="66" t="s">
        <v>494</v>
      </c>
      <c r="I691" s="66" t="s">
        <v>377</v>
      </c>
      <c r="J691" s="66" t="s">
        <v>41</v>
      </c>
      <c r="K691" s="66" t="s">
        <v>241</v>
      </c>
      <c r="L691" s="66">
        <v>0</v>
      </c>
      <c r="M691" s="68" t="s">
        <v>2028</v>
      </c>
      <c r="N691" s="68" t="s">
        <v>42</v>
      </c>
      <c r="O691" s="68" t="s">
        <v>2029</v>
      </c>
      <c r="P691" s="68">
        <v>10048489</v>
      </c>
      <c r="Q691" s="303">
        <f t="shared" si="71"/>
        <v>0</v>
      </c>
      <c r="R691" s="303">
        <f t="shared" si="72"/>
        <v>0</v>
      </c>
      <c r="S691" s="68">
        <v>0</v>
      </c>
      <c r="T691" s="68">
        <v>0</v>
      </c>
      <c r="U691" s="68">
        <v>0</v>
      </c>
      <c r="V691" s="68">
        <v>0</v>
      </c>
      <c r="W691" s="68">
        <v>0</v>
      </c>
      <c r="X691" s="68">
        <v>65</v>
      </c>
      <c r="Y691" s="68">
        <v>46</v>
      </c>
      <c r="Z691" s="68">
        <v>20</v>
      </c>
      <c r="AA691" s="68">
        <v>4</v>
      </c>
      <c r="AB691" s="300">
        <f t="shared" si="73"/>
        <v>39.866666666666667</v>
      </c>
      <c r="AC691" s="300">
        <f t="shared" si="74"/>
        <v>0.24016064257028114</v>
      </c>
      <c r="AD691" s="68">
        <v>0</v>
      </c>
      <c r="AE691" s="68">
        <v>0</v>
      </c>
      <c r="AF691" s="68" t="s">
        <v>317</v>
      </c>
      <c r="AG691" s="68" t="s">
        <v>317</v>
      </c>
      <c r="AH691" s="68" t="s">
        <v>2030</v>
      </c>
      <c r="AI691" s="309"/>
      <c r="AJ691" s="309"/>
      <c r="AK691" s="68" t="s">
        <v>48</v>
      </c>
      <c r="AL691" s="68" t="s">
        <v>50</v>
      </c>
      <c r="AM691" s="299">
        <f t="shared" ca="1" si="70"/>
        <v>3.0763888888832298</v>
      </c>
      <c r="AN691" s="75"/>
      <c r="AO691" s="61" t="s">
        <v>107</v>
      </c>
      <c r="AP691" s="91" t="s">
        <v>2028</v>
      </c>
      <c r="AQ691" s="59" t="s">
        <v>2308</v>
      </c>
      <c r="AR691" s="64">
        <v>44889.534722222219</v>
      </c>
      <c r="AS691" s="61" t="s">
        <v>136</v>
      </c>
      <c r="AT691" s="61" t="s">
        <v>225</v>
      </c>
      <c r="AU691" s="63">
        <v>0.53472222222222221</v>
      </c>
      <c r="AV691" s="61">
        <v>1</v>
      </c>
      <c r="AW691" s="61" t="s">
        <v>66</v>
      </c>
      <c r="AX691" s="76"/>
      <c r="AY691" s="76"/>
      <c r="AZ691" s="76"/>
      <c r="BA691" s="76"/>
      <c r="BB691" s="74"/>
    </row>
    <row r="692" spans="1:54" ht="15.75" thickBot="1" x14ac:dyDescent="0.3">
      <c r="A692" s="73">
        <v>398</v>
      </c>
      <c r="B692" s="72">
        <v>44886.458333333336</v>
      </c>
      <c r="C692" s="67">
        <v>0.46180555555555558</v>
      </c>
      <c r="D692" s="67">
        <v>0.46875</v>
      </c>
      <c r="E692" s="67">
        <v>0.60416666666666663</v>
      </c>
      <c r="F692" s="68" t="s">
        <v>169</v>
      </c>
      <c r="G692" s="68" t="s">
        <v>2027</v>
      </c>
      <c r="H692" s="66" t="s">
        <v>494</v>
      </c>
      <c r="I692" s="66" t="s">
        <v>377</v>
      </c>
      <c r="J692" s="66" t="s">
        <v>41</v>
      </c>
      <c r="K692" s="66" t="s">
        <v>241</v>
      </c>
      <c r="L692" s="66">
        <v>0</v>
      </c>
      <c r="M692" s="68" t="s">
        <v>2028</v>
      </c>
      <c r="N692" s="68" t="s">
        <v>42</v>
      </c>
      <c r="O692" s="68" t="s">
        <v>2029</v>
      </c>
      <c r="P692" s="68">
        <v>10048489</v>
      </c>
      <c r="Q692" s="303">
        <f t="shared" si="71"/>
        <v>0</v>
      </c>
      <c r="R692" s="303">
        <f t="shared" si="72"/>
        <v>0</v>
      </c>
      <c r="S692" s="68">
        <v>0</v>
      </c>
      <c r="T692" s="68">
        <v>0</v>
      </c>
      <c r="U692" s="68">
        <v>0</v>
      </c>
      <c r="V692" s="68">
        <v>0</v>
      </c>
      <c r="W692" s="68">
        <v>0</v>
      </c>
      <c r="X692" s="68">
        <v>65</v>
      </c>
      <c r="Y692" s="68">
        <v>46</v>
      </c>
      <c r="Z692" s="68">
        <v>16</v>
      </c>
      <c r="AA692" s="68">
        <v>1</v>
      </c>
      <c r="AB692" s="300">
        <f t="shared" si="73"/>
        <v>7.9733333333333336</v>
      </c>
      <c r="AC692" s="300">
        <f t="shared" si="74"/>
        <v>4.8032128514056228E-2</v>
      </c>
      <c r="AD692" s="68">
        <v>0</v>
      </c>
      <c r="AE692" s="68">
        <v>0</v>
      </c>
      <c r="AF692" s="68" t="s">
        <v>317</v>
      </c>
      <c r="AG692" s="68" t="s">
        <v>317</v>
      </c>
      <c r="AH692" s="68" t="s">
        <v>2030</v>
      </c>
      <c r="AI692" s="309"/>
      <c r="AJ692" s="309"/>
      <c r="AK692" s="68" t="s">
        <v>48</v>
      </c>
      <c r="AL692" s="68" t="s">
        <v>50</v>
      </c>
      <c r="AM692" s="299">
        <f t="shared" ca="1" si="70"/>
        <v>3.0763888888832298</v>
      </c>
      <c r="AN692" s="75"/>
      <c r="AO692" s="61" t="s">
        <v>107</v>
      </c>
      <c r="AP692" s="91" t="s">
        <v>2028</v>
      </c>
      <c r="AQ692" s="59" t="s">
        <v>2308</v>
      </c>
      <c r="AR692" s="64">
        <v>44889.534722222219</v>
      </c>
      <c r="AS692" s="61" t="s">
        <v>136</v>
      </c>
      <c r="AT692" s="61" t="s">
        <v>225</v>
      </c>
      <c r="AU692" s="63">
        <v>0.53472222222222221</v>
      </c>
      <c r="AV692" s="61">
        <v>1</v>
      </c>
      <c r="AW692" s="61" t="s">
        <v>66</v>
      </c>
      <c r="AX692" s="76"/>
      <c r="AY692" s="76"/>
      <c r="AZ692" s="76"/>
      <c r="BA692" s="76"/>
      <c r="BB692" s="74"/>
    </row>
    <row r="693" spans="1:54" x14ac:dyDescent="0.25">
      <c r="A693" s="73">
        <v>399</v>
      </c>
      <c r="B693" s="72">
        <v>44886.527777777781</v>
      </c>
      <c r="C693" s="67">
        <v>0.52777777777777779</v>
      </c>
      <c r="D693" s="67">
        <v>0.53472222222222221</v>
      </c>
      <c r="E693" s="67">
        <v>0.54166666666666663</v>
      </c>
      <c r="F693" s="68" t="s">
        <v>171</v>
      </c>
      <c r="G693" s="68" t="s">
        <v>439</v>
      </c>
      <c r="H693" s="71" t="s">
        <v>2031</v>
      </c>
      <c r="I693" s="71" t="s">
        <v>2032</v>
      </c>
      <c r="J693" s="71" t="s">
        <v>37</v>
      </c>
      <c r="K693" s="71" t="s">
        <v>180</v>
      </c>
      <c r="L693" s="71" t="s">
        <v>206</v>
      </c>
      <c r="M693" s="68" t="s">
        <v>2033</v>
      </c>
      <c r="N693" s="68" t="s">
        <v>462</v>
      </c>
      <c r="O693" s="68" t="s">
        <v>2034</v>
      </c>
      <c r="P693" s="68" t="s">
        <v>2035</v>
      </c>
      <c r="Q693" s="303">
        <f t="shared" si="71"/>
        <v>4</v>
      </c>
      <c r="R693" s="303">
        <f t="shared" si="72"/>
        <v>0</v>
      </c>
      <c r="S693" s="68">
        <v>0</v>
      </c>
      <c r="T693" s="68">
        <v>0</v>
      </c>
      <c r="U693" s="68">
        <v>4</v>
      </c>
      <c r="V693" s="68">
        <v>0</v>
      </c>
      <c r="W693" s="68">
        <v>1800</v>
      </c>
      <c r="X693" s="68">
        <v>0</v>
      </c>
      <c r="Y693" s="68">
        <v>0</v>
      </c>
      <c r="Z693" s="68">
        <v>0</v>
      </c>
      <c r="AA693" s="68">
        <v>4</v>
      </c>
      <c r="AB693" s="300">
        <f t="shared" si="73"/>
        <v>0</v>
      </c>
      <c r="AC693" s="300">
        <f t="shared" si="74"/>
        <v>0</v>
      </c>
      <c r="AD693" s="68">
        <v>2805.41</v>
      </c>
      <c r="AE693" s="68" t="s">
        <v>109</v>
      </c>
      <c r="AF693" s="68" t="s">
        <v>317</v>
      </c>
      <c r="AG693" s="68" t="s">
        <v>317</v>
      </c>
      <c r="AH693" s="68" t="s">
        <v>2036</v>
      </c>
      <c r="AI693" s="309"/>
      <c r="AJ693" s="309"/>
      <c r="AK693" s="68" t="s">
        <v>37</v>
      </c>
      <c r="AL693" s="68" t="s">
        <v>58</v>
      </c>
      <c r="AM693" s="299">
        <f t="shared" ca="1" si="70"/>
        <v>2.4305555554747116E-2</v>
      </c>
      <c r="AN693" s="51"/>
      <c r="AO693" s="61" t="s">
        <v>467</v>
      </c>
      <c r="AP693" s="62" t="s">
        <v>2033</v>
      </c>
      <c r="AQ693" s="61" t="s">
        <v>2049</v>
      </c>
      <c r="AR693" s="64">
        <v>44886.552083333336</v>
      </c>
      <c r="AS693" s="61" t="s">
        <v>439</v>
      </c>
      <c r="AT693" s="61" t="s">
        <v>827</v>
      </c>
      <c r="AU693" s="63">
        <v>0.55208333333333337</v>
      </c>
      <c r="AV693" s="61">
        <v>1</v>
      </c>
      <c r="AW693" s="61" t="s">
        <v>66</v>
      </c>
      <c r="AX693" s="52"/>
      <c r="AY693" s="52"/>
      <c r="AZ693" s="52"/>
      <c r="BA693" s="52"/>
    </row>
    <row r="694" spans="1:54" x14ac:dyDescent="0.25">
      <c r="A694" s="73">
        <v>400</v>
      </c>
      <c r="B694" s="72">
        <v>44886.642361111109</v>
      </c>
      <c r="C694" s="67">
        <v>0.64236111111111105</v>
      </c>
      <c r="D694" s="67">
        <v>0.64583333333333337</v>
      </c>
      <c r="E694" s="67">
        <v>0.65972222222222221</v>
      </c>
      <c r="F694" s="68" t="s">
        <v>171</v>
      </c>
      <c r="G694" s="68" t="s">
        <v>136</v>
      </c>
      <c r="H694" s="66" t="s">
        <v>254</v>
      </c>
      <c r="I694" s="66" t="s">
        <v>2037</v>
      </c>
      <c r="J694" s="66" t="s">
        <v>37</v>
      </c>
      <c r="K694" s="66" t="s">
        <v>180</v>
      </c>
      <c r="L694" s="66" t="s">
        <v>209</v>
      </c>
      <c r="M694" s="68" t="s">
        <v>2038</v>
      </c>
      <c r="N694" s="68" t="s">
        <v>160</v>
      </c>
      <c r="O694" s="68" t="s">
        <v>2039</v>
      </c>
      <c r="P694" s="68">
        <v>1000473351</v>
      </c>
      <c r="Q694" s="303">
        <f t="shared" si="71"/>
        <v>1</v>
      </c>
      <c r="R694" s="303">
        <f t="shared" si="72"/>
        <v>255</v>
      </c>
      <c r="S694" s="68">
        <v>0</v>
      </c>
      <c r="T694" s="68">
        <v>0</v>
      </c>
      <c r="U694" s="68">
        <v>1</v>
      </c>
      <c r="V694" s="68">
        <v>255</v>
      </c>
      <c r="W694" s="68">
        <v>253</v>
      </c>
      <c r="X694" s="68">
        <v>125</v>
      </c>
      <c r="Y694" s="68">
        <v>120</v>
      </c>
      <c r="Z694" s="68">
        <v>78</v>
      </c>
      <c r="AA694" s="68">
        <v>1</v>
      </c>
      <c r="AB694" s="300">
        <f t="shared" si="73"/>
        <v>195</v>
      </c>
      <c r="AC694" s="300">
        <f t="shared" si="74"/>
        <v>1.1746987951807228</v>
      </c>
      <c r="AD694" s="68">
        <v>24392.400000000001</v>
      </c>
      <c r="AE694" s="68" t="s">
        <v>111</v>
      </c>
      <c r="AF694" s="68" t="s">
        <v>317</v>
      </c>
      <c r="AG694" s="68" t="s">
        <v>317</v>
      </c>
      <c r="AH694" s="68" t="s">
        <v>2040</v>
      </c>
      <c r="AI694" s="309"/>
      <c r="AJ694" s="309"/>
      <c r="AK694" s="68" t="s">
        <v>37</v>
      </c>
      <c r="AL694" s="68" t="s">
        <v>39</v>
      </c>
      <c r="AM694" s="299">
        <f t="shared" ca="1" si="70"/>
        <v>0.82986111110949423</v>
      </c>
      <c r="AN694" s="51"/>
      <c r="AO694" s="61" t="s">
        <v>474</v>
      </c>
      <c r="AP694" s="62" t="s">
        <v>2038</v>
      </c>
      <c r="AQ694" s="61" t="s">
        <v>2172</v>
      </c>
      <c r="AR694" s="64">
        <v>44887.472222222219</v>
      </c>
      <c r="AS694" s="61" t="s">
        <v>136</v>
      </c>
      <c r="AT694" s="61" t="s">
        <v>225</v>
      </c>
      <c r="AU694" s="63">
        <v>0.47222222222222227</v>
      </c>
      <c r="AV694" s="61">
        <v>1</v>
      </c>
      <c r="AW694" s="61" t="s">
        <v>66</v>
      </c>
      <c r="AX694" s="52"/>
      <c r="AY694" s="52"/>
      <c r="AZ694" s="52"/>
      <c r="BA694" s="52"/>
    </row>
    <row r="695" spans="1:54" x14ac:dyDescent="0.25">
      <c r="A695" s="73">
        <v>401</v>
      </c>
      <c r="B695" s="72">
        <v>44886.642361111109</v>
      </c>
      <c r="C695" s="67">
        <v>0.64236111111111105</v>
      </c>
      <c r="D695" s="67">
        <v>0.64583333333333337</v>
      </c>
      <c r="E695" s="67">
        <v>0.65972222222222221</v>
      </c>
      <c r="F695" s="68" t="s">
        <v>171</v>
      </c>
      <c r="G695" s="68" t="s">
        <v>136</v>
      </c>
      <c r="H695" s="66" t="s">
        <v>254</v>
      </c>
      <c r="I695" s="66" t="s">
        <v>2037</v>
      </c>
      <c r="J695" s="66" t="s">
        <v>37</v>
      </c>
      <c r="K695" s="66" t="s">
        <v>180</v>
      </c>
      <c r="L695" s="66" t="s">
        <v>209</v>
      </c>
      <c r="M695" s="68" t="s">
        <v>2041</v>
      </c>
      <c r="N695" s="68" t="s">
        <v>340</v>
      </c>
      <c r="O695" s="68" t="s">
        <v>2042</v>
      </c>
      <c r="P695" s="68" t="s">
        <v>2043</v>
      </c>
      <c r="Q695" s="303">
        <f t="shared" si="71"/>
        <v>2</v>
      </c>
      <c r="R695" s="303">
        <f t="shared" si="72"/>
        <v>329</v>
      </c>
      <c r="S695" s="68">
        <v>0</v>
      </c>
      <c r="T695" s="68">
        <v>0</v>
      </c>
      <c r="U695" s="68">
        <v>2</v>
      </c>
      <c r="V695" s="68">
        <v>329</v>
      </c>
      <c r="W695" s="68">
        <v>331</v>
      </c>
      <c r="X695" s="68">
        <v>125</v>
      </c>
      <c r="Y695" s="68">
        <v>120</v>
      </c>
      <c r="Z695" s="68">
        <v>77</v>
      </c>
      <c r="AA695" s="68">
        <v>1</v>
      </c>
      <c r="AB695" s="300">
        <f t="shared" si="73"/>
        <v>192.5</v>
      </c>
      <c r="AC695" s="300">
        <f t="shared" si="74"/>
        <v>1.1596385542168675</v>
      </c>
      <c r="AD695" s="68">
        <v>33812</v>
      </c>
      <c r="AE695" s="68" t="s">
        <v>111</v>
      </c>
      <c r="AF695" s="68" t="s">
        <v>317</v>
      </c>
      <c r="AG695" s="68" t="s">
        <v>317</v>
      </c>
      <c r="AH695" s="68" t="s">
        <v>2044</v>
      </c>
      <c r="AI695" s="309"/>
      <c r="AJ695" s="309"/>
      <c r="AK695" s="68" t="s">
        <v>37</v>
      </c>
      <c r="AL695" s="68" t="s">
        <v>39</v>
      </c>
      <c r="AM695" s="299">
        <f t="shared" ca="1" si="70"/>
        <v>0.82986111110949423</v>
      </c>
      <c r="AN695" s="51"/>
      <c r="AO695" s="61" t="s">
        <v>81</v>
      </c>
      <c r="AP695" s="62" t="s">
        <v>2041</v>
      </c>
      <c r="AQ695" s="61" t="s">
        <v>2173</v>
      </c>
      <c r="AR695" s="64">
        <v>44887.472222222219</v>
      </c>
      <c r="AS695" s="61" t="s">
        <v>136</v>
      </c>
      <c r="AT695" s="61" t="s">
        <v>225</v>
      </c>
      <c r="AU695" s="63">
        <v>0.47222222222222227</v>
      </c>
      <c r="AV695" s="61">
        <v>1</v>
      </c>
      <c r="AW695" s="61" t="s">
        <v>66</v>
      </c>
      <c r="AX695" s="52"/>
      <c r="AY695" s="52"/>
      <c r="AZ695" s="52"/>
      <c r="BA695" s="52"/>
    </row>
    <row r="696" spans="1:54" x14ac:dyDescent="0.25">
      <c r="A696" s="73">
        <v>401</v>
      </c>
      <c r="B696" s="72">
        <v>44886.642361111109</v>
      </c>
      <c r="C696" s="67">
        <v>0.64236111111111105</v>
      </c>
      <c r="D696" s="67">
        <v>0.64583333333333337</v>
      </c>
      <c r="E696" s="67">
        <v>0.65972222222222221</v>
      </c>
      <c r="F696" s="68" t="s">
        <v>171</v>
      </c>
      <c r="G696" s="68" t="s">
        <v>136</v>
      </c>
      <c r="H696" s="66" t="s">
        <v>254</v>
      </c>
      <c r="I696" s="66" t="s">
        <v>2037</v>
      </c>
      <c r="J696" s="66" t="s">
        <v>37</v>
      </c>
      <c r="K696" s="66" t="s">
        <v>180</v>
      </c>
      <c r="L696" s="66" t="s">
        <v>209</v>
      </c>
      <c r="M696" s="68" t="s">
        <v>2041</v>
      </c>
      <c r="N696" s="68" t="s">
        <v>340</v>
      </c>
      <c r="O696" s="68" t="s">
        <v>2042</v>
      </c>
      <c r="P696" s="68" t="s">
        <v>2043</v>
      </c>
      <c r="Q696" s="303">
        <f t="shared" si="71"/>
        <v>0</v>
      </c>
      <c r="R696" s="303">
        <f t="shared" si="72"/>
        <v>0</v>
      </c>
      <c r="S696" s="68">
        <v>0</v>
      </c>
      <c r="T696" s="68">
        <v>0</v>
      </c>
      <c r="U696" s="68">
        <v>0</v>
      </c>
      <c r="V696" s="68">
        <v>0</v>
      </c>
      <c r="W696" s="68">
        <v>0</v>
      </c>
      <c r="X696" s="68">
        <v>125</v>
      </c>
      <c r="Y696" s="68">
        <v>74</v>
      </c>
      <c r="Z696" s="68">
        <v>78</v>
      </c>
      <c r="AA696" s="68">
        <v>1</v>
      </c>
      <c r="AB696" s="300">
        <f t="shared" si="73"/>
        <v>120.25</v>
      </c>
      <c r="AC696" s="300">
        <f t="shared" si="74"/>
        <v>0.7243975903614458</v>
      </c>
      <c r="AD696" s="68">
        <v>0</v>
      </c>
      <c r="AE696" s="68">
        <v>0</v>
      </c>
      <c r="AF696" s="68" t="s">
        <v>317</v>
      </c>
      <c r="AG696" s="68" t="s">
        <v>317</v>
      </c>
      <c r="AH696" s="68" t="s">
        <v>2044</v>
      </c>
      <c r="AI696" s="309"/>
      <c r="AJ696" s="309"/>
      <c r="AK696" s="68" t="s">
        <v>37</v>
      </c>
      <c r="AL696" s="68" t="s">
        <v>39</v>
      </c>
      <c r="AM696" s="299">
        <f t="shared" ca="1" si="70"/>
        <v>0.82986111110949423</v>
      </c>
      <c r="AN696" s="51"/>
      <c r="AO696" s="61" t="s">
        <v>81</v>
      </c>
      <c r="AP696" s="62" t="s">
        <v>2041</v>
      </c>
      <c r="AQ696" s="61" t="s">
        <v>2173</v>
      </c>
      <c r="AR696" s="64">
        <v>44887.472222222219</v>
      </c>
      <c r="AS696" s="61" t="s">
        <v>136</v>
      </c>
      <c r="AT696" s="61" t="s">
        <v>225</v>
      </c>
      <c r="AU696" s="63">
        <v>0.47222222222222227</v>
      </c>
      <c r="AV696" s="61">
        <v>1</v>
      </c>
      <c r="AW696" s="61" t="s">
        <v>66</v>
      </c>
      <c r="AX696" s="52"/>
      <c r="AY696" s="52"/>
      <c r="AZ696" s="52"/>
      <c r="BA696" s="52"/>
    </row>
    <row r="697" spans="1:54" x14ac:dyDescent="0.25">
      <c r="A697" s="73">
        <v>402</v>
      </c>
      <c r="B697" s="72">
        <v>44886.659722222219</v>
      </c>
      <c r="C697" s="67">
        <v>0.65972222222222221</v>
      </c>
      <c r="D697" s="67">
        <v>0.66319444444444442</v>
      </c>
      <c r="E697" s="67">
        <v>0.67013888888888884</v>
      </c>
      <c r="F697" s="68" t="s">
        <v>171</v>
      </c>
      <c r="G697" s="68" t="s">
        <v>2051</v>
      </c>
      <c r="H697" s="71" t="s">
        <v>144</v>
      </c>
      <c r="I697" s="71" t="s">
        <v>69</v>
      </c>
      <c r="J697" s="71" t="s">
        <v>37</v>
      </c>
      <c r="K697" s="68" t="s">
        <v>180</v>
      </c>
      <c r="L697" s="69" t="s">
        <v>206</v>
      </c>
      <c r="M697" s="68" t="s">
        <v>2052</v>
      </c>
      <c r="N697" s="68" t="s">
        <v>42</v>
      </c>
      <c r="O697" s="68">
        <v>75045771</v>
      </c>
      <c r="P697" s="68">
        <v>87006685</v>
      </c>
      <c r="Q697" s="303">
        <f t="shared" si="71"/>
        <v>7</v>
      </c>
      <c r="R697" s="303">
        <f t="shared" si="72"/>
        <v>53</v>
      </c>
      <c r="S697" s="68">
        <v>7</v>
      </c>
      <c r="T697" s="68">
        <v>53</v>
      </c>
      <c r="U697" s="68">
        <v>0</v>
      </c>
      <c r="V697" s="68">
        <v>0</v>
      </c>
      <c r="W697" s="68">
        <v>42.28</v>
      </c>
      <c r="X697" s="68">
        <v>72</v>
      </c>
      <c r="Y697" s="68">
        <v>39</v>
      </c>
      <c r="Z697" s="68">
        <v>14</v>
      </c>
      <c r="AA697" s="68">
        <v>7</v>
      </c>
      <c r="AB697" s="300">
        <f t="shared" si="73"/>
        <v>45.863999999999997</v>
      </c>
      <c r="AC697" s="300">
        <f t="shared" si="74"/>
        <v>0.27628915662650599</v>
      </c>
      <c r="AD697" s="68">
        <v>322</v>
      </c>
      <c r="AE697" s="68" t="s">
        <v>109</v>
      </c>
      <c r="AF697" s="68" t="s">
        <v>317</v>
      </c>
      <c r="AG697" s="68" t="s">
        <v>317</v>
      </c>
      <c r="AH697" s="68" t="s">
        <v>2053</v>
      </c>
      <c r="AI697" s="309"/>
      <c r="AJ697" s="309"/>
      <c r="AK697" s="68" t="s">
        <v>48</v>
      </c>
      <c r="AL697" s="68" t="s">
        <v>50</v>
      </c>
      <c r="AM697" s="299">
        <f t="shared" ca="1" si="70"/>
        <v>1.0520833333357587</v>
      </c>
      <c r="AN697" s="51"/>
      <c r="AO697" s="61" t="s">
        <v>247</v>
      </c>
      <c r="AP697" s="91" t="s">
        <v>2187</v>
      </c>
      <c r="AQ697" s="59" t="s">
        <v>2188</v>
      </c>
      <c r="AR697" s="64">
        <v>44887.711805555555</v>
      </c>
      <c r="AS697" s="61" t="s">
        <v>483</v>
      </c>
      <c r="AT697" s="61" t="s">
        <v>65</v>
      </c>
      <c r="AU697" s="63">
        <v>0.71180555555555547</v>
      </c>
      <c r="AV697" s="61">
        <v>1</v>
      </c>
      <c r="AW697" s="61" t="s">
        <v>66</v>
      </c>
      <c r="AX697" s="52"/>
      <c r="AY697" s="52"/>
      <c r="AZ697" s="52"/>
      <c r="BA697" s="52"/>
    </row>
    <row r="698" spans="1:54" x14ac:dyDescent="0.25">
      <c r="A698" s="73">
        <v>403</v>
      </c>
      <c r="B698" s="72">
        <v>44886.673611111109</v>
      </c>
      <c r="C698" s="67">
        <v>0.67708333333333337</v>
      </c>
      <c r="D698" s="67">
        <v>0.68402777777777779</v>
      </c>
      <c r="E698" s="67">
        <v>0.69444444444444453</v>
      </c>
      <c r="F698" s="68" t="s">
        <v>171</v>
      </c>
      <c r="G698" s="68" t="s">
        <v>2054</v>
      </c>
      <c r="H698" s="66" t="s">
        <v>485</v>
      </c>
      <c r="I698" s="66" t="s">
        <v>2055</v>
      </c>
      <c r="J698" s="66" t="s">
        <v>37</v>
      </c>
      <c r="K698" s="66" t="s">
        <v>180</v>
      </c>
      <c r="L698" s="66">
        <v>0</v>
      </c>
      <c r="M698" s="68" t="s">
        <v>2056</v>
      </c>
      <c r="N698" s="68" t="s">
        <v>2057</v>
      </c>
      <c r="O698" s="68" t="s">
        <v>2058</v>
      </c>
      <c r="P698" s="68" t="s">
        <v>2059</v>
      </c>
      <c r="Q698" s="303">
        <f t="shared" si="71"/>
        <v>1</v>
      </c>
      <c r="R698" s="303">
        <f t="shared" si="72"/>
        <v>1449</v>
      </c>
      <c r="S698" s="68">
        <v>0</v>
      </c>
      <c r="T698" s="68">
        <v>0</v>
      </c>
      <c r="U698" s="68">
        <v>1</v>
      </c>
      <c r="V698" s="68">
        <v>1449</v>
      </c>
      <c r="W698" s="68">
        <v>1505</v>
      </c>
      <c r="X698" s="68">
        <v>127</v>
      </c>
      <c r="Y698" s="68">
        <v>72</v>
      </c>
      <c r="Z698" s="68">
        <v>107</v>
      </c>
      <c r="AA698" s="68">
        <v>1</v>
      </c>
      <c r="AB698" s="300">
        <f t="shared" si="73"/>
        <v>163.06800000000001</v>
      </c>
      <c r="AC698" s="300">
        <f t="shared" si="74"/>
        <v>0.98233734939759043</v>
      </c>
      <c r="AD698" s="68">
        <v>191500</v>
      </c>
      <c r="AE698" s="68" t="s">
        <v>109</v>
      </c>
      <c r="AF698" s="68" t="s">
        <v>317</v>
      </c>
      <c r="AG698" s="68" t="s">
        <v>317</v>
      </c>
      <c r="AH698" s="68" t="s">
        <v>2060</v>
      </c>
      <c r="AI698" s="309"/>
      <c r="AJ698" s="309"/>
      <c r="AK698" s="68" t="s">
        <v>41</v>
      </c>
      <c r="AL698" s="68" t="s">
        <v>94</v>
      </c>
      <c r="AM698" s="299">
        <f t="shared" ca="1" si="70"/>
        <v>3.96875</v>
      </c>
      <c r="AN698" s="51"/>
      <c r="AO698" s="57" t="s">
        <v>2403</v>
      </c>
      <c r="AP698" s="62" t="s">
        <v>2056</v>
      </c>
      <c r="AQ698" s="63" t="s">
        <v>2404</v>
      </c>
      <c r="AR698" s="64">
        <v>44890.642361111109</v>
      </c>
      <c r="AS698" s="61" t="s">
        <v>136</v>
      </c>
      <c r="AT698" s="61" t="s">
        <v>225</v>
      </c>
      <c r="AU698" s="63">
        <v>0.64236111111111105</v>
      </c>
      <c r="AV698" s="61">
        <v>1</v>
      </c>
      <c r="AW698" s="61" t="s">
        <v>66</v>
      </c>
      <c r="AX698" s="52"/>
      <c r="AY698" s="52"/>
      <c r="AZ698" s="52"/>
      <c r="BA698" s="52"/>
    </row>
    <row r="699" spans="1:54" ht="15.75" thickBot="1" x14ac:dyDescent="0.3">
      <c r="A699" s="73">
        <v>404</v>
      </c>
      <c r="B699" s="72">
        <v>44886.673611111109</v>
      </c>
      <c r="C699" s="67">
        <v>0.67708333333333337</v>
      </c>
      <c r="D699" s="67">
        <v>0.68402777777777779</v>
      </c>
      <c r="E699" s="67">
        <v>0.69444444444444453</v>
      </c>
      <c r="F699" s="68" t="s">
        <v>171</v>
      </c>
      <c r="G699" s="68" t="s">
        <v>2054</v>
      </c>
      <c r="H699" s="66" t="s">
        <v>485</v>
      </c>
      <c r="I699" s="66" t="s">
        <v>2055</v>
      </c>
      <c r="J699" s="66" t="s">
        <v>37</v>
      </c>
      <c r="K699" s="66" t="s">
        <v>180</v>
      </c>
      <c r="L699" s="66">
        <v>0</v>
      </c>
      <c r="M699" s="68" t="s">
        <v>2056</v>
      </c>
      <c r="N699" s="68" t="s">
        <v>2057</v>
      </c>
      <c r="O699" s="68" t="s">
        <v>2061</v>
      </c>
      <c r="P699" s="68" t="s">
        <v>2062</v>
      </c>
      <c r="Q699" s="303">
        <f t="shared" si="71"/>
        <v>1</v>
      </c>
      <c r="R699" s="303">
        <f t="shared" si="72"/>
        <v>1443</v>
      </c>
      <c r="S699" s="68">
        <v>0</v>
      </c>
      <c r="T699" s="68">
        <v>0</v>
      </c>
      <c r="U699" s="68">
        <v>1</v>
      </c>
      <c r="V699" s="68">
        <v>1443</v>
      </c>
      <c r="W699" s="68">
        <v>1510</v>
      </c>
      <c r="X699" s="68">
        <v>127</v>
      </c>
      <c r="Y699" s="68">
        <v>72</v>
      </c>
      <c r="Z699" s="68">
        <v>107</v>
      </c>
      <c r="AA699" s="68">
        <v>1</v>
      </c>
      <c r="AB699" s="300">
        <f t="shared" si="73"/>
        <v>163.06800000000001</v>
      </c>
      <c r="AC699" s="300">
        <f t="shared" si="74"/>
        <v>0.98233734939759043</v>
      </c>
      <c r="AD699" s="68">
        <v>185000</v>
      </c>
      <c r="AE699" s="68" t="s">
        <v>109</v>
      </c>
      <c r="AF699" s="68" t="s">
        <v>317</v>
      </c>
      <c r="AG699" s="68" t="s">
        <v>317</v>
      </c>
      <c r="AH699" s="68" t="s">
        <v>2063</v>
      </c>
      <c r="AI699" s="309"/>
      <c r="AJ699" s="309"/>
      <c r="AK699" s="68" t="s">
        <v>41</v>
      </c>
      <c r="AL699" s="68" t="s">
        <v>94</v>
      </c>
      <c r="AM699" s="299">
        <f t="shared" ca="1" si="70"/>
        <v>3.96875</v>
      </c>
      <c r="AN699" s="51"/>
      <c r="AO699" s="57" t="s">
        <v>2403</v>
      </c>
      <c r="AP699" s="62" t="s">
        <v>2056</v>
      </c>
      <c r="AQ699" s="63" t="s">
        <v>2404</v>
      </c>
      <c r="AR699" s="64">
        <v>44890.642361111109</v>
      </c>
      <c r="AS699" s="61" t="s">
        <v>136</v>
      </c>
      <c r="AT699" s="61" t="s">
        <v>225</v>
      </c>
      <c r="AU699" s="63">
        <v>0.64236111111111105</v>
      </c>
      <c r="AV699" s="61">
        <v>1</v>
      </c>
      <c r="AW699" s="61" t="s">
        <v>66</v>
      </c>
      <c r="AX699" s="52"/>
      <c r="AY699" s="52"/>
      <c r="AZ699" s="52"/>
      <c r="BA699" s="52"/>
    </row>
    <row r="700" spans="1:54" ht="15.75" thickBot="1" x14ac:dyDescent="0.3">
      <c r="A700" s="73">
        <v>405</v>
      </c>
      <c r="B700" s="72">
        <v>44886.729166666664</v>
      </c>
      <c r="C700" s="67">
        <v>0.73263888888888884</v>
      </c>
      <c r="D700" s="67">
        <v>0.73958333333333337</v>
      </c>
      <c r="E700" s="67">
        <v>0.74305555555555547</v>
      </c>
      <c r="F700" s="68" t="s">
        <v>171</v>
      </c>
      <c r="G700" s="68" t="s">
        <v>101</v>
      </c>
      <c r="H700" s="71" t="s">
        <v>91</v>
      </c>
      <c r="I700" s="71" t="s">
        <v>287</v>
      </c>
      <c r="J700" s="71" t="s">
        <v>41</v>
      </c>
      <c r="K700" s="71" t="s">
        <v>180</v>
      </c>
      <c r="L700" s="47" t="s">
        <v>206</v>
      </c>
      <c r="M700" s="68" t="s">
        <v>2064</v>
      </c>
      <c r="N700" s="68" t="s">
        <v>44</v>
      </c>
      <c r="O700" s="68">
        <v>1054969258</v>
      </c>
      <c r="P700" s="68">
        <v>1213956882</v>
      </c>
      <c r="Q700" s="303">
        <f t="shared" si="71"/>
        <v>1</v>
      </c>
      <c r="R700" s="303">
        <f t="shared" si="72"/>
        <v>50</v>
      </c>
      <c r="S700" s="68">
        <v>0</v>
      </c>
      <c r="T700" s="68">
        <v>0</v>
      </c>
      <c r="U700" s="68">
        <v>1</v>
      </c>
      <c r="V700" s="68">
        <v>50</v>
      </c>
      <c r="W700" s="68">
        <v>51</v>
      </c>
      <c r="X700" s="68">
        <v>99</v>
      </c>
      <c r="Y700" s="68">
        <v>78</v>
      </c>
      <c r="Z700" s="68">
        <v>54</v>
      </c>
      <c r="AA700" s="68">
        <v>1</v>
      </c>
      <c r="AB700" s="300">
        <f t="shared" si="73"/>
        <v>69.498000000000005</v>
      </c>
      <c r="AC700" s="300">
        <f t="shared" si="74"/>
        <v>0.41866265060240965</v>
      </c>
      <c r="AD700" s="68">
        <v>9477.89</v>
      </c>
      <c r="AE700" s="68" t="s">
        <v>109</v>
      </c>
      <c r="AF700" s="68" t="s">
        <v>317</v>
      </c>
      <c r="AG700" s="68" t="s">
        <v>317</v>
      </c>
      <c r="AH700" s="68" t="s">
        <v>2065</v>
      </c>
      <c r="AI700" s="309"/>
      <c r="AJ700" s="309"/>
      <c r="AK700" s="68" t="s">
        <v>37</v>
      </c>
      <c r="AL700" s="68" t="s">
        <v>49</v>
      </c>
      <c r="AM700" s="299">
        <f t="shared" ca="1" si="70"/>
        <v>0.98263888889050577</v>
      </c>
      <c r="AN700" s="75"/>
      <c r="AO700" s="61" t="s">
        <v>53</v>
      </c>
      <c r="AP700" s="91" t="s">
        <v>2064</v>
      </c>
      <c r="AQ700" s="59" t="s">
        <v>2185</v>
      </c>
      <c r="AR700" s="64">
        <v>44887.711805555555</v>
      </c>
      <c r="AS700" s="61" t="s">
        <v>483</v>
      </c>
      <c r="AT700" s="61" t="s">
        <v>65</v>
      </c>
      <c r="AU700" s="63">
        <v>0.71180555555555547</v>
      </c>
      <c r="AV700" s="61">
        <v>1</v>
      </c>
      <c r="AW700" s="61" t="s">
        <v>66</v>
      </c>
      <c r="AX700" s="76"/>
      <c r="AY700" s="76"/>
      <c r="AZ700" s="76"/>
      <c r="BA700" s="76"/>
      <c r="BB700" s="74"/>
    </row>
    <row r="701" spans="1:54" ht="15.75" thickBot="1" x14ac:dyDescent="0.3">
      <c r="A701" s="73">
        <v>406</v>
      </c>
      <c r="B701" s="72">
        <v>44886.75</v>
      </c>
      <c r="C701" s="67">
        <v>0.76388888888888884</v>
      </c>
      <c r="D701" s="67">
        <v>0.77083333333333337</v>
      </c>
      <c r="E701" s="67">
        <v>0.77430555555555547</v>
      </c>
      <c r="F701" s="68" t="s">
        <v>171</v>
      </c>
      <c r="G701" s="68" t="s">
        <v>95</v>
      </c>
      <c r="H701" s="66" t="s">
        <v>2066</v>
      </c>
      <c r="I701" s="66" t="s">
        <v>2067</v>
      </c>
      <c r="J701" s="66" t="s">
        <v>37</v>
      </c>
      <c r="K701" s="66" t="s">
        <v>180</v>
      </c>
      <c r="L701" s="66">
        <v>0</v>
      </c>
      <c r="M701" s="68" t="s">
        <v>2068</v>
      </c>
      <c r="N701" s="68" t="s">
        <v>42</v>
      </c>
      <c r="O701" s="68" t="s">
        <v>2069</v>
      </c>
      <c r="P701" s="68" t="s">
        <v>2070</v>
      </c>
      <c r="Q701" s="303">
        <f t="shared" si="71"/>
        <v>2</v>
      </c>
      <c r="R701" s="303">
        <f t="shared" si="72"/>
        <v>415</v>
      </c>
      <c r="S701" s="68">
        <v>0</v>
      </c>
      <c r="T701" s="68">
        <v>0</v>
      </c>
      <c r="U701" s="68">
        <v>2</v>
      </c>
      <c r="V701" s="68">
        <v>415</v>
      </c>
      <c r="W701" s="68">
        <v>416</v>
      </c>
      <c r="X701" s="68">
        <v>120</v>
      </c>
      <c r="Y701" s="68">
        <v>115</v>
      </c>
      <c r="Z701" s="68">
        <v>50</v>
      </c>
      <c r="AA701" s="68">
        <v>1</v>
      </c>
      <c r="AB701" s="300">
        <f t="shared" si="73"/>
        <v>115</v>
      </c>
      <c r="AC701" s="300">
        <f t="shared" si="74"/>
        <v>0.69277108433734935</v>
      </c>
      <c r="AD701" s="68">
        <v>2295.69</v>
      </c>
      <c r="AE701" s="68" t="s">
        <v>109</v>
      </c>
      <c r="AF701" s="68" t="s">
        <v>317</v>
      </c>
      <c r="AG701" s="68" t="s">
        <v>317</v>
      </c>
      <c r="AH701" s="68" t="s">
        <v>2071</v>
      </c>
      <c r="AI701" s="309"/>
      <c r="AJ701" s="309"/>
      <c r="AK701" s="68" t="s">
        <v>37</v>
      </c>
      <c r="AL701" s="68" t="s">
        <v>58</v>
      </c>
      <c r="AM701" s="299">
        <f t="shared" ca="1" si="70"/>
        <v>2.7847222222189885</v>
      </c>
      <c r="AN701" s="75"/>
      <c r="AO701" s="61" t="s">
        <v>408</v>
      </c>
      <c r="AP701" s="91" t="s">
        <v>2068</v>
      </c>
      <c r="AQ701" s="59" t="s">
        <v>2308</v>
      </c>
      <c r="AR701" s="64">
        <v>44889.534722222219</v>
      </c>
      <c r="AS701" s="61" t="s">
        <v>136</v>
      </c>
      <c r="AT701" s="61" t="s">
        <v>225</v>
      </c>
      <c r="AU701" s="63">
        <v>0.53472222222222221</v>
      </c>
      <c r="AV701" s="61">
        <v>1</v>
      </c>
      <c r="AW701" s="61" t="s">
        <v>66</v>
      </c>
      <c r="AX701" s="76"/>
      <c r="AY701" s="76"/>
      <c r="AZ701" s="76"/>
      <c r="BA701" s="76"/>
      <c r="BB701" s="74"/>
    </row>
    <row r="702" spans="1:54" ht="15.75" thickBot="1" x14ac:dyDescent="0.3">
      <c r="A702" s="73">
        <v>406</v>
      </c>
      <c r="B702" s="72">
        <v>44886.75</v>
      </c>
      <c r="C702" s="67">
        <v>0.76388888888888884</v>
      </c>
      <c r="D702" s="67">
        <v>0.77083333333333337</v>
      </c>
      <c r="E702" s="67">
        <v>0.77430555555555547</v>
      </c>
      <c r="F702" s="68" t="s">
        <v>171</v>
      </c>
      <c r="G702" s="68" t="s">
        <v>95</v>
      </c>
      <c r="H702" s="66" t="s">
        <v>2066</v>
      </c>
      <c r="I702" s="66" t="s">
        <v>2067</v>
      </c>
      <c r="J702" s="66" t="s">
        <v>37</v>
      </c>
      <c r="K702" s="66" t="s">
        <v>180</v>
      </c>
      <c r="L702" s="66">
        <v>0</v>
      </c>
      <c r="M702" s="68" t="s">
        <v>2068</v>
      </c>
      <c r="N702" s="68" t="s">
        <v>42</v>
      </c>
      <c r="O702" s="68" t="s">
        <v>2069</v>
      </c>
      <c r="P702" s="68" t="s">
        <v>2070</v>
      </c>
      <c r="Q702" s="303">
        <f t="shared" si="71"/>
        <v>0</v>
      </c>
      <c r="R702" s="303">
        <f t="shared" si="72"/>
        <v>0</v>
      </c>
      <c r="S702" s="68">
        <v>0</v>
      </c>
      <c r="T702" s="68">
        <v>0</v>
      </c>
      <c r="U702" s="68">
        <v>0</v>
      </c>
      <c r="V702" s="68">
        <v>0</v>
      </c>
      <c r="W702" s="68">
        <v>0</v>
      </c>
      <c r="X702" s="68">
        <v>120</v>
      </c>
      <c r="Y702" s="68">
        <v>115</v>
      </c>
      <c r="Z702" s="68">
        <v>25</v>
      </c>
      <c r="AA702" s="68">
        <v>1</v>
      </c>
      <c r="AB702" s="300">
        <f t="shared" si="73"/>
        <v>57.5</v>
      </c>
      <c r="AC702" s="300">
        <f t="shared" si="74"/>
        <v>0.34638554216867468</v>
      </c>
      <c r="AD702" s="68">
        <v>0</v>
      </c>
      <c r="AE702" s="68">
        <v>0</v>
      </c>
      <c r="AF702" s="68" t="s">
        <v>317</v>
      </c>
      <c r="AG702" s="68" t="s">
        <v>317</v>
      </c>
      <c r="AH702" s="68" t="s">
        <v>2071</v>
      </c>
      <c r="AI702" s="309"/>
      <c r="AJ702" s="309"/>
      <c r="AK702" s="68" t="s">
        <v>37</v>
      </c>
      <c r="AL702" s="68" t="s">
        <v>58</v>
      </c>
      <c r="AM702" s="299">
        <f t="shared" ca="1" si="70"/>
        <v>2.7847222222189885</v>
      </c>
      <c r="AN702" s="75"/>
      <c r="AO702" s="61" t="s">
        <v>408</v>
      </c>
      <c r="AP702" s="91" t="s">
        <v>2068</v>
      </c>
      <c r="AQ702" s="59" t="s">
        <v>2308</v>
      </c>
      <c r="AR702" s="64">
        <v>44889.534722222219</v>
      </c>
      <c r="AS702" s="61" t="s">
        <v>136</v>
      </c>
      <c r="AT702" s="61" t="s">
        <v>225</v>
      </c>
      <c r="AU702" s="63">
        <v>0.53472222222222221</v>
      </c>
      <c r="AV702" s="61">
        <v>1</v>
      </c>
      <c r="AW702" s="61" t="s">
        <v>66</v>
      </c>
      <c r="AX702" s="76"/>
      <c r="AY702" s="76"/>
      <c r="AZ702" s="76"/>
      <c r="BA702" s="76"/>
      <c r="BB702" s="74"/>
    </row>
    <row r="703" spans="1:54" ht="15.75" thickBot="1" x14ac:dyDescent="0.3">
      <c r="A703" s="73">
        <v>407</v>
      </c>
      <c r="B703" s="72">
        <v>44886.78125</v>
      </c>
      <c r="C703" s="67">
        <v>0.78819444444444453</v>
      </c>
      <c r="D703" s="67">
        <v>0.79166666666666663</v>
      </c>
      <c r="E703" s="67">
        <v>0.79513888888888884</v>
      </c>
      <c r="F703" s="68" t="s">
        <v>171</v>
      </c>
      <c r="G703" s="68" t="s">
        <v>200</v>
      </c>
      <c r="H703" s="66" t="s">
        <v>291</v>
      </c>
      <c r="I703" s="66" t="s">
        <v>172</v>
      </c>
      <c r="J703" s="66" t="s">
        <v>37</v>
      </c>
      <c r="K703" s="66" t="s">
        <v>180</v>
      </c>
      <c r="L703" s="70" t="s">
        <v>206</v>
      </c>
      <c r="M703" s="68" t="s">
        <v>2072</v>
      </c>
      <c r="N703" s="68" t="s">
        <v>59</v>
      </c>
      <c r="O703" s="68" t="s">
        <v>2073</v>
      </c>
      <c r="P703" s="68">
        <v>798356</v>
      </c>
      <c r="Q703" s="303">
        <f t="shared" si="71"/>
        <v>7</v>
      </c>
      <c r="R703" s="303">
        <f t="shared" si="72"/>
        <v>98</v>
      </c>
      <c r="S703" s="68">
        <v>7</v>
      </c>
      <c r="T703" s="68">
        <v>98</v>
      </c>
      <c r="U703" s="68">
        <v>0</v>
      </c>
      <c r="V703" s="68">
        <v>0</v>
      </c>
      <c r="W703" s="68">
        <v>98</v>
      </c>
      <c r="X703" s="68">
        <v>58</v>
      </c>
      <c r="Y703" s="68">
        <v>32</v>
      </c>
      <c r="Z703" s="68">
        <v>22</v>
      </c>
      <c r="AA703" s="68">
        <v>7</v>
      </c>
      <c r="AB703" s="300">
        <f t="shared" si="73"/>
        <v>47.637333333333331</v>
      </c>
      <c r="AC703" s="300">
        <f t="shared" si="74"/>
        <v>0.28697188755020081</v>
      </c>
      <c r="AD703" s="68">
        <v>2309.2199999999998</v>
      </c>
      <c r="AE703" s="68" t="s">
        <v>111</v>
      </c>
      <c r="AF703" s="68" t="s">
        <v>317</v>
      </c>
      <c r="AG703" s="68" t="s">
        <v>317</v>
      </c>
      <c r="AH703" s="68" t="s">
        <v>2074</v>
      </c>
      <c r="AI703" s="309"/>
      <c r="AJ703" s="309"/>
      <c r="AK703" s="68" t="s">
        <v>48</v>
      </c>
      <c r="AL703" s="68" t="s">
        <v>47</v>
      </c>
      <c r="AM703" s="299">
        <f t="shared" ca="1" si="70"/>
        <v>0.93055555555474712</v>
      </c>
      <c r="AN703" s="75"/>
      <c r="AO703" s="61" t="s">
        <v>70</v>
      </c>
      <c r="AP703" s="62" t="s">
        <v>2072</v>
      </c>
      <c r="AQ703" s="61" t="s">
        <v>2186</v>
      </c>
      <c r="AR703" s="64">
        <v>44887.711805555555</v>
      </c>
      <c r="AS703" s="61" t="s">
        <v>483</v>
      </c>
      <c r="AT703" s="61" t="s">
        <v>65</v>
      </c>
      <c r="AU703" s="63">
        <v>0.71180555555555547</v>
      </c>
      <c r="AV703" s="61">
        <v>1</v>
      </c>
      <c r="AW703" s="61" t="s">
        <v>66</v>
      </c>
      <c r="AX703" s="76"/>
      <c r="AY703" s="76"/>
      <c r="AZ703" s="76"/>
      <c r="BA703" s="76"/>
      <c r="BB703" s="74"/>
    </row>
    <row r="704" spans="1:54" ht="15.75" thickBot="1" x14ac:dyDescent="0.3">
      <c r="A704" s="73">
        <v>408</v>
      </c>
      <c r="B704" s="72">
        <v>44886.78125</v>
      </c>
      <c r="C704" s="67">
        <v>0.78819444444444453</v>
      </c>
      <c r="D704" s="67">
        <v>0.79166666666666663</v>
      </c>
      <c r="E704" s="67">
        <v>0.79513888888888884</v>
      </c>
      <c r="F704" s="68" t="s">
        <v>171</v>
      </c>
      <c r="G704" s="68" t="s">
        <v>200</v>
      </c>
      <c r="H704" s="66" t="s">
        <v>291</v>
      </c>
      <c r="I704" s="66" t="s">
        <v>172</v>
      </c>
      <c r="J704" s="66" t="s">
        <v>37</v>
      </c>
      <c r="K704" s="66" t="s">
        <v>180</v>
      </c>
      <c r="L704" s="70" t="s">
        <v>206</v>
      </c>
      <c r="M704" s="68" t="s">
        <v>2075</v>
      </c>
      <c r="N704" s="68" t="s">
        <v>59</v>
      </c>
      <c r="O704" s="68" t="s">
        <v>2076</v>
      </c>
      <c r="P704" s="68">
        <v>788025</v>
      </c>
      <c r="Q704" s="303">
        <f t="shared" si="71"/>
        <v>4</v>
      </c>
      <c r="R704" s="303">
        <f t="shared" si="72"/>
        <v>58</v>
      </c>
      <c r="S704" s="68">
        <v>4</v>
      </c>
      <c r="T704" s="68">
        <v>58</v>
      </c>
      <c r="U704" s="68">
        <v>0</v>
      </c>
      <c r="V704" s="68">
        <v>0</v>
      </c>
      <c r="W704" s="68">
        <v>58</v>
      </c>
      <c r="X704" s="68">
        <v>58</v>
      </c>
      <c r="Y704" s="68">
        <v>32</v>
      </c>
      <c r="Z704" s="68">
        <v>22</v>
      </c>
      <c r="AA704" s="68">
        <v>4</v>
      </c>
      <c r="AB704" s="300">
        <f t="shared" si="73"/>
        <v>27.221333333333334</v>
      </c>
      <c r="AC704" s="300">
        <f t="shared" si="74"/>
        <v>0.1639839357429719</v>
      </c>
      <c r="AD704" s="68">
        <v>1263.1400000000001</v>
      </c>
      <c r="AE704" s="68" t="s">
        <v>111</v>
      </c>
      <c r="AF704" s="68" t="s">
        <v>317</v>
      </c>
      <c r="AG704" s="68" t="s">
        <v>317</v>
      </c>
      <c r="AH704" s="68" t="s">
        <v>2077</v>
      </c>
      <c r="AI704" s="309"/>
      <c r="AJ704" s="309"/>
      <c r="AK704" s="68" t="s">
        <v>48</v>
      </c>
      <c r="AL704" s="68" t="s">
        <v>47</v>
      </c>
      <c r="AM704" s="299">
        <f t="shared" ca="1" si="70"/>
        <v>0.93055555555474712</v>
      </c>
      <c r="AN704" s="75"/>
      <c r="AO704" s="61" t="s">
        <v>70</v>
      </c>
      <c r="AP704" s="62" t="s">
        <v>2075</v>
      </c>
      <c r="AQ704" s="61" t="s">
        <v>2186</v>
      </c>
      <c r="AR704" s="64">
        <v>44887.711805555555</v>
      </c>
      <c r="AS704" s="61" t="s">
        <v>483</v>
      </c>
      <c r="AT704" s="61" t="s">
        <v>65</v>
      </c>
      <c r="AU704" s="63">
        <v>0.71180555555555547</v>
      </c>
      <c r="AV704" s="61">
        <v>1</v>
      </c>
      <c r="AW704" s="61" t="s">
        <v>66</v>
      </c>
      <c r="AX704" s="76"/>
      <c r="AY704" s="76"/>
      <c r="AZ704" s="76"/>
      <c r="BA704" s="76"/>
      <c r="BB704" s="74"/>
    </row>
    <row r="705" spans="1:54" ht="15.75" thickBot="1" x14ac:dyDescent="0.3">
      <c r="A705" s="73">
        <v>409</v>
      </c>
      <c r="B705" s="72">
        <v>44886.791666666664</v>
      </c>
      <c r="C705" s="67">
        <v>0.79513888888888884</v>
      </c>
      <c r="D705" s="67">
        <v>0.79861111111111116</v>
      </c>
      <c r="E705" s="67">
        <v>0.79861111111111116</v>
      </c>
      <c r="F705" s="68" t="s">
        <v>171</v>
      </c>
      <c r="G705" s="68" t="s">
        <v>298</v>
      </c>
      <c r="H705" s="66" t="s">
        <v>149</v>
      </c>
      <c r="I705" s="66" t="s">
        <v>508</v>
      </c>
      <c r="J705" s="66" t="s">
        <v>37</v>
      </c>
      <c r="K705" s="66" t="s">
        <v>180</v>
      </c>
      <c r="L705" s="70" t="s">
        <v>206</v>
      </c>
      <c r="M705" s="68" t="s">
        <v>2078</v>
      </c>
      <c r="N705" s="68" t="s">
        <v>44</v>
      </c>
      <c r="O705" s="68" t="s">
        <v>2079</v>
      </c>
      <c r="P705" s="68" t="s">
        <v>2080</v>
      </c>
      <c r="Q705" s="303">
        <f t="shared" si="71"/>
        <v>2</v>
      </c>
      <c r="R705" s="303">
        <f t="shared" si="72"/>
        <v>51</v>
      </c>
      <c r="S705" s="68">
        <v>0</v>
      </c>
      <c r="T705" s="68">
        <v>0</v>
      </c>
      <c r="U705" s="68">
        <v>2</v>
      </c>
      <c r="V705" s="68">
        <v>51</v>
      </c>
      <c r="W705" s="68">
        <v>48.01</v>
      </c>
      <c r="X705" s="68">
        <v>207</v>
      </c>
      <c r="Y705" s="68">
        <v>29</v>
      </c>
      <c r="Z705" s="68">
        <v>33</v>
      </c>
      <c r="AA705" s="68">
        <v>1</v>
      </c>
      <c r="AB705" s="300">
        <f t="shared" si="73"/>
        <v>33.016500000000001</v>
      </c>
      <c r="AC705" s="300">
        <f t="shared" si="74"/>
        <v>0.19889457831325302</v>
      </c>
      <c r="AD705" s="68">
        <v>924.28</v>
      </c>
      <c r="AE705" s="68" t="s">
        <v>109</v>
      </c>
      <c r="AF705" s="68" t="s">
        <v>317</v>
      </c>
      <c r="AG705" s="68" t="s">
        <v>317</v>
      </c>
      <c r="AH705" s="68" t="s">
        <v>2081</v>
      </c>
      <c r="AI705" s="309"/>
      <c r="AJ705" s="309"/>
      <c r="AK705" s="68" t="s">
        <v>37</v>
      </c>
      <c r="AL705" s="68" t="s">
        <v>39</v>
      </c>
      <c r="AM705" s="299">
        <f t="shared" ca="1" si="70"/>
        <v>0.92013888889050577</v>
      </c>
      <c r="AN705" s="75"/>
      <c r="AO705" s="61" t="s">
        <v>53</v>
      </c>
      <c r="AP705" s="91" t="s">
        <v>2078</v>
      </c>
      <c r="AQ705" s="59" t="s">
        <v>2185</v>
      </c>
      <c r="AR705" s="64">
        <v>44887.711805555555</v>
      </c>
      <c r="AS705" s="61" t="s">
        <v>483</v>
      </c>
      <c r="AT705" s="61" t="s">
        <v>65</v>
      </c>
      <c r="AU705" s="63">
        <v>0.71180555555555547</v>
      </c>
      <c r="AV705" s="61">
        <v>1</v>
      </c>
      <c r="AW705" s="61" t="s">
        <v>66</v>
      </c>
      <c r="AX705" s="76"/>
      <c r="AY705" s="76"/>
      <c r="AZ705" s="76"/>
      <c r="BA705" s="76"/>
      <c r="BB705" s="74"/>
    </row>
    <row r="706" spans="1:54" ht="15.75" thickBot="1" x14ac:dyDescent="0.3">
      <c r="A706" s="73">
        <v>409</v>
      </c>
      <c r="B706" s="72">
        <v>44886.791666666664</v>
      </c>
      <c r="C706" s="67">
        <v>0.79513888888888884</v>
      </c>
      <c r="D706" s="67">
        <v>0.79861111111111116</v>
      </c>
      <c r="E706" s="67">
        <v>0.79861111111111116</v>
      </c>
      <c r="F706" s="68" t="s">
        <v>171</v>
      </c>
      <c r="G706" s="68" t="s">
        <v>298</v>
      </c>
      <c r="H706" s="66" t="s">
        <v>149</v>
      </c>
      <c r="I706" s="66" t="s">
        <v>508</v>
      </c>
      <c r="J706" s="66" t="s">
        <v>37</v>
      </c>
      <c r="K706" s="66" t="s">
        <v>180</v>
      </c>
      <c r="L706" s="70" t="s">
        <v>206</v>
      </c>
      <c r="M706" s="68" t="s">
        <v>2078</v>
      </c>
      <c r="N706" s="68" t="s">
        <v>44</v>
      </c>
      <c r="O706" s="68" t="s">
        <v>2079</v>
      </c>
      <c r="P706" s="68" t="s">
        <v>2080</v>
      </c>
      <c r="Q706" s="303">
        <f t="shared" si="71"/>
        <v>0</v>
      </c>
      <c r="R706" s="303">
        <f t="shared" si="72"/>
        <v>0</v>
      </c>
      <c r="S706" s="68">
        <v>0</v>
      </c>
      <c r="T706" s="68">
        <v>0</v>
      </c>
      <c r="U706" s="68">
        <v>0</v>
      </c>
      <c r="V706" s="68">
        <v>0</v>
      </c>
      <c r="W706" s="68">
        <v>0</v>
      </c>
      <c r="X706" s="68">
        <v>95</v>
      </c>
      <c r="Y706" s="68">
        <v>24</v>
      </c>
      <c r="Z706" s="68">
        <v>29</v>
      </c>
      <c r="AA706" s="68">
        <v>1</v>
      </c>
      <c r="AB706" s="300">
        <f t="shared" si="73"/>
        <v>11.02</v>
      </c>
      <c r="AC706" s="300">
        <f t="shared" si="74"/>
        <v>6.6385542168674691E-2</v>
      </c>
      <c r="AD706" s="68">
        <v>0</v>
      </c>
      <c r="AE706" s="68">
        <v>0</v>
      </c>
      <c r="AF706" s="68" t="s">
        <v>317</v>
      </c>
      <c r="AG706" s="68" t="s">
        <v>317</v>
      </c>
      <c r="AH706" s="68" t="s">
        <v>2081</v>
      </c>
      <c r="AI706" s="309"/>
      <c r="AJ706" s="309"/>
      <c r="AK706" s="68" t="s">
        <v>37</v>
      </c>
      <c r="AL706" s="68" t="s">
        <v>39</v>
      </c>
      <c r="AM706" s="299">
        <f t="shared" ca="1" si="70"/>
        <v>0.92013888889050577</v>
      </c>
      <c r="AN706" s="75"/>
      <c r="AO706" s="61" t="s">
        <v>53</v>
      </c>
      <c r="AP706" s="91" t="s">
        <v>2078</v>
      </c>
      <c r="AQ706" s="59" t="s">
        <v>2185</v>
      </c>
      <c r="AR706" s="64">
        <v>44887.711805555555</v>
      </c>
      <c r="AS706" s="61" t="s">
        <v>483</v>
      </c>
      <c r="AT706" s="61" t="s">
        <v>65</v>
      </c>
      <c r="AU706" s="63">
        <v>0.71180555555555547</v>
      </c>
      <c r="AV706" s="61">
        <v>1</v>
      </c>
      <c r="AW706" s="61" t="s">
        <v>66</v>
      </c>
      <c r="AX706" s="76"/>
      <c r="AY706" s="76"/>
      <c r="AZ706" s="76"/>
      <c r="BA706" s="76"/>
      <c r="BB706" s="74"/>
    </row>
    <row r="707" spans="1:54" ht="15.75" thickBot="1" x14ac:dyDescent="0.3">
      <c r="A707" s="73">
        <v>410</v>
      </c>
      <c r="B707" s="72">
        <v>44886.798611111109</v>
      </c>
      <c r="C707" s="67">
        <v>0.79861111111111116</v>
      </c>
      <c r="D707" s="67">
        <v>0.80208333333333337</v>
      </c>
      <c r="E707" s="67">
        <v>0.80555555555555547</v>
      </c>
      <c r="F707" s="68" t="s">
        <v>171</v>
      </c>
      <c r="G707" s="68" t="s">
        <v>327</v>
      </c>
      <c r="H707" s="66" t="s">
        <v>195</v>
      </c>
      <c r="I707" s="66" t="s">
        <v>195</v>
      </c>
      <c r="J707" s="66" t="s">
        <v>37</v>
      </c>
      <c r="K707" s="66" t="s">
        <v>180</v>
      </c>
      <c r="L707" s="66" t="s">
        <v>209</v>
      </c>
      <c r="M707" s="68" t="s">
        <v>2082</v>
      </c>
      <c r="N707" s="68" t="s">
        <v>186</v>
      </c>
      <c r="O707" s="68" t="s">
        <v>2083</v>
      </c>
      <c r="P707" s="68">
        <v>2101080415</v>
      </c>
      <c r="Q707" s="303">
        <f t="shared" si="71"/>
        <v>1</v>
      </c>
      <c r="R707" s="303">
        <f t="shared" si="72"/>
        <v>129</v>
      </c>
      <c r="S707" s="68">
        <v>0</v>
      </c>
      <c r="T707" s="68">
        <v>0</v>
      </c>
      <c r="U707" s="68">
        <v>1</v>
      </c>
      <c r="V707" s="68">
        <v>129</v>
      </c>
      <c r="W707" s="68">
        <v>128</v>
      </c>
      <c r="X707" s="68">
        <v>80</v>
      </c>
      <c r="Y707" s="68">
        <v>60</v>
      </c>
      <c r="Z707" s="68">
        <v>74</v>
      </c>
      <c r="AA707" s="68">
        <v>1</v>
      </c>
      <c r="AB707" s="300">
        <f t="shared" si="73"/>
        <v>59.2</v>
      </c>
      <c r="AC707" s="300">
        <f t="shared" si="74"/>
        <v>0.3566265060240964</v>
      </c>
      <c r="AD707" s="68">
        <v>8092.8</v>
      </c>
      <c r="AE707" s="68" t="s">
        <v>109</v>
      </c>
      <c r="AF707" s="68" t="s">
        <v>317</v>
      </c>
      <c r="AG707" s="68" t="s">
        <v>317</v>
      </c>
      <c r="AH707" s="68" t="s">
        <v>2084</v>
      </c>
      <c r="AI707" s="309"/>
      <c r="AJ707" s="309"/>
      <c r="AK707" s="68" t="s">
        <v>41</v>
      </c>
      <c r="AL707" s="68" t="s">
        <v>39</v>
      </c>
      <c r="AM707" s="299">
        <f t="shared" ca="1" si="70"/>
        <v>0.75347222222626442</v>
      </c>
      <c r="AN707" s="75"/>
      <c r="AO707" s="61" t="s">
        <v>131</v>
      </c>
      <c r="AP707" s="62" t="s">
        <v>2082</v>
      </c>
      <c r="AQ707" s="61" t="s">
        <v>2177</v>
      </c>
      <c r="AR707" s="64">
        <v>44887.552083333336</v>
      </c>
      <c r="AS707" s="61" t="s">
        <v>95</v>
      </c>
      <c r="AT707" s="61" t="s">
        <v>225</v>
      </c>
      <c r="AU707" s="59">
        <v>0.55208333333333337</v>
      </c>
      <c r="AV707" s="61">
        <v>1</v>
      </c>
      <c r="AW707" s="61" t="s">
        <v>66</v>
      </c>
      <c r="AX707" s="76"/>
      <c r="AY707" s="76"/>
      <c r="AZ707" s="76"/>
      <c r="BA707" s="76"/>
      <c r="BB707" s="74"/>
    </row>
    <row r="708" spans="1:54" x14ac:dyDescent="0.25">
      <c r="A708" s="73">
        <v>411</v>
      </c>
      <c r="B708" s="72">
        <v>44887.388888888891</v>
      </c>
      <c r="C708" s="67">
        <v>0.3923611111111111</v>
      </c>
      <c r="D708" s="67">
        <v>0.39583333333333331</v>
      </c>
      <c r="E708" s="67">
        <v>0.40277777777777773</v>
      </c>
      <c r="F708" s="68" t="s">
        <v>171</v>
      </c>
      <c r="G708" s="68" t="s">
        <v>2085</v>
      </c>
      <c r="H708" s="71" t="s">
        <v>85</v>
      </c>
      <c r="I708" s="71" t="s">
        <v>86</v>
      </c>
      <c r="J708" s="71" t="s">
        <v>37</v>
      </c>
      <c r="K708" s="71" t="s">
        <v>180</v>
      </c>
      <c r="L708" s="71" t="s">
        <v>206</v>
      </c>
      <c r="M708" s="68" t="s">
        <v>2086</v>
      </c>
      <c r="N708" s="68" t="s">
        <v>42</v>
      </c>
      <c r="O708" s="68">
        <v>6214</v>
      </c>
      <c r="P708" s="68">
        <v>8998</v>
      </c>
      <c r="Q708" s="303">
        <f t="shared" si="71"/>
        <v>1</v>
      </c>
      <c r="R708" s="303">
        <f t="shared" si="72"/>
        <v>407</v>
      </c>
      <c r="S708" s="68">
        <v>0</v>
      </c>
      <c r="T708" s="68">
        <v>0</v>
      </c>
      <c r="U708" s="68">
        <v>1</v>
      </c>
      <c r="V708" s="68">
        <v>407</v>
      </c>
      <c r="W708" s="68">
        <v>400</v>
      </c>
      <c r="X708" s="68">
        <v>120</v>
      </c>
      <c r="Y708" s="68">
        <v>80</v>
      </c>
      <c r="Z708" s="68">
        <v>91</v>
      </c>
      <c r="AA708" s="68">
        <v>1</v>
      </c>
      <c r="AB708" s="300">
        <f t="shared" si="73"/>
        <v>145.6</v>
      </c>
      <c r="AC708" s="300">
        <f t="shared" si="74"/>
        <v>0.87710843373493974</v>
      </c>
      <c r="AD708" s="68">
        <v>5600</v>
      </c>
      <c r="AE708" s="68" t="s">
        <v>109</v>
      </c>
      <c r="AF708" s="68" t="s">
        <v>317</v>
      </c>
      <c r="AG708" s="68" t="s">
        <v>317</v>
      </c>
      <c r="AH708" s="68" t="s">
        <v>2087</v>
      </c>
      <c r="AI708" s="309"/>
      <c r="AJ708" s="309"/>
      <c r="AK708" s="68" t="s">
        <v>37</v>
      </c>
      <c r="AL708" s="68" t="s">
        <v>54</v>
      </c>
      <c r="AM708" s="299">
        <f t="shared" ca="1" si="70"/>
        <v>2.1458333333284827</v>
      </c>
      <c r="AN708" s="51"/>
      <c r="AO708" s="61" t="s">
        <v>87</v>
      </c>
      <c r="AP708" s="91" t="s">
        <v>2086</v>
      </c>
      <c r="AQ708" s="59" t="s">
        <v>2308</v>
      </c>
      <c r="AR708" s="64">
        <v>44889.534722222219</v>
      </c>
      <c r="AS708" s="61" t="s">
        <v>136</v>
      </c>
      <c r="AT708" s="61" t="s">
        <v>225</v>
      </c>
      <c r="AU708" s="63">
        <v>0.53472222222222221</v>
      </c>
      <c r="AV708" s="61">
        <v>1</v>
      </c>
      <c r="AW708" s="61" t="s">
        <v>66</v>
      </c>
      <c r="AX708" s="52"/>
      <c r="AY708" s="52"/>
      <c r="AZ708" s="52"/>
      <c r="BA708" s="52"/>
    </row>
    <row r="709" spans="1:54" x14ac:dyDescent="0.25">
      <c r="A709" s="73">
        <v>412</v>
      </c>
      <c r="B709" s="72">
        <v>44887.444444444445</v>
      </c>
      <c r="C709" s="67">
        <v>0.4513888888888889</v>
      </c>
      <c r="D709" s="67">
        <v>0.4548611111111111</v>
      </c>
      <c r="E709" s="67">
        <v>0.46180555555555558</v>
      </c>
      <c r="F709" s="68" t="s">
        <v>171</v>
      </c>
      <c r="G709" s="68" t="s">
        <v>2088</v>
      </c>
      <c r="H709" s="66" t="s">
        <v>2031</v>
      </c>
      <c r="I709" s="66" t="s">
        <v>2032</v>
      </c>
      <c r="J709" s="66" t="s">
        <v>37</v>
      </c>
      <c r="K709" s="66" t="s">
        <v>180</v>
      </c>
      <c r="L709" s="66" t="s">
        <v>206</v>
      </c>
      <c r="M709" s="68" t="s">
        <v>2089</v>
      </c>
      <c r="N709" s="68" t="s">
        <v>462</v>
      </c>
      <c r="O709" s="68" t="s">
        <v>2090</v>
      </c>
      <c r="P709" s="68">
        <v>2390717</v>
      </c>
      <c r="Q709" s="303">
        <f t="shared" si="71"/>
        <v>9</v>
      </c>
      <c r="R709" s="303">
        <f t="shared" si="72"/>
        <v>0</v>
      </c>
      <c r="S709" s="68">
        <v>0</v>
      </c>
      <c r="T709" s="68">
        <v>0</v>
      </c>
      <c r="U709" s="68">
        <v>9</v>
      </c>
      <c r="V709" s="68">
        <v>0</v>
      </c>
      <c r="W709" s="68">
        <v>3600</v>
      </c>
      <c r="X709" s="68">
        <v>0</v>
      </c>
      <c r="Y709" s="68">
        <v>0</v>
      </c>
      <c r="Z709" s="68">
        <v>0</v>
      </c>
      <c r="AA709" s="68">
        <v>9</v>
      </c>
      <c r="AB709" s="300">
        <f t="shared" si="73"/>
        <v>0</v>
      </c>
      <c r="AC709" s="300">
        <f t="shared" si="74"/>
        <v>0</v>
      </c>
      <c r="AD709" s="68">
        <v>4990.8599999999997</v>
      </c>
      <c r="AE709" s="68" t="s">
        <v>109</v>
      </c>
      <c r="AF709" s="68" t="s">
        <v>317</v>
      </c>
      <c r="AG709" s="68" t="s">
        <v>317</v>
      </c>
      <c r="AH709" s="68" t="s">
        <v>2091</v>
      </c>
      <c r="AI709" s="309"/>
      <c r="AJ709" s="309"/>
      <c r="AK709" s="68" t="s">
        <v>37</v>
      </c>
      <c r="AL709" s="68" t="s">
        <v>54</v>
      </c>
      <c r="AM709" s="299">
        <f t="shared" ca="1" si="70"/>
        <v>8.6805555554747116E-2</v>
      </c>
      <c r="AN709" s="51"/>
      <c r="AO709" s="61" t="s">
        <v>467</v>
      </c>
      <c r="AP709" s="61" t="s">
        <v>2089</v>
      </c>
      <c r="AQ709" s="61" t="s">
        <v>2176</v>
      </c>
      <c r="AR709" s="64">
        <v>44887.53125</v>
      </c>
      <c r="AS709" s="61" t="s">
        <v>2088</v>
      </c>
      <c r="AT709" s="61" t="s">
        <v>308</v>
      </c>
      <c r="AU709" s="63">
        <v>0.53125</v>
      </c>
      <c r="AV709" s="61">
        <v>1</v>
      </c>
      <c r="AW709" s="61" t="s">
        <v>66</v>
      </c>
      <c r="AX709" s="52"/>
      <c r="AY709" s="52"/>
      <c r="AZ709" s="52"/>
      <c r="BA709" s="52"/>
    </row>
    <row r="710" spans="1:54" x14ac:dyDescent="0.25">
      <c r="A710" s="73">
        <v>413</v>
      </c>
      <c r="B710" s="72">
        <v>44887.5</v>
      </c>
      <c r="C710" s="67">
        <v>0.5</v>
      </c>
      <c r="D710" s="67">
        <v>0.50694444444444442</v>
      </c>
      <c r="E710" s="67">
        <v>0.51041666666666663</v>
      </c>
      <c r="F710" s="68" t="s">
        <v>170</v>
      </c>
      <c r="G710" s="68" t="s">
        <v>1599</v>
      </c>
      <c r="H710" s="66" t="s">
        <v>227</v>
      </c>
      <c r="I710" s="66" t="s">
        <v>189</v>
      </c>
      <c r="J710" s="66" t="s">
        <v>37</v>
      </c>
      <c r="K710" s="66" t="s">
        <v>63</v>
      </c>
      <c r="L710" s="66" t="s">
        <v>209</v>
      </c>
      <c r="M710" s="68" t="s">
        <v>2092</v>
      </c>
      <c r="N710" s="68" t="s">
        <v>42</v>
      </c>
      <c r="O710" s="68">
        <v>941</v>
      </c>
      <c r="P710" s="68">
        <v>3719</v>
      </c>
      <c r="Q710" s="303">
        <f t="shared" si="71"/>
        <v>11</v>
      </c>
      <c r="R710" s="303">
        <f t="shared" si="72"/>
        <v>212</v>
      </c>
      <c r="S710" s="68">
        <v>11</v>
      </c>
      <c r="T710" s="68">
        <v>212</v>
      </c>
      <c r="U710" s="68">
        <v>0</v>
      </c>
      <c r="V710" s="68">
        <v>0</v>
      </c>
      <c r="W710" s="68">
        <v>198</v>
      </c>
      <c r="X710" s="68">
        <v>85</v>
      </c>
      <c r="Y710" s="68">
        <v>53</v>
      </c>
      <c r="Z710" s="68">
        <v>63</v>
      </c>
      <c r="AA710" s="68">
        <v>11</v>
      </c>
      <c r="AB710" s="300">
        <f t="shared" si="73"/>
        <v>520.32749999999999</v>
      </c>
      <c r="AC710" s="300">
        <f t="shared" si="74"/>
        <v>3.1345030120481927</v>
      </c>
      <c r="AD710" s="68">
        <v>6534</v>
      </c>
      <c r="AE710" s="68" t="s">
        <v>109</v>
      </c>
      <c r="AF710" s="68" t="s">
        <v>317</v>
      </c>
      <c r="AG710" s="68" t="s">
        <v>317</v>
      </c>
      <c r="AH710" s="68" t="s">
        <v>2093</v>
      </c>
      <c r="AI710" s="309"/>
      <c r="AJ710" s="309"/>
      <c r="AK710" s="68" t="s">
        <v>48</v>
      </c>
      <c r="AL710" s="68" t="s">
        <v>50</v>
      </c>
      <c r="AM710" s="299">
        <f t="shared" ca="1" si="70"/>
        <v>0.15277777778101154</v>
      </c>
      <c r="AN710" s="51"/>
      <c r="AO710" s="61" t="s">
        <v>89</v>
      </c>
      <c r="AP710" s="62" t="s">
        <v>2182</v>
      </c>
      <c r="AQ710" s="61" t="s">
        <v>2183</v>
      </c>
      <c r="AR710" s="64">
        <v>44887.652777777781</v>
      </c>
      <c r="AS710" s="61" t="s">
        <v>240</v>
      </c>
      <c r="AT710" s="61" t="s">
        <v>65</v>
      </c>
      <c r="AU710" s="63">
        <v>0.65277777777777779</v>
      </c>
      <c r="AV710" s="61">
        <v>1</v>
      </c>
      <c r="AW710" s="61" t="s">
        <v>66</v>
      </c>
      <c r="AX710" s="52"/>
      <c r="AY710" s="52"/>
      <c r="AZ710" s="52"/>
      <c r="BA710" s="52"/>
    </row>
    <row r="711" spans="1:54" x14ac:dyDescent="0.25">
      <c r="A711" s="73">
        <v>414</v>
      </c>
      <c r="B711" s="72">
        <v>44887.5</v>
      </c>
      <c r="C711" s="67">
        <v>0.5</v>
      </c>
      <c r="D711" s="67">
        <v>0.50694444444444442</v>
      </c>
      <c r="E711" s="67">
        <v>0.51041666666666663</v>
      </c>
      <c r="F711" s="68" t="s">
        <v>170</v>
      </c>
      <c r="G711" s="68" t="s">
        <v>1599</v>
      </c>
      <c r="H711" s="66" t="s">
        <v>227</v>
      </c>
      <c r="I711" s="66" t="s">
        <v>189</v>
      </c>
      <c r="J711" s="66" t="s">
        <v>37</v>
      </c>
      <c r="K711" s="66" t="s">
        <v>63</v>
      </c>
      <c r="L711" s="66" t="s">
        <v>209</v>
      </c>
      <c r="M711" s="68" t="s">
        <v>2094</v>
      </c>
      <c r="N711" s="68" t="s">
        <v>43</v>
      </c>
      <c r="O711" s="68">
        <v>940</v>
      </c>
      <c r="P711" s="68">
        <v>30850</v>
      </c>
      <c r="Q711" s="303">
        <f t="shared" si="71"/>
        <v>6</v>
      </c>
      <c r="R711" s="303">
        <f t="shared" si="72"/>
        <v>1112</v>
      </c>
      <c r="S711" s="68">
        <v>0</v>
      </c>
      <c r="T711" s="68">
        <v>0</v>
      </c>
      <c r="U711" s="68">
        <v>6</v>
      </c>
      <c r="V711" s="68">
        <v>1112</v>
      </c>
      <c r="W711" s="68">
        <v>1141</v>
      </c>
      <c r="X711" s="68">
        <v>160</v>
      </c>
      <c r="Y711" s="68">
        <v>138</v>
      </c>
      <c r="Z711" s="68">
        <v>79</v>
      </c>
      <c r="AA711" s="68">
        <v>5</v>
      </c>
      <c r="AB711" s="300">
        <f t="shared" si="73"/>
        <v>1453.6</v>
      </c>
      <c r="AC711" s="300">
        <f t="shared" si="74"/>
        <v>8.7566265060240962</v>
      </c>
      <c r="AD711" s="68">
        <v>18248.599999999999</v>
      </c>
      <c r="AE711" s="68" t="s">
        <v>109</v>
      </c>
      <c r="AF711" s="68" t="s">
        <v>317</v>
      </c>
      <c r="AG711" s="68" t="s">
        <v>317</v>
      </c>
      <c r="AH711" s="68" t="s">
        <v>2095</v>
      </c>
      <c r="AI711" s="309"/>
      <c r="AJ711" s="309"/>
      <c r="AK711" s="68" t="s">
        <v>37</v>
      </c>
      <c r="AL711" s="68" t="s">
        <v>50</v>
      </c>
      <c r="AM711" s="299">
        <f t="shared" ca="1" si="70"/>
        <v>0.15277777778101154</v>
      </c>
      <c r="AN711" s="51"/>
      <c r="AO711" s="61" t="s">
        <v>179</v>
      </c>
      <c r="AP711" s="62" t="s">
        <v>2180</v>
      </c>
      <c r="AQ711" s="61" t="s">
        <v>2181</v>
      </c>
      <c r="AR711" s="64">
        <v>44887.652777777781</v>
      </c>
      <c r="AS711" s="61" t="s">
        <v>240</v>
      </c>
      <c r="AT711" s="61" t="s">
        <v>65</v>
      </c>
      <c r="AU711" s="63">
        <v>0.65277777777777779</v>
      </c>
      <c r="AV711" s="61">
        <v>1</v>
      </c>
      <c r="AW711" s="61" t="s">
        <v>66</v>
      </c>
      <c r="AX711" s="52"/>
      <c r="AY711" s="52"/>
      <c r="AZ711" s="52"/>
      <c r="BA711" s="52"/>
    </row>
    <row r="712" spans="1:54" x14ac:dyDescent="0.25">
      <c r="A712" s="73">
        <v>414</v>
      </c>
      <c r="B712" s="72">
        <v>44887.5</v>
      </c>
      <c r="C712" s="67">
        <v>0.5</v>
      </c>
      <c r="D712" s="67">
        <v>0.50694444444444442</v>
      </c>
      <c r="E712" s="67">
        <v>0.51041666666666663</v>
      </c>
      <c r="F712" s="68" t="s">
        <v>170</v>
      </c>
      <c r="G712" s="68" t="s">
        <v>1599</v>
      </c>
      <c r="H712" s="66" t="s">
        <v>227</v>
      </c>
      <c r="I712" s="66" t="s">
        <v>189</v>
      </c>
      <c r="J712" s="66" t="s">
        <v>37</v>
      </c>
      <c r="K712" s="66" t="s">
        <v>63</v>
      </c>
      <c r="L712" s="66" t="s">
        <v>209</v>
      </c>
      <c r="M712" s="68" t="s">
        <v>2094</v>
      </c>
      <c r="N712" s="68" t="s">
        <v>43</v>
      </c>
      <c r="O712" s="68">
        <v>940</v>
      </c>
      <c r="P712" s="68">
        <v>30850</v>
      </c>
      <c r="Q712" s="303">
        <f t="shared" si="71"/>
        <v>0</v>
      </c>
      <c r="R712" s="303">
        <f t="shared" si="72"/>
        <v>0</v>
      </c>
      <c r="S712" s="68">
        <v>0</v>
      </c>
      <c r="T712" s="68">
        <v>0</v>
      </c>
      <c r="U712" s="68">
        <v>0</v>
      </c>
      <c r="V712" s="68">
        <v>0</v>
      </c>
      <c r="W712" s="68">
        <v>0</v>
      </c>
      <c r="X712" s="68">
        <v>160</v>
      </c>
      <c r="Y712" s="68">
        <v>74</v>
      </c>
      <c r="Z712" s="68">
        <v>79</v>
      </c>
      <c r="AA712" s="68">
        <v>1</v>
      </c>
      <c r="AB712" s="300">
        <f t="shared" si="73"/>
        <v>155.89333333333335</v>
      </c>
      <c r="AC712" s="300">
        <f t="shared" si="74"/>
        <v>0.93911646586345388</v>
      </c>
      <c r="AD712" s="68">
        <v>0</v>
      </c>
      <c r="AE712" s="68">
        <v>0</v>
      </c>
      <c r="AF712" s="68" t="s">
        <v>317</v>
      </c>
      <c r="AG712" s="68" t="s">
        <v>317</v>
      </c>
      <c r="AH712" s="68" t="s">
        <v>2095</v>
      </c>
      <c r="AI712" s="309"/>
      <c r="AJ712" s="309"/>
      <c r="AK712" s="68" t="s">
        <v>37</v>
      </c>
      <c r="AL712" s="68" t="s">
        <v>49</v>
      </c>
      <c r="AM712" s="299">
        <f t="shared" ca="1" si="70"/>
        <v>0.15277777778101154</v>
      </c>
      <c r="AN712" s="51"/>
      <c r="AO712" s="61" t="s">
        <v>179</v>
      </c>
      <c r="AP712" s="62" t="s">
        <v>2180</v>
      </c>
      <c r="AQ712" s="61" t="s">
        <v>2181</v>
      </c>
      <c r="AR712" s="64">
        <v>44887.652777777781</v>
      </c>
      <c r="AS712" s="61" t="s">
        <v>240</v>
      </c>
      <c r="AT712" s="61" t="s">
        <v>65</v>
      </c>
      <c r="AU712" s="63">
        <v>0.65277777777777779</v>
      </c>
      <c r="AV712" s="61">
        <v>1</v>
      </c>
      <c r="AW712" s="61" t="s">
        <v>66</v>
      </c>
      <c r="AX712" s="52"/>
      <c r="AY712" s="52"/>
      <c r="AZ712" s="52"/>
      <c r="BA712" s="52"/>
    </row>
    <row r="713" spans="1:54" x14ac:dyDescent="0.25">
      <c r="A713" s="73">
        <v>415</v>
      </c>
      <c r="B713" s="72">
        <v>44887.520833333336</v>
      </c>
      <c r="C713" s="67">
        <v>0.52430555555555558</v>
      </c>
      <c r="D713" s="67">
        <v>0.53472222222222221</v>
      </c>
      <c r="E713" s="67">
        <v>0.55555555555555558</v>
      </c>
      <c r="F713" s="68" t="s">
        <v>170</v>
      </c>
      <c r="G713" s="68" t="s">
        <v>2096</v>
      </c>
      <c r="H713" s="66" t="s">
        <v>46</v>
      </c>
      <c r="I713" s="66" t="s">
        <v>92</v>
      </c>
      <c r="J713" s="66" t="s">
        <v>41</v>
      </c>
      <c r="K713" s="66" t="s">
        <v>63</v>
      </c>
      <c r="L713" s="66" t="s">
        <v>214</v>
      </c>
      <c r="M713" s="68" t="s">
        <v>2097</v>
      </c>
      <c r="N713" s="68" t="s">
        <v>42</v>
      </c>
      <c r="O713" s="68" t="s">
        <v>2098</v>
      </c>
      <c r="P713" s="68" t="s">
        <v>2099</v>
      </c>
      <c r="Q713" s="303">
        <f t="shared" si="71"/>
        <v>2</v>
      </c>
      <c r="R713" s="303">
        <f t="shared" si="72"/>
        <v>278</v>
      </c>
      <c r="S713" s="68">
        <v>0</v>
      </c>
      <c r="T713" s="68">
        <v>0</v>
      </c>
      <c r="U713" s="68">
        <v>2</v>
      </c>
      <c r="V713" s="68">
        <v>278</v>
      </c>
      <c r="W713" s="68">
        <v>269.5</v>
      </c>
      <c r="X713" s="68">
        <v>45</v>
      </c>
      <c r="Y713" s="68">
        <v>38</v>
      </c>
      <c r="Z713" s="68">
        <v>47</v>
      </c>
      <c r="AA713" s="68">
        <v>1</v>
      </c>
      <c r="AB713" s="300">
        <f t="shared" si="73"/>
        <v>13.395</v>
      </c>
      <c r="AC713" s="300">
        <f t="shared" si="74"/>
        <v>8.0692771084337353E-2</v>
      </c>
      <c r="AD713" s="68" t="s">
        <v>48</v>
      </c>
      <c r="AE713" s="68" t="s">
        <v>48</v>
      </c>
      <c r="AF713" s="68" t="s">
        <v>317</v>
      </c>
      <c r="AG713" s="68" t="s">
        <v>317</v>
      </c>
      <c r="AH713" s="68" t="s">
        <v>2100</v>
      </c>
      <c r="AI713" s="309"/>
      <c r="AJ713" s="309"/>
      <c r="AK713" s="68" t="s">
        <v>41</v>
      </c>
      <c r="AL713" s="68" t="s">
        <v>49</v>
      </c>
      <c r="AM713" s="299">
        <f t="shared" ca="1" si="70"/>
        <v>2.2395833333284827</v>
      </c>
      <c r="AN713" s="51"/>
      <c r="AO713" s="61" t="s">
        <v>83</v>
      </c>
      <c r="AP713" s="91" t="s">
        <v>2097</v>
      </c>
      <c r="AQ713" s="59" t="s">
        <v>2343</v>
      </c>
      <c r="AR713" s="64">
        <v>44889.760416666664</v>
      </c>
      <c r="AS713" s="61" t="s">
        <v>95</v>
      </c>
      <c r="AT713" s="61" t="s">
        <v>225</v>
      </c>
      <c r="AU713" s="59">
        <v>0.76041666666666663</v>
      </c>
      <c r="AV713" s="61">
        <v>3</v>
      </c>
      <c r="AW713" s="61" t="s">
        <v>66</v>
      </c>
      <c r="AX713" s="52"/>
      <c r="AY713" s="52"/>
      <c r="AZ713" s="52"/>
      <c r="BA713" s="52"/>
    </row>
    <row r="714" spans="1:54" x14ac:dyDescent="0.25">
      <c r="A714" s="73">
        <v>415</v>
      </c>
      <c r="B714" s="72">
        <v>44887.520833333336</v>
      </c>
      <c r="C714" s="67">
        <v>0.52430555555555558</v>
      </c>
      <c r="D714" s="67">
        <v>0.53472222222222221</v>
      </c>
      <c r="E714" s="67">
        <v>0.55555555555555558</v>
      </c>
      <c r="F714" s="68" t="s">
        <v>170</v>
      </c>
      <c r="G714" s="68" t="s">
        <v>2096</v>
      </c>
      <c r="H714" s="66" t="s">
        <v>46</v>
      </c>
      <c r="I714" s="66" t="s">
        <v>92</v>
      </c>
      <c r="J714" s="66" t="s">
        <v>41</v>
      </c>
      <c r="K714" s="66" t="s">
        <v>63</v>
      </c>
      <c r="L714" s="66" t="s">
        <v>214</v>
      </c>
      <c r="M714" s="68" t="s">
        <v>2097</v>
      </c>
      <c r="N714" s="68" t="s">
        <v>42</v>
      </c>
      <c r="O714" s="68" t="s">
        <v>2098</v>
      </c>
      <c r="P714" s="68" t="s">
        <v>2099</v>
      </c>
      <c r="Q714" s="303">
        <f t="shared" si="71"/>
        <v>0</v>
      </c>
      <c r="R714" s="303">
        <f t="shared" si="72"/>
        <v>0</v>
      </c>
      <c r="S714" s="68">
        <v>0</v>
      </c>
      <c r="T714" s="68">
        <v>0</v>
      </c>
      <c r="U714" s="68">
        <v>0</v>
      </c>
      <c r="V714" s="68">
        <v>0</v>
      </c>
      <c r="W714" s="68">
        <v>0</v>
      </c>
      <c r="X714" s="68">
        <v>80</v>
      </c>
      <c r="Y714" s="68">
        <v>54</v>
      </c>
      <c r="Z714" s="68">
        <v>68</v>
      </c>
      <c r="AA714" s="68">
        <v>1</v>
      </c>
      <c r="AB714" s="300">
        <f t="shared" si="73"/>
        <v>48.96</v>
      </c>
      <c r="AC714" s="300">
        <f t="shared" si="74"/>
        <v>0.29493975903614461</v>
      </c>
      <c r="AD714" s="68">
        <v>0</v>
      </c>
      <c r="AE714" s="68">
        <v>0</v>
      </c>
      <c r="AF714" s="68" t="s">
        <v>317</v>
      </c>
      <c r="AG714" s="68" t="s">
        <v>317</v>
      </c>
      <c r="AH714" s="68" t="s">
        <v>2100</v>
      </c>
      <c r="AI714" s="309"/>
      <c r="AJ714" s="309"/>
      <c r="AK714" s="68" t="s">
        <v>41</v>
      </c>
      <c r="AL714" s="68" t="s">
        <v>49</v>
      </c>
      <c r="AM714" s="299">
        <f t="shared" ca="1" si="70"/>
        <v>2.2395833333284827</v>
      </c>
      <c r="AN714" s="51"/>
      <c r="AO714" s="61" t="s">
        <v>83</v>
      </c>
      <c r="AP714" s="91" t="s">
        <v>2097</v>
      </c>
      <c r="AQ714" s="59" t="s">
        <v>2343</v>
      </c>
      <c r="AR714" s="64">
        <v>44889.760416666664</v>
      </c>
      <c r="AS714" s="61" t="s">
        <v>95</v>
      </c>
      <c r="AT714" s="61" t="s">
        <v>225</v>
      </c>
      <c r="AU714" s="59">
        <v>0.76041666666666663</v>
      </c>
      <c r="AV714" s="61">
        <v>3</v>
      </c>
      <c r="AW714" s="61" t="s">
        <v>66</v>
      </c>
      <c r="AX714" s="52"/>
      <c r="AY714" s="52"/>
      <c r="AZ714" s="52"/>
      <c r="BA714" s="52"/>
    </row>
    <row r="715" spans="1:54" x14ac:dyDescent="0.25">
      <c r="A715" s="73">
        <v>416</v>
      </c>
      <c r="B715" s="72">
        <v>44887.520833333336</v>
      </c>
      <c r="C715" s="67">
        <v>0.52430555555555558</v>
      </c>
      <c r="D715" s="67">
        <v>0.53472222222222221</v>
      </c>
      <c r="E715" s="67">
        <v>0.55555555555555558</v>
      </c>
      <c r="F715" s="68" t="s">
        <v>170</v>
      </c>
      <c r="G715" s="68" t="s">
        <v>2096</v>
      </c>
      <c r="H715" s="66" t="s">
        <v>45</v>
      </c>
      <c r="I715" s="66" t="s">
        <v>153</v>
      </c>
      <c r="J715" s="66" t="s">
        <v>37</v>
      </c>
      <c r="K715" s="66" t="s">
        <v>63</v>
      </c>
      <c r="L715" s="66" t="s">
        <v>215</v>
      </c>
      <c r="M715" s="68" t="s">
        <v>2101</v>
      </c>
      <c r="N715" s="68" t="s">
        <v>42</v>
      </c>
      <c r="O715" s="68">
        <v>3500723</v>
      </c>
      <c r="P715" s="68">
        <v>505198093</v>
      </c>
      <c r="Q715" s="303">
        <f t="shared" si="71"/>
        <v>1</v>
      </c>
      <c r="R715" s="303">
        <f t="shared" si="72"/>
        <v>73</v>
      </c>
      <c r="S715" s="68">
        <v>0</v>
      </c>
      <c r="T715" s="68">
        <v>0</v>
      </c>
      <c r="U715" s="68">
        <v>1</v>
      </c>
      <c r="V715" s="68">
        <v>73</v>
      </c>
      <c r="W715" s="68">
        <v>74.435000000000002</v>
      </c>
      <c r="X715" s="68">
        <v>80</v>
      </c>
      <c r="Y715" s="68">
        <v>68</v>
      </c>
      <c r="Z715" s="68">
        <v>31</v>
      </c>
      <c r="AA715" s="68">
        <v>1</v>
      </c>
      <c r="AB715" s="300">
        <f t="shared" si="73"/>
        <v>28.106666666666666</v>
      </c>
      <c r="AC715" s="300">
        <f t="shared" si="74"/>
        <v>0.1693172690763052</v>
      </c>
      <c r="AD715" s="68">
        <v>6322.1</v>
      </c>
      <c r="AE715" s="68" t="s">
        <v>109</v>
      </c>
      <c r="AF715" s="68" t="s">
        <v>317</v>
      </c>
      <c r="AG715" s="68" t="s">
        <v>317</v>
      </c>
      <c r="AH715" s="68" t="s">
        <v>2102</v>
      </c>
      <c r="AI715" s="309"/>
      <c r="AJ715" s="309"/>
      <c r="AK715" s="68" t="s">
        <v>37</v>
      </c>
      <c r="AL715" s="68" t="s">
        <v>49</v>
      </c>
      <c r="AM715" s="299">
        <f t="shared" ca="1" si="70"/>
        <v>1.9652777777737356</v>
      </c>
      <c r="AN715" s="51"/>
      <c r="AO715" s="61" t="s">
        <v>120</v>
      </c>
      <c r="AP715" s="91" t="s">
        <v>2101</v>
      </c>
      <c r="AQ715" s="59" t="s">
        <v>2305</v>
      </c>
      <c r="AR715" s="64">
        <v>44889.486111111109</v>
      </c>
      <c r="AS715" s="61" t="s">
        <v>95</v>
      </c>
      <c r="AT715" s="61" t="s">
        <v>225</v>
      </c>
      <c r="AU715" s="59">
        <v>0.4861111111111111</v>
      </c>
      <c r="AV715" s="61">
        <v>1</v>
      </c>
      <c r="AW715" s="61" t="s">
        <v>66</v>
      </c>
      <c r="AX715" s="52"/>
      <c r="AY715" s="52"/>
      <c r="AZ715" s="52"/>
      <c r="BA715" s="52"/>
    </row>
    <row r="716" spans="1:54" x14ac:dyDescent="0.25">
      <c r="A716" s="73">
        <v>417</v>
      </c>
      <c r="B716" s="72">
        <v>44887.520833333336</v>
      </c>
      <c r="C716" s="67">
        <v>0.52430555555555558</v>
      </c>
      <c r="D716" s="67">
        <v>0.53472222222222221</v>
      </c>
      <c r="E716" s="67">
        <v>0.55555555555555558</v>
      </c>
      <c r="F716" s="68" t="s">
        <v>170</v>
      </c>
      <c r="G716" s="68" t="s">
        <v>2096</v>
      </c>
      <c r="H716" s="66" t="s">
        <v>228</v>
      </c>
      <c r="I716" s="66" t="s">
        <v>71</v>
      </c>
      <c r="J716" s="66" t="s">
        <v>37</v>
      </c>
      <c r="K716" s="66" t="s">
        <v>63</v>
      </c>
      <c r="L716" s="66" t="s">
        <v>212</v>
      </c>
      <c r="M716" s="68" t="s">
        <v>2103</v>
      </c>
      <c r="N716" s="68" t="s">
        <v>139</v>
      </c>
      <c r="O716" s="68" t="s">
        <v>2104</v>
      </c>
      <c r="P716" s="68">
        <v>5051908622</v>
      </c>
      <c r="Q716" s="303">
        <f t="shared" si="71"/>
        <v>1</v>
      </c>
      <c r="R716" s="303">
        <f t="shared" si="72"/>
        <v>130</v>
      </c>
      <c r="S716" s="68">
        <v>0</v>
      </c>
      <c r="T716" s="68">
        <v>0</v>
      </c>
      <c r="U716" s="68">
        <v>1</v>
      </c>
      <c r="V716" s="68">
        <v>130</v>
      </c>
      <c r="W716" s="68">
        <v>128</v>
      </c>
      <c r="X716" s="68">
        <v>87</v>
      </c>
      <c r="Y716" s="68">
        <v>56</v>
      </c>
      <c r="Z716" s="68">
        <v>42</v>
      </c>
      <c r="AA716" s="68">
        <v>1</v>
      </c>
      <c r="AB716" s="300">
        <f t="shared" si="73"/>
        <v>34.103999999999999</v>
      </c>
      <c r="AC716" s="300">
        <f t="shared" si="74"/>
        <v>0.20544578313253012</v>
      </c>
      <c r="AD716" s="68">
        <v>752</v>
      </c>
      <c r="AE716" s="68" t="s">
        <v>109</v>
      </c>
      <c r="AF716" s="68" t="s">
        <v>317</v>
      </c>
      <c r="AG716" s="68" t="s">
        <v>317</v>
      </c>
      <c r="AH716" s="68" t="s">
        <v>2105</v>
      </c>
      <c r="AI716" s="309"/>
      <c r="AJ716" s="309"/>
      <c r="AK716" s="68" t="s">
        <v>37</v>
      </c>
      <c r="AL716" s="68" t="s">
        <v>49</v>
      </c>
      <c r="AM716" s="299">
        <f t="shared" ca="1" si="70"/>
        <v>1.03125</v>
      </c>
      <c r="AN716" s="51"/>
      <c r="AO716" s="61" t="s">
        <v>72</v>
      </c>
      <c r="AP716" s="91" t="s">
        <v>2103</v>
      </c>
      <c r="AQ716" s="59" t="s">
        <v>2263</v>
      </c>
      <c r="AR716" s="64">
        <v>44888.552083333336</v>
      </c>
      <c r="AS716" s="57" t="s">
        <v>117</v>
      </c>
      <c r="AT716" s="61" t="s">
        <v>225</v>
      </c>
      <c r="AU716" s="63">
        <v>0.55208333333333337</v>
      </c>
      <c r="AV716" s="61">
        <v>1</v>
      </c>
      <c r="AW716" s="61" t="s">
        <v>66</v>
      </c>
      <c r="AX716" s="52"/>
      <c r="AY716" s="52"/>
      <c r="AZ716" s="52"/>
      <c r="BA716" s="52"/>
    </row>
    <row r="717" spans="1:54" x14ac:dyDescent="0.25">
      <c r="A717" s="73">
        <v>418</v>
      </c>
      <c r="B717" s="72">
        <v>44887.520833333336</v>
      </c>
      <c r="C717" s="67">
        <v>0.52430555555555558</v>
      </c>
      <c r="D717" s="67">
        <v>0.53472222222222221</v>
      </c>
      <c r="E717" s="67">
        <v>0.55555555555555558</v>
      </c>
      <c r="F717" s="68" t="s">
        <v>170</v>
      </c>
      <c r="G717" s="68" t="s">
        <v>2096</v>
      </c>
      <c r="H717" s="66" t="s">
        <v>228</v>
      </c>
      <c r="I717" s="66" t="s">
        <v>186</v>
      </c>
      <c r="J717" s="66" t="s">
        <v>37</v>
      </c>
      <c r="K717" s="66" t="s">
        <v>63</v>
      </c>
      <c r="L717" s="66" t="s">
        <v>212</v>
      </c>
      <c r="M717" s="68" t="s">
        <v>2106</v>
      </c>
      <c r="N717" s="68" t="s">
        <v>186</v>
      </c>
      <c r="O717" s="68" t="s">
        <v>2107</v>
      </c>
      <c r="P717" s="68">
        <v>5051958217</v>
      </c>
      <c r="Q717" s="303">
        <f t="shared" si="71"/>
        <v>1</v>
      </c>
      <c r="R717" s="303">
        <f t="shared" si="72"/>
        <v>432</v>
      </c>
      <c r="S717" s="68">
        <v>0</v>
      </c>
      <c r="T717" s="68">
        <v>0</v>
      </c>
      <c r="U717" s="68">
        <v>1</v>
      </c>
      <c r="V717" s="68">
        <v>432</v>
      </c>
      <c r="W717" s="68">
        <v>427</v>
      </c>
      <c r="X717" s="68">
        <v>77</v>
      </c>
      <c r="Y717" s="68">
        <v>77</v>
      </c>
      <c r="Z717" s="68">
        <v>51</v>
      </c>
      <c r="AA717" s="68">
        <v>1</v>
      </c>
      <c r="AB717" s="300">
        <f t="shared" si="73"/>
        <v>50.396500000000003</v>
      </c>
      <c r="AC717" s="300">
        <f t="shared" si="74"/>
        <v>0.30359337349397592</v>
      </c>
      <c r="AD717" s="68">
        <v>1975.41</v>
      </c>
      <c r="AE717" s="68" t="s">
        <v>109</v>
      </c>
      <c r="AF717" s="68" t="s">
        <v>317</v>
      </c>
      <c r="AG717" s="68" t="s">
        <v>317</v>
      </c>
      <c r="AH717" s="68" t="s">
        <v>2108</v>
      </c>
      <c r="AI717" s="309"/>
      <c r="AJ717" s="309"/>
      <c r="AK717" s="68" t="s">
        <v>37</v>
      </c>
      <c r="AL717" s="68" t="s">
        <v>49</v>
      </c>
      <c r="AM717" s="299">
        <f t="shared" ca="1" si="70"/>
        <v>1.9652777777737356</v>
      </c>
      <c r="AN717" s="51"/>
      <c r="AO717" s="61" t="s">
        <v>131</v>
      </c>
      <c r="AP717" s="91" t="s">
        <v>2106</v>
      </c>
      <c r="AQ717" s="59" t="s">
        <v>2303</v>
      </c>
      <c r="AR717" s="64">
        <v>44889.486111111109</v>
      </c>
      <c r="AS717" s="61" t="s">
        <v>95</v>
      </c>
      <c r="AT717" s="61" t="s">
        <v>225</v>
      </c>
      <c r="AU717" s="59">
        <v>0.4861111111111111</v>
      </c>
      <c r="AV717" s="61">
        <v>1</v>
      </c>
      <c r="AW717" s="61" t="s">
        <v>66</v>
      </c>
      <c r="AX717" s="52"/>
      <c r="AY717" s="52"/>
      <c r="AZ717" s="52"/>
      <c r="BA717" s="52"/>
    </row>
    <row r="718" spans="1:54" x14ac:dyDescent="0.25">
      <c r="A718" s="73">
        <v>419</v>
      </c>
      <c r="B718" s="72">
        <v>44887.520833333336</v>
      </c>
      <c r="C718" s="67">
        <v>0.52430555555555558</v>
      </c>
      <c r="D718" s="67">
        <v>0.53472222222222221</v>
      </c>
      <c r="E718" s="67">
        <v>0.55555555555555558</v>
      </c>
      <c r="F718" s="68" t="s">
        <v>170</v>
      </c>
      <c r="G718" s="68" t="s">
        <v>2096</v>
      </c>
      <c r="H718" s="66" t="s">
        <v>228</v>
      </c>
      <c r="I718" s="66" t="s">
        <v>71</v>
      </c>
      <c r="J718" s="66" t="s">
        <v>37</v>
      </c>
      <c r="K718" s="66" t="s">
        <v>63</v>
      </c>
      <c r="L718" s="66" t="s">
        <v>212</v>
      </c>
      <c r="M718" s="68" t="s">
        <v>2103</v>
      </c>
      <c r="N718" s="68" t="s">
        <v>139</v>
      </c>
      <c r="O718" s="68" t="s">
        <v>2109</v>
      </c>
      <c r="P718" s="68">
        <v>5051955190</v>
      </c>
      <c r="Q718" s="303">
        <f t="shared" si="71"/>
        <v>2</v>
      </c>
      <c r="R718" s="303">
        <f t="shared" si="72"/>
        <v>180</v>
      </c>
      <c r="S718" s="68">
        <v>0</v>
      </c>
      <c r="T718" s="68">
        <v>0</v>
      </c>
      <c r="U718" s="68">
        <v>2</v>
      </c>
      <c r="V718" s="68">
        <v>180</v>
      </c>
      <c r="W718" s="68">
        <v>178</v>
      </c>
      <c r="X718" s="68">
        <v>65</v>
      </c>
      <c r="Y718" s="68">
        <v>65</v>
      </c>
      <c r="Z718" s="68">
        <v>51</v>
      </c>
      <c r="AA718" s="68">
        <v>1</v>
      </c>
      <c r="AB718" s="300">
        <f t="shared" si="73"/>
        <v>35.912500000000001</v>
      </c>
      <c r="AC718" s="300">
        <f t="shared" si="74"/>
        <v>0.21634036144578314</v>
      </c>
      <c r="AD718" s="68">
        <v>2709.06</v>
      </c>
      <c r="AE718" s="68" t="s">
        <v>109</v>
      </c>
      <c r="AF718" s="68" t="s">
        <v>317</v>
      </c>
      <c r="AG718" s="68" t="s">
        <v>317</v>
      </c>
      <c r="AH718" s="68" t="s">
        <v>2110</v>
      </c>
      <c r="AI718" s="309"/>
      <c r="AJ718" s="309"/>
      <c r="AK718" s="68" t="s">
        <v>37</v>
      </c>
      <c r="AL718" s="68" t="s">
        <v>49</v>
      </c>
      <c r="AM718" s="299">
        <f t="shared" ca="1" si="70"/>
        <v>1.03125</v>
      </c>
      <c r="AN718" s="51"/>
      <c r="AO718" s="61" t="s">
        <v>72</v>
      </c>
      <c r="AP718" s="91" t="s">
        <v>2103</v>
      </c>
      <c r="AQ718" s="59" t="s">
        <v>2263</v>
      </c>
      <c r="AR718" s="64">
        <v>44888.552083333336</v>
      </c>
      <c r="AS718" s="57" t="s">
        <v>117</v>
      </c>
      <c r="AT718" s="61" t="s">
        <v>225</v>
      </c>
      <c r="AU718" s="63">
        <v>0.55208333333333337</v>
      </c>
      <c r="AV718" s="61">
        <v>1</v>
      </c>
      <c r="AW718" s="61" t="s">
        <v>66</v>
      </c>
      <c r="AX718" s="52"/>
      <c r="AY718" s="52"/>
      <c r="AZ718" s="52"/>
      <c r="BA718" s="52"/>
    </row>
    <row r="719" spans="1:54" x14ac:dyDescent="0.25">
      <c r="A719" s="73">
        <v>419</v>
      </c>
      <c r="B719" s="72">
        <v>44887.520833333336</v>
      </c>
      <c r="C719" s="67">
        <v>0.52430555555555558</v>
      </c>
      <c r="D719" s="67">
        <v>0.53472222222222221</v>
      </c>
      <c r="E719" s="67">
        <v>0.55555555555555558</v>
      </c>
      <c r="F719" s="68" t="s">
        <v>170</v>
      </c>
      <c r="G719" s="68" t="s">
        <v>2096</v>
      </c>
      <c r="H719" s="66" t="s">
        <v>228</v>
      </c>
      <c r="I719" s="66" t="s">
        <v>71</v>
      </c>
      <c r="J719" s="66" t="s">
        <v>37</v>
      </c>
      <c r="K719" s="66" t="s">
        <v>63</v>
      </c>
      <c r="L719" s="66" t="s">
        <v>212</v>
      </c>
      <c r="M719" s="68" t="s">
        <v>2103</v>
      </c>
      <c r="N719" s="68" t="s">
        <v>139</v>
      </c>
      <c r="O719" s="68" t="s">
        <v>2109</v>
      </c>
      <c r="P719" s="68">
        <v>5051955190</v>
      </c>
      <c r="Q719" s="303">
        <f t="shared" si="71"/>
        <v>0</v>
      </c>
      <c r="R719" s="303">
        <f t="shared" si="72"/>
        <v>0</v>
      </c>
      <c r="S719" s="68">
        <v>0</v>
      </c>
      <c r="T719" s="68">
        <v>0</v>
      </c>
      <c r="U719" s="68">
        <v>0</v>
      </c>
      <c r="V719" s="68">
        <v>0</v>
      </c>
      <c r="W719" s="68">
        <v>0</v>
      </c>
      <c r="X719" s="68">
        <v>29</v>
      </c>
      <c r="Y719" s="68">
        <v>29</v>
      </c>
      <c r="Z719" s="68">
        <v>35</v>
      </c>
      <c r="AA719" s="68">
        <v>1</v>
      </c>
      <c r="AB719" s="300">
        <f t="shared" si="73"/>
        <v>4.9058333333333337</v>
      </c>
      <c r="AC719" s="300">
        <f t="shared" si="74"/>
        <v>2.9553212851405625E-2</v>
      </c>
      <c r="AD719" s="68">
        <v>0</v>
      </c>
      <c r="AE719" s="68">
        <v>0</v>
      </c>
      <c r="AF719" s="68" t="s">
        <v>317</v>
      </c>
      <c r="AG719" s="68" t="s">
        <v>317</v>
      </c>
      <c r="AH719" s="68" t="s">
        <v>2110</v>
      </c>
      <c r="AI719" s="309"/>
      <c r="AJ719" s="309"/>
      <c r="AK719" s="68" t="s">
        <v>37</v>
      </c>
      <c r="AL719" s="68" t="s">
        <v>49</v>
      </c>
      <c r="AM719" s="299">
        <f t="shared" ca="1" si="70"/>
        <v>1.03125</v>
      </c>
      <c r="AN719" s="51"/>
      <c r="AO719" s="61" t="s">
        <v>72</v>
      </c>
      <c r="AP719" s="91" t="s">
        <v>2103</v>
      </c>
      <c r="AQ719" s="59" t="s">
        <v>2263</v>
      </c>
      <c r="AR719" s="64">
        <v>44888.552083333336</v>
      </c>
      <c r="AS719" s="57" t="s">
        <v>117</v>
      </c>
      <c r="AT719" s="61" t="s">
        <v>225</v>
      </c>
      <c r="AU719" s="63">
        <v>0.55208333333333337</v>
      </c>
      <c r="AV719" s="61">
        <v>1</v>
      </c>
      <c r="AW719" s="61" t="s">
        <v>66</v>
      </c>
      <c r="AX719" s="52"/>
      <c r="AY719" s="52"/>
      <c r="AZ719" s="52"/>
      <c r="BA719" s="52"/>
    </row>
    <row r="720" spans="1:54" x14ac:dyDescent="0.25">
      <c r="A720" s="73">
        <v>420</v>
      </c>
      <c r="B720" s="72">
        <v>44887.520833333336</v>
      </c>
      <c r="C720" s="67">
        <v>0.52430555555555558</v>
      </c>
      <c r="D720" s="67">
        <v>0.53472222222222221</v>
      </c>
      <c r="E720" s="67">
        <v>0.55555555555555558</v>
      </c>
      <c r="F720" s="68" t="s">
        <v>170</v>
      </c>
      <c r="G720" s="68" t="s">
        <v>2096</v>
      </c>
      <c r="H720" s="66" t="s">
        <v>228</v>
      </c>
      <c r="I720" s="66" t="s">
        <v>71</v>
      </c>
      <c r="J720" s="66" t="s">
        <v>37</v>
      </c>
      <c r="K720" s="66" t="s">
        <v>63</v>
      </c>
      <c r="L720" s="66" t="s">
        <v>212</v>
      </c>
      <c r="M720" s="68" t="s">
        <v>2111</v>
      </c>
      <c r="N720" s="68" t="s">
        <v>139</v>
      </c>
      <c r="O720" s="68" t="s">
        <v>2112</v>
      </c>
      <c r="P720" s="68">
        <v>5051944199</v>
      </c>
      <c r="Q720" s="303">
        <f t="shared" si="71"/>
        <v>8</v>
      </c>
      <c r="R720" s="303">
        <f t="shared" si="72"/>
        <v>555</v>
      </c>
      <c r="S720" s="68">
        <v>0</v>
      </c>
      <c r="T720" s="68">
        <v>0</v>
      </c>
      <c r="U720" s="68">
        <v>8</v>
      </c>
      <c r="V720" s="68">
        <v>555</v>
      </c>
      <c r="W720" s="68">
        <v>552</v>
      </c>
      <c r="X720" s="68">
        <v>37</v>
      </c>
      <c r="Y720" s="68">
        <v>37</v>
      </c>
      <c r="Z720" s="68">
        <v>46</v>
      </c>
      <c r="AA720" s="68">
        <v>1</v>
      </c>
      <c r="AB720" s="300">
        <f t="shared" si="73"/>
        <v>10.495666666666667</v>
      </c>
      <c r="AC720" s="300">
        <f t="shared" si="74"/>
        <v>6.3226907630522092E-2</v>
      </c>
      <c r="AD720" s="68">
        <v>3686.71</v>
      </c>
      <c r="AE720" s="68" t="s">
        <v>109</v>
      </c>
      <c r="AF720" s="68" t="s">
        <v>317</v>
      </c>
      <c r="AG720" s="68" t="s">
        <v>317</v>
      </c>
      <c r="AH720" s="68" t="s">
        <v>2113</v>
      </c>
      <c r="AI720" s="309"/>
      <c r="AJ720" s="309"/>
      <c r="AK720" s="68" t="s">
        <v>37</v>
      </c>
      <c r="AL720" s="68" t="s">
        <v>49</v>
      </c>
      <c r="AM720" s="299">
        <f t="shared" ca="1" si="70"/>
        <v>1.03125</v>
      </c>
      <c r="AN720" s="51"/>
      <c r="AO720" s="61" t="s">
        <v>194</v>
      </c>
      <c r="AP720" s="91" t="s">
        <v>1942</v>
      </c>
      <c r="AQ720" s="59" t="s">
        <v>2264</v>
      </c>
      <c r="AR720" s="64">
        <v>44888.552083333336</v>
      </c>
      <c r="AS720" s="57" t="s">
        <v>117</v>
      </c>
      <c r="AT720" s="61" t="s">
        <v>225</v>
      </c>
      <c r="AU720" s="63">
        <v>0.55208333333333337</v>
      </c>
      <c r="AV720" s="61">
        <v>1</v>
      </c>
      <c r="AW720" s="61" t="s">
        <v>66</v>
      </c>
      <c r="AX720" s="52"/>
      <c r="AY720" s="52"/>
      <c r="AZ720" s="52"/>
      <c r="BA720" s="52"/>
    </row>
    <row r="721" spans="1:53" x14ac:dyDescent="0.25">
      <c r="A721" s="73">
        <v>420</v>
      </c>
      <c r="B721" s="72">
        <v>44887.520833333336</v>
      </c>
      <c r="C721" s="67">
        <v>0.52430555555555558</v>
      </c>
      <c r="D721" s="67">
        <v>0.53472222222222221</v>
      </c>
      <c r="E721" s="67">
        <v>0.55555555555555558</v>
      </c>
      <c r="F721" s="68" t="s">
        <v>170</v>
      </c>
      <c r="G721" s="68" t="s">
        <v>2096</v>
      </c>
      <c r="H721" s="66" t="s">
        <v>228</v>
      </c>
      <c r="I721" s="66" t="s">
        <v>71</v>
      </c>
      <c r="J721" s="66" t="s">
        <v>37</v>
      </c>
      <c r="K721" s="66" t="s">
        <v>63</v>
      </c>
      <c r="L721" s="66" t="s">
        <v>212</v>
      </c>
      <c r="M721" s="68" t="s">
        <v>2111</v>
      </c>
      <c r="N721" s="68" t="s">
        <v>139</v>
      </c>
      <c r="O721" s="68" t="s">
        <v>2112</v>
      </c>
      <c r="P721" s="68">
        <v>5051944199</v>
      </c>
      <c r="Q721" s="303">
        <f t="shared" si="71"/>
        <v>0</v>
      </c>
      <c r="R721" s="303">
        <f t="shared" si="72"/>
        <v>0</v>
      </c>
      <c r="S721" s="68">
        <v>0</v>
      </c>
      <c r="T721" s="68">
        <v>0</v>
      </c>
      <c r="U721" s="68">
        <v>0</v>
      </c>
      <c r="V721" s="68">
        <v>0</v>
      </c>
      <c r="W721" s="68">
        <v>0</v>
      </c>
      <c r="X721" s="68">
        <v>52</v>
      </c>
      <c r="Y721" s="68">
        <v>52</v>
      </c>
      <c r="Z721" s="68">
        <v>36</v>
      </c>
      <c r="AA721" s="68">
        <v>1</v>
      </c>
      <c r="AB721" s="300">
        <f t="shared" si="73"/>
        <v>16.224</v>
      </c>
      <c r="AC721" s="300">
        <f t="shared" si="74"/>
        <v>9.7734939759036146E-2</v>
      </c>
      <c r="AD721" s="68">
        <v>0</v>
      </c>
      <c r="AE721" s="68">
        <v>0</v>
      </c>
      <c r="AF721" s="68" t="s">
        <v>317</v>
      </c>
      <c r="AG721" s="68" t="s">
        <v>317</v>
      </c>
      <c r="AH721" s="68" t="s">
        <v>2113</v>
      </c>
      <c r="AI721" s="309"/>
      <c r="AJ721" s="309"/>
      <c r="AK721" s="68" t="s">
        <v>37</v>
      </c>
      <c r="AL721" s="68" t="s">
        <v>49</v>
      </c>
      <c r="AM721" s="299">
        <f t="shared" ca="1" si="70"/>
        <v>1.03125</v>
      </c>
      <c r="AN721" s="51"/>
      <c r="AO721" s="61" t="s">
        <v>72</v>
      </c>
      <c r="AP721" s="91" t="s">
        <v>2111</v>
      </c>
      <c r="AQ721" s="59" t="s">
        <v>2263</v>
      </c>
      <c r="AR721" s="64">
        <v>44888.552083333336</v>
      </c>
      <c r="AS721" s="57" t="s">
        <v>117</v>
      </c>
      <c r="AT721" s="61" t="s">
        <v>225</v>
      </c>
      <c r="AU721" s="63">
        <v>0.55208333333333337</v>
      </c>
      <c r="AV721" s="61">
        <v>1</v>
      </c>
      <c r="AW721" s="61" t="s">
        <v>66</v>
      </c>
      <c r="AX721" s="52"/>
      <c r="AY721" s="52"/>
      <c r="AZ721" s="52"/>
      <c r="BA721" s="52"/>
    </row>
    <row r="722" spans="1:53" x14ac:dyDescent="0.25">
      <c r="A722" s="73">
        <v>420</v>
      </c>
      <c r="B722" s="72">
        <v>44887.520833333336</v>
      </c>
      <c r="C722" s="67">
        <v>0.52430555555555558</v>
      </c>
      <c r="D722" s="67">
        <v>0.53472222222222221</v>
      </c>
      <c r="E722" s="67">
        <v>0.55555555555555558</v>
      </c>
      <c r="F722" s="68" t="s">
        <v>170</v>
      </c>
      <c r="G722" s="68" t="s">
        <v>2096</v>
      </c>
      <c r="H722" s="66" t="s">
        <v>228</v>
      </c>
      <c r="I722" s="66" t="s">
        <v>71</v>
      </c>
      <c r="J722" s="66" t="s">
        <v>37</v>
      </c>
      <c r="K722" s="66" t="s">
        <v>63</v>
      </c>
      <c r="L722" s="66" t="s">
        <v>212</v>
      </c>
      <c r="M722" s="68" t="s">
        <v>2111</v>
      </c>
      <c r="N722" s="68" t="s">
        <v>139</v>
      </c>
      <c r="O722" s="68" t="s">
        <v>2112</v>
      </c>
      <c r="P722" s="68">
        <v>5051944199</v>
      </c>
      <c r="Q722" s="303">
        <f t="shared" si="71"/>
        <v>0</v>
      </c>
      <c r="R722" s="303">
        <f t="shared" si="72"/>
        <v>0</v>
      </c>
      <c r="S722" s="68">
        <v>0</v>
      </c>
      <c r="T722" s="68">
        <v>0</v>
      </c>
      <c r="U722" s="68">
        <v>0</v>
      </c>
      <c r="V722" s="68">
        <v>0</v>
      </c>
      <c r="W722" s="68">
        <v>0</v>
      </c>
      <c r="X722" s="68">
        <v>39</v>
      </c>
      <c r="Y722" s="68">
        <v>39</v>
      </c>
      <c r="Z722" s="68">
        <v>43</v>
      </c>
      <c r="AA722" s="68">
        <v>1</v>
      </c>
      <c r="AB722" s="300">
        <f t="shared" si="73"/>
        <v>10.900499999999999</v>
      </c>
      <c r="AC722" s="300">
        <f t="shared" si="74"/>
        <v>6.5665662650602405E-2</v>
      </c>
      <c r="AD722" s="68">
        <v>0</v>
      </c>
      <c r="AE722" s="68">
        <v>0</v>
      </c>
      <c r="AF722" s="68" t="s">
        <v>317</v>
      </c>
      <c r="AG722" s="68" t="s">
        <v>317</v>
      </c>
      <c r="AH722" s="68" t="s">
        <v>2113</v>
      </c>
      <c r="AI722" s="309"/>
      <c r="AJ722" s="309"/>
      <c r="AK722" s="68" t="s">
        <v>37</v>
      </c>
      <c r="AL722" s="68" t="s">
        <v>49</v>
      </c>
      <c r="AM722" s="299">
        <f t="shared" ca="1" si="70"/>
        <v>1.03125</v>
      </c>
      <c r="AN722" s="51"/>
      <c r="AO722" s="61" t="s">
        <v>72</v>
      </c>
      <c r="AP722" s="91" t="s">
        <v>2111</v>
      </c>
      <c r="AQ722" s="59" t="s">
        <v>2263</v>
      </c>
      <c r="AR722" s="64">
        <v>44888.552083333336</v>
      </c>
      <c r="AS722" s="57" t="s">
        <v>117</v>
      </c>
      <c r="AT722" s="61" t="s">
        <v>225</v>
      </c>
      <c r="AU722" s="63">
        <v>0.55208333333333337</v>
      </c>
      <c r="AV722" s="61">
        <v>1</v>
      </c>
      <c r="AW722" s="61" t="s">
        <v>66</v>
      </c>
      <c r="AX722" s="52"/>
      <c r="AY722" s="52"/>
      <c r="AZ722" s="52"/>
      <c r="BA722" s="52"/>
    </row>
    <row r="723" spans="1:53" x14ac:dyDescent="0.25">
      <c r="A723" s="73">
        <v>420</v>
      </c>
      <c r="B723" s="72">
        <v>44887.520833333336</v>
      </c>
      <c r="C723" s="67">
        <v>0.52430555555555558</v>
      </c>
      <c r="D723" s="67">
        <v>0.53472222222222221</v>
      </c>
      <c r="E723" s="67">
        <v>0.55555555555555558</v>
      </c>
      <c r="F723" s="68" t="s">
        <v>170</v>
      </c>
      <c r="G723" s="68" t="s">
        <v>2096</v>
      </c>
      <c r="H723" s="66" t="s">
        <v>228</v>
      </c>
      <c r="I723" s="66" t="s">
        <v>71</v>
      </c>
      <c r="J723" s="66" t="s">
        <v>37</v>
      </c>
      <c r="K723" s="66" t="s">
        <v>63</v>
      </c>
      <c r="L723" s="66" t="s">
        <v>212</v>
      </c>
      <c r="M723" s="68" t="s">
        <v>2111</v>
      </c>
      <c r="N723" s="68" t="s">
        <v>139</v>
      </c>
      <c r="O723" s="68" t="s">
        <v>2112</v>
      </c>
      <c r="P723" s="68">
        <v>5051944199</v>
      </c>
      <c r="Q723" s="303">
        <f t="shared" si="71"/>
        <v>0</v>
      </c>
      <c r="R723" s="303">
        <f t="shared" si="72"/>
        <v>0</v>
      </c>
      <c r="S723" s="68">
        <v>0</v>
      </c>
      <c r="T723" s="68">
        <v>0</v>
      </c>
      <c r="U723" s="68">
        <v>0</v>
      </c>
      <c r="V723" s="68">
        <v>0</v>
      </c>
      <c r="W723" s="68">
        <v>0</v>
      </c>
      <c r="X723" s="68">
        <v>65</v>
      </c>
      <c r="Y723" s="68">
        <v>65</v>
      </c>
      <c r="Z723" s="68">
        <v>51</v>
      </c>
      <c r="AA723" s="68">
        <v>1</v>
      </c>
      <c r="AB723" s="300">
        <f t="shared" si="73"/>
        <v>35.912500000000001</v>
      </c>
      <c r="AC723" s="300">
        <f t="shared" si="74"/>
        <v>0.21634036144578314</v>
      </c>
      <c r="AD723" s="68">
        <v>0</v>
      </c>
      <c r="AE723" s="68">
        <v>0</v>
      </c>
      <c r="AF723" s="68" t="s">
        <v>317</v>
      </c>
      <c r="AG723" s="68" t="s">
        <v>317</v>
      </c>
      <c r="AH723" s="68" t="s">
        <v>2113</v>
      </c>
      <c r="AI723" s="309"/>
      <c r="AJ723" s="309"/>
      <c r="AK723" s="68" t="s">
        <v>37</v>
      </c>
      <c r="AL723" s="68" t="s">
        <v>49</v>
      </c>
      <c r="AM723" s="299">
        <f t="shared" ca="1" si="70"/>
        <v>1.03125</v>
      </c>
      <c r="AN723" s="51"/>
      <c r="AO723" s="61" t="s">
        <v>72</v>
      </c>
      <c r="AP723" s="91" t="s">
        <v>2111</v>
      </c>
      <c r="AQ723" s="59" t="s">
        <v>2263</v>
      </c>
      <c r="AR723" s="64">
        <v>44888.552083333336</v>
      </c>
      <c r="AS723" s="57" t="s">
        <v>117</v>
      </c>
      <c r="AT723" s="61" t="s">
        <v>225</v>
      </c>
      <c r="AU723" s="63">
        <v>0.55208333333333337</v>
      </c>
      <c r="AV723" s="61">
        <v>1</v>
      </c>
      <c r="AW723" s="61" t="s">
        <v>66</v>
      </c>
      <c r="AX723" s="52"/>
      <c r="AY723" s="52"/>
      <c r="AZ723" s="52"/>
      <c r="BA723" s="52"/>
    </row>
    <row r="724" spans="1:53" x14ac:dyDescent="0.25">
      <c r="A724" s="73">
        <v>420</v>
      </c>
      <c r="B724" s="72">
        <v>44887.520833333336</v>
      </c>
      <c r="C724" s="67">
        <v>0.52430555555555558</v>
      </c>
      <c r="D724" s="67">
        <v>0.53472222222222221</v>
      </c>
      <c r="E724" s="67">
        <v>0.55555555555555558</v>
      </c>
      <c r="F724" s="68" t="s">
        <v>170</v>
      </c>
      <c r="G724" s="68" t="s">
        <v>2096</v>
      </c>
      <c r="H724" s="66" t="s">
        <v>228</v>
      </c>
      <c r="I724" s="66" t="s">
        <v>71</v>
      </c>
      <c r="J724" s="66" t="s">
        <v>37</v>
      </c>
      <c r="K724" s="66" t="s">
        <v>63</v>
      </c>
      <c r="L724" s="66" t="s">
        <v>212</v>
      </c>
      <c r="M724" s="68" t="s">
        <v>2111</v>
      </c>
      <c r="N724" s="68" t="s">
        <v>139</v>
      </c>
      <c r="O724" s="68" t="s">
        <v>2112</v>
      </c>
      <c r="P724" s="68">
        <v>5051944199</v>
      </c>
      <c r="Q724" s="303">
        <f t="shared" si="71"/>
        <v>0</v>
      </c>
      <c r="R724" s="303">
        <f t="shared" si="72"/>
        <v>0</v>
      </c>
      <c r="S724" s="68">
        <v>0</v>
      </c>
      <c r="T724" s="68">
        <v>0</v>
      </c>
      <c r="U724" s="68">
        <v>0</v>
      </c>
      <c r="V724" s="68">
        <v>0</v>
      </c>
      <c r="W724" s="68">
        <v>0</v>
      </c>
      <c r="X724" s="68">
        <v>35</v>
      </c>
      <c r="Y724" s="68">
        <v>35</v>
      </c>
      <c r="Z724" s="68">
        <v>36</v>
      </c>
      <c r="AA724" s="68">
        <v>1</v>
      </c>
      <c r="AB724" s="300">
        <f t="shared" si="73"/>
        <v>7.35</v>
      </c>
      <c r="AC724" s="300">
        <f t="shared" si="74"/>
        <v>4.4277108433734939E-2</v>
      </c>
      <c r="AD724" s="68">
        <v>0</v>
      </c>
      <c r="AE724" s="68">
        <v>0</v>
      </c>
      <c r="AF724" s="68" t="s">
        <v>317</v>
      </c>
      <c r="AG724" s="68" t="s">
        <v>317</v>
      </c>
      <c r="AH724" s="68" t="s">
        <v>2113</v>
      </c>
      <c r="AI724" s="309"/>
      <c r="AJ724" s="309"/>
      <c r="AK724" s="68" t="s">
        <v>37</v>
      </c>
      <c r="AL724" s="68" t="s">
        <v>49</v>
      </c>
      <c r="AM724" s="299">
        <f t="shared" ca="1" si="70"/>
        <v>1.03125</v>
      </c>
      <c r="AN724" s="51"/>
      <c r="AO724" s="61" t="s">
        <v>72</v>
      </c>
      <c r="AP724" s="91" t="s">
        <v>2111</v>
      </c>
      <c r="AQ724" s="59" t="s">
        <v>2263</v>
      </c>
      <c r="AR724" s="64">
        <v>44888.552083333336</v>
      </c>
      <c r="AS724" s="57" t="s">
        <v>117</v>
      </c>
      <c r="AT724" s="61" t="s">
        <v>225</v>
      </c>
      <c r="AU724" s="63">
        <v>0.55208333333333337</v>
      </c>
      <c r="AV724" s="61">
        <v>1</v>
      </c>
      <c r="AW724" s="61" t="s">
        <v>66</v>
      </c>
      <c r="AX724" s="52"/>
      <c r="AY724" s="52"/>
      <c r="AZ724" s="52"/>
      <c r="BA724" s="52"/>
    </row>
    <row r="725" spans="1:53" x14ac:dyDescent="0.25">
      <c r="A725" s="73">
        <v>420</v>
      </c>
      <c r="B725" s="72">
        <v>44887.520833333336</v>
      </c>
      <c r="C725" s="67">
        <v>0.52430555555555558</v>
      </c>
      <c r="D725" s="67">
        <v>0.53472222222222221</v>
      </c>
      <c r="E725" s="67">
        <v>0.55555555555555558</v>
      </c>
      <c r="F725" s="68" t="s">
        <v>170</v>
      </c>
      <c r="G725" s="68" t="s">
        <v>2096</v>
      </c>
      <c r="H725" s="66" t="s">
        <v>228</v>
      </c>
      <c r="I725" s="66" t="s">
        <v>71</v>
      </c>
      <c r="J725" s="66" t="s">
        <v>37</v>
      </c>
      <c r="K725" s="66" t="s">
        <v>63</v>
      </c>
      <c r="L725" s="66" t="s">
        <v>212</v>
      </c>
      <c r="M725" s="68" t="s">
        <v>2111</v>
      </c>
      <c r="N725" s="68" t="s">
        <v>139</v>
      </c>
      <c r="O725" s="68" t="s">
        <v>2112</v>
      </c>
      <c r="P725" s="68">
        <v>5051944199</v>
      </c>
      <c r="Q725" s="303">
        <f t="shared" si="71"/>
        <v>0</v>
      </c>
      <c r="R725" s="303">
        <f t="shared" si="72"/>
        <v>0</v>
      </c>
      <c r="S725" s="68">
        <v>0</v>
      </c>
      <c r="T725" s="68">
        <v>0</v>
      </c>
      <c r="U725" s="68">
        <v>0</v>
      </c>
      <c r="V725" s="68">
        <v>0</v>
      </c>
      <c r="W725" s="68">
        <v>0</v>
      </c>
      <c r="X725" s="68">
        <v>35</v>
      </c>
      <c r="Y725" s="68">
        <v>25</v>
      </c>
      <c r="Z725" s="68">
        <v>29</v>
      </c>
      <c r="AA725" s="68">
        <v>2</v>
      </c>
      <c r="AB725" s="300">
        <f t="shared" si="73"/>
        <v>8.4583333333333339</v>
      </c>
      <c r="AC725" s="300">
        <f t="shared" si="74"/>
        <v>5.0953815261044179E-2</v>
      </c>
      <c r="AD725" s="68">
        <v>0</v>
      </c>
      <c r="AE725" s="68">
        <v>0</v>
      </c>
      <c r="AF725" s="68" t="s">
        <v>317</v>
      </c>
      <c r="AG725" s="68" t="s">
        <v>317</v>
      </c>
      <c r="AH725" s="68" t="s">
        <v>2113</v>
      </c>
      <c r="AI725" s="309"/>
      <c r="AJ725" s="309"/>
      <c r="AK725" s="68" t="s">
        <v>37</v>
      </c>
      <c r="AL725" s="68" t="s">
        <v>49</v>
      </c>
      <c r="AM725" s="299">
        <f t="shared" ca="1" si="70"/>
        <v>1.03125</v>
      </c>
      <c r="AN725" s="51"/>
      <c r="AO725" s="61" t="s">
        <v>72</v>
      </c>
      <c r="AP725" s="91" t="s">
        <v>2111</v>
      </c>
      <c r="AQ725" s="59" t="s">
        <v>2263</v>
      </c>
      <c r="AR725" s="64">
        <v>44888.552083333336</v>
      </c>
      <c r="AS725" s="57" t="s">
        <v>117</v>
      </c>
      <c r="AT725" s="61" t="s">
        <v>225</v>
      </c>
      <c r="AU725" s="63">
        <v>0.55208333333333337</v>
      </c>
      <c r="AV725" s="61">
        <v>1</v>
      </c>
      <c r="AW725" s="61" t="s">
        <v>66</v>
      </c>
      <c r="AX725" s="52"/>
      <c r="AY725" s="52"/>
      <c r="AZ725" s="52"/>
      <c r="BA725" s="52"/>
    </row>
    <row r="726" spans="1:53" x14ac:dyDescent="0.25">
      <c r="A726" s="73">
        <v>420</v>
      </c>
      <c r="B726" s="72">
        <v>44887.520833333336</v>
      </c>
      <c r="C726" s="67">
        <v>0.52430555555555558</v>
      </c>
      <c r="D726" s="67">
        <v>0.53472222222222221</v>
      </c>
      <c r="E726" s="67">
        <v>0.55555555555555558</v>
      </c>
      <c r="F726" s="68" t="s">
        <v>170</v>
      </c>
      <c r="G726" s="68" t="s">
        <v>2096</v>
      </c>
      <c r="H726" s="66" t="s">
        <v>228</v>
      </c>
      <c r="I726" s="66" t="s">
        <v>71</v>
      </c>
      <c r="J726" s="66" t="s">
        <v>37</v>
      </c>
      <c r="K726" s="66" t="s">
        <v>63</v>
      </c>
      <c r="L726" s="66" t="s">
        <v>212</v>
      </c>
      <c r="M726" s="68" t="s">
        <v>2111</v>
      </c>
      <c r="N726" s="68" t="s">
        <v>139</v>
      </c>
      <c r="O726" s="68" t="s">
        <v>2112</v>
      </c>
      <c r="P726" s="68">
        <v>5051944199</v>
      </c>
      <c r="Q726" s="303">
        <f t="shared" si="71"/>
        <v>0</v>
      </c>
      <c r="R726" s="303">
        <f t="shared" si="72"/>
        <v>0</v>
      </c>
      <c r="S726" s="68">
        <v>0</v>
      </c>
      <c r="T726" s="68">
        <v>0</v>
      </c>
      <c r="U726" s="68">
        <v>0</v>
      </c>
      <c r="V726" s="68">
        <v>0</v>
      </c>
      <c r="W726" s="68">
        <v>0</v>
      </c>
      <c r="X726" s="68">
        <v>39</v>
      </c>
      <c r="Y726" s="68">
        <v>29</v>
      </c>
      <c r="Z726" s="68">
        <v>46</v>
      </c>
      <c r="AA726" s="68">
        <v>1</v>
      </c>
      <c r="AB726" s="300">
        <f t="shared" si="73"/>
        <v>8.6709999999999994</v>
      </c>
      <c r="AC726" s="300">
        <f t="shared" si="74"/>
        <v>5.2234939759036141E-2</v>
      </c>
      <c r="AD726" s="68">
        <v>0</v>
      </c>
      <c r="AE726" s="68">
        <v>0</v>
      </c>
      <c r="AF726" s="68" t="s">
        <v>317</v>
      </c>
      <c r="AG726" s="68" t="s">
        <v>317</v>
      </c>
      <c r="AH726" s="68" t="s">
        <v>2113</v>
      </c>
      <c r="AI726" s="309"/>
      <c r="AJ726" s="309"/>
      <c r="AK726" s="68" t="s">
        <v>37</v>
      </c>
      <c r="AL726" s="68" t="s">
        <v>49</v>
      </c>
      <c r="AM726" s="299">
        <f t="shared" ca="1" si="70"/>
        <v>1.03125</v>
      </c>
      <c r="AN726" s="51"/>
      <c r="AO726" s="61" t="s">
        <v>72</v>
      </c>
      <c r="AP726" s="91" t="s">
        <v>2111</v>
      </c>
      <c r="AQ726" s="59" t="s">
        <v>2263</v>
      </c>
      <c r="AR726" s="64">
        <v>44888.552083333336</v>
      </c>
      <c r="AS726" s="57" t="s">
        <v>117</v>
      </c>
      <c r="AT726" s="61" t="s">
        <v>225</v>
      </c>
      <c r="AU726" s="63">
        <v>0.55208333333333337</v>
      </c>
      <c r="AV726" s="61">
        <v>1</v>
      </c>
      <c r="AW726" s="61" t="s">
        <v>66</v>
      </c>
      <c r="AX726" s="52"/>
      <c r="AY726" s="52"/>
      <c r="AZ726" s="52"/>
      <c r="BA726" s="52"/>
    </row>
    <row r="727" spans="1:53" x14ac:dyDescent="0.25">
      <c r="A727" s="73">
        <v>421</v>
      </c>
      <c r="B727" s="72">
        <v>44887.520833333336</v>
      </c>
      <c r="C727" s="67">
        <v>0.52430555555555558</v>
      </c>
      <c r="D727" s="67">
        <v>0.53472222222222221</v>
      </c>
      <c r="E727" s="67">
        <v>0.55555555555555558</v>
      </c>
      <c r="F727" s="68" t="s">
        <v>170</v>
      </c>
      <c r="G727" s="68" t="s">
        <v>2096</v>
      </c>
      <c r="H727" s="66" t="s">
        <v>228</v>
      </c>
      <c r="I727" s="66" t="s">
        <v>71</v>
      </c>
      <c r="J727" s="66" t="s">
        <v>37</v>
      </c>
      <c r="K727" s="66" t="s">
        <v>63</v>
      </c>
      <c r="L727" s="66" t="s">
        <v>212</v>
      </c>
      <c r="M727" s="68" t="s">
        <v>2103</v>
      </c>
      <c r="N727" s="68" t="s">
        <v>139</v>
      </c>
      <c r="O727" s="68" t="s">
        <v>2114</v>
      </c>
      <c r="P727" s="68">
        <v>5051965557</v>
      </c>
      <c r="Q727" s="303">
        <f t="shared" si="71"/>
        <v>2</v>
      </c>
      <c r="R727" s="303">
        <f t="shared" si="72"/>
        <v>117</v>
      </c>
      <c r="S727" s="68">
        <v>0</v>
      </c>
      <c r="T727" s="68">
        <v>0</v>
      </c>
      <c r="U727" s="68">
        <v>2</v>
      </c>
      <c r="V727" s="68">
        <v>117</v>
      </c>
      <c r="W727" s="68">
        <v>116</v>
      </c>
      <c r="X727" s="68">
        <v>29</v>
      </c>
      <c r="Y727" s="68">
        <v>29</v>
      </c>
      <c r="Z727" s="68">
        <v>34</v>
      </c>
      <c r="AA727" s="68">
        <v>1</v>
      </c>
      <c r="AB727" s="300">
        <f t="shared" si="73"/>
        <v>4.7656666666666663</v>
      </c>
      <c r="AC727" s="300">
        <f t="shared" si="74"/>
        <v>2.8708835341365459E-2</v>
      </c>
      <c r="AD727" s="68">
        <v>769.26</v>
      </c>
      <c r="AE727" s="68" t="s">
        <v>109</v>
      </c>
      <c r="AF727" s="68" t="s">
        <v>317</v>
      </c>
      <c r="AG727" s="68" t="s">
        <v>317</v>
      </c>
      <c r="AH727" s="68" t="s">
        <v>2115</v>
      </c>
      <c r="AI727" s="309"/>
      <c r="AJ727" s="309"/>
      <c r="AK727" s="68" t="s">
        <v>37</v>
      </c>
      <c r="AL727" s="68" t="s">
        <v>49</v>
      </c>
      <c r="AM727" s="299">
        <f t="shared" ca="1" si="70"/>
        <v>1.03125</v>
      </c>
      <c r="AN727" s="51"/>
      <c r="AO727" s="61" t="s">
        <v>72</v>
      </c>
      <c r="AP727" s="91" t="s">
        <v>2103</v>
      </c>
      <c r="AQ727" s="59" t="s">
        <v>2263</v>
      </c>
      <c r="AR727" s="64">
        <v>44888.552083333336</v>
      </c>
      <c r="AS727" s="57" t="s">
        <v>117</v>
      </c>
      <c r="AT727" s="61" t="s">
        <v>225</v>
      </c>
      <c r="AU727" s="63">
        <v>0.55208333333333337</v>
      </c>
      <c r="AV727" s="61">
        <v>1</v>
      </c>
      <c r="AW727" s="61" t="s">
        <v>66</v>
      </c>
      <c r="AX727" s="52"/>
      <c r="AY727" s="52"/>
      <c r="AZ727" s="52"/>
      <c r="BA727" s="52"/>
    </row>
    <row r="728" spans="1:53" x14ac:dyDescent="0.25">
      <c r="A728" s="73">
        <v>421</v>
      </c>
      <c r="B728" s="72">
        <v>44887.520833333336</v>
      </c>
      <c r="C728" s="67">
        <v>0.52430555555555558</v>
      </c>
      <c r="D728" s="67">
        <v>0.53472222222222221</v>
      </c>
      <c r="E728" s="67">
        <v>0.55555555555555558</v>
      </c>
      <c r="F728" s="68" t="s">
        <v>170</v>
      </c>
      <c r="G728" s="68" t="s">
        <v>2096</v>
      </c>
      <c r="H728" s="66" t="s">
        <v>228</v>
      </c>
      <c r="I728" s="66" t="s">
        <v>71</v>
      </c>
      <c r="J728" s="66" t="s">
        <v>37</v>
      </c>
      <c r="K728" s="66" t="s">
        <v>63</v>
      </c>
      <c r="L728" s="66" t="s">
        <v>212</v>
      </c>
      <c r="M728" s="68" t="s">
        <v>2103</v>
      </c>
      <c r="N728" s="68" t="s">
        <v>139</v>
      </c>
      <c r="O728" s="68" t="s">
        <v>2114</v>
      </c>
      <c r="P728" s="68">
        <v>5051965557</v>
      </c>
      <c r="Q728" s="303">
        <f t="shared" si="71"/>
        <v>0</v>
      </c>
      <c r="R728" s="303">
        <f t="shared" si="72"/>
        <v>0</v>
      </c>
      <c r="S728" s="68">
        <v>0</v>
      </c>
      <c r="T728" s="68">
        <v>0</v>
      </c>
      <c r="U728" s="68">
        <v>0</v>
      </c>
      <c r="V728" s="68">
        <v>0</v>
      </c>
      <c r="W728" s="68">
        <v>0</v>
      </c>
      <c r="X728" s="68">
        <v>45</v>
      </c>
      <c r="Y728" s="68">
        <v>44</v>
      </c>
      <c r="Z728" s="68">
        <v>43</v>
      </c>
      <c r="AA728" s="68">
        <v>1</v>
      </c>
      <c r="AB728" s="300">
        <f t="shared" si="73"/>
        <v>14.19</v>
      </c>
      <c r="AC728" s="300">
        <f t="shared" si="74"/>
        <v>8.5481927710843369E-2</v>
      </c>
      <c r="AD728" s="68">
        <v>0</v>
      </c>
      <c r="AE728" s="68">
        <v>0</v>
      </c>
      <c r="AF728" s="68" t="s">
        <v>317</v>
      </c>
      <c r="AG728" s="68" t="s">
        <v>317</v>
      </c>
      <c r="AH728" s="68" t="s">
        <v>2115</v>
      </c>
      <c r="AI728" s="309"/>
      <c r="AJ728" s="309"/>
      <c r="AK728" s="68" t="s">
        <v>37</v>
      </c>
      <c r="AL728" s="68" t="s">
        <v>49</v>
      </c>
      <c r="AM728" s="299">
        <f t="shared" ca="1" si="70"/>
        <v>1.03125</v>
      </c>
      <c r="AN728" s="51"/>
      <c r="AO728" s="61" t="s">
        <v>72</v>
      </c>
      <c r="AP728" s="91" t="s">
        <v>2103</v>
      </c>
      <c r="AQ728" s="59" t="s">
        <v>2263</v>
      </c>
      <c r="AR728" s="64">
        <v>44888.552083333336</v>
      </c>
      <c r="AS728" s="57" t="s">
        <v>117</v>
      </c>
      <c r="AT728" s="61" t="s">
        <v>225</v>
      </c>
      <c r="AU728" s="63">
        <v>0.55208333333333337</v>
      </c>
      <c r="AV728" s="61">
        <v>1</v>
      </c>
      <c r="AW728" s="61" t="s">
        <v>66</v>
      </c>
      <c r="AX728" s="52"/>
      <c r="AY728" s="52"/>
      <c r="AZ728" s="52"/>
      <c r="BA728" s="52"/>
    </row>
    <row r="729" spans="1:53" x14ac:dyDescent="0.25">
      <c r="A729" s="73">
        <v>422</v>
      </c>
      <c r="B729" s="72">
        <v>44887.520833333336</v>
      </c>
      <c r="C729" s="67">
        <v>0.52430555555555558</v>
      </c>
      <c r="D729" s="67">
        <v>0.53472222222222221</v>
      </c>
      <c r="E729" s="67">
        <v>0.55555555555555558</v>
      </c>
      <c r="F729" s="68" t="s">
        <v>170</v>
      </c>
      <c r="G729" s="68" t="s">
        <v>2096</v>
      </c>
      <c r="H729" s="66" t="s">
        <v>57</v>
      </c>
      <c r="I729" s="66" t="s">
        <v>71</v>
      </c>
      <c r="J729" s="66" t="s">
        <v>37</v>
      </c>
      <c r="K729" s="66" t="s">
        <v>63</v>
      </c>
      <c r="L729" s="66" t="s">
        <v>209</v>
      </c>
      <c r="M729" s="68" t="s">
        <v>2116</v>
      </c>
      <c r="N729" s="68" t="s">
        <v>139</v>
      </c>
      <c r="O729" s="68" t="s">
        <v>2117</v>
      </c>
      <c r="P729" s="68">
        <v>81956345</v>
      </c>
      <c r="Q729" s="303">
        <f t="shared" si="71"/>
        <v>1</v>
      </c>
      <c r="R729" s="303">
        <f t="shared" si="72"/>
        <v>83</v>
      </c>
      <c r="S729" s="68">
        <v>0</v>
      </c>
      <c r="T729" s="68">
        <v>0</v>
      </c>
      <c r="U729" s="68">
        <v>1</v>
      </c>
      <c r="V729" s="68">
        <v>83</v>
      </c>
      <c r="W729" s="68">
        <v>83</v>
      </c>
      <c r="X729" s="68">
        <v>79</v>
      </c>
      <c r="Y729" s="68">
        <v>59</v>
      </c>
      <c r="Z729" s="68">
        <v>68</v>
      </c>
      <c r="AA729" s="68">
        <v>1</v>
      </c>
      <c r="AB729" s="300">
        <f t="shared" si="73"/>
        <v>52.824666666666666</v>
      </c>
      <c r="AC729" s="300">
        <f t="shared" si="74"/>
        <v>0.31822088353413652</v>
      </c>
      <c r="AD729" s="68">
        <v>1477.36</v>
      </c>
      <c r="AE729" s="68" t="s">
        <v>109</v>
      </c>
      <c r="AF729" s="68" t="s">
        <v>317</v>
      </c>
      <c r="AG729" s="68" t="s">
        <v>317</v>
      </c>
      <c r="AH729" s="68" t="s">
        <v>2118</v>
      </c>
      <c r="AI729" s="309"/>
      <c r="AJ729" s="309"/>
      <c r="AK729" s="68" t="s">
        <v>37</v>
      </c>
      <c r="AL729" s="68" t="s">
        <v>49</v>
      </c>
      <c r="AM729" s="299">
        <f t="shared" ca="1" si="70"/>
        <v>1.03125</v>
      </c>
      <c r="AN729" s="51"/>
      <c r="AO729" s="61" t="s">
        <v>72</v>
      </c>
      <c r="AP729" s="91" t="s">
        <v>2116</v>
      </c>
      <c r="AQ729" s="59" t="s">
        <v>2263</v>
      </c>
      <c r="AR729" s="64">
        <v>44888.552083333336</v>
      </c>
      <c r="AS729" s="57" t="s">
        <v>117</v>
      </c>
      <c r="AT729" s="61" t="s">
        <v>225</v>
      </c>
      <c r="AU729" s="63">
        <v>0.55208333333333337</v>
      </c>
      <c r="AV729" s="61">
        <v>1</v>
      </c>
      <c r="AW729" s="61" t="s">
        <v>66</v>
      </c>
      <c r="AX729" s="52"/>
      <c r="AY729" s="52"/>
      <c r="AZ729" s="52"/>
      <c r="BA729" s="52"/>
    </row>
    <row r="730" spans="1:53" x14ac:dyDescent="0.25">
      <c r="A730" s="73">
        <v>423</v>
      </c>
      <c r="B730" s="72">
        <v>44887.520833333336</v>
      </c>
      <c r="C730" s="67">
        <v>0.52430555555555558</v>
      </c>
      <c r="D730" s="67">
        <v>0.53472222222222221</v>
      </c>
      <c r="E730" s="67">
        <v>0.55555555555555558</v>
      </c>
      <c r="F730" s="68" t="s">
        <v>170</v>
      </c>
      <c r="G730" s="68" t="s">
        <v>2096</v>
      </c>
      <c r="H730" s="66" t="s">
        <v>57</v>
      </c>
      <c r="I730" s="66" t="s">
        <v>71</v>
      </c>
      <c r="J730" s="66" t="s">
        <v>37</v>
      </c>
      <c r="K730" s="66" t="s">
        <v>63</v>
      </c>
      <c r="L730" s="66" t="s">
        <v>209</v>
      </c>
      <c r="M730" s="68" t="s">
        <v>2116</v>
      </c>
      <c r="N730" s="68" t="s">
        <v>139</v>
      </c>
      <c r="O730" s="68" t="s">
        <v>2119</v>
      </c>
      <c r="P730" s="68">
        <v>81956335</v>
      </c>
      <c r="Q730" s="303">
        <f t="shared" si="71"/>
        <v>1</v>
      </c>
      <c r="R730" s="303">
        <f t="shared" si="72"/>
        <v>504</v>
      </c>
      <c r="S730" s="68">
        <v>0</v>
      </c>
      <c r="T730" s="68">
        <v>0</v>
      </c>
      <c r="U730" s="68">
        <v>1</v>
      </c>
      <c r="V730" s="68">
        <v>504</v>
      </c>
      <c r="W730" s="68">
        <v>500</v>
      </c>
      <c r="X730" s="68">
        <v>183</v>
      </c>
      <c r="Y730" s="68">
        <v>83</v>
      </c>
      <c r="Z730" s="68">
        <v>76</v>
      </c>
      <c r="AA730" s="68">
        <v>1</v>
      </c>
      <c r="AB730" s="300">
        <f t="shared" si="73"/>
        <v>192.39400000000001</v>
      </c>
      <c r="AC730" s="300">
        <f t="shared" si="74"/>
        <v>1.159</v>
      </c>
      <c r="AD730" s="68">
        <v>3389.84</v>
      </c>
      <c r="AE730" s="68" t="s">
        <v>109</v>
      </c>
      <c r="AF730" s="68" t="s">
        <v>317</v>
      </c>
      <c r="AG730" s="68" t="s">
        <v>317</v>
      </c>
      <c r="AH730" s="68" t="s">
        <v>2120</v>
      </c>
      <c r="AI730" s="309"/>
      <c r="AJ730" s="309"/>
      <c r="AK730" s="68" t="s">
        <v>37</v>
      </c>
      <c r="AL730" s="68" t="s">
        <v>94</v>
      </c>
      <c r="AM730" s="299">
        <f t="shared" ca="1" si="70"/>
        <v>1.03125</v>
      </c>
      <c r="AN730" s="51"/>
      <c r="AO730" s="61" t="s">
        <v>72</v>
      </c>
      <c r="AP730" s="91" t="s">
        <v>2116</v>
      </c>
      <c r="AQ730" s="59" t="s">
        <v>2263</v>
      </c>
      <c r="AR730" s="64">
        <v>44888.552083333336</v>
      </c>
      <c r="AS730" s="57" t="s">
        <v>117</v>
      </c>
      <c r="AT730" s="61" t="s">
        <v>225</v>
      </c>
      <c r="AU730" s="63">
        <v>0.55208333333333337</v>
      </c>
      <c r="AV730" s="61">
        <v>1</v>
      </c>
      <c r="AW730" s="61" t="s">
        <v>66</v>
      </c>
      <c r="AX730" s="52"/>
      <c r="AY730" s="52"/>
      <c r="AZ730" s="52"/>
      <c r="BA730" s="52"/>
    </row>
    <row r="731" spans="1:53" x14ac:dyDescent="0.25">
      <c r="A731" s="73">
        <v>424</v>
      </c>
      <c r="B731" s="72">
        <v>44887.520833333336</v>
      </c>
      <c r="C731" s="67">
        <v>0.52430555555555558</v>
      </c>
      <c r="D731" s="67">
        <v>0.53472222222222221</v>
      </c>
      <c r="E731" s="67">
        <v>0.55555555555555558</v>
      </c>
      <c r="F731" s="68" t="s">
        <v>170</v>
      </c>
      <c r="G731" s="68" t="s">
        <v>2096</v>
      </c>
      <c r="H731" s="66" t="s">
        <v>57</v>
      </c>
      <c r="I731" s="66" t="s">
        <v>2121</v>
      </c>
      <c r="J731" s="66" t="s">
        <v>37</v>
      </c>
      <c r="K731" s="66" t="s">
        <v>63</v>
      </c>
      <c r="L731" s="66" t="s">
        <v>209</v>
      </c>
      <c r="M731" s="68" t="s">
        <v>2122</v>
      </c>
      <c r="N731" s="68" t="s">
        <v>490</v>
      </c>
      <c r="O731" s="68" t="s">
        <v>2123</v>
      </c>
      <c r="P731" s="68">
        <v>81959422</v>
      </c>
      <c r="Q731" s="303">
        <f t="shared" si="71"/>
        <v>2</v>
      </c>
      <c r="R731" s="303">
        <f t="shared" si="72"/>
        <v>241</v>
      </c>
      <c r="S731" s="68">
        <v>0</v>
      </c>
      <c r="T731" s="68">
        <v>0</v>
      </c>
      <c r="U731" s="68">
        <v>2</v>
      </c>
      <c r="V731" s="68">
        <v>241</v>
      </c>
      <c r="W731" s="68">
        <v>240</v>
      </c>
      <c r="X731" s="68">
        <v>109</v>
      </c>
      <c r="Y731" s="68">
        <v>57</v>
      </c>
      <c r="Z731" s="68">
        <v>67</v>
      </c>
      <c r="AA731" s="68">
        <v>2</v>
      </c>
      <c r="AB731" s="300">
        <f t="shared" si="73"/>
        <v>138.75700000000001</v>
      </c>
      <c r="AC731" s="300">
        <f t="shared" si="74"/>
        <v>0.83588554216867472</v>
      </c>
      <c r="AD731" s="68">
        <v>6480</v>
      </c>
      <c r="AE731" s="68" t="s">
        <v>109</v>
      </c>
      <c r="AF731" s="68" t="s">
        <v>317</v>
      </c>
      <c r="AG731" s="68" t="s">
        <v>317</v>
      </c>
      <c r="AH731" s="68" t="s">
        <v>2124</v>
      </c>
      <c r="AI731" s="309"/>
      <c r="AJ731" s="309"/>
      <c r="AK731" s="68" t="s">
        <v>37</v>
      </c>
      <c r="AL731" s="68" t="s">
        <v>49</v>
      </c>
      <c r="AM731" s="299">
        <f t="shared" ca="1" si="70"/>
        <v>1.9652777777737356</v>
      </c>
      <c r="AN731" s="51"/>
      <c r="AO731" s="61" t="s">
        <v>495</v>
      </c>
      <c r="AP731" s="91" t="s">
        <v>2122</v>
      </c>
      <c r="AQ731" s="59" t="s">
        <v>2304</v>
      </c>
      <c r="AR731" s="64">
        <v>44889.486111111109</v>
      </c>
      <c r="AS731" s="61" t="s">
        <v>95</v>
      </c>
      <c r="AT731" s="61" t="s">
        <v>225</v>
      </c>
      <c r="AU731" s="59">
        <v>0.4861111111111111</v>
      </c>
      <c r="AV731" s="61">
        <v>1</v>
      </c>
      <c r="AW731" s="61" t="s">
        <v>66</v>
      </c>
      <c r="AX731" s="52"/>
      <c r="AY731" s="52"/>
      <c r="AZ731" s="52"/>
      <c r="BA731" s="52"/>
    </row>
    <row r="732" spans="1:53" x14ac:dyDescent="0.25">
      <c r="A732" s="73">
        <v>425</v>
      </c>
      <c r="B732" s="72">
        <v>44887.59375</v>
      </c>
      <c r="C732" s="67">
        <v>0.59722222222222221</v>
      </c>
      <c r="D732" s="67">
        <v>0.62152777777777779</v>
      </c>
      <c r="E732" s="67">
        <v>0.625</v>
      </c>
      <c r="F732" s="68" t="s">
        <v>169</v>
      </c>
      <c r="G732" s="68" t="s">
        <v>413</v>
      </c>
      <c r="H732" s="66" t="s">
        <v>145</v>
      </c>
      <c r="I732" s="66" t="s">
        <v>146</v>
      </c>
      <c r="J732" s="66" t="s">
        <v>41</v>
      </c>
      <c r="K732" s="66" t="s">
        <v>233</v>
      </c>
      <c r="L732" s="66" t="s">
        <v>223</v>
      </c>
      <c r="M732" s="68" t="s">
        <v>2125</v>
      </c>
      <c r="N732" s="68" t="s">
        <v>453</v>
      </c>
      <c r="O732" s="68">
        <v>97000533</v>
      </c>
      <c r="P732" s="68">
        <v>46735</v>
      </c>
      <c r="Q732" s="303">
        <f t="shared" si="71"/>
        <v>15</v>
      </c>
      <c r="R732" s="303">
        <f t="shared" si="72"/>
        <v>233</v>
      </c>
      <c r="S732" s="68">
        <v>15</v>
      </c>
      <c r="T732" s="68">
        <v>233</v>
      </c>
      <c r="U732" s="68">
        <v>0</v>
      </c>
      <c r="V732" s="68">
        <v>0</v>
      </c>
      <c r="W732" s="68">
        <v>229</v>
      </c>
      <c r="X732" s="68">
        <v>60</v>
      </c>
      <c r="Y732" s="68">
        <v>29</v>
      </c>
      <c r="Z732" s="68">
        <v>50</v>
      </c>
      <c r="AA732" s="68">
        <v>12</v>
      </c>
      <c r="AB732" s="300">
        <f t="shared" si="73"/>
        <v>174</v>
      </c>
      <c r="AC732" s="300">
        <f t="shared" si="74"/>
        <v>1.0481927710843373</v>
      </c>
      <c r="AD732" s="68">
        <v>12882.24</v>
      </c>
      <c r="AE732" s="68" t="s">
        <v>109</v>
      </c>
      <c r="AF732" s="68" t="s">
        <v>2126</v>
      </c>
      <c r="AG732" s="68" t="s">
        <v>2127</v>
      </c>
      <c r="AH732" s="68" t="s">
        <v>2128</v>
      </c>
      <c r="AI732" s="309"/>
      <c r="AJ732" s="309"/>
      <c r="AK732" s="68" t="s">
        <v>48</v>
      </c>
      <c r="AL732" s="68" t="s">
        <v>50</v>
      </c>
      <c r="AM732" s="299">
        <f t="shared" ca="1" si="70"/>
        <v>0.11805555555474712</v>
      </c>
      <c r="AN732" s="51"/>
      <c r="AO732" s="61" t="s">
        <v>68</v>
      </c>
      <c r="AP732" s="91" t="s">
        <v>2125</v>
      </c>
      <c r="AQ732" s="59" t="s">
        <v>2184</v>
      </c>
      <c r="AR732" s="64">
        <v>44887.711805555555</v>
      </c>
      <c r="AS732" s="61" t="s">
        <v>483</v>
      </c>
      <c r="AT732" s="61" t="s">
        <v>65</v>
      </c>
      <c r="AU732" s="63">
        <v>0.71180555555555547</v>
      </c>
      <c r="AV732" s="61">
        <v>1</v>
      </c>
      <c r="AW732" s="61" t="s">
        <v>66</v>
      </c>
      <c r="AX732" s="52"/>
      <c r="AY732" s="52"/>
      <c r="AZ732" s="52"/>
      <c r="BA732" s="52"/>
    </row>
    <row r="733" spans="1:53" x14ac:dyDescent="0.25">
      <c r="A733" s="73">
        <v>425</v>
      </c>
      <c r="B733" s="72">
        <v>44887.59375</v>
      </c>
      <c r="C733" s="67">
        <v>0.59722222222222221</v>
      </c>
      <c r="D733" s="67">
        <v>0.62152777777777779</v>
      </c>
      <c r="E733" s="67">
        <v>0.625</v>
      </c>
      <c r="F733" s="68" t="s">
        <v>169</v>
      </c>
      <c r="G733" s="68" t="s">
        <v>413</v>
      </c>
      <c r="H733" s="66" t="s">
        <v>145</v>
      </c>
      <c r="I733" s="66" t="s">
        <v>146</v>
      </c>
      <c r="J733" s="66" t="s">
        <v>41</v>
      </c>
      <c r="K733" s="66" t="s">
        <v>233</v>
      </c>
      <c r="L733" s="66" t="s">
        <v>223</v>
      </c>
      <c r="M733" s="68" t="s">
        <v>2125</v>
      </c>
      <c r="N733" s="68" t="s">
        <v>453</v>
      </c>
      <c r="O733" s="68">
        <v>97000533</v>
      </c>
      <c r="P733" s="68">
        <v>46735</v>
      </c>
      <c r="Q733" s="303">
        <f t="shared" si="71"/>
        <v>0</v>
      </c>
      <c r="R733" s="303">
        <f t="shared" si="72"/>
        <v>0</v>
      </c>
      <c r="S733" s="68">
        <v>0</v>
      </c>
      <c r="T733" s="68">
        <v>0</v>
      </c>
      <c r="U733" s="68">
        <v>0</v>
      </c>
      <c r="V733" s="68">
        <v>0</v>
      </c>
      <c r="W733" s="68">
        <v>0</v>
      </c>
      <c r="X733" s="68">
        <v>39</v>
      </c>
      <c r="Y733" s="68">
        <v>29</v>
      </c>
      <c r="Z733" s="68">
        <v>25</v>
      </c>
      <c r="AA733" s="68">
        <v>1</v>
      </c>
      <c r="AB733" s="300">
        <f t="shared" si="73"/>
        <v>4.7125000000000004</v>
      </c>
      <c r="AC733" s="300">
        <f t="shared" si="74"/>
        <v>2.8388554216867472E-2</v>
      </c>
      <c r="AD733" s="68">
        <v>0</v>
      </c>
      <c r="AE733" s="68">
        <v>0</v>
      </c>
      <c r="AF733" s="68" t="s">
        <v>2126</v>
      </c>
      <c r="AG733" s="68" t="s">
        <v>2127</v>
      </c>
      <c r="AH733" s="68" t="s">
        <v>2128</v>
      </c>
      <c r="AI733" s="309"/>
      <c r="AJ733" s="309"/>
      <c r="AK733" s="68" t="s">
        <v>48</v>
      </c>
      <c r="AL733" s="68" t="s">
        <v>50</v>
      </c>
      <c r="AM733" s="299">
        <f t="shared" ca="1" si="70"/>
        <v>0.11805555555474712</v>
      </c>
      <c r="AN733" s="51"/>
      <c r="AO733" s="61" t="s">
        <v>68</v>
      </c>
      <c r="AP733" s="91" t="s">
        <v>2125</v>
      </c>
      <c r="AQ733" s="59" t="s">
        <v>2184</v>
      </c>
      <c r="AR733" s="64">
        <v>44887.711805555555</v>
      </c>
      <c r="AS733" s="61" t="s">
        <v>483</v>
      </c>
      <c r="AT733" s="61" t="s">
        <v>65</v>
      </c>
      <c r="AU733" s="63">
        <v>0.71180555555555547</v>
      </c>
      <c r="AV733" s="61">
        <v>1</v>
      </c>
      <c r="AW733" s="61" t="s">
        <v>66</v>
      </c>
      <c r="AX733" s="52"/>
      <c r="AY733" s="52"/>
      <c r="AZ733" s="52"/>
      <c r="BA733" s="52"/>
    </row>
    <row r="734" spans="1:53" x14ac:dyDescent="0.25">
      <c r="A734" s="73">
        <v>425</v>
      </c>
      <c r="B734" s="72">
        <v>44887.59375</v>
      </c>
      <c r="C734" s="67">
        <v>0.59722222222222221</v>
      </c>
      <c r="D734" s="67">
        <v>0.62152777777777779</v>
      </c>
      <c r="E734" s="67">
        <v>0.625</v>
      </c>
      <c r="F734" s="68" t="s">
        <v>169</v>
      </c>
      <c r="G734" s="68" t="s">
        <v>413</v>
      </c>
      <c r="H734" s="66" t="s">
        <v>145</v>
      </c>
      <c r="I734" s="66" t="s">
        <v>146</v>
      </c>
      <c r="J734" s="66" t="s">
        <v>41</v>
      </c>
      <c r="K734" s="66" t="s">
        <v>233</v>
      </c>
      <c r="L734" s="66" t="s">
        <v>223</v>
      </c>
      <c r="M734" s="68" t="s">
        <v>2125</v>
      </c>
      <c r="N734" s="68" t="s">
        <v>453</v>
      </c>
      <c r="O734" s="68">
        <v>97000533</v>
      </c>
      <c r="P734" s="68">
        <v>46735</v>
      </c>
      <c r="Q734" s="303">
        <f t="shared" si="71"/>
        <v>0</v>
      </c>
      <c r="R734" s="303">
        <f t="shared" si="72"/>
        <v>0</v>
      </c>
      <c r="S734" s="68">
        <v>0</v>
      </c>
      <c r="T734" s="68">
        <v>0</v>
      </c>
      <c r="U734" s="68">
        <v>0</v>
      </c>
      <c r="V734" s="68">
        <v>0</v>
      </c>
      <c r="W734" s="68">
        <v>0</v>
      </c>
      <c r="X734" s="68">
        <v>32</v>
      </c>
      <c r="Y734" s="68">
        <v>30</v>
      </c>
      <c r="Z734" s="68">
        <v>24</v>
      </c>
      <c r="AA734" s="68">
        <v>1</v>
      </c>
      <c r="AB734" s="300">
        <f t="shared" si="73"/>
        <v>3.84</v>
      </c>
      <c r="AC734" s="300">
        <f t="shared" si="74"/>
        <v>2.3132530120481928E-2</v>
      </c>
      <c r="AD734" s="68">
        <v>0</v>
      </c>
      <c r="AE734" s="68">
        <v>0</v>
      </c>
      <c r="AF734" s="68" t="s">
        <v>2126</v>
      </c>
      <c r="AG734" s="68" t="s">
        <v>2127</v>
      </c>
      <c r="AH734" s="68" t="s">
        <v>2128</v>
      </c>
      <c r="AI734" s="309"/>
      <c r="AJ734" s="309"/>
      <c r="AK734" s="68" t="s">
        <v>48</v>
      </c>
      <c r="AL734" s="68" t="s">
        <v>50</v>
      </c>
      <c r="AM734" s="299">
        <f t="shared" ca="1" si="70"/>
        <v>0.11805555555474712</v>
      </c>
      <c r="AN734" s="51"/>
      <c r="AO734" s="61" t="s">
        <v>68</v>
      </c>
      <c r="AP734" s="91" t="s">
        <v>2125</v>
      </c>
      <c r="AQ734" s="59" t="s">
        <v>2184</v>
      </c>
      <c r="AR734" s="64">
        <v>44887.711805555555</v>
      </c>
      <c r="AS734" s="61" t="s">
        <v>483</v>
      </c>
      <c r="AT734" s="61" t="s">
        <v>65</v>
      </c>
      <c r="AU734" s="63">
        <v>0.71180555555555547</v>
      </c>
      <c r="AV734" s="61">
        <v>1</v>
      </c>
      <c r="AW734" s="61" t="s">
        <v>66</v>
      </c>
      <c r="AX734" s="52"/>
      <c r="AY734" s="52"/>
      <c r="AZ734" s="52"/>
      <c r="BA734" s="52"/>
    </row>
    <row r="735" spans="1:53" x14ac:dyDescent="0.25">
      <c r="A735" s="73">
        <v>425</v>
      </c>
      <c r="B735" s="72">
        <v>44887.59375</v>
      </c>
      <c r="C735" s="67">
        <v>0.59722222222222221</v>
      </c>
      <c r="D735" s="67">
        <v>0.62152777777777779</v>
      </c>
      <c r="E735" s="67">
        <v>0.625</v>
      </c>
      <c r="F735" s="68" t="s">
        <v>169</v>
      </c>
      <c r="G735" s="68" t="s">
        <v>413</v>
      </c>
      <c r="H735" s="66" t="s">
        <v>145</v>
      </c>
      <c r="I735" s="66" t="s">
        <v>146</v>
      </c>
      <c r="J735" s="66" t="s">
        <v>41</v>
      </c>
      <c r="K735" s="66" t="s">
        <v>233</v>
      </c>
      <c r="L735" s="66" t="s">
        <v>223</v>
      </c>
      <c r="M735" s="68" t="s">
        <v>2125</v>
      </c>
      <c r="N735" s="68" t="s">
        <v>453</v>
      </c>
      <c r="O735" s="68">
        <v>97000533</v>
      </c>
      <c r="P735" s="68">
        <v>46735</v>
      </c>
      <c r="Q735" s="303">
        <f t="shared" si="71"/>
        <v>0</v>
      </c>
      <c r="R735" s="303">
        <f t="shared" si="72"/>
        <v>0</v>
      </c>
      <c r="S735" s="68">
        <v>0</v>
      </c>
      <c r="T735" s="68">
        <v>0</v>
      </c>
      <c r="U735" s="68">
        <v>0</v>
      </c>
      <c r="V735" s="68">
        <v>0</v>
      </c>
      <c r="W735" s="68">
        <v>0</v>
      </c>
      <c r="X735" s="68">
        <v>60</v>
      </c>
      <c r="Y735" s="68">
        <v>29</v>
      </c>
      <c r="Z735" s="68">
        <v>20</v>
      </c>
      <c r="AA735" s="68">
        <v>1</v>
      </c>
      <c r="AB735" s="300">
        <f t="shared" si="73"/>
        <v>5.8</v>
      </c>
      <c r="AC735" s="300">
        <f t="shared" si="74"/>
        <v>3.4939759036144574E-2</v>
      </c>
      <c r="AD735" s="68">
        <v>0</v>
      </c>
      <c r="AE735" s="68">
        <v>0</v>
      </c>
      <c r="AF735" s="68" t="s">
        <v>2126</v>
      </c>
      <c r="AG735" s="68" t="s">
        <v>2127</v>
      </c>
      <c r="AH735" s="68" t="s">
        <v>2128</v>
      </c>
      <c r="AI735" s="309"/>
      <c r="AJ735" s="309"/>
      <c r="AK735" s="68" t="s">
        <v>48</v>
      </c>
      <c r="AL735" s="68" t="s">
        <v>50</v>
      </c>
      <c r="AM735" s="299">
        <f t="shared" ca="1" si="70"/>
        <v>0.11805555555474712</v>
      </c>
      <c r="AN735" s="51"/>
      <c r="AO735" s="61" t="s">
        <v>68</v>
      </c>
      <c r="AP735" s="91" t="s">
        <v>2125</v>
      </c>
      <c r="AQ735" s="59" t="s">
        <v>2184</v>
      </c>
      <c r="AR735" s="64">
        <v>44887.711805555555</v>
      </c>
      <c r="AS735" s="61" t="s">
        <v>483</v>
      </c>
      <c r="AT735" s="61" t="s">
        <v>65</v>
      </c>
      <c r="AU735" s="63">
        <v>0.71180555555555547</v>
      </c>
      <c r="AV735" s="61">
        <v>1</v>
      </c>
      <c r="AW735" s="61" t="s">
        <v>66</v>
      </c>
      <c r="AX735" s="52"/>
      <c r="AY735" s="52"/>
      <c r="AZ735" s="52"/>
      <c r="BA735" s="52"/>
    </row>
    <row r="736" spans="1:53" x14ac:dyDescent="0.25">
      <c r="A736" s="73">
        <v>426</v>
      </c>
      <c r="B736" s="72">
        <v>44887.59375</v>
      </c>
      <c r="C736" s="67">
        <v>0.59722222222222221</v>
      </c>
      <c r="D736" s="67">
        <v>0.62152777777777779</v>
      </c>
      <c r="E736" s="67">
        <v>0.625</v>
      </c>
      <c r="F736" s="68" t="s">
        <v>169</v>
      </c>
      <c r="G736" s="68" t="s">
        <v>413</v>
      </c>
      <c r="H736" s="66" t="s">
        <v>145</v>
      </c>
      <c r="I736" s="66" t="s">
        <v>146</v>
      </c>
      <c r="J736" s="66" t="s">
        <v>41</v>
      </c>
      <c r="K736" s="66" t="s">
        <v>233</v>
      </c>
      <c r="L736" s="66" t="s">
        <v>223</v>
      </c>
      <c r="M736" s="68" t="s">
        <v>2125</v>
      </c>
      <c r="N736" s="68" t="s">
        <v>453</v>
      </c>
      <c r="O736" s="68">
        <v>97000535</v>
      </c>
      <c r="P736" s="68">
        <v>46734</v>
      </c>
      <c r="Q736" s="303">
        <f t="shared" si="71"/>
        <v>41</v>
      </c>
      <c r="R736" s="303">
        <f t="shared" si="72"/>
        <v>731</v>
      </c>
      <c r="S736" s="68">
        <v>41</v>
      </c>
      <c r="T736" s="68">
        <v>731</v>
      </c>
      <c r="U736" s="68">
        <v>0</v>
      </c>
      <c r="V736" s="68">
        <v>0</v>
      </c>
      <c r="W736" s="68">
        <v>716</v>
      </c>
      <c r="X736" s="68">
        <v>60</v>
      </c>
      <c r="Y736" s="68">
        <v>29</v>
      </c>
      <c r="Z736" s="68">
        <v>59</v>
      </c>
      <c r="AA736" s="68">
        <v>40</v>
      </c>
      <c r="AB736" s="300">
        <f t="shared" si="73"/>
        <v>684.4</v>
      </c>
      <c r="AC736" s="300">
        <f t="shared" si="74"/>
        <v>4.1228915662650598</v>
      </c>
      <c r="AD736" s="68">
        <v>37981.440000000002</v>
      </c>
      <c r="AE736" s="68" t="s">
        <v>109</v>
      </c>
      <c r="AF736" s="68" t="s">
        <v>2129</v>
      </c>
      <c r="AG736" s="68" t="s">
        <v>2127</v>
      </c>
      <c r="AH736" s="68" t="s">
        <v>2128</v>
      </c>
      <c r="AI736" s="309"/>
      <c r="AJ736" s="309"/>
      <c r="AK736" s="68" t="s">
        <v>48</v>
      </c>
      <c r="AL736" s="68" t="s">
        <v>50</v>
      </c>
      <c r="AM736" s="299">
        <f t="shared" ca="1" si="70"/>
        <v>0.11805555555474712</v>
      </c>
      <c r="AN736" s="51"/>
      <c r="AO736" s="61" t="s">
        <v>68</v>
      </c>
      <c r="AP736" s="91" t="s">
        <v>2125</v>
      </c>
      <c r="AQ736" s="59" t="s">
        <v>2184</v>
      </c>
      <c r="AR736" s="64">
        <v>44887.711805555555</v>
      </c>
      <c r="AS736" s="61" t="s">
        <v>483</v>
      </c>
      <c r="AT736" s="61" t="s">
        <v>65</v>
      </c>
      <c r="AU736" s="63">
        <v>0.71180555555555547</v>
      </c>
      <c r="AV736" s="61">
        <v>1</v>
      </c>
      <c r="AW736" s="61" t="s">
        <v>66</v>
      </c>
      <c r="AX736" s="52"/>
      <c r="AY736" s="52"/>
      <c r="AZ736" s="52"/>
      <c r="BA736" s="52"/>
    </row>
    <row r="737" spans="1:53" x14ac:dyDescent="0.25">
      <c r="A737" s="73">
        <v>426</v>
      </c>
      <c r="B737" s="72">
        <v>44887.59375</v>
      </c>
      <c r="C737" s="67">
        <v>0.59722222222222221</v>
      </c>
      <c r="D737" s="67">
        <v>0.62152777777777779</v>
      </c>
      <c r="E737" s="67">
        <v>0.625</v>
      </c>
      <c r="F737" s="68" t="s">
        <v>169</v>
      </c>
      <c r="G737" s="68" t="s">
        <v>413</v>
      </c>
      <c r="H737" s="66" t="s">
        <v>145</v>
      </c>
      <c r="I737" s="66" t="s">
        <v>146</v>
      </c>
      <c r="J737" s="66" t="s">
        <v>41</v>
      </c>
      <c r="K737" s="66" t="s">
        <v>233</v>
      </c>
      <c r="L737" s="66" t="s">
        <v>223</v>
      </c>
      <c r="M737" s="68" t="s">
        <v>2125</v>
      </c>
      <c r="N737" s="68" t="s">
        <v>453</v>
      </c>
      <c r="O737" s="68">
        <v>97000535</v>
      </c>
      <c r="P737" s="68">
        <v>46734</v>
      </c>
      <c r="Q737" s="303">
        <f t="shared" si="71"/>
        <v>0</v>
      </c>
      <c r="R737" s="303">
        <f t="shared" si="72"/>
        <v>0</v>
      </c>
      <c r="S737" s="68">
        <v>0</v>
      </c>
      <c r="T737" s="68">
        <v>0</v>
      </c>
      <c r="U737" s="68">
        <v>0</v>
      </c>
      <c r="V737" s="68">
        <v>0</v>
      </c>
      <c r="W737" s="68">
        <v>0</v>
      </c>
      <c r="X737" s="68">
        <v>60</v>
      </c>
      <c r="Y737" s="68">
        <v>29</v>
      </c>
      <c r="Z737" s="68">
        <v>25</v>
      </c>
      <c r="AA737" s="68">
        <v>1</v>
      </c>
      <c r="AB737" s="300">
        <f t="shared" si="73"/>
        <v>7.25</v>
      </c>
      <c r="AC737" s="300">
        <f t="shared" si="74"/>
        <v>4.3674698795180725E-2</v>
      </c>
      <c r="AD737" s="68">
        <v>0</v>
      </c>
      <c r="AE737" s="68">
        <v>0</v>
      </c>
      <c r="AF737" s="68" t="s">
        <v>2129</v>
      </c>
      <c r="AG737" s="68" t="s">
        <v>2127</v>
      </c>
      <c r="AH737" s="68" t="s">
        <v>2128</v>
      </c>
      <c r="AI737" s="309"/>
      <c r="AJ737" s="309"/>
      <c r="AK737" s="68" t="s">
        <v>48</v>
      </c>
      <c r="AL737" s="68" t="s">
        <v>50</v>
      </c>
      <c r="AM737" s="299">
        <f t="shared" ca="1" si="70"/>
        <v>0.11805555555474712</v>
      </c>
      <c r="AN737" s="51"/>
      <c r="AO737" s="61" t="s">
        <v>68</v>
      </c>
      <c r="AP737" s="91" t="s">
        <v>2125</v>
      </c>
      <c r="AQ737" s="59" t="s">
        <v>2184</v>
      </c>
      <c r="AR737" s="64">
        <v>44887.711805555555</v>
      </c>
      <c r="AS737" s="61" t="s">
        <v>483</v>
      </c>
      <c r="AT737" s="61" t="s">
        <v>65</v>
      </c>
      <c r="AU737" s="63">
        <v>0.71180555555555547</v>
      </c>
      <c r="AV737" s="61">
        <v>1</v>
      </c>
      <c r="AW737" s="61" t="s">
        <v>66</v>
      </c>
      <c r="AX737" s="52"/>
      <c r="AY737" s="52"/>
      <c r="AZ737" s="52"/>
      <c r="BA737" s="52"/>
    </row>
    <row r="738" spans="1:53" x14ac:dyDescent="0.25">
      <c r="A738" s="73">
        <v>427</v>
      </c>
      <c r="B738" s="72">
        <v>44887.59375</v>
      </c>
      <c r="C738" s="67">
        <v>0.59722222222222221</v>
      </c>
      <c r="D738" s="67">
        <v>0.62152777777777779</v>
      </c>
      <c r="E738" s="67">
        <v>0.625</v>
      </c>
      <c r="F738" s="68" t="s">
        <v>169</v>
      </c>
      <c r="G738" s="68" t="s">
        <v>413</v>
      </c>
      <c r="H738" s="66" t="s">
        <v>145</v>
      </c>
      <c r="I738" s="66" t="s">
        <v>146</v>
      </c>
      <c r="J738" s="66" t="s">
        <v>41</v>
      </c>
      <c r="K738" s="66" t="s">
        <v>233</v>
      </c>
      <c r="L738" s="66" t="s">
        <v>223</v>
      </c>
      <c r="M738" s="68" t="s">
        <v>2125</v>
      </c>
      <c r="N738" s="68" t="s">
        <v>453</v>
      </c>
      <c r="O738" s="68">
        <v>97000534</v>
      </c>
      <c r="P738" s="68">
        <v>46736</v>
      </c>
      <c r="Q738" s="303">
        <f t="shared" si="71"/>
        <v>20</v>
      </c>
      <c r="R738" s="303">
        <f t="shared" si="72"/>
        <v>288</v>
      </c>
      <c r="S738" s="68">
        <v>20</v>
      </c>
      <c r="T738" s="68">
        <v>288</v>
      </c>
      <c r="U738" s="68">
        <v>0</v>
      </c>
      <c r="V738" s="68">
        <v>0</v>
      </c>
      <c r="W738" s="68">
        <v>282</v>
      </c>
      <c r="X738" s="68">
        <v>60</v>
      </c>
      <c r="Y738" s="68">
        <v>25</v>
      </c>
      <c r="Z738" s="68">
        <v>49</v>
      </c>
      <c r="AA738" s="68">
        <v>14</v>
      </c>
      <c r="AB738" s="300">
        <f t="shared" si="73"/>
        <v>171.5</v>
      </c>
      <c r="AC738" s="300">
        <f t="shared" si="74"/>
        <v>1.0331325301204819</v>
      </c>
      <c r="AD738" s="68">
        <v>13527.36</v>
      </c>
      <c r="AE738" s="68" t="s">
        <v>109</v>
      </c>
      <c r="AF738" s="68" t="s">
        <v>2130</v>
      </c>
      <c r="AG738" s="68" t="s">
        <v>2127</v>
      </c>
      <c r="AH738" s="68" t="s">
        <v>2128</v>
      </c>
      <c r="AI738" s="309"/>
      <c r="AJ738" s="309"/>
      <c r="AK738" s="68" t="s">
        <v>48</v>
      </c>
      <c r="AL738" s="68" t="s">
        <v>50</v>
      </c>
      <c r="AM738" s="299">
        <f t="shared" ca="1" si="70"/>
        <v>0.11805555555474712</v>
      </c>
      <c r="AN738" s="51"/>
      <c r="AO738" s="61" t="s">
        <v>68</v>
      </c>
      <c r="AP738" s="91" t="s">
        <v>2125</v>
      </c>
      <c r="AQ738" s="59" t="s">
        <v>2184</v>
      </c>
      <c r="AR738" s="64">
        <v>44887.711805555555</v>
      </c>
      <c r="AS738" s="61" t="s">
        <v>483</v>
      </c>
      <c r="AT738" s="61" t="s">
        <v>65</v>
      </c>
      <c r="AU738" s="63">
        <v>0.71180555555555547</v>
      </c>
      <c r="AV738" s="61">
        <v>1</v>
      </c>
      <c r="AW738" s="61" t="s">
        <v>66</v>
      </c>
      <c r="AX738" s="52"/>
      <c r="AY738" s="52"/>
      <c r="AZ738" s="52"/>
      <c r="BA738" s="52"/>
    </row>
    <row r="739" spans="1:53" x14ac:dyDescent="0.25">
      <c r="A739" s="73">
        <v>427</v>
      </c>
      <c r="B739" s="72">
        <v>44887.59375</v>
      </c>
      <c r="C739" s="67">
        <v>0.59722222222222221</v>
      </c>
      <c r="D739" s="67">
        <v>0.62152777777777779</v>
      </c>
      <c r="E739" s="67">
        <v>0.625</v>
      </c>
      <c r="F739" s="68" t="s">
        <v>169</v>
      </c>
      <c r="G739" s="68" t="s">
        <v>413</v>
      </c>
      <c r="H739" s="66" t="s">
        <v>145</v>
      </c>
      <c r="I739" s="66" t="s">
        <v>146</v>
      </c>
      <c r="J739" s="66" t="s">
        <v>41</v>
      </c>
      <c r="K739" s="66" t="s">
        <v>233</v>
      </c>
      <c r="L739" s="66" t="s">
        <v>223</v>
      </c>
      <c r="M739" s="68" t="s">
        <v>2125</v>
      </c>
      <c r="N739" s="68" t="s">
        <v>453</v>
      </c>
      <c r="O739" s="68">
        <v>97000534</v>
      </c>
      <c r="P739" s="68">
        <v>46736</v>
      </c>
      <c r="Q739" s="303">
        <f t="shared" si="71"/>
        <v>0</v>
      </c>
      <c r="R739" s="303">
        <f t="shared" si="72"/>
        <v>0</v>
      </c>
      <c r="S739" s="68">
        <v>0</v>
      </c>
      <c r="T739" s="68">
        <v>0</v>
      </c>
      <c r="U739" s="68">
        <v>0</v>
      </c>
      <c r="V739" s="68">
        <v>0</v>
      </c>
      <c r="W739" s="68">
        <v>0</v>
      </c>
      <c r="X739" s="68">
        <v>60</v>
      </c>
      <c r="Y739" s="68">
        <v>25</v>
      </c>
      <c r="Z739" s="68">
        <v>47</v>
      </c>
      <c r="AA739" s="68">
        <v>3</v>
      </c>
      <c r="AB739" s="300">
        <f t="shared" si="73"/>
        <v>35.25</v>
      </c>
      <c r="AC739" s="300">
        <f t="shared" si="74"/>
        <v>0.21234939759036145</v>
      </c>
      <c r="AD739" s="68">
        <v>0</v>
      </c>
      <c r="AE739" s="68">
        <v>0</v>
      </c>
      <c r="AF739" s="68" t="s">
        <v>2130</v>
      </c>
      <c r="AG739" s="68" t="s">
        <v>2127</v>
      </c>
      <c r="AH739" s="68" t="s">
        <v>2128</v>
      </c>
      <c r="AI739" s="309"/>
      <c r="AJ739" s="309"/>
      <c r="AK739" s="68" t="s">
        <v>48</v>
      </c>
      <c r="AL739" s="68" t="s">
        <v>50</v>
      </c>
      <c r="AM739" s="299">
        <f t="shared" ca="1" si="70"/>
        <v>0.11805555555474712</v>
      </c>
      <c r="AN739" s="51"/>
      <c r="AO739" s="61" t="s">
        <v>68</v>
      </c>
      <c r="AP739" s="91" t="s">
        <v>2125</v>
      </c>
      <c r="AQ739" s="59" t="s">
        <v>2184</v>
      </c>
      <c r="AR739" s="64">
        <v>44887.711805555555</v>
      </c>
      <c r="AS739" s="61" t="s">
        <v>483</v>
      </c>
      <c r="AT739" s="61" t="s">
        <v>65</v>
      </c>
      <c r="AU739" s="63">
        <v>0.71180555555555547</v>
      </c>
      <c r="AV739" s="61">
        <v>1</v>
      </c>
      <c r="AW739" s="61" t="s">
        <v>66</v>
      </c>
      <c r="AX739" s="52"/>
      <c r="AY739" s="52"/>
      <c r="AZ739" s="52"/>
      <c r="BA739" s="52"/>
    </row>
    <row r="740" spans="1:53" x14ac:dyDescent="0.25">
      <c r="A740" s="73">
        <v>427</v>
      </c>
      <c r="B740" s="72">
        <v>44887.59375</v>
      </c>
      <c r="C740" s="67">
        <v>0.59722222222222221</v>
      </c>
      <c r="D740" s="67">
        <v>0.62152777777777779</v>
      </c>
      <c r="E740" s="67">
        <v>0.625</v>
      </c>
      <c r="F740" s="68" t="s">
        <v>169</v>
      </c>
      <c r="G740" s="68" t="s">
        <v>413</v>
      </c>
      <c r="H740" s="66" t="s">
        <v>145</v>
      </c>
      <c r="I740" s="66" t="s">
        <v>146</v>
      </c>
      <c r="J740" s="66" t="s">
        <v>41</v>
      </c>
      <c r="K740" s="66" t="s">
        <v>233</v>
      </c>
      <c r="L740" s="66" t="s">
        <v>223</v>
      </c>
      <c r="M740" s="68" t="s">
        <v>2125</v>
      </c>
      <c r="N740" s="68" t="s">
        <v>453</v>
      </c>
      <c r="O740" s="68">
        <v>97000534</v>
      </c>
      <c r="P740" s="68">
        <v>46736</v>
      </c>
      <c r="Q740" s="303">
        <f t="shared" si="71"/>
        <v>0</v>
      </c>
      <c r="R740" s="303">
        <f t="shared" si="72"/>
        <v>0</v>
      </c>
      <c r="S740" s="68">
        <v>0</v>
      </c>
      <c r="T740" s="68">
        <v>0</v>
      </c>
      <c r="U740" s="68">
        <v>0</v>
      </c>
      <c r="V740" s="68">
        <v>0</v>
      </c>
      <c r="W740" s="68">
        <v>0</v>
      </c>
      <c r="X740" s="68">
        <v>60</v>
      </c>
      <c r="Y740" s="68">
        <v>25</v>
      </c>
      <c r="Z740" s="68">
        <v>41</v>
      </c>
      <c r="AA740" s="68">
        <v>1</v>
      </c>
      <c r="AB740" s="300">
        <f t="shared" si="73"/>
        <v>10.25</v>
      </c>
      <c r="AC740" s="300">
        <f t="shared" si="74"/>
        <v>6.1746987951807226E-2</v>
      </c>
      <c r="AD740" s="68">
        <v>0</v>
      </c>
      <c r="AE740" s="68">
        <v>0</v>
      </c>
      <c r="AF740" s="68" t="s">
        <v>2130</v>
      </c>
      <c r="AG740" s="68" t="s">
        <v>2127</v>
      </c>
      <c r="AH740" s="68" t="s">
        <v>2128</v>
      </c>
      <c r="AI740" s="309"/>
      <c r="AJ740" s="309"/>
      <c r="AK740" s="68" t="s">
        <v>48</v>
      </c>
      <c r="AL740" s="68" t="s">
        <v>50</v>
      </c>
      <c r="AM740" s="299">
        <f t="shared" ca="1" si="70"/>
        <v>0.11805555555474712</v>
      </c>
      <c r="AN740" s="51"/>
      <c r="AO740" s="61" t="s">
        <v>68</v>
      </c>
      <c r="AP740" s="91" t="s">
        <v>2125</v>
      </c>
      <c r="AQ740" s="59" t="s">
        <v>2184</v>
      </c>
      <c r="AR740" s="64">
        <v>44887.711805555555</v>
      </c>
      <c r="AS740" s="61" t="s">
        <v>483</v>
      </c>
      <c r="AT740" s="61" t="s">
        <v>65</v>
      </c>
      <c r="AU740" s="63">
        <v>0.71180555555555547</v>
      </c>
      <c r="AV740" s="61">
        <v>1</v>
      </c>
      <c r="AW740" s="61" t="s">
        <v>66</v>
      </c>
      <c r="AX740" s="52"/>
      <c r="AY740" s="52"/>
      <c r="AZ740" s="52"/>
      <c r="BA740" s="52"/>
    </row>
    <row r="741" spans="1:53" x14ac:dyDescent="0.25">
      <c r="A741" s="73">
        <v>427</v>
      </c>
      <c r="B741" s="72">
        <v>44887.59375</v>
      </c>
      <c r="C741" s="67">
        <v>0.59722222222222221</v>
      </c>
      <c r="D741" s="67">
        <v>0.62152777777777779</v>
      </c>
      <c r="E741" s="67">
        <v>0.625</v>
      </c>
      <c r="F741" s="68" t="s">
        <v>169</v>
      </c>
      <c r="G741" s="68" t="s">
        <v>413</v>
      </c>
      <c r="H741" s="66" t="s">
        <v>145</v>
      </c>
      <c r="I741" s="66" t="s">
        <v>146</v>
      </c>
      <c r="J741" s="66" t="s">
        <v>41</v>
      </c>
      <c r="K741" s="66" t="s">
        <v>233</v>
      </c>
      <c r="L741" s="66" t="s">
        <v>223</v>
      </c>
      <c r="M741" s="68" t="s">
        <v>2125</v>
      </c>
      <c r="N741" s="68" t="s">
        <v>453</v>
      </c>
      <c r="O741" s="68">
        <v>97000534</v>
      </c>
      <c r="P741" s="68">
        <v>46736</v>
      </c>
      <c r="Q741" s="303">
        <f t="shared" si="71"/>
        <v>0</v>
      </c>
      <c r="R741" s="303">
        <f t="shared" si="72"/>
        <v>0</v>
      </c>
      <c r="S741" s="68">
        <v>0</v>
      </c>
      <c r="T741" s="68">
        <v>0</v>
      </c>
      <c r="U741" s="68">
        <v>0</v>
      </c>
      <c r="V741" s="68">
        <v>0</v>
      </c>
      <c r="W741" s="68">
        <v>0</v>
      </c>
      <c r="X741" s="68">
        <v>38</v>
      </c>
      <c r="Y741" s="68">
        <v>36</v>
      </c>
      <c r="Z741" s="68">
        <v>24</v>
      </c>
      <c r="AA741" s="68">
        <v>2</v>
      </c>
      <c r="AB741" s="300">
        <f t="shared" si="73"/>
        <v>10.944000000000001</v>
      </c>
      <c r="AC741" s="300">
        <f t="shared" si="74"/>
        <v>6.5927710843373497E-2</v>
      </c>
      <c r="AD741" s="68">
        <v>0</v>
      </c>
      <c r="AE741" s="68">
        <v>0</v>
      </c>
      <c r="AF741" s="68" t="s">
        <v>2130</v>
      </c>
      <c r="AG741" s="68" t="s">
        <v>2127</v>
      </c>
      <c r="AH741" s="68" t="s">
        <v>2128</v>
      </c>
      <c r="AI741" s="309"/>
      <c r="AJ741" s="309"/>
      <c r="AK741" s="68" t="s">
        <v>48</v>
      </c>
      <c r="AL741" s="68" t="s">
        <v>50</v>
      </c>
      <c r="AM741" s="299">
        <f t="shared" ca="1" si="70"/>
        <v>0.11805555555474712</v>
      </c>
      <c r="AN741" s="51"/>
      <c r="AO741" s="61" t="s">
        <v>68</v>
      </c>
      <c r="AP741" s="91" t="s">
        <v>2125</v>
      </c>
      <c r="AQ741" s="59" t="s">
        <v>2184</v>
      </c>
      <c r="AR741" s="64">
        <v>44887.711805555555</v>
      </c>
      <c r="AS741" s="61" t="s">
        <v>483</v>
      </c>
      <c r="AT741" s="61" t="s">
        <v>65</v>
      </c>
      <c r="AU741" s="63">
        <v>0.71180555555555547</v>
      </c>
      <c r="AV741" s="61">
        <v>1</v>
      </c>
      <c r="AW741" s="61" t="s">
        <v>66</v>
      </c>
      <c r="AX741" s="52"/>
      <c r="AY741" s="52"/>
      <c r="AZ741" s="52"/>
      <c r="BA741" s="52"/>
    </row>
    <row r="742" spans="1:53" x14ac:dyDescent="0.25">
      <c r="A742" s="73">
        <v>428</v>
      </c>
      <c r="B742" s="72">
        <v>44887.625</v>
      </c>
      <c r="C742" s="67">
        <v>0.63194444444444442</v>
      </c>
      <c r="D742" s="67">
        <v>0.63888888888888895</v>
      </c>
      <c r="E742" s="67">
        <v>0.65277777777777779</v>
      </c>
      <c r="F742" s="68" t="s">
        <v>169</v>
      </c>
      <c r="G742" s="68" t="s">
        <v>2131</v>
      </c>
      <c r="H742" s="66" t="s">
        <v>204</v>
      </c>
      <c r="I742" s="66" t="s">
        <v>1295</v>
      </c>
      <c r="J742" s="66" t="s">
        <v>37</v>
      </c>
      <c r="K742" s="70" t="s">
        <v>63</v>
      </c>
      <c r="L742" s="70" t="s">
        <v>212</v>
      </c>
      <c r="M742" s="68" t="s">
        <v>2132</v>
      </c>
      <c r="N742" s="68" t="s">
        <v>42</v>
      </c>
      <c r="O742" s="68" t="s">
        <v>2133</v>
      </c>
      <c r="P742" s="68">
        <v>2046668</v>
      </c>
      <c r="Q742" s="303">
        <f t="shared" si="71"/>
        <v>2</v>
      </c>
      <c r="R742" s="303">
        <f t="shared" si="72"/>
        <v>404</v>
      </c>
      <c r="S742" s="68">
        <v>0</v>
      </c>
      <c r="T742" s="68">
        <v>0</v>
      </c>
      <c r="U742" s="68">
        <v>2</v>
      </c>
      <c r="V742" s="68">
        <v>404</v>
      </c>
      <c r="W742" s="68">
        <v>432.3</v>
      </c>
      <c r="X742" s="68">
        <v>70</v>
      </c>
      <c r="Y742" s="68">
        <v>68</v>
      </c>
      <c r="Z742" s="68">
        <v>28</v>
      </c>
      <c r="AA742" s="68">
        <v>1</v>
      </c>
      <c r="AB742" s="300">
        <f t="shared" si="73"/>
        <v>22.213333333333335</v>
      </c>
      <c r="AC742" s="300">
        <f t="shared" si="74"/>
        <v>0.13381526104417671</v>
      </c>
      <c r="AD742" s="68">
        <v>6904.77</v>
      </c>
      <c r="AE742" s="68" t="s">
        <v>109</v>
      </c>
      <c r="AF742" s="68" t="s">
        <v>317</v>
      </c>
      <c r="AG742" s="68" t="s">
        <v>317</v>
      </c>
      <c r="AH742" s="68" t="s">
        <v>2134</v>
      </c>
      <c r="AI742" s="309"/>
      <c r="AJ742" s="309"/>
      <c r="AK742" s="68" t="s">
        <v>41</v>
      </c>
      <c r="AL742" s="68" t="s">
        <v>39</v>
      </c>
      <c r="AM742" s="299">
        <f t="shared" ca="1" si="70"/>
        <v>1.0381944444452529</v>
      </c>
      <c r="AN742" s="51"/>
      <c r="AO742" s="61" t="s">
        <v>386</v>
      </c>
      <c r="AP742" s="91" t="s">
        <v>2132</v>
      </c>
      <c r="AQ742" s="59" t="s">
        <v>2266</v>
      </c>
      <c r="AR742" s="64">
        <v>44888.663194444445</v>
      </c>
      <c r="AS742" s="61" t="s">
        <v>136</v>
      </c>
      <c r="AT742" s="61" t="s">
        <v>225</v>
      </c>
      <c r="AU742" s="63">
        <v>0.66319444444444442</v>
      </c>
      <c r="AV742" s="61">
        <v>1</v>
      </c>
      <c r="AW742" s="61" t="s">
        <v>66</v>
      </c>
      <c r="AX742" s="52"/>
      <c r="AY742" s="52"/>
      <c r="AZ742" s="52"/>
      <c r="BA742" s="52"/>
    </row>
    <row r="743" spans="1:53" x14ac:dyDescent="0.25">
      <c r="A743" s="73">
        <v>428</v>
      </c>
      <c r="B743" s="72">
        <v>44887.625</v>
      </c>
      <c r="C743" s="67">
        <v>0.63194444444444442</v>
      </c>
      <c r="D743" s="67">
        <v>0.63888888888888895</v>
      </c>
      <c r="E743" s="67">
        <v>0.65277777777777779</v>
      </c>
      <c r="F743" s="68" t="s">
        <v>169</v>
      </c>
      <c r="G743" s="68" t="s">
        <v>2131</v>
      </c>
      <c r="H743" s="66" t="s">
        <v>204</v>
      </c>
      <c r="I743" s="66" t="s">
        <v>1295</v>
      </c>
      <c r="J743" s="66" t="s">
        <v>37</v>
      </c>
      <c r="K743" s="70" t="s">
        <v>63</v>
      </c>
      <c r="L743" s="70" t="s">
        <v>212</v>
      </c>
      <c r="M743" s="68" t="s">
        <v>2132</v>
      </c>
      <c r="N743" s="68" t="s">
        <v>42</v>
      </c>
      <c r="O743" s="68" t="s">
        <v>2133</v>
      </c>
      <c r="P743" s="68">
        <v>2046668</v>
      </c>
      <c r="Q743" s="303">
        <f t="shared" si="71"/>
        <v>0</v>
      </c>
      <c r="R743" s="303">
        <f t="shared" si="72"/>
        <v>0</v>
      </c>
      <c r="S743" s="68">
        <v>0</v>
      </c>
      <c r="T743" s="68">
        <v>0</v>
      </c>
      <c r="U743" s="68">
        <v>0</v>
      </c>
      <c r="V743" s="68">
        <v>0</v>
      </c>
      <c r="W743" s="68">
        <v>0</v>
      </c>
      <c r="X743" s="68">
        <v>54</v>
      </c>
      <c r="Y743" s="68">
        <v>52</v>
      </c>
      <c r="Z743" s="68">
        <v>50</v>
      </c>
      <c r="AA743" s="68">
        <v>1</v>
      </c>
      <c r="AB743" s="300">
        <f t="shared" si="73"/>
        <v>23.4</v>
      </c>
      <c r="AC743" s="300">
        <f t="shared" si="74"/>
        <v>0.14096385542168674</v>
      </c>
      <c r="AD743" s="68">
        <v>0</v>
      </c>
      <c r="AE743" s="68">
        <v>0</v>
      </c>
      <c r="AF743" s="68" t="s">
        <v>317</v>
      </c>
      <c r="AG743" s="68" t="s">
        <v>317</v>
      </c>
      <c r="AH743" s="68" t="s">
        <v>2134</v>
      </c>
      <c r="AI743" s="309"/>
      <c r="AJ743" s="309"/>
      <c r="AK743" s="68" t="s">
        <v>41</v>
      </c>
      <c r="AL743" s="68" t="s">
        <v>39</v>
      </c>
      <c r="AM743" s="299">
        <f t="shared" ca="1" si="70"/>
        <v>1.0381944444452529</v>
      </c>
      <c r="AN743" s="51"/>
      <c r="AO743" s="61" t="s">
        <v>386</v>
      </c>
      <c r="AP743" s="91" t="s">
        <v>2132</v>
      </c>
      <c r="AQ743" s="59" t="s">
        <v>2266</v>
      </c>
      <c r="AR743" s="64">
        <v>44888.663194444445</v>
      </c>
      <c r="AS743" s="61" t="s">
        <v>136</v>
      </c>
      <c r="AT743" s="61" t="s">
        <v>225</v>
      </c>
      <c r="AU743" s="63">
        <v>0.66319444444444442</v>
      </c>
      <c r="AV743" s="61">
        <v>1</v>
      </c>
      <c r="AW743" s="61" t="s">
        <v>66</v>
      </c>
      <c r="AX743" s="52"/>
      <c r="AY743" s="52"/>
      <c r="AZ743" s="52"/>
      <c r="BA743" s="52"/>
    </row>
    <row r="744" spans="1:53" x14ac:dyDescent="0.25">
      <c r="A744" s="73">
        <v>429</v>
      </c>
      <c r="B744" s="72">
        <v>44887.652777777781</v>
      </c>
      <c r="C744" s="67">
        <v>0.65625</v>
      </c>
      <c r="D744" s="67">
        <v>0.66666666666666663</v>
      </c>
      <c r="E744" s="67">
        <v>0.68055555555555547</v>
      </c>
      <c r="F744" s="68" t="s">
        <v>169</v>
      </c>
      <c r="G744" s="68" t="s">
        <v>2135</v>
      </c>
      <c r="H744" s="66" t="s">
        <v>197</v>
      </c>
      <c r="I744" s="66" t="s">
        <v>418</v>
      </c>
      <c r="J744" s="66" t="s">
        <v>37</v>
      </c>
      <c r="K744" s="66" t="s">
        <v>233</v>
      </c>
      <c r="L744" s="66" t="s">
        <v>419</v>
      </c>
      <c r="M744" s="68" t="s">
        <v>2136</v>
      </c>
      <c r="N744" s="68" t="s">
        <v>264</v>
      </c>
      <c r="O744" s="68" t="s">
        <v>2137</v>
      </c>
      <c r="P744" s="68" t="s">
        <v>2138</v>
      </c>
      <c r="Q744" s="303">
        <f t="shared" si="71"/>
        <v>7</v>
      </c>
      <c r="R744" s="303">
        <f t="shared" si="72"/>
        <v>166</v>
      </c>
      <c r="S744" s="68">
        <v>6</v>
      </c>
      <c r="T744" s="68">
        <v>115</v>
      </c>
      <c r="U744" s="68">
        <v>1</v>
      </c>
      <c r="V744" s="68">
        <v>51</v>
      </c>
      <c r="W744" s="68">
        <v>153</v>
      </c>
      <c r="X744" s="68">
        <v>59</v>
      </c>
      <c r="Y744" s="68">
        <v>36</v>
      </c>
      <c r="Z744" s="68">
        <v>37</v>
      </c>
      <c r="AA744" s="68">
        <v>1</v>
      </c>
      <c r="AB744" s="300">
        <f t="shared" si="73"/>
        <v>13.098000000000001</v>
      </c>
      <c r="AC744" s="300">
        <f t="shared" si="74"/>
        <v>7.8903614457831325E-2</v>
      </c>
      <c r="AD744" s="68" t="s">
        <v>48</v>
      </c>
      <c r="AE744" s="68" t="s">
        <v>48</v>
      </c>
      <c r="AF744" s="68" t="s">
        <v>317</v>
      </c>
      <c r="AG744" s="68" t="s">
        <v>317</v>
      </c>
      <c r="AH744" s="68" t="s">
        <v>2139</v>
      </c>
      <c r="AI744" s="309"/>
      <c r="AJ744" s="309"/>
      <c r="AK744" s="68" t="s">
        <v>48</v>
      </c>
      <c r="AL744" s="68" t="s">
        <v>58</v>
      </c>
      <c r="AM744" s="299">
        <f t="shared" ref="AM744:AM807" ca="1" si="75">IF(AP744="",NOW()-B744,AR744-B744)</f>
        <v>4.0243055555547471</v>
      </c>
      <c r="AN744" s="51"/>
      <c r="AO744" s="61" t="s">
        <v>347</v>
      </c>
      <c r="AP744" s="91" t="s">
        <v>2136</v>
      </c>
      <c r="AQ744" s="59" t="s">
        <v>2514</v>
      </c>
      <c r="AR744" s="64">
        <v>44891.677083333336</v>
      </c>
      <c r="AS744" s="57" t="s">
        <v>1203</v>
      </c>
      <c r="AT744" s="61" t="s">
        <v>65</v>
      </c>
      <c r="AU744" s="63">
        <v>0.67708333333333337</v>
      </c>
      <c r="AV744" s="61">
        <v>1</v>
      </c>
      <c r="AW744" s="61" t="s">
        <v>66</v>
      </c>
      <c r="AX744" s="52"/>
      <c r="AY744" s="52"/>
      <c r="AZ744" s="52"/>
      <c r="BA744" s="52"/>
    </row>
    <row r="745" spans="1:53" x14ac:dyDescent="0.25">
      <c r="A745" s="73">
        <v>429</v>
      </c>
      <c r="B745" s="72">
        <v>44887.652777777781</v>
      </c>
      <c r="C745" s="67">
        <v>0.65625</v>
      </c>
      <c r="D745" s="67">
        <v>0.66666666666666663</v>
      </c>
      <c r="E745" s="67">
        <v>0.68055555555555547</v>
      </c>
      <c r="F745" s="68" t="s">
        <v>169</v>
      </c>
      <c r="G745" s="68" t="s">
        <v>2135</v>
      </c>
      <c r="H745" s="66" t="s">
        <v>197</v>
      </c>
      <c r="I745" s="66" t="s">
        <v>418</v>
      </c>
      <c r="J745" s="66" t="s">
        <v>37</v>
      </c>
      <c r="K745" s="66" t="s">
        <v>233</v>
      </c>
      <c r="L745" s="66" t="s">
        <v>419</v>
      </c>
      <c r="M745" s="68" t="s">
        <v>2136</v>
      </c>
      <c r="N745" s="68" t="s">
        <v>264</v>
      </c>
      <c r="O745" s="68" t="s">
        <v>2137</v>
      </c>
      <c r="P745" s="68" t="s">
        <v>2138</v>
      </c>
      <c r="Q745" s="303">
        <f t="shared" ref="Q745:Q808" si="76">S745+U745</f>
        <v>0</v>
      </c>
      <c r="R745" s="303">
        <f t="shared" ref="R745:R808" si="77">T745+V745</f>
        <v>0</v>
      </c>
      <c r="S745" s="68">
        <v>0</v>
      </c>
      <c r="T745" s="68">
        <v>0</v>
      </c>
      <c r="U745" s="68">
        <v>0</v>
      </c>
      <c r="V745" s="68">
        <v>0</v>
      </c>
      <c r="W745" s="68">
        <v>0</v>
      </c>
      <c r="X745" s="68">
        <v>75</v>
      </c>
      <c r="Y745" s="68">
        <v>61</v>
      </c>
      <c r="Z745" s="68">
        <v>61</v>
      </c>
      <c r="AA745" s="68">
        <v>4</v>
      </c>
      <c r="AB745" s="300">
        <f t="shared" ref="AB745:AB808" si="78">X745*Y745*Z745*AA745/6000</f>
        <v>186.05</v>
      </c>
      <c r="AC745" s="300">
        <f t="shared" ref="AC745:AC808" si="79">AB745/166</f>
        <v>1.1207831325301205</v>
      </c>
      <c r="AD745" s="68">
        <v>0</v>
      </c>
      <c r="AE745" s="68">
        <v>0</v>
      </c>
      <c r="AF745" s="68" t="s">
        <v>317</v>
      </c>
      <c r="AG745" s="68" t="s">
        <v>317</v>
      </c>
      <c r="AH745" s="68" t="s">
        <v>2139</v>
      </c>
      <c r="AI745" s="309"/>
      <c r="AJ745" s="309"/>
      <c r="AK745" s="68" t="s">
        <v>48</v>
      </c>
      <c r="AL745" s="68" t="s">
        <v>58</v>
      </c>
      <c r="AM745" s="299">
        <f t="shared" ca="1" si="75"/>
        <v>4.0243055555547471</v>
      </c>
      <c r="AN745" s="51"/>
      <c r="AO745" s="61" t="s">
        <v>347</v>
      </c>
      <c r="AP745" s="91" t="s">
        <v>2136</v>
      </c>
      <c r="AQ745" s="59" t="s">
        <v>2514</v>
      </c>
      <c r="AR745" s="64">
        <v>44891.677083333336</v>
      </c>
      <c r="AS745" s="57" t="s">
        <v>1203</v>
      </c>
      <c r="AT745" s="61" t="s">
        <v>65</v>
      </c>
      <c r="AU745" s="63">
        <v>0.67708333333333337</v>
      </c>
      <c r="AV745" s="61">
        <v>1</v>
      </c>
      <c r="AW745" s="61" t="s">
        <v>66</v>
      </c>
      <c r="AX745" s="52"/>
      <c r="AY745" s="52"/>
      <c r="AZ745" s="52"/>
      <c r="BA745" s="52"/>
    </row>
    <row r="746" spans="1:53" x14ac:dyDescent="0.25">
      <c r="A746" s="73">
        <v>429</v>
      </c>
      <c r="B746" s="72">
        <v>44887.652777777781</v>
      </c>
      <c r="C746" s="67">
        <v>0.65625</v>
      </c>
      <c r="D746" s="67">
        <v>0.66666666666666663</v>
      </c>
      <c r="E746" s="67">
        <v>0.68055555555555547</v>
      </c>
      <c r="F746" s="68" t="s">
        <v>169</v>
      </c>
      <c r="G746" s="68" t="s">
        <v>2135</v>
      </c>
      <c r="H746" s="66" t="s">
        <v>197</v>
      </c>
      <c r="I746" s="66" t="s">
        <v>418</v>
      </c>
      <c r="J746" s="66" t="s">
        <v>37</v>
      </c>
      <c r="K746" s="66" t="s">
        <v>233</v>
      </c>
      <c r="L746" s="66" t="s">
        <v>419</v>
      </c>
      <c r="M746" s="68" t="s">
        <v>2136</v>
      </c>
      <c r="N746" s="68" t="s">
        <v>264</v>
      </c>
      <c r="O746" s="68" t="s">
        <v>2137</v>
      </c>
      <c r="P746" s="68" t="s">
        <v>2138</v>
      </c>
      <c r="Q746" s="303">
        <f t="shared" si="76"/>
        <v>0</v>
      </c>
      <c r="R746" s="303">
        <f t="shared" si="77"/>
        <v>0</v>
      </c>
      <c r="S746" s="68">
        <v>0</v>
      </c>
      <c r="T746" s="68">
        <v>0</v>
      </c>
      <c r="U746" s="68">
        <v>0</v>
      </c>
      <c r="V746" s="68">
        <v>0</v>
      </c>
      <c r="W746" s="68">
        <v>0</v>
      </c>
      <c r="X746" s="68">
        <v>148</v>
      </c>
      <c r="Y746" s="68">
        <v>65</v>
      </c>
      <c r="Z746" s="68">
        <v>20</v>
      </c>
      <c r="AA746" s="68">
        <v>1</v>
      </c>
      <c r="AB746" s="300">
        <f t="shared" si="78"/>
        <v>32.06666666666667</v>
      </c>
      <c r="AC746" s="300">
        <f t="shared" si="79"/>
        <v>0.19317269076305224</v>
      </c>
      <c r="AD746" s="68">
        <v>0</v>
      </c>
      <c r="AE746" s="68">
        <v>0</v>
      </c>
      <c r="AF746" s="68" t="s">
        <v>317</v>
      </c>
      <c r="AG746" s="68" t="s">
        <v>317</v>
      </c>
      <c r="AH746" s="68" t="s">
        <v>2139</v>
      </c>
      <c r="AI746" s="309"/>
      <c r="AJ746" s="309"/>
      <c r="AK746" s="68" t="s">
        <v>48</v>
      </c>
      <c r="AL746" s="68" t="s">
        <v>58</v>
      </c>
      <c r="AM746" s="299">
        <f t="shared" ca="1" si="75"/>
        <v>4.0243055555547471</v>
      </c>
      <c r="AN746" s="51"/>
      <c r="AO746" s="61" t="s">
        <v>347</v>
      </c>
      <c r="AP746" s="91" t="s">
        <v>2136</v>
      </c>
      <c r="AQ746" s="59" t="s">
        <v>2514</v>
      </c>
      <c r="AR746" s="64">
        <v>44891.677083333336</v>
      </c>
      <c r="AS746" s="57" t="s">
        <v>1203</v>
      </c>
      <c r="AT746" s="61" t="s">
        <v>65</v>
      </c>
      <c r="AU746" s="63">
        <v>0.67708333333333337</v>
      </c>
      <c r="AV746" s="61">
        <v>1</v>
      </c>
      <c r="AW746" s="61" t="s">
        <v>66</v>
      </c>
      <c r="AX746" s="52"/>
      <c r="AY746" s="52"/>
      <c r="AZ746" s="52"/>
      <c r="BA746" s="52"/>
    </row>
    <row r="747" spans="1:53" x14ac:dyDescent="0.25">
      <c r="A747" s="73">
        <v>429</v>
      </c>
      <c r="B747" s="72">
        <v>44887.652777777781</v>
      </c>
      <c r="C747" s="67">
        <v>0.65625</v>
      </c>
      <c r="D747" s="67">
        <v>0.66666666666666663</v>
      </c>
      <c r="E747" s="67">
        <v>0.68055555555555547</v>
      </c>
      <c r="F747" s="68" t="s">
        <v>169</v>
      </c>
      <c r="G747" s="68" t="s">
        <v>2135</v>
      </c>
      <c r="H747" s="66" t="s">
        <v>197</v>
      </c>
      <c r="I747" s="66" t="s">
        <v>418</v>
      </c>
      <c r="J747" s="66" t="s">
        <v>37</v>
      </c>
      <c r="K747" s="66" t="s">
        <v>233</v>
      </c>
      <c r="L747" s="66" t="s">
        <v>419</v>
      </c>
      <c r="M747" s="68" t="s">
        <v>2136</v>
      </c>
      <c r="N747" s="68" t="s">
        <v>264</v>
      </c>
      <c r="O747" s="68" t="s">
        <v>2137</v>
      </c>
      <c r="P747" s="68" t="s">
        <v>2138</v>
      </c>
      <c r="Q747" s="303">
        <f t="shared" si="76"/>
        <v>0</v>
      </c>
      <c r="R747" s="303">
        <f t="shared" si="77"/>
        <v>0</v>
      </c>
      <c r="S747" s="68">
        <v>0</v>
      </c>
      <c r="T747" s="68">
        <v>0</v>
      </c>
      <c r="U747" s="68">
        <v>0</v>
      </c>
      <c r="V747" s="68">
        <v>0</v>
      </c>
      <c r="W747" s="68">
        <v>0</v>
      </c>
      <c r="X747" s="68">
        <v>80</v>
      </c>
      <c r="Y747" s="68">
        <v>60</v>
      </c>
      <c r="Z747" s="68">
        <v>61</v>
      </c>
      <c r="AA747" s="68">
        <v>1</v>
      </c>
      <c r="AB747" s="300">
        <f t="shared" si="78"/>
        <v>48.8</v>
      </c>
      <c r="AC747" s="300">
        <f t="shared" si="79"/>
        <v>0.2939759036144578</v>
      </c>
      <c r="AD747" s="68">
        <v>0</v>
      </c>
      <c r="AE747" s="68">
        <v>0</v>
      </c>
      <c r="AF747" s="68" t="s">
        <v>317</v>
      </c>
      <c r="AG747" s="68" t="s">
        <v>317</v>
      </c>
      <c r="AH747" s="68" t="s">
        <v>2139</v>
      </c>
      <c r="AI747" s="309"/>
      <c r="AJ747" s="309"/>
      <c r="AK747" s="68" t="s">
        <v>37</v>
      </c>
      <c r="AL747" s="68" t="s">
        <v>58</v>
      </c>
      <c r="AM747" s="299">
        <f t="shared" ca="1" si="75"/>
        <v>4.0243055555547471</v>
      </c>
      <c r="AN747" s="51"/>
      <c r="AO747" s="61" t="s">
        <v>347</v>
      </c>
      <c r="AP747" s="91" t="s">
        <v>2136</v>
      </c>
      <c r="AQ747" s="59" t="s">
        <v>2514</v>
      </c>
      <c r="AR747" s="64">
        <v>44891.677083333336</v>
      </c>
      <c r="AS747" s="57" t="s">
        <v>1203</v>
      </c>
      <c r="AT747" s="61" t="s">
        <v>65</v>
      </c>
      <c r="AU747" s="63">
        <v>0.67708333333333337</v>
      </c>
      <c r="AV747" s="61">
        <v>1</v>
      </c>
      <c r="AW747" s="61" t="s">
        <v>66</v>
      </c>
      <c r="AX747" s="52"/>
      <c r="AY747" s="52"/>
      <c r="AZ747" s="52"/>
      <c r="BA747" s="52"/>
    </row>
    <row r="748" spans="1:53" x14ac:dyDescent="0.25">
      <c r="A748" s="73">
        <v>430</v>
      </c>
      <c r="B748" s="72">
        <v>44887.652777777781</v>
      </c>
      <c r="C748" s="67">
        <v>0.65625</v>
      </c>
      <c r="D748" s="67">
        <v>0.66666666666666663</v>
      </c>
      <c r="E748" s="67">
        <v>0.68055555555555547</v>
      </c>
      <c r="F748" s="68" t="s">
        <v>169</v>
      </c>
      <c r="G748" s="68" t="s">
        <v>2135</v>
      </c>
      <c r="H748" s="66" t="s">
        <v>197</v>
      </c>
      <c r="I748" s="66" t="s">
        <v>418</v>
      </c>
      <c r="J748" s="66" t="s">
        <v>37</v>
      </c>
      <c r="K748" s="66" t="s">
        <v>233</v>
      </c>
      <c r="L748" s="66" t="s">
        <v>419</v>
      </c>
      <c r="M748" s="68" t="s">
        <v>2136</v>
      </c>
      <c r="N748" s="68" t="s">
        <v>264</v>
      </c>
      <c r="O748" s="68" t="s">
        <v>2140</v>
      </c>
      <c r="P748" s="68" t="s">
        <v>2141</v>
      </c>
      <c r="Q748" s="303">
        <f t="shared" si="76"/>
        <v>5</v>
      </c>
      <c r="R748" s="303">
        <f t="shared" si="77"/>
        <v>125</v>
      </c>
      <c r="S748" s="68">
        <v>4</v>
      </c>
      <c r="T748" s="68">
        <v>54</v>
      </c>
      <c r="U748" s="68">
        <v>1</v>
      </c>
      <c r="V748" s="68">
        <v>71</v>
      </c>
      <c r="W748" s="68">
        <v>108</v>
      </c>
      <c r="X748" s="68">
        <v>89</v>
      </c>
      <c r="Y748" s="68">
        <v>87</v>
      </c>
      <c r="Z748" s="68">
        <v>130</v>
      </c>
      <c r="AA748" s="68">
        <v>1</v>
      </c>
      <c r="AB748" s="300">
        <f t="shared" si="78"/>
        <v>167.76499999999999</v>
      </c>
      <c r="AC748" s="300">
        <f t="shared" si="79"/>
        <v>1.0106325301204819</v>
      </c>
      <c r="AD748" s="68" t="s">
        <v>48</v>
      </c>
      <c r="AE748" s="68" t="s">
        <v>48</v>
      </c>
      <c r="AF748" s="68" t="s">
        <v>317</v>
      </c>
      <c r="AG748" s="68" t="s">
        <v>317</v>
      </c>
      <c r="AH748" s="68" t="s">
        <v>2142</v>
      </c>
      <c r="AI748" s="309"/>
      <c r="AJ748" s="309"/>
      <c r="AK748" s="68" t="s">
        <v>37</v>
      </c>
      <c r="AL748" s="68" t="s">
        <v>58</v>
      </c>
      <c r="AM748" s="299">
        <f t="shared" ca="1" si="75"/>
        <v>4.0243055555547471</v>
      </c>
      <c r="AN748" s="51"/>
      <c r="AO748" s="61" t="s">
        <v>347</v>
      </c>
      <c r="AP748" s="91" t="s">
        <v>2136</v>
      </c>
      <c r="AQ748" s="59" t="s">
        <v>2514</v>
      </c>
      <c r="AR748" s="64">
        <v>44891.677083333336</v>
      </c>
      <c r="AS748" s="57" t="s">
        <v>1203</v>
      </c>
      <c r="AT748" s="61" t="s">
        <v>65</v>
      </c>
      <c r="AU748" s="63">
        <v>0.67708333333333337</v>
      </c>
      <c r="AV748" s="61">
        <v>1</v>
      </c>
      <c r="AW748" s="61" t="s">
        <v>66</v>
      </c>
      <c r="AX748" s="52"/>
      <c r="AY748" s="52"/>
      <c r="AZ748" s="52"/>
      <c r="BA748" s="52"/>
    </row>
    <row r="749" spans="1:53" x14ac:dyDescent="0.25">
      <c r="A749" s="73">
        <v>430</v>
      </c>
      <c r="B749" s="72">
        <v>44887.652777777781</v>
      </c>
      <c r="C749" s="67">
        <v>0.65625</v>
      </c>
      <c r="D749" s="67">
        <v>0.66666666666666663</v>
      </c>
      <c r="E749" s="67">
        <v>0.68055555555555547</v>
      </c>
      <c r="F749" s="68" t="s">
        <v>169</v>
      </c>
      <c r="G749" s="68" t="s">
        <v>2135</v>
      </c>
      <c r="H749" s="66" t="s">
        <v>197</v>
      </c>
      <c r="I749" s="66" t="s">
        <v>418</v>
      </c>
      <c r="J749" s="66" t="s">
        <v>37</v>
      </c>
      <c r="K749" s="66" t="s">
        <v>233</v>
      </c>
      <c r="L749" s="66" t="s">
        <v>419</v>
      </c>
      <c r="M749" s="68" t="s">
        <v>2136</v>
      </c>
      <c r="N749" s="68" t="s">
        <v>264</v>
      </c>
      <c r="O749" s="68" t="s">
        <v>2140</v>
      </c>
      <c r="P749" s="68" t="s">
        <v>2141</v>
      </c>
      <c r="Q749" s="303">
        <f t="shared" si="76"/>
        <v>0</v>
      </c>
      <c r="R749" s="303">
        <f t="shared" si="77"/>
        <v>0</v>
      </c>
      <c r="S749" s="68">
        <v>0</v>
      </c>
      <c r="T749" s="68">
        <v>0</v>
      </c>
      <c r="U749" s="68">
        <v>0</v>
      </c>
      <c r="V749" s="68">
        <v>0</v>
      </c>
      <c r="W749" s="68">
        <v>0</v>
      </c>
      <c r="X749" s="68">
        <v>115</v>
      </c>
      <c r="Y749" s="68">
        <v>65</v>
      </c>
      <c r="Z749" s="68">
        <v>29</v>
      </c>
      <c r="AA749" s="68">
        <v>1</v>
      </c>
      <c r="AB749" s="300">
        <f t="shared" si="78"/>
        <v>36.12916666666667</v>
      </c>
      <c r="AC749" s="300">
        <f t="shared" si="79"/>
        <v>0.2176455823293173</v>
      </c>
      <c r="AD749" s="68">
        <v>0</v>
      </c>
      <c r="AE749" s="68">
        <v>0</v>
      </c>
      <c r="AF749" s="68" t="s">
        <v>317</v>
      </c>
      <c r="AG749" s="68" t="s">
        <v>317</v>
      </c>
      <c r="AH749" s="68" t="s">
        <v>2142</v>
      </c>
      <c r="AI749" s="309"/>
      <c r="AJ749" s="309"/>
      <c r="AK749" s="68" t="s">
        <v>48</v>
      </c>
      <c r="AL749" s="68" t="s">
        <v>58</v>
      </c>
      <c r="AM749" s="299">
        <f t="shared" ca="1" si="75"/>
        <v>4.0243055555547471</v>
      </c>
      <c r="AN749" s="51"/>
      <c r="AO749" s="61" t="s">
        <v>347</v>
      </c>
      <c r="AP749" s="91" t="s">
        <v>2136</v>
      </c>
      <c r="AQ749" s="59" t="s">
        <v>2514</v>
      </c>
      <c r="AR749" s="64">
        <v>44891.677083333336</v>
      </c>
      <c r="AS749" s="57" t="s">
        <v>1203</v>
      </c>
      <c r="AT749" s="61" t="s">
        <v>65</v>
      </c>
      <c r="AU749" s="63">
        <v>0.67708333333333337</v>
      </c>
      <c r="AV749" s="61">
        <v>1</v>
      </c>
      <c r="AW749" s="61" t="s">
        <v>66</v>
      </c>
      <c r="AX749" s="52"/>
      <c r="AY749" s="52"/>
      <c r="AZ749" s="52"/>
      <c r="BA749" s="52"/>
    </row>
    <row r="750" spans="1:53" x14ac:dyDescent="0.25">
      <c r="A750" s="73">
        <v>430</v>
      </c>
      <c r="B750" s="72">
        <v>44887.652777777781</v>
      </c>
      <c r="C750" s="67">
        <v>0.65625</v>
      </c>
      <c r="D750" s="67">
        <v>0.66666666666666663</v>
      </c>
      <c r="E750" s="67">
        <v>0.68055555555555547</v>
      </c>
      <c r="F750" s="68" t="s">
        <v>169</v>
      </c>
      <c r="G750" s="68" t="s">
        <v>2135</v>
      </c>
      <c r="H750" s="66" t="s">
        <v>197</v>
      </c>
      <c r="I750" s="66" t="s">
        <v>418</v>
      </c>
      <c r="J750" s="66" t="s">
        <v>37</v>
      </c>
      <c r="K750" s="66" t="s">
        <v>233</v>
      </c>
      <c r="L750" s="66" t="s">
        <v>419</v>
      </c>
      <c r="M750" s="68" t="s">
        <v>2136</v>
      </c>
      <c r="N750" s="68" t="s">
        <v>264</v>
      </c>
      <c r="O750" s="68" t="s">
        <v>2140</v>
      </c>
      <c r="P750" s="68" t="s">
        <v>2141</v>
      </c>
      <c r="Q750" s="303">
        <f t="shared" si="76"/>
        <v>0</v>
      </c>
      <c r="R750" s="303">
        <f t="shared" si="77"/>
        <v>0</v>
      </c>
      <c r="S750" s="68">
        <v>0</v>
      </c>
      <c r="T750" s="68">
        <v>0</v>
      </c>
      <c r="U750" s="68">
        <v>0</v>
      </c>
      <c r="V750" s="68">
        <v>0</v>
      </c>
      <c r="W750" s="68">
        <v>0</v>
      </c>
      <c r="X750" s="68">
        <v>127</v>
      </c>
      <c r="Y750" s="68">
        <v>78</v>
      </c>
      <c r="Z750" s="68">
        <v>29</v>
      </c>
      <c r="AA750" s="68">
        <v>1</v>
      </c>
      <c r="AB750" s="300">
        <f t="shared" si="78"/>
        <v>47.878999999999998</v>
      </c>
      <c r="AC750" s="300">
        <f t="shared" si="79"/>
        <v>0.28842771084337349</v>
      </c>
      <c r="AD750" s="68">
        <v>0</v>
      </c>
      <c r="AE750" s="68">
        <v>0</v>
      </c>
      <c r="AF750" s="68" t="s">
        <v>317</v>
      </c>
      <c r="AG750" s="68" t="s">
        <v>317</v>
      </c>
      <c r="AH750" s="68" t="s">
        <v>2142</v>
      </c>
      <c r="AI750" s="309"/>
      <c r="AJ750" s="309"/>
      <c r="AK750" s="68" t="s">
        <v>48</v>
      </c>
      <c r="AL750" s="68" t="s">
        <v>58</v>
      </c>
      <c r="AM750" s="299">
        <f t="shared" ca="1" si="75"/>
        <v>4.0243055555547471</v>
      </c>
      <c r="AN750" s="51"/>
      <c r="AO750" s="61" t="s">
        <v>347</v>
      </c>
      <c r="AP750" s="91" t="s">
        <v>2136</v>
      </c>
      <c r="AQ750" s="59" t="s">
        <v>2514</v>
      </c>
      <c r="AR750" s="64">
        <v>44891.677083333336</v>
      </c>
      <c r="AS750" s="57" t="s">
        <v>1203</v>
      </c>
      <c r="AT750" s="61" t="s">
        <v>65</v>
      </c>
      <c r="AU750" s="63">
        <v>0.67708333333333337</v>
      </c>
      <c r="AV750" s="61">
        <v>1</v>
      </c>
      <c r="AW750" s="61" t="s">
        <v>66</v>
      </c>
      <c r="AX750" s="52"/>
      <c r="AY750" s="52"/>
      <c r="AZ750" s="52"/>
      <c r="BA750" s="52"/>
    </row>
    <row r="751" spans="1:53" x14ac:dyDescent="0.25">
      <c r="A751" s="73">
        <v>430</v>
      </c>
      <c r="B751" s="72">
        <v>44887.652777777781</v>
      </c>
      <c r="C751" s="67">
        <v>0.65625</v>
      </c>
      <c r="D751" s="67">
        <v>0.66666666666666663</v>
      </c>
      <c r="E751" s="67">
        <v>0.68055555555555547</v>
      </c>
      <c r="F751" s="68" t="s">
        <v>169</v>
      </c>
      <c r="G751" s="68" t="s">
        <v>2135</v>
      </c>
      <c r="H751" s="66" t="s">
        <v>197</v>
      </c>
      <c r="I751" s="66" t="s">
        <v>418</v>
      </c>
      <c r="J751" s="66" t="s">
        <v>37</v>
      </c>
      <c r="K751" s="66" t="s">
        <v>233</v>
      </c>
      <c r="L751" s="66" t="s">
        <v>419</v>
      </c>
      <c r="M751" s="68" t="s">
        <v>2136</v>
      </c>
      <c r="N751" s="68" t="s">
        <v>264</v>
      </c>
      <c r="O751" s="68" t="s">
        <v>2140</v>
      </c>
      <c r="P751" s="68" t="s">
        <v>2141</v>
      </c>
      <c r="Q751" s="303">
        <f t="shared" si="76"/>
        <v>0</v>
      </c>
      <c r="R751" s="303">
        <f t="shared" si="77"/>
        <v>0</v>
      </c>
      <c r="S751" s="68">
        <v>0</v>
      </c>
      <c r="T751" s="68">
        <v>0</v>
      </c>
      <c r="U751" s="68">
        <v>0</v>
      </c>
      <c r="V751" s="68">
        <v>0</v>
      </c>
      <c r="W751" s="68">
        <v>0</v>
      </c>
      <c r="X751" s="68">
        <v>76</v>
      </c>
      <c r="Y751" s="68">
        <v>61</v>
      </c>
      <c r="Z751" s="68">
        <v>61</v>
      </c>
      <c r="AA751" s="68">
        <v>2</v>
      </c>
      <c r="AB751" s="300">
        <f t="shared" si="78"/>
        <v>94.265333333333331</v>
      </c>
      <c r="AC751" s="300">
        <f t="shared" si="79"/>
        <v>0.56786345381526104</v>
      </c>
      <c r="AD751" s="68">
        <v>0</v>
      </c>
      <c r="AE751" s="68">
        <v>0</v>
      </c>
      <c r="AF751" s="68" t="s">
        <v>317</v>
      </c>
      <c r="AG751" s="68" t="s">
        <v>317</v>
      </c>
      <c r="AH751" s="68" t="s">
        <v>2142</v>
      </c>
      <c r="AI751" s="309"/>
      <c r="AJ751" s="309"/>
      <c r="AK751" s="68" t="s">
        <v>48</v>
      </c>
      <c r="AL751" s="68" t="s">
        <v>58</v>
      </c>
      <c r="AM751" s="299">
        <f t="shared" ca="1" si="75"/>
        <v>4.0243055555547471</v>
      </c>
      <c r="AN751" s="51"/>
      <c r="AO751" s="61" t="s">
        <v>347</v>
      </c>
      <c r="AP751" s="91" t="s">
        <v>2136</v>
      </c>
      <c r="AQ751" s="59" t="s">
        <v>2514</v>
      </c>
      <c r="AR751" s="64">
        <v>44891.677083333336</v>
      </c>
      <c r="AS751" s="57" t="s">
        <v>1203</v>
      </c>
      <c r="AT751" s="61" t="s">
        <v>65</v>
      </c>
      <c r="AU751" s="63">
        <v>0.67708333333333337</v>
      </c>
      <c r="AV751" s="61">
        <v>1</v>
      </c>
      <c r="AW751" s="61" t="s">
        <v>66</v>
      </c>
      <c r="AX751" s="52"/>
      <c r="AY751" s="52"/>
      <c r="AZ751" s="52"/>
      <c r="BA751" s="52"/>
    </row>
    <row r="752" spans="1:53" x14ac:dyDescent="0.25">
      <c r="A752" s="73">
        <v>431</v>
      </c>
      <c r="B752" s="72">
        <v>44887.652777777781</v>
      </c>
      <c r="C752" s="67">
        <v>0.65625</v>
      </c>
      <c r="D752" s="67">
        <v>0.66666666666666663</v>
      </c>
      <c r="E752" s="67">
        <v>0.68055555555555547</v>
      </c>
      <c r="F752" s="68" t="s">
        <v>169</v>
      </c>
      <c r="G752" s="68" t="s">
        <v>2135</v>
      </c>
      <c r="H752" s="66" t="s">
        <v>197</v>
      </c>
      <c r="I752" s="66" t="s">
        <v>418</v>
      </c>
      <c r="J752" s="66" t="s">
        <v>37</v>
      </c>
      <c r="K752" s="66" t="s">
        <v>233</v>
      </c>
      <c r="L752" s="66" t="s">
        <v>419</v>
      </c>
      <c r="M752" s="68" t="s">
        <v>2136</v>
      </c>
      <c r="N752" s="68" t="s">
        <v>264</v>
      </c>
      <c r="O752" s="68" t="s">
        <v>2143</v>
      </c>
      <c r="P752" s="68" t="s">
        <v>2144</v>
      </c>
      <c r="Q752" s="303">
        <f t="shared" si="76"/>
        <v>5</v>
      </c>
      <c r="R752" s="303">
        <f t="shared" si="77"/>
        <v>199</v>
      </c>
      <c r="S752" s="68">
        <v>5</v>
      </c>
      <c r="T752" s="68">
        <v>199</v>
      </c>
      <c r="U752" s="68">
        <v>0</v>
      </c>
      <c r="V752" s="68">
        <v>0</v>
      </c>
      <c r="W752" s="68">
        <v>201</v>
      </c>
      <c r="X752" s="68">
        <v>85</v>
      </c>
      <c r="Y752" s="68">
        <v>62</v>
      </c>
      <c r="Z752" s="68">
        <v>85</v>
      </c>
      <c r="AA752" s="68">
        <v>1</v>
      </c>
      <c r="AB752" s="300">
        <f t="shared" si="78"/>
        <v>74.658333333333331</v>
      </c>
      <c r="AC752" s="300">
        <f t="shared" si="79"/>
        <v>0.44974899598393575</v>
      </c>
      <c r="AD752" s="68" t="s">
        <v>48</v>
      </c>
      <c r="AE752" s="68" t="s">
        <v>48</v>
      </c>
      <c r="AF752" s="68" t="s">
        <v>317</v>
      </c>
      <c r="AG752" s="68" t="s">
        <v>317</v>
      </c>
      <c r="AH752" s="68" t="s">
        <v>2145</v>
      </c>
      <c r="AI752" s="309"/>
      <c r="AJ752" s="309"/>
      <c r="AK752" s="68" t="s">
        <v>48</v>
      </c>
      <c r="AL752" s="68" t="s">
        <v>58</v>
      </c>
      <c r="AM752" s="299">
        <f t="shared" ca="1" si="75"/>
        <v>4.0243055555547471</v>
      </c>
      <c r="AN752" s="51"/>
      <c r="AO752" s="61" t="s">
        <v>347</v>
      </c>
      <c r="AP752" s="91" t="s">
        <v>2136</v>
      </c>
      <c r="AQ752" s="59" t="s">
        <v>2514</v>
      </c>
      <c r="AR752" s="64">
        <v>44891.677083333336</v>
      </c>
      <c r="AS752" s="57" t="s">
        <v>1203</v>
      </c>
      <c r="AT752" s="61" t="s">
        <v>65</v>
      </c>
      <c r="AU752" s="63">
        <v>0.67708333333333337</v>
      </c>
      <c r="AV752" s="61">
        <v>1</v>
      </c>
      <c r="AW752" s="61" t="s">
        <v>66</v>
      </c>
      <c r="AX752" s="52"/>
      <c r="AY752" s="52"/>
      <c r="AZ752" s="52"/>
      <c r="BA752" s="52"/>
    </row>
    <row r="753" spans="1:53" x14ac:dyDescent="0.25">
      <c r="A753" s="73">
        <v>431</v>
      </c>
      <c r="B753" s="72">
        <v>44887.652777777781</v>
      </c>
      <c r="C753" s="67">
        <v>0.65625</v>
      </c>
      <c r="D753" s="67">
        <v>0.66666666666666663</v>
      </c>
      <c r="E753" s="67">
        <v>0.68055555555555547</v>
      </c>
      <c r="F753" s="68" t="s">
        <v>169</v>
      </c>
      <c r="G753" s="68" t="s">
        <v>2135</v>
      </c>
      <c r="H753" s="66" t="s">
        <v>197</v>
      </c>
      <c r="I753" s="66" t="s">
        <v>418</v>
      </c>
      <c r="J753" s="66" t="s">
        <v>37</v>
      </c>
      <c r="K753" s="66" t="s">
        <v>233</v>
      </c>
      <c r="L753" s="66" t="s">
        <v>419</v>
      </c>
      <c r="M753" s="68" t="s">
        <v>2136</v>
      </c>
      <c r="N753" s="68" t="s">
        <v>264</v>
      </c>
      <c r="O753" s="68" t="s">
        <v>2143</v>
      </c>
      <c r="P753" s="68" t="s">
        <v>2144</v>
      </c>
      <c r="Q753" s="303">
        <f t="shared" si="76"/>
        <v>0</v>
      </c>
      <c r="R753" s="303">
        <f t="shared" si="77"/>
        <v>0</v>
      </c>
      <c r="S753" s="68">
        <v>0</v>
      </c>
      <c r="T753" s="68">
        <v>0</v>
      </c>
      <c r="U753" s="68">
        <v>0</v>
      </c>
      <c r="V753" s="68">
        <v>0</v>
      </c>
      <c r="W753" s="68">
        <v>0</v>
      </c>
      <c r="X753" s="68">
        <v>75</v>
      </c>
      <c r="Y753" s="68">
        <v>61</v>
      </c>
      <c r="Z753" s="68">
        <v>61</v>
      </c>
      <c r="AA753" s="68">
        <v>3</v>
      </c>
      <c r="AB753" s="300">
        <f t="shared" si="78"/>
        <v>139.53749999999999</v>
      </c>
      <c r="AC753" s="300">
        <f t="shared" si="79"/>
        <v>0.84058734939759028</v>
      </c>
      <c r="AD753" s="68">
        <v>0</v>
      </c>
      <c r="AE753" s="68">
        <v>0</v>
      </c>
      <c r="AF753" s="68" t="s">
        <v>317</v>
      </c>
      <c r="AG753" s="68" t="s">
        <v>317</v>
      </c>
      <c r="AH753" s="68" t="s">
        <v>2145</v>
      </c>
      <c r="AI753" s="309"/>
      <c r="AJ753" s="309"/>
      <c r="AK753" s="68" t="s">
        <v>48</v>
      </c>
      <c r="AL753" s="68" t="s">
        <v>58</v>
      </c>
      <c r="AM753" s="299">
        <f t="shared" ca="1" si="75"/>
        <v>4.0243055555547471</v>
      </c>
      <c r="AN753" s="51"/>
      <c r="AO753" s="61" t="s">
        <v>347</v>
      </c>
      <c r="AP753" s="91" t="s">
        <v>2136</v>
      </c>
      <c r="AQ753" s="59" t="s">
        <v>2514</v>
      </c>
      <c r="AR753" s="64">
        <v>44891.677083333336</v>
      </c>
      <c r="AS753" s="57" t="s">
        <v>1203</v>
      </c>
      <c r="AT753" s="61" t="s">
        <v>65</v>
      </c>
      <c r="AU753" s="63">
        <v>0.67708333333333337</v>
      </c>
      <c r="AV753" s="61">
        <v>1</v>
      </c>
      <c r="AW753" s="61" t="s">
        <v>66</v>
      </c>
      <c r="AX753" s="52"/>
      <c r="AY753" s="52"/>
      <c r="AZ753" s="52"/>
      <c r="BA753" s="52"/>
    </row>
    <row r="754" spans="1:53" x14ac:dyDescent="0.25">
      <c r="A754" s="73">
        <v>431</v>
      </c>
      <c r="B754" s="72">
        <v>44887.652777777781</v>
      </c>
      <c r="C754" s="67">
        <v>0.65625</v>
      </c>
      <c r="D754" s="67">
        <v>0.66666666666666663</v>
      </c>
      <c r="E754" s="67">
        <v>0.68055555555555547</v>
      </c>
      <c r="F754" s="68" t="s">
        <v>169</v>
      </c>
      <c r="G754" s="68" t="s">
        <v>2135</v>
      </c>
      <c r="H754" s="66" t="s">
        <v>197</v>
      </c>
      <c r="I754" s="66" t="s">
        <v>418</v>
      </c>
      <c r="J754" s="66" t="s">
        <v>37</v>
      </c>
      <c r="K754" s="66" t="s">
        <v>233</v>
      </c>
      <c r="L754" s="66" t="s">
        <v>419</v>
      </c>
      <c r="M754" s="68" t="s">
        <v>2136</v>
      </c>
      <c r="N754" s="68" t="s">
        <v>264</v>
      </c>
      <c r="O754" s="68" t="s">
        <v>2143</v>
      </c>
      <c r="P754" s="68" t="s">
        <v>2144</v>
      </c>
      <c r="Q754" s="303">
        <f t="shared" si="76"/>
        <v>0</v>
      </c>
      <c r="R754" s="303">
        <f t="shared" si="77"/>
        <v>0</v>
      </c>
      <c r="S754" s="68">
        <v>0</v>
      </c>
      <c r="T754" s="68">
        <v>0</v>
      </c>
      <c r="U754" s="68">
        <v>0</v>
      </c>
      <c r="V754" s="68">
        <v>0</v>
      </c>
      <c r="W754" s="68">
        <v>0</v>
      </c>
      <c r="X754" s="68">
        <v>73</v>
      </c>
      <c r="Y754" s="68">
        <v>72</v>
      </c>
      <c r="Z754" s="68">
        <v>32</v>
      </c>
      <c r="AA754" s="68">
        <v>1</v>
      </c>
      <c r="AB754" s="300">
        <f t="shared" si="78"/>
        <v>28.032</v>
      </c>
      <c r="AC754" s="300">
        <f t="shared" si="79"/>
        <v>0.16886746987951806</v>
      </c>
      <c r="AD754" s="68">
        <v>0</v>
      </c>
      <c r="AE754" s="68">
        <v>0</v>
      </c>
      <c r="AF754" s="68" t="s">
        <v>317</v>
      </c>
      <c r="AG754" s="68" t="s">
        <v>317</v>
      </c>
      <c r="AH754" s="68" t="s">
        <v>2145</v>
      </c>
      <c r="AI754" s="309"/>
      <c r="AJ754" s="309"/>
      <c r="AK754" s="68" t="s">
        <v>48</v>
      </c>
      <c r="AL754" s="68" t="s">
        <v>58</v>
      </c>
      <c r="AM754" s="299">
        <f t="shared" ca="1" si="75"/>
        <v>4.0243055555547471</v>
      </c>
      <c r="AN754" s="51"/>
      <c r="AO754" s="61" t="s">
        <v>347</v>
      </c>
      <c r="AP754" s="91" t="s">
        <v>2136</v>
      </c>
      <c r="AQ754" s="59" t="s">
        <v>2514</v>
      </c>
      <c r="AR754" s="64">
        <v>44891.677083333336</v>
      </c>
      <c r="AS754" s="57" t="s">
        <v>1203</v>
      </c>
      <c r="AT754" s="61" t="s">
        <v>65</v>
      </c>
      <c r="AU754" s="63">
        <v>0.67708333333333337</v>
      </c>
      <c r="AV754" s="61">
        <v>1</v>
      </c>
      <c r="AW754" s="61" t="s">
        <v>66</v>
      </c>
      <c r="AX754" s="52"/>
      <c r="AY754" s="52"/>
      <c r="AZ754" s="52"/>
      <c r="BA754" s="52"/>
    </row>
    <row r="755" spans="1:53" x14ac:dyDescent="0.25">
      <c r="A755" s="73">
        <v>432</v>
      </c>
      <c r="B755" s="72">
        <v>44887.680555555555</v>
      </c>
      <c r="C755" s="67">
        <v>0.68055555555555547</v>
      </c>
      <c r="D755" s="67">
        <v>0.68402777777777779</v>
      </c>
      <c r="E755" s="67">
        <v>0.68402777777777779</v>
      </c>
      <c r="F755" s="68" t="s">
        <v>171</v>
      </c>
      <c r="G755" s="68" t="s">
        <v>273</v>
      </c>
      <c r="H755" s="66" t="s">
        <v>144</v>
      </c>
      <c r="I755" s="66" t="s">
        <v>69</v>
      </c>
      <c r="J755" s="66" t="s">
        <v>37</v>
      </c>
      <c r="K755" s="68" t="s">
        <v>180</v>
      </c>
      <c r="L755" s="69" t="s">
        <v>206</v>
      </c>
      <c r="M755" s="68" t="s">
        <v>2146</v>
      </c>
      <c r="N755" s="68" t="s">
        <v>42</v>
      </c>
      <c r="O755" s="68">
        <v>75045783</v>
      </c>
      <c r="P755" s="68">
        <v>87006685</v>
      </c>
      <c r="Q755" s="303">
        <f t="shared" si="76"/>
        <v>3</v>
      </c>
      <c r="R755" s="303">
        <f t="shared" si="77"/>
        <v>23</v>
      </c>
      <c r="S755" s="68">
        <v>3</v>
      </c>
      <c r="T755" s="68">
        <v>23</v>
      </c>
      <c r="U755" s="68">
        <v>0</v>
      </c>
      <c r="V755" s="68">
        <v>0</v>
      </c>
      <c r="W755" s="68">
        <v>18.12</v>
      </c>
      <c r="X755" s="68">
        <v>72</v>
      </c>
      <c r="Y755" s="68">
        <v>39</v>
      </c>
      <c r="Z755" s="68">
        <v>14</v>
      </c>
      <c r="AA755" s="68">
        <v>3</v>
      </c>
      <c r="AB755" s="300">
        <f t="shared" si="78"/>
        <v>19.655999999999999</v>
      </c>
      <c r="AC755" s="300">
        <f t="shared" si="79"/>
        <v>0.11840963855421686</v>
      </c>
      <c r="AD755" s="68">
        <v>138</v>
      </c>
      <c r="AE755" s="68" t="s">
        <v>109</v>
      </c>
      <c r="AF755" s="68" t="s">
        <v>317</v>
      </c>
      <c r="AG755" s="68" t="s">
        <v>317</v>
      </c>
      <c r="AH755" s="68" t="s">
        <v>2147</v>
      </c>
      <c r="AI755" s="309"/>
      <c r="AJ755" s="309"/>
      <c r="AK755" s="68" t="s">
        <v>48</v>
      </c>
      <c r="AL755" s="68" t="s">
        <v>50</v>
      </c>
      <c r="AM755" s="299">
        <f t="shared" ca="1" si="75"/>
        <v>3.125E-2</v>
      </c>
      <c r="AN755" s="51"/>
      <c r="AO755" s="61" t="s">
        <v>247</v>
      </c>
      <c r="AP755" s="91" t="s">
        <v>2146</v>
      </c>
      <c r="AQ755" s="59" t="s">
        <v>2188</v>
      </c>
      <c r="AR755" s="64">
        <v>44887.711805555555</v>
      </c>
      <c r="AS755" s="61" t="s">
        <v>483</v>
      </c>
      <c r="AT755" s="61" t="s">
        <v>65</v>
      </c>
      <c r="AU755" s="63">
        <v>0.71180555555555547</v>
      </c>
      <c r="AV755" s="61">
        <v>1</v>
      </c>
      <c r="AW755" s="61" t="s">
        <v>66</v>
      </c>
      <c r="AX755" s="52"/>
      <c r="AY755" s="52"/>
      <c r="AZ755" s="52"/>
      <c r="BA755" s="52"/>
    </row>
    <row r="756" spans="1:53" x14ac:dyDescent="0.25">
      <c r="A756" s="73">
        <v>433</v>
      </c>
      <c r="B756" s="72">
        <v>44887.694444444445</v>
      </c>
      <c r="C756" s="67">
        <v>0.69444444444444453</v>
      </c>
      <c r="D756" s="67">
        <v>0.70138888888888884</v>
      </c>
      <c r="E756" s="67">
        <v>0.70486111111111116</v>
      </c>
      <c r="F756" s="68" t="s">
        <v>171</v>
      </c>
      <c r="G756" s="68" t="s">
        <v>327</v>
      </c>
      <c r="H756" s="66" t="s">
        <v>75</v>
      </c>
      <c r="I756" s="66" t="s">
        <v>441</v>
      </c>
      <c r="J756" s="66" t="s">
        <v>37</v>
      </c>
      <c r="K756" s="66" t="s">
        <v>180</v>
      </c>
      <c r="L756" s="70" t="s">
        <v>206</v>
      </c>
      <c r="M756" s="68" t="s">
        <v>2148</v>
      </c>
      <c r="N756" s="68" t="s">
        <v>38</v>
      </c>
      <c r="O756" s="68" t="s">
        <v>2149</v>
      </c>
      <c r="P756" s="68">
        <v>4500000497</v>
      </c>
      <c r="Q756" s="303">
        <f t="shared" si="76"/>
        <v>1</v>
      </c>
      <c r="R756" s="303">
        <f t="shared" si="77"/>
        <v>136</v>
      </c>
      <c r="S756" s="68">
        <v>0</v>
      </c>
      <c r="T756" s="68">
        <v>0</v>
      </c>
      <c r="U756" s="68">
        <v>1</v>
      </c>
      <c r="V756" s="68">
        <v>136</v>
      </c>
      <c r="W756" s="68">
        <v>138</v>
      </c>
      <c r="X756" s="68">
        <v>71</v>
      </c>
      <c r="Y756" s="68">
        <v>71</v>
      </c>
      <c r="Z756" s="68">
        <v>66</v>
      </c>
      <c r="AA756" s="68">
        <v>1</v>
      </c>
      <c r="AB756" s="300">
        <f t="shared" si="78"/>
        <v>55.451000000000001</v>
      </c>
      <c r="AC756" s="300">
        <f t="shared" si="79"/>
        <v>0.33404216867469883</v>
      </c>
      <c r="AD756" s="68">
        <v>713.7</v>
      </c>
      <c r="AE756" s="68" t="s">
        <v>109</v>
      </c>
      <c r="AF756" s="68" t="s">
        <v>317</v>
      </c>
      <c r="AG756" s="68" t="s">
        <v>317</v>
      </c>
      <c r="AH756" s="68" t="s">
        <v>2150</v>
      </c>
      <c r="AI756" s="309"/>
      <c r="AJ756" s="309"/>
      <c r="AK756" s="68" t="s">
        <v>37</v>
      </c>
      <c r="AL756" s="68" t="s">
        <v>49</v>
      </c>
      <c r="AM756" s="299">
        <f t="shared" ca="1" si="75"/>
        <v>1.7916666666642413</v>
      </c>
      <c r="AN756" s="51"/>
      <c r="AO756" s="61" t="s">
        <v>391</v>
      </c>
      <c r="AP756" s="91" t="s">
        <v>2148</v>
      </c>
      <c r="AQ756" s="59" t="s">
        <v>2306</v>
      </c>
      <c r="AR756" s="64">
        <v>44889.486111111109</v>
      </c>
      <c r="AS756" s="61" t="s">
        <v>95</v>
      </c>
      <c r="AT756" s="61" t="s">
        <v>225</v>
      </c>
      <c r="AU756" s="59">
        <v>0.4861111111111111</v>
      </c>
      <c r="AV756" s="61">
        <v>1</v>
      </c>
      <c r="AW756" s="61" t="s">
        <v>66</v>
      </c>
      <c r="AX756" s="52"/>
      <c r="AY756" s="52"/>
      <c r="AZ756" s="52"/>
      <c r="BA756" s="52"/>
    </row>
    <row r="757" spans="1:53" x14ac:dyDescent="0.25">
      <c r="A757" s="73">
        <v>434</v>
      </c>
      <c r="B757" s="72">
        <v>44887.694444444445</v>
      </c>
      <c r="C757" s="67">
        <v>0.69444444444444453</v>
      </c>
      <c r="D757" s="67">
        <v>0.70138888888888884</v>
      </c>
      <c r="E757" s="67">
        <v>0.70486111111111116</v>
      </c>
      <c r="F757" s="68" t="s">
        <v>171</v>
      </c>
      <c r="G757" s="68" t="s">
        <v>327</v>
      </c>
      <c r="H757" s="66" t="s">
        <v>75</v>
      </c>
      <c r="I757" s="66" t="s">
        <v>110</v>
      </c>
      <c r="J757" s="66" t="s">
        <v>37</v>
      </c>
      <c r="K757" s="66" t="s">
        <v>180</v>
      </c>
      <c r="L757" s="70" t="s">
        <v>206</v>
      </c>
      <c r="M757" s="68" t="s">
        <v>2151</v>
      </c>
      <c r="N757" s="68" t="s">
        <v>186</v>
      </c>
      <c r="O757" s="68" t="s">
        <v>2152</v>
      </c>
      <c r="P757" s="68">
        <v>60028994</v>
      </c>
      <c r="Q757" s="303">
        <f t="shared" si="76"/>
        <v>1</v>
      </c>
      <c r="R757" s="303">
        <f t="shared" si="77"/>
        <v>175</v>
      </c>
      <c r="S757" s="68">
        <v>0</v>
      </c>
      <c r="T757" s="68">
        <v>0</v>
      </c>
      <c r="U757" s="68">
        <v>1</v>
      </c>
      <c r="V757" s="68">
        <v>175</v>
      </c>
      <c r="W757" s="68">
        <v>170</v>
      </c>
      <c r="X757" s="68">
        <v>81</v>
      </c>
      <c r="Y757" s="68">
        <v>81</v>
      </c>
      <c r="Z757" s="68">
        <v>66</v>
      </c>
      <c r="AA757" s="68">
        <v>1</v>
      </c>
      <c r="AB757" s="300">
        <f t="shared" si="78"/>
        <v>72.171000000000006</v>
      </c>
      <c r="AC757" s="300">
        <f t="shared" si="79"/>
        <v>0.4347650602409639</v>
      </c>
      <c r="AD757" s="68">
        <v>10631.04</v>
      </c>
      <c r="AE757" s="68" t="s">
        <v>109</v>
      </c>
      <c r="AF757" s="68" t="s">
        <v>317</v>
      </c>
      <c r="AG757" s="68" t="s">
        <v>317</v>
      </c>
      <c r="AH757" s="68" t="s">
        <v>2153</v>
      </c>
      <c r="AI757" s="309"/>
      <c r="AJ757" s="309"/>
      <c r="AK757" s="68" t="s">
        <v>37</v>
      </c>
      <c r="AL757" s="68" t="s">
        <v>49</v>
      </c>
      <c r="AM757" s="299">
        <f t="shared" ca="1" si="75"/>
        <v>0.85763888889050577</v>
      </c>
      <c r="AN757" s="51"/>
      <c r="AO757" s="61" t="s">
        <v>194</v>
      </c>
      <c r="AP757" s="91" t="s">
        <v>2151</v>
      </c>
      <c r="AQ757" s="59" t="s">
        <v>2264</v>
      </c>
      <c r="AR757" s="64">
        <v>44888.552083333336</v>
      </c>
      <c r="AS757" s="57" t="s">
        <v>117</v>
      </c>
      <c r="AT757" s="61" t="s">
        <v>225</v>
      </c>
      <c r="AU757" s="63">
        <v>0.55208333333333337</v>
      </c>
      <c r="AV757" s="61">
        <v>1</v>
      </c>
      <c r="AW757" s="61" t="s">
        <v>66</v>
      </c>
      <c r="AX757" s="52"/>
      <c r="AY757" s="52"/>
      <c r="AZ757" s="52"/>
      <c r="BA757" s="52"/>
    </row>
    <row r="758" spans="1:53" x14ac:dyDescent="0.25">
      <c r="A758" s="73">
        <v>435</v>
      </c>
      <c r="B758" s="72">
        <v>44887.694444444445</v>
      </c>
      <c r="C758" s="67">
        <v>0.69444444444444453</v>
      </c>
      <c r="D758" s="67">
        <v>0.70138888888888884</v>
      </c>
      <c r="E758" s="67">
        <v>0.70833333333333337</v>
      </c>
      <c r="F758" s="68" t="s">
        <v>171</v>
      </c>
      <c r="G758" s="68" t="s">
        <v>327</v>
      </c>
      <c r="H758" s="66" t="s">
        <v>75</v>
      </c>
      <c r="I758" s="66" t="s">
        <v>166</v>
      </c>
      <c r="J758" s="66" t="s">
        <v>37</v>
      </c>
      <c r="K758" s="66" t="s">
        <v>180</v>
      </c>
      <c r="L758" s="70" t="s">
        <v>206</v>
      </c>
      <c r="M758" s="68" t="s">
        <v>2154</v>
      </c>
      <c r="N758" s="68" t="s">
        <v>43</v>
      </c>
      <c r="O758" s="68" t="s">
        <v>2155</v>
      </c>
      <c r="P758" s="68">
        <v>17109</v>
      </c>
      <c r="Q758" s="303">
        <f t="shared" si="76"/>
        <v>1</v>
      </c>
      <c r="R758" s="303">
        <f t="shared" si="77"/>
        <v>128</v>
      </c>
      <c r="S758" s="68">
        <v>0</v>
      </c>
      <c r="T758" s="68">
        <v>0</v>
      </c>
      <c r="U758" s="68">
        <v>1</v>
      </c>
      <c r="V758" s="68">
        <v>128</v>
      </c>
      <c r="W758" s="68">
        <v>128</v>
      </c>
      <c r="X758" s="68">
        <v>71</v>
      </c>
      <c r="Y758" s="68">
        <v>71</v>
      </c>
      <c r="Z758" s="68">
        <v>46</v>
      </c>
      <c r="AA758" s="68">
        <v>1</v>
      </c>
      <c r="AB758" s="300">
        <f t="shared" si="78"/>
        <v>38.647666666666666</v>
      </c>
      <c r="AC758" s="300">
        <f t="shared" si="79"/>
        <v>0.23281726907630521</v>
      </c>
      <c r="AD758" s="68">
        <v>1323.04</v>
      </c>
      <c r="AE758" s="68" t="s">
        <v>109</v>
      </c>
      <c r="AF758" s="68" t="s">
        <v>317</v>
      </c>
      <c r="AG758" s="68" t="s">
        <v>317</v>
      </c>
      <c r="AH758" s="68" t="s">
        <v>2156</v>
      </c>
      <c r="AI758" s="309"/>
      <c r="AJ758" s="309"/>
      <c r="AK758" s="68" t="s">
        <v>37</v>
      </c>
      <c r="AL758" s="68" t="s">
        <v>49</v>
      </c>
      <c r="AM758" s="299">
        <f t="shared" ca="1" si="75"/>
        <v>0.84375</v>
      </c>
      <c r="AN758" s="51"/>
      <c r="AO758" s="59" t="s">
        <v>161</v>
      </c>
      <c r="AP758" s="62" t="s">
        <v>2261</v>
      </c>
      <c r="AQ758" s="61" t="s">
        <v>2262</v>
      </c>
      <c r="AR758" s="64">
        <v>44888.538194444445</v>
      </c>
      <c r="AS758" s="57" t="s">
        <v>173</v>
      </c>
      <c r="AT758" s="61" t="s">
        <v>225</v>
      </c>
      <c r="AU758" s="63">
        <v>0.53819444444444442</v>
      </c>
      <c r="AV758" s="61">
        <v>1</v>
      </c>
      <c r="AW758" s="61" t="s">
        <v>66</v>
      </c>
      <c r="AX758" s="52"/>
      <c r="AY758" s="52"/>
      <c r="AZ758" s="52"/>
      <c r="BA758" s="52"/>
    </row>
    <row r="759" spans="1:53" x14ac:dyDescent="0.25">
      <c r="A759" s="73">
        <v>436</v>
      </c>
      <c r="B759" s="72">
        <v>44887.708333333336</v>
      </c>
      <c r="C759" s="67">
        <v>0.70833333333333337</v>
      </c>
      <c r="D759" s="67">
        <v>0.71180555555555547</v>
      </c>
      <c r="E759" s="67">
        <v>0.71527777777777779</v>
      </c>
      <c r="F759" s="68" t="s">
        <v>171</v>
      </c>
      <c r="G759" s="68" t="s">
        <v>165</v>
      </c>
      <c r="H759" s="71" t="s">
        <v>119</v>
      </c>
      <c r="I759" s="71" t="s">
        <v>40</v>
      </c>
      <c r="J759" s="71" t="s">
        <v>37</v>
      </c>
      <c r="K759" s="71" t="s">
        <v>180</v>
      </c>
      <c r="L759" s="47" t="s">
        <v>206</v>
      </c>
      <c r="M759" s="68" t="s">
        <v>2157</v>
      </c>
      <c r="N759" s="68" t="s">
        <v>375</v>
      </c>
      <c r="O759" s="68" t="s">
        <v>2158</v>
      </c>
      <c r="P759" s="68">
        <v>451364220</v>
      </c>
      <c r="Q759" s="303">
        <f t="shared" si="76"/>
        <v>1</v>
      </c>
      <c r="R759" s="303">
        <f t="shared" si="77"/>
        <v>63</v>
      </c>
      <c r="S759" s="68">
        <v>0</v>
      </c>
      <c r="T759" s="68">
        <v>0</v>
      </c>
      <c r="U759" s="68">
        <v>1</v>
      </c>
      <c r="V759" s="68">
        <v>63</v>
      </c>
      <c r="W759" s="68">
        <v>70</v>
      </c>
      <c r="X759" s="68">
        <v>59</v>
      </c>
      <c r="Y759" s="68">
        <v>58</v>
      </c>
      <c r="Z759" s="68">
        <v>39</v>
      </c>
      <c r="AA759" s="68">
        <v>1</v>
      </c>
      <c r="AB759" s="300">
        <f t="shared" si="78"/>
        <v>22.242999999999999</v>
      </c>
      <c r="AC759" s="300">
        <f t="shared" si="79"/>
        <v>0.13399397590361445</v>
      </c>
      <c r="AD759" s="68">
        <v>536.49</v>
      </c>
      <c r="AE759" s="68" t="s">
        <v>109</v>
      </c>
      <c r="AF759" s="68" t="s">
        <v>317</v>
      </c>
      <c r="AG759" s="68" t="s">
        <v>317</v>
      </c>
      <c r="AH759" s="68">
        <v>0</v>
      </c>
      <c r="AI759" s="309"/>
      <c r="AJ759" s="309"/>
      <c r="AK759" s="68" t="s">
        <v>41</v>
      </c>
      <c r="AL759" s="68" t="s">
        <v>49</v>
      </c>
      <c r="AM759" s="299">
        <f t="shared" ca="1" si="75"/>
        <v>0.82986111110949423</v>
      </c>
      <c r="AN759" s="51"/>
      <c r="AO759" s="61" t="s">
        <v>379</v>
      </c>
      <c r="AP759" s="62" t="s">
        <v>2157</v>
      </c>
      <c r="AQ759" s="61" t="s">
        <v>2260</v>
      </c>
      <c r="AR759" s="64">
        <v>44888.538194444445</v>
      </c>
      <c r="AS759" s="57" t="s">
        <v>173</v>
      </c>
      <c r="AT759" s="61" t="s">
        <v>225</v>
      </c>
      <c r="AU759" s="63">
        <v>0.53819444444444442</v>
      </c>
      <c r="AV759" s="61">
        <v>1</v>
      </c>
      <c r="AW759" s="61" t="s">
        <v>66</v>
      </c>
      <c r="AX759" s="52"/>
      <c r="AY759" s="52"/>
      <c r="AZ759" s="52"/>
      <c r="BA759" s="52"/>
    </row>
    <row r="760" spans="1:53" x14ac:dyDescent="0.25">
      <c r="A760" s="73">
        <v>437</v>
      </c>
      <c r="B760" s="72">
        <v>44887.715277777781</v>
      </c>
      <c r="C760" s="67">
        <v>0.71875</v>
      </c>
      <c r="D760" s="67">
        <v>0.72222222222222221</v>
      </c>
      <c r="E760" s="67">
        <v>0.72916666666666663</v>
      </c>
      <c r="F760" s="68" t="s">
        <v>171</v>
      </c>
      <c r="G760" s="68" t="s">
        <v>117</v>
      </c>
      <c r="H760" s="66" t="s">
        <v>2159</v>
      </c>
      <c r="I760" s="66" t="s">
        <v>85</v>
      </c>
      <c r="J760" s="66" t="s">
        <v>37</v>
      </c>
      <c r="K760" s="66" t="s">
        <v>180</v>
      </c>
      <c r="L760" s="66">
        <v>0</v>
      </c>
      <c r="M760" s="68" t="s">
        <v>2160</v>
      </c>
      <c r="N760" s="68" t="s">
        <v>2161</v>
      </c>
      <c r="O760" s="68" t="s">
        <v>2162</v>
      </c>
      <c r="P760" s="68">
        <v>4260</v>
      </c>
      <c r="Q760" s="303">
        <f t="shared" si="76"/>
        <v>1</v>
      </c>
      <c r="R760" s="303">
        <f t="shared" si="77"/>
        <v>188</v>
      </c>
      <c r="S760" s="68">
        <v>0</v>
      </c>
      <c r="T760" s="68">
        <v>0</v>
      </c>
      <c r="U760" s="68">
        <v>1</v>
      </c>
      <c r="V760" s="68">
        <v>188</v>
      </c>
      <c r="W760" s="68">
        <v>186</v>
      </c>
      <c r="X760" s="68">
        <v>87</v>
      </c>
      <c r="Y760" s="68">
        <v>47</v>
      </c>
      <c r="Z760" s="68">
        <v>61</v>
      </c>
      <c r="AA760" s="68">
        <v>1</v>
      </c>
      <c r="AB760" s="300">
        <f t="shared" si="78"/>
        <v>41.5715</v>
      </c>
      <c r="AC760" s="300">
        <f t="shared" si="79"/>
        <v>0.25043072289156626</v>
      </c>
      <c r="AD760" s="68">
        <v>4100.7</v>
      </c>
      <c r="AE760" s="68" t="s">
        <v>109</v>
      </c>
      <c r="AF760" s="68" t="s">
        <v>317</v>
      </c>
      <c r="AG760" s="68" t="s">
        <v>317</v>
      </c>
      <c r="AH760" s="68" t="s">
        <v>2163</v>
      </c>
      <c r="AI760" s="309"/>
      <c r="AJ760" s="309"/>
      <c r="AK760" s="68" t="s">
        <v>37</v>
      </c>
      <c r="AL760" s="68" t="s">
        <v>39</v>
      </c>
      <c r="AM760" s="299">
        <f t="shared" ca="1" si="75"/>
        <v>3.9722222222189885</v>
      </c>
      <c r="AN760" s="51"/>
      <c r="AO760" s="61" t="s">
        <v>2516</v>
      </c>
      <c r="AP760" s="91" t="s">
        <v>2160</v>
      </c>
      <c r="AQ760" s="59" t="s">
        <v>2517</v>
      </c>
      <c r="AR760" s="64">
        <v>44891.6875</v>
      </c>
      <c r="AS760" s="57" t="s">
        <v>483</v>
      </c>
      <c r="AT760" s="61" t="s">
        <v>65</v>
      </c>
      <c r="AU760" s="63">
        <v>0.6875</v>
      </c>
      <c r="AV760" s="61">
        <v>1</v>
      </c>
      <c r="AW760" s="61" t="s">
        <v>66</v>
      </c>
      <c r="AX760" s="52"/>
      <c r="AY760" s="52"/>
      <c r="AZ760" s="52"/>
      <c r="BA760" s="52"/>
    </row>
    <row r="761" spans="1:53" x14ac:dyDescent="0.25">
      <c r="A761" s="73">
        <v>438</v>
      </c>
      <c r="B761" s="72">
        <v>44887.756944444445</v>
      </c>
      <c r="C761" s="67">
        <v>0.75694444444444453</v>
      </c>
      <c r="D761" s="67">
        <v>0.76388888888888884</v>
      </c>
      <c r="E761" s="67">
        <v>0.77083333333333337</v>
      </c>
      <c r="F761" s="68" t="s">
        <v>169</v>
      </c>
      <c r="G761" s="68" t="s">
        <v>2164</v>
      </c>
      <c r="H761" s="66" t="s">
        <v>334</v>
      </c>
      <c r="I761" s="66" t="s">
        <v>335</v>
      </c>
      <c r="J761" s="66" t="s">
        <v>37</v>
      </c>
      <c r="K761" s="68" t="s">
        <v>180</v>
      </c>
      <c r="L761" s="68" t="s">
        <v>206</v>
      </c>
      <c r="M761" s="68" t="s">
        <v>2165</v>
      </c>
      <c r="N761" s="68" t="s">
        <v>76</v>
      </c>
      <c r="O761" s="68" t="s">
        <v>2166</v>
      </c>
      <c r="P761" s="68" t="s">
        <v>2167</v>
      </c>
      <c r="Q761" s="303">
        <f t="shared" si="76"/>
        <v>6</v>
      </c>
      <c r="R761" s="303">
        <f t="shared" si="77"/>
        <v>857</v>
      </c>
      <c r="S761" s="68">
        <v>0</v>
      </c>
      <c r="T761" s="68">
        <v>0</v>
      </c>
      <c r="U761" s="68">
        <v>6</v>
      </c>
      <c r="V761" s="68">
        <v>857</v>
      </c>
      <c r="W761" s="68">
        <v>832.89</v>
      </c>
      <c r="X761" s="68">
        <v>115</v>
      </c>
      <c r="Y761" s="68">
        <v>68</v>
      </c>
      <c r="Z761" s="68">
        <v>50</v>
      </c>
      <c r="AA761" s="68">
        <v>1</v>
      </c>
      <c r="AB761" s="300">
        <f t="shared" si="78"/>
        <v>65.166666666666671</v>
      </c>
      <c r="AC761" s="300">
        <f t="shared" si="79"/>
        <v>0.39257028112449804</v>
      </c>
      <c r="AD761" s="68">
        <v>53260</v>
      </c>
      <c r="AE761" s="68" t="s">
        <v>109</v>
      </c>
      <c r="AF761" s="68" t="s">
        <v>317</v>
      </c>
      <c r="AG761" s="68" t="s">
        <v>317</v>
      </c>
      <c r="AH761" s="68" t="s">
        <v>2168</v>
      </c>
      <c r="AI761" s="309"/>
      <c r="AJ761" s="309"/>
      <c r="AK761" s="68" t="s">
        <v>37</v>
      </c>
      <c r="AL761" s="68" t="s">
        <v>39</v>
      </c>
      <c r="AM761" s="299">
        <f t="shared" ca="1" si="75"/>
        <v>3.7847222222189885</v>
      </c>
      <c r="AN761" s="51"/>
      <c r="AO761" s="61" t="s">
        <v>123</v>
      </c>
      <c r="AP761" s="91" t="s">
        <v>2165</v>
      </c>
      <c r="AQ761" s="59" t="s">
        <v>2513</v>
      </c>
      <c r="AR761" s="64">
        <v>44891.541666666664</v>
      </c>
      <c r="AS761" s="61" t="s">
        <v>326</v>
      </c>
      <c r="AT761" s="61" t="s">
        <v>65</v>
      </c>
      <c r="AU761" s="63">
        <v>0.54166666666666663</v>
      </c>
      <c r="AV761" s="61">
        <v>1</v>
      </c>
      <c r="AW761" s="61" t="s">
        <v>66</v>
      </c>
      <c r="AX761" s="52"/>
      <c r="AY761" s="52"/>
      <c r="AZ761" s="52"/>
      <c r="BA761" s="52"/>
    </row>
    <row r="762" spans="1:53" x14ac:dyDescent="0.25">
      <c r="A762" s="73">
        <v>438</v>
      </c>
      <c r="B762" s="72">
        <v>44887.756944444445</v>
      </c>
      <c r="C762" s="67">
        <v>0.75694444444444453</v>
      </c>
      <c r="D762" s="67">
        <v>0.76388888888888884</v>
      </c>
      <c r="E762" s="67">
        <v>0.77083333333333337</v>
      </c>
      <c r="F762" s="68" t="s">
        <v>169</v>
      </c>
      <c r="G762" s="68" t="s">
        <v>2164</v>
      </c>
      <c r="H762" s="66" t="s">
        <v>334</v>
      </c>
      <c r="I762" s="66" t="s">
        <v>335</v>
      </c>
      <c r="J762" s="66" t="s">
        <v>37</v>
      </c>
      <c r="K762" s="68" t="s">
        <v>180</v>
      </c>
      <c r="L762" s="68" t="s">
        <v>206</v>
      </c>
      <c r="M762" s="68" t="s">
        <v>2165</v>
      </c>
      <c r="N762" s="68" t="s">
        <v>76</v>
      </c>
      <c r="O762" s="68" t="s">
        <v>2166</v>
      </c>
      <c r="P762" s="68" t="s">
        <v>2167</v>
      </c>
      <c r="Q762" s="303">
        <f t="shared" si="76"/>
        <v>0</v>
      </c>
      <c r="R762" s="303">
        <f t="shared" si="77"/>
        <v>0</v>
      </c>
      <c r="S762" s="68">
        <v>0</v>
      </c>
      <c r="T762" s="68">
        <v>0</v>
      </c>
      <c r="U762" s="68">
        <v>0</v>
      </c>
      <c r="V762" s="68">
        <v>0</v>
      </c>
      <c r="W762" s="68">
        <v>0</v>
      </c>
      <c r="X762" s="68">
        <v>114</v>
      </c>
      <c r="Y762" s="68">
        <v>99</v>
      </c>
      <c r="Z762" s="68">
        <v>117</v>
      </c>
      <c r="AA762" s="68">
        <v>5</v>
      </c>
      <c r="AB762" s="300">
        <f t="shared" si="78"/>
        <v>1100.385</v>
      </c>
      <c r="AC762" s="300">
        <f t="shared" si="79"/>
        <v>6.6288253012048193</v>
      </c>
      <c r="AD762" s="68">
        <v>0</v>
      </c>
      <c r="AE762" s="68">
        <v>0</v>
      </c>
      <c r="AF762" s="68" t="s">
        <v>317</v>
      </c>
      <c r="AG762" s="68" t="s">
        <v>317</v>
      </c>
      <c r="AH762" s="68" t="s">
        <v>2168</v>
      </c>
      <c r="AI762" s="309"/>
      <c r="AJ762" s="309"/>
      <c r="AK762" s="68" t="s">
        <v>37</v>
      </c>
      <c r="AL762" s="68" t="s">
        <v>39</v>
      </c>
      <c r="AM762" s="299">
        <f t="shared" ca="1" si="75"/>
        <v>3.7847222222189885</v>
      </c>
      <c r="AN762" s="51"/>
      <c r="AO762" s="61" t="s">
        <v>123</v>
      </c>
      <c r="AP762" s="91" t="s">
        <v>2165</v>
      </c>
      <c r="AQ762" s="59" t="s">
        <v>2513</v>
      </c>
      <c r="AR762" s="64">
        <v>44891.541666666664</v>
      </c>
      <c r="AS762" s="61" t="s">
        <v>326</v>
      </c>
      <c r="AT762" s="61" t="s">
        <v>65</v>
      </c>
      <c r="AU762" s="63">
        <v>0.54166666666666663</v>
      </c>
      <c r="AV762" s="61">
        <v>1</v>
      </c>
      <c r="AW762" s="61" t="s">
        <v>66</v>
      </c>
      <c r="AX762" s="52"/>
      <c r="AY762" s="52"/>
      <c r="AZ762" s="52"/>
      <c r="BA762" s="52"/>
    </row>
    <row r="763" spans="1:53" x14ac:dyDescent="0.25">
      <c r="A763" s="73">
        <v>439</v>
      </c>
      <c r="B763" s="72">
        <v>44887.756944444445</v>
      </c>
      <c r="C763" s="67">
        <v>0.75694444444444453</v>
      </c>
      <c r="D763" s="67">
        <v>0.76388888888888884</v>
      </c>
      <c r="E763" s="67">
        <v>0.77083333333333337</v>
      </c>
      <c r="F763" s="68" t="s">
        <v>169</v>
      </c>
      <c r="G763" s="68" t="s">
        <v>2164</v>
      </c>
      <c r="H763" s="66" t="s">
        <v>334</v>
      </c>
      <c r="I763" s="66" t="s">
        <v>335</v>
      </c>
      <c r="J763" s="66" t="s">
        <v>37</v>
      </c>
      <c r="K763" s="68" t="s">
        <v>180</v>
      </c>
      <c r="L763" s="68" t="s">
        <v>206</v>
      </c>
      <c r="M763" s="68" t="s">
        <v>2165</v>
      </c>
      <c r="N763" s="68" t="s">
        <v>76</v>
      </c>
      <c r="O763" s="68" t="s">
        <v>2169</v>
      </c>
      <c r="P763" s="68">
        <v>41033</v>
      </c>
      <c r="Q763" s="303">
        <f t="shared" si="76"/>
        <v>1</v>
      </c>
      <c r="R763" s="303">
        <f t="shared" si="77"/>
        <v>28</v>
      </c>
      <c r="S763" s="68">
        <v>0</v>
      </c>
      <c r="T763" s="68">
        <v>0</v>
      </c>
      <c r="U763" s="68">
        <v>1</v>
      </c>
      <c r="V763" s="68">
        <v>28</v>
      </c>
      <c r="W763" s="68">
        <v>21.21</v>
      </c>
      <c r="X763" s="68">
        <v>114</v>
      </c>
      <c r="Y763" s="68">
        <v>100</v>
      </c>
      <c r="Z763" s="68">
        <v>50</v>
      </c>
      <c r="AA763" s="68">
        <v>1</v>
      </c>
      <c r="AB763" s="300">
        <f t="shared" si="78"/>
        <v>95</v>
      </c>
      <c r="AC763" s="300">
        <f t="shared" si="79"/>
        <v>0.57228915662650603</v>
      </c>
      <c r="AD763" s="68">
        <v>880</v>
      </c>
      <c r="AE763" s="68" t="s">
        <v>109</v>
      </c>
      <c r="AF763" s="68" t="s">
        <v>317</v>
      </c>
      <c r="AG763" s="68" t="s">
        <v>317</v>
      </c>
      <c r="AH763" s="68" t="s">
        <v>2170</v>
      </c>
      <c r="AI763" s="309"/>
      <c r="AJ763" s="309"/>
      <c r="AK763" s="68" t="s">
        <v>37</v>
      </c>
      <c r="AL763" s="68" t="s">
        <v>39</v>
      </c>
      <c r="AM763" s="299">
        <f t="shared" ca="1" si="75"/>
        <v>3.7847222222189885</v>
      </c>
      <c r="AN763" s="51"/>
      <c r="AO763" s="61" t="s">
        <v>123</v>
      </c>
      <c r="AP763" s="91" t="s">
        <v>2165</v>
      </c>
      <c r="AQ763" s="59" t="s">
        <v>2513</v>
      </c>
      <c r="AR763" s="64">
        <v>44891.541666666664</v>
      </c>
      <c r="AS763" s="61" t="s">
        <v>326</v>
      </c>
      <c r="AT763" s="61" t="s">
        <v>65</v>
      </c>
      <c r="AU763" s="63">
        <v>0.54166666666666663</v>
      </c>
      <c r="AV763" s="61">
        <v>1</v>
      </c>
      <c r="AW763" s="61" t="s">
        <v>66</v>
      </c>
      <c r="AX763" s="52"/>
      <c r="AY763" s="52"/>
      <c r="AZ763" s="52"/>
      <c r="BA763" s="52"/>
    </row>
    <row r="764" spans="1:53" x14ac:dyDescent="0.25">
      <c r="A764" s="73">
        <v>440</v>
      </c>
      <c r="B764" s="72">
        <v>44888.402777777781</v>
      </c>
      <c r="C764" s="67">
        <v>0.40277777777777773</v>
      </c>
      <c r="D764" s="67">
        <v>0.40972222222222227</v>
      </c>
      <c r="E764" s="67">
        <v>0.47916666666666669</v>
      </c>
      <c r="F764" s="68" t="s">
        <v>171</v>
      </c>
      <c r="G764" s="68" t="s">
        <v>329</v>
      </c>
      <c r="H764" s="66" t="s">
        <v>91</v>
      </c>
      <c r="I764" s="66" t="s">
        <v>287</v>
      </c>
      <c r="J764" s="66" t="s">
        <v>41</v>
      </c>
      <c r="K764" s="71" t="s">
        <v>180</v>
      </c>
      <c r="L764" s="47" t="s">
        <v>206</v>
      </c>
      <c r="M764" s="68" t="s">
        <v>2189</v>
      </c>
      <c r="N764" s="68" t="s">
        <v>175</v>
      </c>
      <c r="O764" s="68">
        <v>1054969208</v>
      </c>
      <c r="P764" s="68">
        <v>1213943062</v>
      </c>
      <c r="Q764" s="303">
        <f t="shared" si="76"/>
        <v>1</v>
      </c>
      <c r="R764" s="303">
        <f t="shared" si="77"/>
        <v>42</v>
      </c>
      <c r="S764" s="68">
        <v>0</v>
      </c>
      <c r="T764" s="68">
        <v>0</v>
      </c>
      <c r="U764" s="68">
        <v>1</v>
      </c>
      <c r="V764" s="68">
        <v>42</v>
      </c>
      <c r="W764" s="68">
        <v>43</v>
      </c>
      <c r="X764" s="68">
        <v>132</v>
      </c>
      <c r="Y764" s="68">
        <v>76</v>
      </c>
      <c r="Z764" s="68">
        <v>73</v>
      </c>
      <c r="AA764" s="68">
        <v>1</v>
      </c>
      <c r="AB764" s="300">
        <f t="shared" si="78"/>
        <v>122.056</v>
      </c>
      <c r="AC764" s="300">
        <f t="shared" si="79"/>
        <v>0.73527710843373495</v>
      </c>
      <c r="AD764" s="68">
        <v>2168.2399999999998</v>
      </c>
      <c r="AE764" s="68" t="s">
        <v>109</v>
      </c>
      <c r="AF764" s="68" t="s">
        <v>317</v>
      </c>
      <c r="AG764" s="68" t="s">
        <v>317</v>
      </c>
      <c r="AH764" s="68" t="s">
        <v>2190</v>
      </c>
      <c r="AI764" s="309"/>
      <c r="AJ764" s="309"/>
      <c r="AK764" s="68" t="s">
        <v>37</v>
      </c>
      <c r="AL764" s="68" t="s">
        <v>39</v>
      </c>
      <c r="AM764" s="299">
        <f t="shared" ca="1" si="75"/>
        <v>1.3194444444379769</v>
      </c>
      <c r="AN764" s="51"/>
      <c r="AO764" s="59" t="s">
        <v>181</v>
      </c>
      <c r="AP764" s="62" t="s">
        <v>2189</v>
      </c>
      <c r="AQ764" s="61" t="s">
        <v>2335</v>
      </c>
      <c r="AR764" s="64">
        <v>44889.722222222219</v>
      </c>
      <c r="AS764" s="61" t="s">
        <v>274</v>
      </c>
      <c r="AT764" s="61" t="s">
        <v>65</v>
      </c>
      <c r="AU764" s="63">
        <v>0.72222222222222221</v>
      </c>
      <c r="AV764" s="61">
        <v>1</v>
      </c>
      <c r="AW764" s="61" t="s">
        <v>66</v>
      </c>
      <c r="AX764" s="52"/>
      <c r="AY764" s="52"/>
      <c r="AZ764" s="52"/>
      <c r="BA764" s="52"/>
    </row>
    <row r="765" spans="1:53" x14ac:dyDescent="0.25">
      <c r="A765" s="73">
        <v>441</v>
      </c>
      <c r="B765" s="72">
        <v>44888.402777777781</v>
      </c>
      <c r="C765" s="67">
        <v>0.40277777777777773</v>
      </c>
      <c r="D765" s="67">
        <v>0.40972222222222227</v>
      </c>
      <c r="E765" s="67">
        <v>0.47916666666666669</v>
      </c>
      <c r="F765" s="68" t="s">
        <v>171</v>
      </c>
      <c r="G765" s="68" t="s">
        <v>329</v>
      </c>
      <c r="H765" s="66" t="s">
        <v>91</v>
      </c>
      <c r="I765" s="66" t="s">
        <v>318</v>
      </c>
      <c r="J765" s="66" t="s">
        <v>41</v>
      </c>
      <c r="K765" s="66" t="s">
        <v>180</v>
      </c>
      <c r="L765" s="70" t="s">
        <v>206</v>
      </c>
      <c r="M765" s="68" t="s">
        <v>2191</v>
      </c>
      <c r="N765" s="68" t="s">
        <v>44</v>
      </c>
      <c r="O765" s="68">
        <v>1054969388</v>
      </c>
      <c r="P765" s="68">
        <v>1213967488</v>
      </c>
      <c r="Q765" s="303">
        <f t="shared" si="76"/>
        <v>5</v>
      </c>
      <c r="R765" s="303">
        <f t="shared" si="77"/>
        <v>1064</v>
      </c>
      <c r="S765" s="68">
        <v>0</v>
      </c>
      <c r="T765" s="68">
        <v>0</v>
      </c>
      <c r="U765" s="68">
        <v>5</v>
      </c>
      <c r="V765" s="68">
        <v>1064</v>
      </c>
      <c r="W765" s="68">
        <v>1067</v>
      </c>
      <c r="X765" s="68">
        <v>120</v>
      </c>
      <c r="Y765" s="68">
        <v>80</v>
      </c>
      <c r="Z765" s="68">
        <v>78</v>
      </c>
      <c r="AA765" s="68">
        <v>5</v>
      </c>
      <c r="AB765" s="300">
        <f t="shared" si="78"/>
        <v>624</v>
      </c>
      <c r="AC765" s="300">
        <f t="shared" si="79"/>
        <v>3.7590361445783134</v>
      </c>
      <c r="AD765" s="68">
        <v>47367.86</v>
      </c>
      <c r="AE765" s="68" t="s">
        <v>109</v>
      </c>
      <c r="AF765" s="68" t="s">
        <v>317</v>
      </c>
      <c r="AG765" s="68" t="s">
        <v>317</v>
      </c>
      <c r="AH765" s="68" t="s">
        <v>2192</v>
      </c>
      <c r="AI765" s="309"/>
      <c r="AJ765" s="309"/>
      <c r="AK765" s="68" t="s">
        <v>37</v>
      </c>
      <c r="AL765" s="68" t="s">
        <v>39</v>
      </c>
      <c r="AM765" s="299">
        <f t="shared" ca="1" si="75"/>
        <v>0.13541666666424135</v>
      </c>
      <c r="AN765" s="51"/>
      <c r="AO765" s="61" t="s">
        <v>323</v>
      </c>
      <c r="AP765" s="91" t="s">
        <v>2191</v>
      </c>
      <c r="AQ765" s="59" t="s">
        <v>2259</v>
      </c>
      <c r="AR765" s="64">
        <v>44888.538194444445</v>
      </c>
      <c r="AS765" s="57" t="s">
        <v>173</v>
      </c>
      <c r="AT765" s="61" t="s">
        <v>225</v>
      </c>
      <c r="AU765" s="63">
        <v>0.53819444444444442</v>
      </c>
      <c r="AV765" s="61">
        <v>1</v>
      </c>
      <c r="AW765" s="61" t="s">
        <v>66</v>
      </c>
      <c r="AX765" s="52"/>
      <c r="AY765" s="52"/>
      <c r="AZ765" s="52"/>
      <c r="BA765" s="52"/>
    </row>
    <row r="766" spans="1:53" x14ac:dyDescent="0.25">
      <c r="A766" s="73">
        <v>442</v>
      </c>
      <c r="B766" s="72">
        <v>44888.472222222219</v>
      </c>
      <c r="C766" s="67">
        <v>0.47222222222222227</v>
      </c>
      <c r="D766" s="67">
        <v>0.47916666666666669</v>
      </c>
      <c r="E766" s="67">
        <v>0.4861111111111111</v>
      </c>
      <c r="F766" s="68" t="s">
        <v>171</v>
      </c>
      <c r="G766" s="68" t="s">
        <v>390</v>
      </c>
      <c r="H766" s="66" t="s">
        <v>144</v>
      </c>
      <c r="I766" s="66" t="s">
        <v>256</v>
      </c>
      <c r="J766" s="66" t="s">
        <v>37</v>
      </c>
      <c r="K766" s="68" t="s">
        <v>180</v>
      </c>
      <c r="L766" s="69" t="s">
        <v>206</v>
      </c>
      <c r="M766" s="68" t="s">
        <v>2193</v>
      </c>
      <c r="N766" s="68" t="s">
        <v>42</v>
      </c>
      <c r="O766" s="68">
        <v>75045786</v>
      </c>
      <c r="P766" s="68">
        <v>332762</v>
      </c>
      <c r="Q766" s="303">
        <f t="shared" si="76"/>
        <v>6</v>
      </c>
      <c r="R766" s="303">
        <f t="shared" si="77"/>
        <v>0</v>
      </c>
      <c r="S766" s="68">
        <v>0</v>
      </c>
      <c r="T766" s="68">
        <v>0</v>
      </c>
      <c r="U766" s="68">
        <v>6</v>
      </c>
      <c r="V766" s="68">
        <v>0</v>
      </c>
      <c r="W766" s="68">
        <v>960</v>
      </c>
      <c r="X766" s="68">
        <v>0</v>
      </c>
      <c r="Y766" s="68">
        <v>0</v>
      </c>
      <c r="Z766" s="68">
        <v>0</v>
      </c>
      <c r="AA766" s="68">
        <v>6</v>
      </c>
      <c r="AB766" s="300">
        <f t="shared" si="78"/>
        <v>0</v>
      </c>
      <c r="AC766" s="300">
        <f t="shared" si="79"/>
        <v>0</v>
      </c>
      <c r="AD766" s="68">
        <v>5994.24</v>
      </c>
      <c r="AE766" s="68" t="s">
        <v>109</v>
      </c>
      <c r="AF766" s="68" t="s">
        <v>317</v>
      </c>
      <c r="AG766" s="68" t="s">
        <v>317</v>
      </c>
      <c r="AH766" s="68" t="s">
        <v>2194</v>
      </c>
      <c r="AI766" s="309"/>
      <c r="AJ766" s="309"/>
      <c r="AK766" s="68" t="s">
        <v>37</v>
      </c>
      <c r="AL766" s="68" t="s">
        <v>58</v>
      </c>
      <c r="AM766" s="299">
        <f t="shared" ca="1" si="75"/>
        <v>0.98958333333575865</v>
      </c>
      <c r="AN766" s="51"/>
      <c r="AO766" s="61" t="s">
        <v>107</v>
      </c>
      <c r="AP766" s="91" t="s">
        <v>2193</v>
      </c>
      <c r="AQ766" s="59" t="s">
        <v>2302</v>
      </c>
      <c r="AR766" s="64">
        <v>44889.461805555555</v>
      </c>
      <c r="AS766" s="57" t="s">
        <v>403</v>
      </c>
      <c r="AT766" s="61" t="s">
        <v>225</v>
      </c>
      <c r="AU766" s="63">
        <v>0.46180555555555558</v>
      </c>
      <c r="AV766" s="61">
        <v>1</v>
      </c>
      <c r="AW766" s="61" t="s">
        <v>66</v>
      </c>
      <c r="AX766" s="52"/>
      <c r="AY766" s="52"/>
      <c r="AZ766" s="52"/>
      <c r="BA766" s="52"/>
    </row>
    <row r="767" spans="1:53" x14ac:dyDescent="0.25">
      <c r="A767" s="73">
        <v>443</v>
      </c>
      <c r="B767" s="72">
        <v>44888.472222222219</v>
      </c>
      <c r="C767" s="67">
        <v>0.47222222222222227</v>
      </c>
      <c r="D767" s="67">
        <v>0.47916666666666669</v>
      </c>
      <c r="E767" s="67">
        <v>0.4861111111111111</v>
      </c>
      <c r="F767" s="68" t="s">
        <v>171</v>
      </c>
      <c r="G767" s="68" t="s">
        <v>390</v>
      </c>
      <c r="H767" s="66" t="s">
        <v>144</v>
      </c>
      <c r="I767" s="66" t="s">
        <v>256</v>
      </c>
      <c r="J767" s="66" t="s">
        <v>37</v>
      </c>
      <c r="K767" s="68" t="s">
        <v>180</v>
      </c>
      <c r="L767" s="69" t="s">
        <v>206</v>
      </c>
      <c r="M767" s="68" t="s">
        <v>2193</v>
      </c>
      <c r="N767" s="68" t="s">
        <v>42</v>
      </c>
      <c r="O767" s="68">
        <v>75045787</v>
      </c>
      <c r="P767" s="68">
        <v>332939</v>
      </c>
      <c r="Q767" s="303">
        <f t="shared" si="76"/>
        <v>6</v>
      </c>
      <c r="R767" s="303">
        <f t="shared" si="77"/>
        <v>0</v>
      </c>
      <c r="S767" s="68">
        <v>0</v>
      </c>
      <c r="T767" s="68">
        <v>0</v>
      </c>
      <c r="U767" s="68">
        <v>6</v>
      </c>
      <c r="V767" s="68">
        <v>0</v>
      </c>
      <c r="W767" s="68">
        <v>960</v>
      </c>
      <c r="X767" s="68">
        <v>0</v>
      </c>
      <c r="Y767" s="68">
        <v>0</v>
      </c>
      <c r="Z767" s="68">
        <v>0</v>
      </c>
      <c r="AA767" s="68">
        <v>6</v>
      </c>
      <c r="AB767" s="300">
        <f t="shared" si="78"/>
        <v>0</v>
      </c>
      <c r="AC767" s="300">
        <f t="shared" si="79"/>
        <v>0</v>
      </c>
      <c r="AD767" s="68">
        <v>5994.24</v>
      </c>
      <c r="AE767" s="68" t="s">
        <v>109</v>
      </c>
      <c r="AF767" s="68" t="s">
        <v>317</v>
      </c>
      <c r="AG767" s="68" t="s">
        <v>317</v>
      </c>
      <c r="AH767" s="68" t="s">
        <v>2195</v>
      </c>
      <c r="AI767" s="309"/>
      <c r="AJ767" s="309"/>
      <c r="AK767" s="68" t="s">
        <v>37</v>
      </c>
      <c r="AL767" s="68" t="s">
        <v>58</v>
      </c>
      <c r="AM767" s="299">
        <f t="shared" ca="1" si="75"/>
        <v>0.98958333333575865</v>
      </c>
      <c r="AN767" s="51"/>
      <c r="AO767" s="61" t="s">
        <v>107</v>
      </c>
      <c r="AP767" s="91" t="s">
        <v>2193</v>
      </c>
      <c r="AQ767" s="59" t="s">
        <v>2302</v>
      </c>
      <c r="AR767" s="64">
        <v>44889.461805555555</v>
      </c>
      <c r="AS767" s="57" t="s">
        <v>403</v>
      </c>
      <c r="AT767" s="61" t="s">
        <v>225</v>
      </c>
      <c r="AU767" s="63">
        <v>0.46180555555555558</v>
      </c>
      <c r="AV767" s="61">
        <v>1</v>
      </c>
      <c r="AW767" s="61" t="s">
        <v>66</v>
      </c>
      <c r="AX767" s="52"/>
      <c r="AY767" s="52"/>
      <c r="AZ767" s="52"/>
      <c r="BA767" s="52"/>
    </row>
    <row r="768" spans="1:53" x14ac:dyDescent="0.25">
      <c r="A768" s="73">
        <v>444</v>
      </c>
      <c r="B768" s="72">
        <v>44888.472222222219</v>
      </c>
      <c r="C768" s="67">
        <v>0.47222222222222227</v>
      </c>
      <c r="D768" s="67">
        <v>0.47916666666666669</v>
      </c>
      <c r="E768" s="67">
        <v>0.4861111111111111</v>
      </c>
      <c r="F768" s="68" t="s">
        <v>171</v>
      </c>
      <c r="G768" s="68" t="s">
        <v>390</v>
      </c>
      <c r="H768" s="66" t="s">
        <v>144</v>
      </c>
      <c r="I768" s="66" t="s">
        <v>256</v>
      </c>
      <c r="J768" s="66" t="s">
        <v>37</v>
      </c>
      <c r="K768" s="68" t="s">
        <v>180</v>
      </c>
      <c r="L768" s="69" t="s">
        <v>206</v>
      </c>
      <c r="M768" s="68" t="s">
        <v>2196</v>
      </c>
      <c r="N768" s="68" t="s">
        <v>42</v>
      </c>
      <c r="O768" s="68">
        <v>75045791</v>
      </c>
      <c r="P768" s="68">
        <v>332762</v>
      </c>
      <c r="Q768" s="303">
        <f t="shared" si="76"/>
        <v>2</v>
      </c>
      <c r="R768" s="303">
        <f t="shared" si="77"/>
        <v>0</v>
      </c>
      <c r="S768" s="68">
        <v>0</v>
      </c>
      <c r="T768" s="68">
        <v>0</v>
      </c>
      <c r="U768" s="68">
        <v>2</v>
      </c>
      <c r="V768" s="68">
        <v>0</v>
      </c>
      <c r="W768" s="68">
        <v>400</v>
      </c>
      <c r="X768" s="68">
        <v>0</v>
      </c>
      <c r="Y768" s="68">
        <v>0</v>
      </c>
      <c r="Z768" s="68">
        <v>0</v>
      </c>
      <c r="AA768" s="68">
        <v>2</v>
      </c>
      <c r="AB768" s="300">
        <f t="shared" si="78"/>
        <v>0</v>
      </c>
      <c r="AC768" s="300">
        <f t="shared" si="79"/>
        <v>0</v>
      </c>
      <c r="AD768" s="68">
        <v>3034.4</v>
      </c>
      <c r="AE768" s="68" t="s">
        <v>109</v>
      </c>
      <c r="AF768" s="68" t="s">
        <v>317</v>
      </c>
      <c r="AG768" s="68" t="s">
        <v>317</v>
      </c>
      <c r="AH768" s="68" t="s">
        <v>2197</v>
      </c>
      <c r="AI768" s="309"/>
      <c r="AJ768" s="309"/>
      <c r="AK768" s="68" t="s">
        <v>37</v>
      </c>
      <c r="AL768" s="68" t="s">
        <v>58</v>
      </c>
      <c r="AM768" s="299">
        <f t="shared" ca="1" si="75"/>
        <v>0.99305555556202307</v>
      </c>
      <c r="AN768" s="51"/>
      <c r="AO768" s="61" t="s">
        <v>107</v>
      </c>
      <c r="AP768" s="91" t="s">
        <v>2196</v>
      </c>
      <c r="AQ768" s="59" t="s">
        <v>2302</v>
      </c>
      <c r="AR768" s="64">
        <v>44889.465277777781</v>
      </c>
      <c r="AS768" s="57" t="s">
        <v>173</v>
      </c>
      <c r="AT768" s="61" t="s">
        <v>225</v>
      </c>
      <c r="AU768" s="63">
        <v>0.46527777777777773</v>
      </c>
      <c r="AV768" s="61">
        <v>1</v>
      </c>
      <c r="AW768" s="61" t="s">
        <v>66</v>
      </c>
      <c r="AX768" s="52"/>
      <c r="AY768" s="52"/>
      <c r="AZ768" s="52"/>
      <c r="BA768" s="52"/>
    </row>
    <row r="769" spans="1:53" x14ac:dyDescent="0.25">
      <c r="A769" s="73">
        <v>445</v>
      </c>
      <c r="B769" s="72">
        <v>44888.472222222219</v>
      </c>
      <c r="C769" s="67">
        <v>0.47222222222222227</v>
      </c>
      <c r="D769" s="67">
        <v>0.47916666666666669</v>
      </c>
      <c r="E769" s="67">
        <v>0.4861111111111111</v>
      </c>
      <c r="F769" s="68" t="s">
        <v>171</v>
      </c>
      <c r="G769" s="68" t="s">
        <v>390</v>
      </c>
      <c r="H769" s="66" t="s">
        <v>144</v>
      </c>
      <c r="I769" s="66" t="s">
        <v>256</v>
      </c>
      <c r="J769" s="66" t="s">
        <v>37</v>
      </c>
      <c r="K769" s="68" t="s">
        <v>180</v>
      </c>
      <c r="L769" s="69" t="s">
        <v>206</v>
      </c>
      <c r="M769" s="68" t="s">
        <v>2193</v>
      </c>
      <c r="N769" s="68" t="s">
        <v>42</v>
      </c>
      <c r="O769" s="68">
        <v>75045788</v>
      </c>
      <c r="P769" s="68">
        <v>330207</v>
      </c>
      <c r="Q769" s="303">
        <f t="shared" si="76"/>
        <v>3</v>
      </c>
      <c r="R769" s="303">
        <f t="shared" si="77"/>
        <v>0</v>
      </c>
      <c r="S769" s="68">
        <v>0</v>
      </c>
      <c r="T769" s="68">
        <v>0</v>
      </c>
      <c r="U769" s="68">
        <v>3</v>
      </c>
      <c r="V769" s="68">
        <v>0</v>
      </c>
      <c r="W769" s="68">
        <v>540</v>
      </c>
      <c r="X769" s="68">
        <v>0</v>
      </c>
      <c r="Y769" s="68">
        <v>0</v>
      </c>
      <c r="Z769" s="68">
        <v>0</v>
      </c>
      <c r="AA769" s="68">
        <v>3</v>
      </c>
      <c r="AB769" s="300">
        <f t="shared" si="78"/>
        <v>0</v>
      </c>
      <c r="AC769" s="300">
        <f t="shared" si="79"/>
        <v>0</v>
      </c>
      <c r="AD769" s="68">
        <v>4551.6000000000004</v>
      </c>
      <c r="AE769" s="68" t="s">
        <v>109</v>
      </c>
      <c r="AF769" s="68" t="s">
        <v>317</v>
      </c>
      <c r="AG769" s="68" t="s">
        <v>317</v>
      </c>
      <c r="AH769" s="68" t="s">
        <v>2198</v>
      </c>
      <c r="AI769" s="309"/>
      <c r="AJ769" s="309"/>
      <c r="AK769" s="68" t="s">
        <v>37</v>
      </c>
      <c r="AL769" s="68" t="s">
        <v>58</v>
      </c>
      <c r="AM769" s="299">
        <f t="shared" ca="1" si="75"/>
        <v>0.98958333333575865</v>
      </c>
      <c r="AN769" s="51"/>
      <c r="AO769" s="61" t="s">
        <v>107</v>
      </c>
      <c r="AP769" s="91" t="s">
        <v>2193</v>
      </c>
      <c r="AQ769" s="59" t="s">
        <v>2302</v>
      </c>
      <c r="AR769" s="64">
        <v>44889.461805555555</v>
      </c>
      <c r="AS769" s="57" t="s">
        <v>403</v>
      </c>
      <c r="AT769" s="61" t="s">
        <v>225</v>
      </c>
      <c r="AU769" s="63">
        <v>0.46180555555555558</v>
      </c>
      <c r="AV769" s="61">
        <v>1</v>
      </c>
      <c r="AW769" s="61" t="s">
        <v>66</v>
      </c>
      <c r="AX769" s="52"/>
      <c r="AY769" s="52"/>
      <c r="AZ769" s="52"/>
      <c r="BA769" s="52"/>
    </row>
    <row r="770" spans="1:53" x14ac:dyDescent="0.25">
      <c r="A770" s="73">
        <v>446</v>
      </c>
      <c r="B770" s="72">
        <v>44888.472222222219</v>
      </c>
      <c r="C770" s="67">
        <v>0.47222222222222227</v>
      </c>
      <c r="D770" s="67">
        <v>0.47916666666666669</v>
      </c>
      <c r="E770" s="67">
        <v>0.4861111111111111</v>
      </c>
      <c r="F770" s="68" t="s">
        <v>171</v>
      </c>
      <c r="G770" s="68" t="s">
        <v>390</v>
      </c>
      <c r="H770" s="66" t="s">
        <v>144</v>
      </c>
      <c r="I770" s="66" t="s">
        <v>256</v>
      </c>
      <c r="J770" s="66" t="s">
        <v>37</v>
      </c>
      <c r="K770" s="68" t="s">
        <v>180</v>
      </c>
      <c r="L770" s="69" t="s">
        <v>206</v>
      </c>
      <c r="M770" s="68" t="s">
        <v>2193</v>
      </c>
      <c r="N770" s="68" t="s">
        <v>42</v>
      </c>
      <c r="O770" s="68">
        <v>75045790</v>
      </c>
      <c r="P770" s="68">
        <v>332542</v>
      </c>
      <c r="Q770" s="303">
        <f t="shared" si="76"/>
        <v>3</v>
      </c>
      <c r="R770" s="303">
        <f t="shared" si="77"/>
        <v>0</v>
      </c>
      <c r="S770" s="68">
        <v>0</v>
      </c>
      <c r="T770" s="68">
        <v>0</v>
      </c>
      <c r="U770" s="68">
        <v>3</v>
      </c>
      <c r="V770" s="68">
        <v>0</v>
      </c>
      <c r="W770" s="68">
        <v>540</v>
      </c>
      <c r="X770" s="68">
        <v>0</v>
      </c>
      <c r="Y770" s="68">
        <v>0</v>
      </c>
      <c r="Z770" s="68">
        <v>0</v>
      </c>
      <c r="AA770" s="68">
        <v>3</v>
      </c>
      <c r="AB770" s="300">
        <f t="shared" si="78"/>
        <v>0</v>
      </c>
      <c r="AC770" s="300">
        <f t="shared" si="79"/>
        <v>0</v>
      </c>
      <c r="AD770" s="68">
        <v>4551.6000000000004</v>
      </c>
      <c r="AE770" s="68" t="s">
        <v>109</v>
      </c>
      <c r="AF770" s="68" t="s">
        <v>317</v>
      </c>
      <c r="AG770" s="68" t="s">
        <v>317</v>
      </c>
      <c r="AH770" s="68" t="s">
        <v>2199</v>
      </c>
      <c r="AI770" s="309"/>
      <c r="AJ770" s="309"/>
      <c r="AK770" s="68" t="s">
        <v>37</v>
      </c>
      <c r="AL770" s="68" t="s">
        <v>58</v>
      </c>
      <c r="AM770" s="299">
        <f t="shared" ca="1" si="75"/>
        <v>0.98958333333575865</v>
      </c>
      <c r="AN770" s="51"/>
      <c r="AO770" s="61" t="s">
        <v>107</v>
      </c>
      <c r="AP770" s="91" t="s">
        <v>2193</v>
      </c>
      <c r="AQ770" s="59" t="s">
        <v>2302</v>
      </c>
      <c r="AR770" s="64">
        <v>44889.461805555555</v>
      </c>
      <c r="AS770" s="57" t="s">
        <v>403</v>
      </c>
      <c r="AT770" s="61" t="s">
        <v>225</v>
      </c>
      <c r="AU770" s="63">
        <v>0.46180555555555558</v>
      </c>
      <c r="AV770" s="61">
        <v>1</v>
      </c>
      <c r="AW770" s="61" t="s">
        <v>66</v>
      </c>
      <c r="AX770" s="52"/>
      <c r="AY770" s="52"/>
      <c r="AZ770" s="52"/>
      <c r="BA770" s="52"/>
    </row>
    <row r="771" spans="1:53" x14ac:dyDescent="0.25">
      <c r="A771" s="73">
        <v>447</v>
      </c>
      <c r="B771" s="72">
        <v>44888.472222222219</v>
      </c>
      <c r="C771" s="67">
        <v>0.47222222222222227</v>
      </c>
      <c r="D771" s="67">
        <v>0.47916666666666669</v>
      </c>
      <c r="E771" s="67">
        <v>0.4861111111111111</v>
      </c>
      <c r="F771" s="68" t="s">
        <v>171</v>
      </c>
      <c r="G771" s="68" t="s">
        <v>390</v>
      </c>
      <c r="H771" s="66" t="s">
        <v>144</v>
      </c>
      <c r="I771" s="66" t="s">
        <v>256</v>
      </c>
      <c r="J771" s="66" t="s">
        <v>37</v>
      </c>
      <c r="K771" s="68" t="s">
        <v>180</v>
      </c>
      <c r="L771" s="69" t="s">
        <v>206</v>
      </c>
      <c r="M771" s="68" t="s">
        <v>2193</v>
      </c>
      <c r="N771" s="68" t="s">
        <v>42</v>
      </c>
      <c r="O771" s="68">
        <v>75045789</v>
      </c>
      <c r="P771" s="68">
        <v>332371</v>
      </c>
      <c r="Q771" s="303">
        <f t="shared" si="76"/>
        <v>2</v>
      </c>
      <c r="R771" s="303">
        <f t="shared" si="77"/>
        <v>0</v>
      </c>
      <c r="S771" s="68">
        <v>0</v>
      </c>
      <c r="T771" s="68">
        <v>0</v>
      </c>
      <c r="U771" s="68">
        <v>2</v>
      </c>
      <c r="V771" s="68">
        <v>0</v>
      </c>
      <c r="W771" s="68">
        <v>360</v>
      </c>
      <c r="X771" s="68">
        <v>0</v>
      </c>
      <c r="Y771" s="68">
        <v>0</v>
      </c>
      <c r="Z771" s="68">
        <v>0</v>
      </c>
      <c r="AA771" s="68">
        <v>2</v>
      </c>
      <c r="AB771" s="300">
        <f t="shared" si="78"/>
        <v>0</v>
      </c>
      <c r="AC771" s="300">
        <f t="shared" si="79"/>
        <v>0</v>
      </c>
      <c r="AD771" s="68">
        <v>3034.4</v>
      </c>
      <c r="AE771" s="68" t="s">
        <v>109</v>
      </c>
      <c r="AF771" s="68" t="s">
        <v>317</v>
      </c>
      <c r="AG771" s="68" t="s">
        <v>317</v>
      </c>
      <c r="AH771" s="68" t="s">
        <v>2200</v>
      </c>
      <c r="AI771" s="309"/>
      <c r="AJ771" s="309"/>
      <c r="AK771" s="68" t="s">
        <v>37</v>
      </c>
      <c r="AL771" s="68" t="s">
        <v>58</v>
      </c>
      <c r="AM771" s="299">
        <f t="shared" ca="1" si="75"/>
        <v>0.98958333333575865</v>
      </c>
      <c r="AN771" s="51"/>
      <c r="AO771" s="61" t="s">
        <v>107</v>
      </c>
      <c r="AP771" s="91" t="s">
        <v>2193</v>
      </c>
      <c r="AQ771" s="59" t="s">
        <v>2302</v>
      </c>
      <c r="AR771" s="64">
        <v>44889.461805555555</v>
      </c>
      <c r="AS771" s="57" t="s">
        <v>403</v>
      </c>
      <c r="AT771" s="61" t="s">
        <v>225</v>
      </c>
      <c r="AU771" s="63">
        <v>0.46180555555555558</v>
      </c>
      <c r="AV771" s="61">
        <v>1</v>
      </c>
      <c r="AW771" s="61" t="s">
        <v>66</v>
      </c>
      <c r="AX771" s="52"/>
      <c r="AY771" s="52"/>
      <c r="AZ771" s="52"/>
      <c r="BA771" s="52"/>
    </row>
    <row r="772" spans="1:53" x14ac:dyDescent="0.25">
      <c r="A772" s="73">
        <v>448</v>
      </c>
      <c r="B772" s="72">
        <v>44888.479166666664</v>
      </c>
      <c r="C772" s="67">
        <v>0.47916666666666669</v>
      </c>
      <c r="D772" s="67">
        <v>0.4861111111111111</v>
      </c>
      <c r="E772" s="67">
        <v>0.48958333333333331</v>
      </c>
      <c r="F772" s="68" t="s">
        <v>171</v>
      </c>
      <c r="G772" s="68" t="s">
        <v>165</v>
      </c>
      <c r="H772" s="66" t="s">
        <v>339</v>
      </c>
      <c r="I772" s="66" t="s">
        <v>91</v>
      </c>
      <c r="J772" s="66" t="s">
        <v>37</v>
      </c>
      <c r="K772" s="66" t="s">
        <v>180</v>
      </c>
      <c r="L772" s="70" t="s">
        <v>206</v>
      </c>
      <c r="M772" s="68" t="s">
        <v>2201</v>
      </c>
      <c r="N772" s="68" t="s">
        <v>44</v>
      </c>
      <c r="O772" s="68" t="s">
        <v>2202</v>
      </c>
      <c r="P772" s="68" t="s">
        <v>615</v>
      </c>
      <c r="Q772" s="303">
        <f t="shared" si="76"/>
        <v>1</v>
      </c>
      <c r="R772" s="303">
        <f t="shared" si="77"/>
        <v>0</v>
      </c>
      <c r="S772" s="68">
        <v>0</v>
      </c>
      <c r="T772" s="68">
        <v>0</v>
      </c>
      <c r="U772" s="68">
        <v>1</v>
      </c>
      <c r="V772" s="68">
        <v>0</v>
      </c>
      <c r="W772" s="68">
        <v>74</v>
      </c>
      <c r="X772" s="68">
        <v>0</v>
      </c>
      <c r="Y772" s="68">
        <v>0</v>
      </c>
      <c r="Z772" s="68">
        <v>0</v>
      </c>
      <c r="AA772" s="68">
        <v>1</v>
      </c>
      <c r="AB772" s="300">
        <f t="shared" si="78"/>
        <v>0</v>
      </c>
      <c r="AC772" s="300">
        <f t="shared" si="79"/>
        <v>0</v>
      </c>
      <c r="AD772" s="68">
        <v>93861</v>
      </c>
      <c r="AE772" s="68" t="s">
        <v>109</v>
      </c>
      <c r="AF772" s="68" t="s">
        <v>317</v>
      </c>
      <c r="AG772" s="68" t="s">
        <v>317</v>
      </c>
      <c r="AH772" s="68" t="s">
        <v>2203</v>
      </c>
      <c r="AI772" s="309"/>
      <c r="AJ772" s="309"/>
      <c r="AK772" s="68" t="s">
        <v>37</v>
      </c>
      <c r="AL772" s="68" t="s">
        <v>58</v>
      </c>
      <c r="AM772" s="299">
        <f t="shared" ca="1" si="75"/>
        <v>5.9027777781011537E-2</v>
      </c>
      <c r="AN772" s="51"/>
      <c r="AO772" s="61" t="s">
        <v>323</v>
      </c>
      <c r="AP772" s="91" t="s">
        <v>2201</v>
      </c>
      <c r="AQ772" s="59" t="s">
        <v>2259</v>
      </c>
      <c r="AR772" s="64">
        <v>44888.538194444445</v>
      </c>
      <c r="AS772" s="57" t="s">
        <v>173</v>
      </c>
      <c r="AT772" s="61" t="s">
        <v>225</v>
      </c>
      <c r="AU772" s="63">
        <v>0.53819444444444442</v>
      </c>
      <c r="AV772" s="61">
        <v>1</v>
      </c>
      <c r="AW772" s="61" t="s">
        <v>66</v>
      </c>
      <c r="AX772" s="52"/>
      <c r="AY772" s="52"/>
      <c r="AZ772" s="52"/>
      <c r="BA772" s="52"/>
    </row>
    <row r="773" spans="1:53" x14ac:dyDescent="0.25">
      <c r="A773" s="73">
        <v>449</v>
      </c>
      <c r="B773" s="72">
        <v>44888.590277777781</v>
      </c>
      <c r="C773" s="67">
        <v>0.59375</v>
      </c>
      <c r="D773" s="67">
        <v>0.60069444444444442</v>
      </c>
      <c r="E773" s="67">
        <v>0.61805555555555558</v>
      </c>
      <c r="F773" s="68" t="s">
        <v>170</v>
      </c>
      <c r="G773" s="68" t="s">
        <v>276</v>
      </c>
      <c r="H773" s="71" t="s">
        <v>227</v>
      </c>
      <c r="I773" s="71" t="s">
        <v>189</v>
      </c>
      <c r="J773" s="71" t="s">
        <v>37</v>
      </c>
      <c r="K773" s="71" t="s">
        <v>63</v>
      </c>
      <c r="L773" s="71" t="s">
        <v>209</v>
      </c>
      <c r="M773" s="68" t="s">
        <v>2204</v>
      </c>
      <c r="N773" s="68" t="s">
        <v>42</v>
      </c>
      <c r="O773" s="68">
        <v>949</v>
      </c>
      <c r="P773" s="68">
        <v>3728</v>
      </c>
      <c r="Q773" s="303">
        <f t="shared" si="76"/>
        <v>6</v>
      </c>
      <c r="R773" s="303">
        <f t="shared" si="77"/>
        <v>1250</v>
      </c>
      <c r="S773" s="68">
        <v>0</v>
      </c>
      <c r="T773" s="68">
        <v>0</v>
      </c>
      <c r="U773" s="68">
        <v>6</v>
      </c>
      <c r="V773" s="68">
        <v>1250</v>
      </c>
      <c r="W773" s="68">
        <v>1170</v>
      </c>
      <c r="X773" s="68">
        <v>170</v>
      </c>
      <c r="Y773" s="68">
        <v>97</v>
      </c>
      <c r="Z773" s="68">
        <v>96</v>
      </c>
      <c r="AA773" s="68">
        <v>6</v>
      </c>
      <c r="AB773" s="300">
        <f t="shared" si="78"/>
        <v>1583.04</v>
      </c>
      <c r="AC773" s="300">
        <f t="shared" si="79"/>
        <v>9.5363855421686736</v>
      </c>
      <c r="AD773" s="68">
        <v>10950</v>
      </c>
      <c r="AE773" s="68" t="s">
        <v>109</v>
      </c>
      <c r="AF773" s="68" t="s">
        <v>317</v>
      </c>
      <c r="AG773" s="68" t="s">
        <v>317</v>
      </c>
      <c r="AH773" s="68" t="s">
        <v>2205</v>
      </c>
      <c r="AI773" s="309"/>
      <c r="AJ773" s="309"/>
      <c r="AK773" s="68" t="s">
        <v>37</v>
      </c>
      <c r="AL773" s="68" t="s">
        <v>54</v>
      </c>
      <c r="AM773" s="299">
        <f t="shared" ca="1" si="75"/>
        <v>7.2916666664241347E-2</v>
      </c>
      <c r="AN773" s="51"/>
      <c r="AO773" s="61" t="s">
        <v>89</v>
      </c>
      <c r="AP773" s="91" t="s">
        <v>2204</v>
      </c>
      <c r="AQ773" s="59" t="s">
        <v>2265</v>
      </c>
      <c r="AR773" s="64">
        <v>44888.663194444445</v>
      </c>
      <c r="AS773" s="61" t="s">
        <v>136</v>
      </c>
      <c r="AT773" s="61" t="s">
        <v>225</v>
      </c>
      <c r="AU773" s="63">
        <v>0.66319444444444442</v>
      </c>
      <c r="AV773" s="61">
        <v>1</v>
      </c>
      <c r="AW773" s="61" t="s">
        <v>66</v>
      </c>
      <c r="AX773" s="52"/>
      <c r="AY773" s="52"/>
      <c r="AZ773" s="52"/>
      <c r="BA773" s="52"/>
    </row>
    <row r="774" spans="1:53" x14ac:dyDescent="0.25">
      <c r="A774" s="73">
        <v>450</v>
      </c>
      <c r="B774" s="72">
        <v>44888.600694444445</v>
      </c>
      <c r="C774" s="67">
        <v>0.60416666666666663</v>
      </c>
      <c r="D774" s="67">
        <v>0.61458333333333337</v>
      </c>
      <c r="E774" s="67">
        <v>0.63888888888888895</v>
      </c>
      <c r="F774" s="68" t="s">
        <v>170</v>
      </c>
      <c r="G774" s="68" t="s">
        <v>2206</v>
      </c>
      <c r="H774" s="66" t="s">
        <v>57</v>
      </c>
      <c r="I774" s="66" t="s">
        <v>110</v>
      </c>
      <c r="J774" s="66" t="s">
        <v>37</v>
      </c>
      <c r="K774" s="66" t="s">
        <v>63</v>
      </c>
      <c r="L774" s="66" t="s">
        <v>209</v>
      </c>
      <c r="M774" s="68" t="s">
        <v>2207</v>
      </c>
      <c r="N774" s="68" t="s">
        <v>186</v>
      </c>
      <c r="O774" s="68" t="s">
        <v>2208</v>
      </c>
      <c r="P774" s="68">
        <v>81958281</v>
      </c>
      <c r="Q774" s="303">
        <f t="shared" si="76"/>
        <v>1</v>
      </c>
      <c r="R774" s="303">
        <f t="shared" si="77"/>
        <v>579</v>
      </c>
      <c r="S774" s="68">
        <v>0</v>
      </c>
      <c r="T774" s="68">
        <v>0</v>
      </c>
      <c r="U774" s="68">
        <v>1</v>
      </c>
      <c r="V774" s="68">
        <v>579</v>
      </c>
      <c r="W774" s="68">
        <v>575</v>
      </c>
      <c r="X774" s="68">
        <v>146</v>
      </c>
      <c r="Y774" s="68">
        <v>82</v>
      </c>
      <c r="Z774" s="68">
        <v>90</v>
      </c>
      <c r="AA774" s="68">
        <v>1</v>
      </c>
      <c r="AB774" s="300">
        <f t="shared" si="78"/>
        <v>179.58</v>
      </c>
      <c r="AC774" s="300">
        <f t="shared" si="79"/>
        <v>1.0818072289156628</v>
      </c>
      <c r="AD774" s="68">
        <v>2980.84</v>
      </c>
      <c r="AE774" s="68" t="s">
        <v>109</v>
      </c>
      <c r="AF774" s="68" t="s">
        <v>317</v>
      </c>
      <c r="AG774" s="68" t="s">
        <v>317</v>
      </c>
      <c r="AH774" s="68" t="s">
        <v>2209</v>
      </c>
      <c r="AI774" s="309"/>
      <c r="AJ774" s="309"/>
      <c r="AK774" s="68" t="s">
        <v>37</v>
      </c>
      <c r="AL774" s="68" t="s">
        <v>54</v>
      </c>
      <c r="AM774" s="299">
        <f t="shared" ca="1" si="75"/>
        <v>0.88541666666424135</v>
      </c>
      <c r="AN774" s="51"/>
      <c r="AO774" s="61" t="s">
        <v>131</v>
      </c>
      <c r="AP774" s="91" t="s">
        <v>2207</v>
      </c>
      <c r="AQ774" s="59" t="s">
        <v>2303</v>
      </c>
      <c r="AR774" s="64">
        <v>44889.486111111109</v>
      </c>
      <c r="AS774" s="61" t="s">
        <v>95</v>
      </c>
      <c r="AT774" s="61" t="s">
        <v>225</v>
      </c>
      <c r="AU774" s="59">
        <v>0.4861111111111111</v>
      </c>
      <c r="AV774" s="61">
        <v>1</v>
      </c>
      <c r="AW774" s="61" t="s">
        <v>66</v>
      </c>
      <c r="AX774" s="52"/>
      <c r="AY774" s="52"/>
      <c r="AZ774" s="52"/>
      <c r="BA774" s="52"/>
    </row>
    <row r="775" spans="1:53" x14ac:dyDescent="0.25">
      <c r="A775" s="73">
        <v>451</v>
      </c>
      <c r="B775" s="72">
        <v>44888.600694444445</v>
      </c>
      <c r="C775" s="67">
        <v>0.60416666666666663</v>
      </c>
      <c r="D775" s="67">
        <v>0.61458333333333337</v>
      </c>
      <c r="E775" s="67">
        <v>0.63888888888888895</v>
      </c>
      <c r="F775" s="68" t="s">
        <v>170</v>
      </c>
      <c r="G775" s="68" t="s">
        <v>2206</v>
      </c>
      <c r="H775" s="66" t="s">
        <v>57</v>
      </c>
      <c r="I775" s="66" t="s">
        <v>92</v>
      </c>
      <c r="J775" s="66" t="s">
        <v>37</v>
      </c>
      <c r="K775" s="66" t="s">
        <v>63</v>
      </c>
      <c r="L775" s="66" t="s">
        <v>209</v>
      </c>
      <c r="M775" s="68" t="s">
        <v>2210</v>
      </c>
      <c r="N775" s="68" t="s">
        <v>42</v>
      </c>
      <c r="O775" s="68" t="s">
        <v>2211</v>
      </c>
      <c r="P775" s="68">
        <v>81958289</v>
      </c>
      <c r="Q775" s="303">
        <f t="shared" si="76"/>
        <v>1</v>
      </c>
      <c r="R775" s="303">
        <f t="shared" si="77"/>
        <v>221</v>
      </c>
      <c r="S775" s="68">
        <v>0</v>
      </c>
      <c r="T775" s="68">
        <v>0</v>
      </c>
      <c r="U775" s="68">
        <v>1</v>
      </c>
      <c r="V775" s="68">
        <v>221</v>
      </c>
      <c r="W775" s="68">
        <v>221</v>
      </c>
      <c r="X775" s="68">
        <v>80</v>
      </c>
      <c r="Y775" s="68">
        <v>60</v>
      </c>
      <c r="Z775" s="68">
        <v>69</v>
      </c>
      <c r="AA775" s="68">
        <v>1</v>
      </c>
      <c r="AB775" s="300">
        <f t="shared" si="78"/>
        <v>55.2</v>
      </c>
      <c r="AC775" s="300">
        <f t="shared" si="79"/>
        <v>0.3325301204819277</v>
      </c>
      <c r="AD775" s="68">
        <v>1423.98</v>
      </c>
      <c r="AE775" s="68" t="s">
        <v>109</v>
      </c>
      <c r="AF775" s="68" t="s">
        <v>317</v>
      </c>
      <c r="AG775" s="68" t="s">
        <v>317</v>
      </c>
      <c r="AH775" s="68" t="s">
        <v>2212</v>
      </c>
      <c r="AI775" s="309"/>
      <c r="AJ775" s="309"/>
      <c r="AK775" s="68" t="s">
        <v>37</v>
      </c>
      <c r="AL775" s="68" t="s">
        <v>54</v>
      </c>
      <c r="AM775" s="299">
        <f t="shared" ca="1" si="75"/>
        <v>0.88541666666424135</v>
      </c>
      <c r="AN775" s="51"/>
      <c r="AO775" s="61" t="s">
        <v>120</v>
      </c>
      <c r="AP775" s="91" t="s">
        <v>2210</v>
      </c>
      <c r="AQ775" s="59" t="s">
        <v>2305</v>
      </c>
      <c r="AR775" s="64">
        <v>44889.486111111109</v>
      </c>
      <c r="AS775" s="61" t="s">
        <v>95</v>
      </c>
      <c r="AT775" s="61" t="s">
        <v>225</v>
      </c>
      <c r="AU775" s="59">
        <v>0.4861111111111111</v>
      </c>
      <c r="AV775" s="61">
        <v>1</v>
      </c>
      <c r="AW775" s="61" t="s">
        <v>66</v>
      </c>
      <c r="AX775" s="52"/>
      <c r="AY775" s="52"/>
      <c r="AZ775" s="52"/>
      <c r="BA775" s="52"/>
    </row>
    <row r="776" spans="1:53" x14ac:dyDescent="0.25">
      <c r="A776" s="73">
        <v>452</v>
      </c>
      <c r="B776" s="72">
        <v>44888.600694444445</v>
      </c>
      <c r="C776" s="67">
        <v>0.60416666666666663</v>
      </c>
      <c r="D776" s="67">
        <v>0.61458333333333337</v>
      </c>
      <c r="E776" s="67">
        <v>0.63888888888888895</v>
      </c>
      <c r="F776" s="68" t="s">
        <v>170</v>
      </c>
      <c r="G776" s="68" t="s">
        <v>2206</v>
      </c>
      <c r="H776" s="66" t="s">
        <v>57</v>
      </c>
      <c r="I776" s="66" t="s">
        <v>92</v>
      </c>
      <c r="J776" s="66" t="s">
        <v>37</v>
      </c>
      <c r="K776" s="66" t="s">
        <v>63</v>
      </c>
      <c r="L776" s="66" t="s">
        <v>209</v>
      </c>
      <c r="M776" s="68" t="s">
        <v>2210</v>
      </c>
      <c r="N776" s="68" t="s">
        <v>42</v>
      </c>
      <c r="O776" s="68" t="s">
        <v>2213</v>
      </c>
      <c r="P776" s="68">
        <v>81962335</v>
      </c>
      <c r="Q776" s="303">
        <f t="shared" si="76"/>
        <v>1</v>
      </c>
      <c r="R776" s="303">
        <f t="shared" si="77"/>
        <v>167</v>
      </c>
      <c r="S776" s="68">
        <v>0</v>
      </c>
      <c r="T776" s="68">
        <v>0</v>
      </c>
      <c r="U776" s="68">
        <v>1</v>
      </c>
      <c r="V776" s="68">
        <v>167</v>
      </c>
      <c r="W776" s="68">
        <v>166</v>
      </c>
      <c r="X776" s="68">
        <v>109</v>
      </c>
      <c r="Y776" s="68">
        <v>83</v>
      </c>
      <c r="Z776" s="68">
        <v>75</v>
      </c>
      <c r="AA776" s="68">
        <v>1</v>
      </c>
      <c r="AB776" s="300">
        <f t="shared" si="78"/>
        <v>113.08750000000001</v>
      </c>
      <c r="AC776" s="300">
        <f t="shared" si="79"/>
        <v>0.68125000000000002</v>
      </c>
      <c r="AD776" s="68">
        <v>888.53</v>
      </c>
      <c r="AE776" s="68" t="s">
        <v>109</v>
      </c>
      <c r="AF776" s="68" t="s">
        <v>317</v>
      </c>
      <c r="AG776" s="68" t="s">
        <v>317</v>
      </c>
      <c r="AH776" s="68" t="s">
        <v>2214</v>
      </c>
      <c r="AI776" s="309"/>
      <c r="AJ776" s="309"/>
      <c r="AK776" s="68" t="s">
        <v>37</v>
      </c>
      <c r="AL776" s="68" t="s">
        <v>54</v>
      </c>
      <c r="AM776" s="299">
        <f t="shared" ca="1" si="75"/>
        <v>0.88541666666424135</v>
      </c>
      <c r="AN776" s="51"/>
      <c r="AO776" s="61" t="s">
        <v>120</v>
      </c>
      <c r="AP776" s="91" t="s">
        <v>2210</v>
      </c>
      <c r="AQ776" s="59" t="s">
        <v>2305</v>
      </c>
      <c r="AR776" s="64">
        <v>44889.486111111109</v>
      </c>
      <c r="AS776" s="61" t="s">
        <v>95</v>
      </c>
      <c r="AT776" s="61" t="s">
        <v>225</v>
      </c>
      <c r="AU776" s="59">
        <v>0.4861111111111111</v>
      </c>
      <c r="AV776" s="61">
        <v>1</v>
      </c>
      <c r="AW776" s="61" t="s">
        <v>66</v>
      </c>
      <c r="AX776" s="52"/>
      <c r="AY776" s="52"/>
      <c r="AZ776" s="52"/>
      <c r="BA776" s="52"/>
    </row>
    <row r="777" spans="1:53" x14ac:dyDescent="0.25">
      <c r="A777" s="73">
        <v>453</v>
      </c>
      <c r="B777" s="72">
        <v>44888.600694444445</v>
      </c>
      <c r="C777" s="67">
        <v>0.60416666666666663</v>
      </c>
      <c r="D777" s="67">
        <v>0.61458333333333337</v>
      </c>
      <c r="E777" s="67">
        <v>0.63888888888888895</v>
      </c>
      <c r="F777" s="68" t="s">
        <v>170</v>
      </c>
      <c r="G777" s="68" t="s">
        <v>2206</v>
      </c>
      <c r="H777" s="66" t="s">
        <v>57</v>
      </c>
      <c r="I777" s="66" t="s">
        <v>92</v>
      </c>
      <c r="J777" s="66" t="s">
        <v>37</v>
      </c>
      <c r="K777" s="66" t="s">
        <v>63</v>
      </c>
      <c r="L777" s="66" t="s">
        <v>209</v>
      </c>
      <c r="M777" s="68" t="s">
        <v>2215</v>
      </c>
      <c r="N777" s="68" t="s">
        <v>42</v>
      </c>
      <c r="O777" s="68" t="s">
        <v>2216</v>
      </c>
      <c r="P777" s="68">
        <v>81953528</v>
      </c>
      <c r="Q777" s="303">
        <f t="shared" si="76"/>
        <v>2</v>
      </c>
      <c r="R777" s="303">
        <f t="shared" si="77"/>
        <v>326</v>
      </c>
      <c r="S777" s="68">
        <v>0</v>
      </c>
      <c r="T777" s="68">
        <v>0</v>
      </c>
      <c r="U777" s="68">
        <v>2</v>
      </c>
      <c r="V777" s="68">
        <v>326</v>
      </c>
      <c r="W777" s="68">
        <v>324</v>
      </c>
      <c r="X777" s="68">
        <v>122</v>
      </c>
      <c r="Y777" s="68">
        <v>122</v>
      </c>
      <c r="Z777" s="68">
        <v>66</v>
      </c>
      <c r="AA777" s="68">
        <v>2</v>
      </c>
      <c r="AB777" s="300">
        <f t="shared" si="78"/>
        <v>327.44799999999998</v>
      </c>
      <c r="AC777" s="300">
        <f t="shared" si="79"/>
        <v>1.9725783132530119</v>
      </c>
      <c r="AD777" s="68">
        <v>17928.759999999998</v>
      </c>
      <c r="AE777" s="68" t="s">
        <v>109</v>
      </c>
      <c r="AF777" s="68" t="s">
        <v>317</v>
      </c>
      <c r="AG777" s="68" t="s">
        <v>317</v>
      </c>
      <c r="AH777" s="68" t="s">
        <v>2217</v>
      </c>
      <c r="AI777" s="309"/>
      <c r="AJ777" s="309"/>
      <c r="AK777" s="68" t="s">
        <v>37</v>
      </c>
      <c r="AL777" s="68" t="s">
        <v>54</v>
      </c>
      <c r="AM777" s="299">
        <f t="shared" ca="1" si="75"/>
        <v>1.1597222222189885</v>
      </c>
      <c r="AN777" s="51"/>
      <c r="AO777" s="61" t="s">
        <v>83</v>
      </c>
      <c r="AP777" s="91" t="s">
        <v>2215</v>
      </c>
      <c r="AQ777" s="59" t="s">
        <v>2343</v>
      </c>
      <c r="AR777" s="64">
        <v>44889.760416666664</v>
      </c>
      <c r="AS777" s="61" t="s">
        <v>95</v>
      </c>
      <c r="AT777" s="61" t="s">
        <v>225</v>
      </c>
      <c r="AU777" s="59">
        <v>0.76041666666666663</v>
      </c>
      <c r="AV777" s="61">
        <v>3</v>
      </c>
      <c r="AW777" s="61" t="s">
        <v>66</v>
      </c>
      <c r="AX777" s="52"/>
      <c r="AY777" s="52"/>
      <c r="AZ777" s="52"/>
      <c r="BA777" s="52"/>
    </row>
    <row r="778" spans="1:53" x14ac:dyDescent="0.25">
      <c r="A778" s="73">
        <v>454</v>
      </c>
      <c r="B778" s="72">
        <v>44888.600694444445</v>
      </c>
      <c r="C778" s="67">
        <v>0.60416666666666663</v>
      </c>
      <c r="D778" s="67">
        <v>0.61458333333333337</v>
      </c>
      <c r="E778" s="67">
        <v>0.63888888888888895</v>
      </c>
      <c r="F778" s="68" t="s">
        <v>170</v>
      </c>
      <c r="G778" s="68" t="s">
        <v>2206</v>
      </c>
      <c r="H778" s="66" t="s">
        <v>57</v>
      </c>
      <c r="I778" s="66" t="s">
        <v>92</v>
      </c>
      <c r="J778" s="66" t="s">
        <v>37</v>
      </c>
      <c r="K778" s="66" t="s">
        <v>63</v>
      </c>
      <c r="L778" s="66" t="s">
        <v>209</v>
      </c>
      <c r="M778" s="68" t="s">
        <v>2210</v>
      </c>
      <c r="N778" s="68" t="s">
        <v>42</v>
      </c>
      <c r="O778" s="68" t="s">
        <v>2218</v>
      </c>
      <c r="P778" s="68">
        <v>81954493</v>
      </c>
      <c r="Q778" s="303">
        <f t="shared" si="76"/>
        <v>1</v>
      </c>
      <c r="R778" s="303">
        <f t="shared" si="77"/>
        <v>90</v>
      </c>
      <c r="S778" s="68">
        <v>0</v>
      </c>
      <c r="T778" s="68">
        <v>0</v>
      </c>
      <c r="U778" s="68">
        <v>1</v>
      </c>
      <c r="V778" s="68">
        <v>90</v>
      </c>
      <c r="W778" s="68">
        <v>90</v>
      </c>
      <c r="X778" s="68">
        <v>60</v>
      </c>
      <c r="Y778" s="68">
        <v>44</v>
      </c>
      <c r="Z778" s="68">
        <v>55</v>
      </c>
      <c r="AA778" s="68">
        <v>1</v>
      </c>
      <c r="AB778" s="300">
        <f t="shared" si="78"/>
        <v>24.2</v>
      </c>
      <c r="AC778" s="300">
        <f t="shared" si="79"/>
        <v>0.14578313253012049</v>
      </c>
      <c r="AD778" s="68">
        <v>761.7</v>
      </c>
      <c r="AE778" s="68" t="s">
        <v>109</v>
      </c>
      <c r="AF778" s="68" t="s">
        <v>317</v>
      </c>
      <c r="AG778" s="68" t="s">
        <v>317</v>
      </c>
      <c r="AH778" s="68" t="s">
        <v>2219</v>
      </c>
      <c r="AI778" s="309"/>
      <c r="AJ778" s="309"/>
      <c r="AK778" s="68" t="s">
        <v>37</v>
      </c>
      <c r="AL778" s="68" t="s">
        <v>54</v>
      </c>
      <c r="AM778" s="299">
        <f t="shared" ca="1" si="75"/>
        <v>0.88541666666424135</v>
      </c>
      <c r="AN778" s="51"/>
      <c r="AO778" s="61" t="s">
        <v>120</v>
      </c>
      <c r="AP778" s="91" t="s">
        <v>2210</v>
      </c>
      <c r="AQ778" s="59" t="s">
        <v>2305</v>
      </c>
      <c r="AR778" s="64">
        <v>44889.486111111109</v>
      </c>
      <c r="AS778" s="61" t="s">
        <v>95</v>
      </c>
      <c r="AT778" s="61" t="s">
        <v>225</v>
      </c>
      <c r="AU778" s="59">
        <v>0.4861111111111111</v>
      </c>
      <c r="AV778" s="61">
        <v>1</v>
      </c>
      <c r="AW778" s="61" t="s">
        <v>66</v>
      </c>
      <c r="AX778" s="52"/>
      <c r="AY778" s="52"/>
      <c r="AZ778" s="52"/>
      <c r="BA778" s="52"/>
    </row>
    <row r="779" spans="1:53" x14ac:dyDescent="0.25">
      <c r="A779" s="73">
        <v>455</v>
      </c>
      <c r="B779" s="72">
        <v>44888.600694444445</v>
      </c>
      <c r="C779" s="67">
        <v>0.60416666666666663</v>
      </c>
      <c r="D779" s="67">
        <v>0.61458333333333337</v>
      </c>
      <c r="E779" s="67">
        <v>0.63888888888888895</v>
      </c>
      <c r="F779" s="68" t="s">
        <v>170</v>
      </c>
      <c r="G779" s="68" t="s">
        <v>2206</v>
      </c>
      <c r="H779" s="66" t="s">
        <v>57</v>
      </c>
      <c r="I779" s="66" t="s">
        <v>92</v>
      </c>
      <c r="J779" s="66" t="s">
        <v>37</v>
      </c>
      <c r="K779" s="66" t="s">
        <v>63</v>
      </c>
      <c r="L779" s="66" t="s">
        <v>209</v>
      </c>
      <c r="M779" s="68" t="s">
        <v>2215</v>
      </c>
      <c r="N779" s="68" t="s">
        <v>42</v>
      </c>
      <c r="O779" s="68" t="s">
        <v>2220</v>
      </c>
      <c r="P779" s="68">
        <v>81953525</v>
      </c>
      <c r="Q779" s="303">
        <f t="shared" si="76"/>
        <v>1</v>
      </c>
      <c r="R779" s="303">
        <f t="shared" si="77"/>
        <v>166</v>
      </c>
      <c r="S779" s="68">
        <v>0</v>
      </c>
      <c r="T779" s="68">
        <v>0</v>
      </c>
      <c r="U779" s="68">
        <v>1</v>
      </c>
      <c r="V779" s="68">
        <v>166</v>
      </c>
      <c r="W779" s="68">
        <v>162</v>
      </c>
      <c r="X779" s="68">
        <v>122</v>
      </c>
      <c r="Y779" s="68">
        <v>122</v>
      </c>
      <c r="Z779" s="68">
        <v>66</v>
      </c>
      <c r="AA779" s="68">
        <v>1</v>
      </c>
      <c r="AB779" s="300">
        <f t="shared" si="78"/>
        <v>163.72399999999999</v>
      </c>
      <c r="AC779" s="300">
        <f t="shared" si="79"/>
        <v>0.98628915662650596</v>
      </c>
      <c r="AD779" s="68">
        <v>8964.39</v>
      </c>
      <c r="AE779" s="68" t="s">
        <v>109</v>
      </c>
      <c r="AF779" s="68" t="s">
        <v>317</v>
      </c>
      <c r="AG779" s="68" t="s">
        <v>317</v>
      </c>
      <c r="AH779" s="68" t="s">
        <v>2221</v>
      </c>
      <c r="AI779" s="309"/>
      <c r="AJ779" s="309"/>
      <c r="AK779" s="68" t="s">
        <v>37</v>
      </c>
      <c r="AL779" s="68" t="s">
        <v>54</v>
      </c>
      <c r="AM779" s="299">
        <f t="shared" ca="1" si="75"/>
        <v>1.1597222222189885</v>
      </c>
      <c r="AN779" s="51"/>
      <c r="AO779" s="61" t="s">
        <v>83</v>
      </c>
      <c r="AP779" s="91" t="s">
        <v>2215</v>
      </c>
      <c r="AQ779" s="59" t="s">
        <v>2343</v>
      </c>
      <c r="AR779" s="64">
        <v>44889.760416666664</v>
      </c>
      <c r="AS779" s="61" t="s">
        <v>95</v>
      </c>
      <c r="AT779" s="61" t="s">
        <v>225</v>
      </c>
      <c r="AU779" s="59">
        <v>0.76041666666666663</v>
      </c>
      <c r="AV779" s="61">
        <v>3</v>
      </c>
      <c r="AW779" s="61" t="s">
        <v>66</v>
      </c>
      <c r="AX779" s="52"/>
      <c r="AY779" s="52"/>
      <c r="AZ779" s="52"/>
      <c r="BA779" s="52"/>
    </row>
    <row r="780" spans="1:53" x14ac:dyDescent="0.25">
      <c r="A780" s="73">
        <v>456</v>
      </c>
      <c r="B780" s="72">
        <v>44888.607638888891</v>
      </c>
      <c r="C780" s="67">
        <v>0.61111111111111105</v>
      </c>
      <c r="D780" s="67">
        <v>0.625</v>
      </c>
      <c r="E780" s="67">
        <v>0.65277777777777779</v>
      </c>
      <c r="F780" s="68" t="s">
        <v>169</v>
      </c>
      <c r="G780" s="68" t="s">
        <v>2222</v>
      </c>
      <c r="H780" s="66" t="s">
        <v>422</v>
      </c>
      <c r="I780" s="66" t="s">
        <v>423</v>
      </c>
      <c r="J780" s="66" t="s">
        <v>41</v>
      </c>
      <c r="K780" s="66" t="s">
        <v>241</v>
      </c>
      <c r="L780" s="66" t="s">
        <v>425</v>
      </c>
      <c r="M780" s="68" t="s">
        <v>2223</v>
      </c>
      <c r="N780" s="68" t="s">
        <v>424</v>
      </c>
      <c r="O780" s="68">
        <v>218</v>
      </c>
      <c r="P780" s="68" t="s">
        <v>2224</v>
      </c>
      <c r="Q780" s="303">
        <f t="shared" si="76"/>
        <v>28</v>
      </c>
      <c r="R780" s="303">
        <f t="shared" si="77"/>
        <v>1020</v>
      </c>
      <c r="S780" s="68">
        <v>28</v>
      </c>
      <c r="T780" s="68">
        <v>1020</v>
      </c>
      <c r="U780" s="68">
        <v>0</v>
      </c>
      <c r="V780" s="68">
        <v>0</v>
      </c>
      <c r="W780" s="68">
        <v>1011</v>
      </c>
      <c r="X780" s="68">
        <v>99</v>
      </c>
      <c r="Y780" s="68">
        <v>52</v>
      </c>
      <c r="Z780" s="68">
        <v>24</v>
      </c>
      <c r="AA780" s="68">
        <v>28</v>
      </c>
      <c r="AB780" s="300">
        <f t="shared" si="78"/>
        <v>576.57600000000002</v>
      </c>
      <c r="AC780" s="300">
        <f t="shared" si="79"/>
        <v>3.4733493975903618</v>
      </c>
      <c r="AD780" s="68">
        <v>27755.4</v>
      </c>
      <c r="AE780" s="68" t="s">
        <v>109</v>
      </c>
      <c r="AF780" s="68" t="s">
        <v>2225</v>
      </c>
      <c r="AG780" s="68" t="s">
        <v>2226</v>
      </c>
      <c r="AH780" s="68" t="s">
        <v>2227</v>
      </c>
      <c r="AI780" s="309"/>
      <c r="AJ780" s="309"/>
      <c r="AK780" s="68" t="s">
        <v>48</v>
      </c>
      <c r="AL780" s="68" t="s">
        <v>50</v>
      </c>
      <c r="AM780" s="299">
        <f t="shared" ca="1" si="75"/>
        <v>1.8541666666642413</v>
      </c>
      <c r="AN780" s="51"/>
      <c r="AO780" s="61" t="s">
        <v>428</v>
      </c>
      <c r="AP780" s="91" t="s">
        <v>2223</v>
      </c>
      <c r="AQ780" s="59" t="s">
        <v>2399</v>
      </c>
      <c r="AR780" s="64">
        <v>44890.461805555555</v>
      </c>
      <c r="AS780" s="57" t="s">
        <v>117</v>
      </c>
      <c r="AT780" s="61" t="s">
        <v>225</v>
      </c>
      <c r="AU780" s="63">
        <v>0.46180555555555558</v>
      </c>
      <c r="AV780" s="61">
        <v>1</v>
      </c>
      <c r="AW780" s="61" t="s">
        <v>66</v>
      </c>
      <c r="AX780" s="52"/>
      <c r="AY780" s="52"/>
      <c r="AZ780" s="52"/>
      <c r="BA780" s="52"/>
    </row>
    <row r="781" spans="1:53" x14ac:dyDescent="0.25">
      <c r="A781" s="73">
        <v>457</v>
      </c>
      <c r="B781" s="72">
        <v>44888.631944444445</v>
      </c>
      <c r="C781" s="67">
        <v>0.63541666666666663</v>
      </c>
      <c r="D781" s="67">
        <v>0.64236111111111105</v>
      </c>
      <c r="E781" s="67">
        <v>0.65625</v>
      </c>
      <c r="F781" s="68" t="s">
        <v>169</v>
      </c>
      <c r="G781" s="68" t="s">
        <v>2228</v>
      </c>
      <c r="H781" s="66" t="s">
        <v>2229</v>
      </c>
      <c r="I781" s="66" t="s">
        <v>112</v>
      </c>
      <c r="J781" s="66" t="s">
        <v>37</v>
      </c>
      <c r="K781" s="66" t="s">
        <v>82</v>
      </c>
      <c r="L781" s="66">
        <v>0</v>
      </c>
      <c r="M781" s="68" t="s">
        <v>2230</v>
      </c>
      <c r="N781" s="68" t="s">
        <v>42</v>
      </c>
      <c r="O781" s="68" t="s">
        <v>2231</v>
      </c>
      <c r="P781" s="68" t="s">
        <v>2232</v>
      </c>
      <c r="Q781" s="303">
        <f t="shared" si="76"/>
        <v>11</v>
      </c>
      <c r="R781" s="303">
        <f t="shared" si="77"/>
        <v>123</v>
      </c>
      <c r="S781" s="68">
        <v>11</v>
      </c>
      <c r="T781" s="68">
        <v>123</v>
      </c>
      <c r="U781" s="68">
        <v>0</v>
      </c>
      <c r="V781" s="68">
        <v>0</v>
      </c>
      <c r="W781" s="68">
        <v>117</v>
      </c>
      <c r="X781" s="68">
        <v>60</v>
      </c>
      <c r="Y781" s="68">
        <v>41</v>
      </c>
      <c r="Z781" s="68">
        <v>26</v>
      </c>
      <c r="AA781" s="68">
        <v>11</v>
      </c>
      <c r="AB781" s="300">
        <f t="shared" si="78"/>
        <v>117.26</v>
      </c>
      <c r="AC781" s="300">
        <f t="shared" si="79"/>
        <v>0.70638554216867477</v>
      </c>
      <c r="AD781" s="68">
        <v>2722.5</v>
      </c>
      <c r="AE781" s="68" t="s">
        <v>109</v>
      </c>
      <c r="AF781" s="94">
        <v>5655069</v>
      </c>
      <c r="AG781" s="68" t="s">
        <v>2233</v>
      </c>
      <c r="AH781" s="68" t="s">
        <v>2234</v>
      </c>
      <c r="AI781" s="309"/>
      <c r="AJ781" s="309"/>
      <c r="AK781" s="68" t="s">
        <v>48</v>
      </c>
      <c r="AL781" s="68" t="s">
        <v>50</v>
      </c>
      <c r="AM781" s="299">
        <f t="shared" ca="1" si="75"/>
        <v>2.0104166666642413</v>
      </c>
      <c r="AN781" s="51"/>
      <c r="AO781" s="61" t="s">
        <v>135</v>
      </c>
      <c r="AP781" s="62" t="s">
        <v>2230</v>
      </c>
      <c r="AQ781" s="61" t="s">
        <v>2402</v>
      </c>
      <c r="AR781" s="64">
        <v>44890.642361111109</v>
      </c>
      <c r="AS781" s="61" t="s">
        <v>136</v>
      </c>
      <c r="AT781" s="61" t="s">
        <v>225</v>
      </c>
      <c r="AU781" s="63">
        <v>0.64236111111111105</v>
      </c>
      <c r="AV781" s="61">
        <v>1</v>
      </c>
      <c r="AW781" s="61" t="s">
        <v>66</v>
      </c>
      <c r="AX781" s="52"/>
      <c r="AY781" s="52"/>
      <c r="AZ781" s="52"/>
      <c r="BA781" s="52"/>
    </row>
    <row r="782" spans="1:53" x14ac:dyDescent="0.25">
      <c r="A782" s="73">
        <v>458</v>
      </c>
      <c r="B782" s="72">
        <v>44888.590277777781</v>
      </c>
      <c r="C782" s="67">
        <v>0.59027777777777779</v>
      </c>
      <c r="D782" s="67">
        <v>0.61111111111111105</v>
      </c>
      <c r="E782" s="67">
        <v>0.625</v>
      </c>
      <c r="F782" s="68" t="s">
        <v>171</v>
      </c>
      <c r="G782" s="68" t="s">
        <v>2235</v>
      </c>
      <c r="H782" s="71" t="s">
        <v>266</v>
      </c>
      <c r="I782" s="71" t="s">
        <v>40</v>
      </c>
      <c r="J782" s="71" t="s">
        <v>37</v>
      </c>
      <c r="K782" s="71" t="s">
        <v>180</v>
      </c>
      <c r="L782" s="71" t="s">
        <v>271</v>
      </c>
      <c r="M782" s="68" t="s">
        <v>2236</v>
      </c>
      <c r="N782" s="68" t="s">
        <v>154</v>
      </c>
      <c r="O782" s="68" t="s">
        <v>2237</v>
      </c>
      <c r="P782" s="68">
        <v>84818030</v>
      </c>
      <c r="Q782" s="303">
        <f t="shared" si="76"/>
        <v>7</v>
      </c>
      <c r="R782" s="303">
        <f t="shared" si="77"/>
        <v>1435</v>
      </c>
      <c r="S782" s="68">
        <v>0</v>
      </c>
      <c r="T782" s="68">
        <v>0</v>
      </c>
      <c r="U782" s="68">
        <v>7</v>
      </c>
      <c r="V782" s="68">
        <v>1435</v>
      </c>
      <c r="W782" s="68">
        <v>1444</v>
      </c>
      <c r="X782" s="68">
        <v>120</v>
      </c>
      <c r="Y782" s="68">
        <v>60</v>
      </c>
      <c r="Z782" s="68">
        <v>71</v>
      </c>
      <c r="AA782" s="68">
        <v>7</v>
      </c>
      <c r="AB782" s="300">
        <f t="shared" si="78"/>
        <v>596.4</v>
      </c>
      <c r="AC782" s="300">
        <f t="shared" si="79"/>
        <v>3.592771084337349</v>
      </c>
      <c r="AD782" s="68">
        <v>52957</v>
      </c>
      <c r="AE782" s="68" t="s">
        <v>109</v>
      </c>
      <c r="AF782" s="68" t="s">
        <v>317</v>
      </c>
      <c r="AG782" s="68" t="s">
        <v>317</v>
      </c>
      <c r="AH782" s="68" t="s">
        <v>2238</v>
      </c>
      <c r="AI782" s="309"/>
      <c r="AJ782" s="309"/>
      <c r="AK782" s="68" t="s">
        <v>37</v>
      </c>
      <c r="AL782" s="68" t="s">
        <v>49</v>
      </c>
      <c r="AM782" s="299">
        <f t="shared" ca="1" si="75"/>
        <v>0.14583333332848269</v>
      </c>
      <c r="AN782" s="51"/>
      <c r="AO782" s="61" t="s">
        <v>150</v>
      </c>
      <c r="AP782" s="91" t="s">
        <v>2236</v>
      </c>
      <c r="AQ782" s="59" t="s">
        <v>2268</v>
      </c>
      <c r="AR782" s="64">
        <v>44888.736111111109</v>
      </c>
      <c r="AS782" s="61" t="s">
        <v>95</v>
      </c>
      <c r="AT782" s="61" t="s">
        <v>225</v>
      </c>
      <c r="AU782" s="59">
        <v>0.73611111111111116</v>
      </c>
      <c r="AV782" s="61">
        <v>1</v>
      </c>
      <c r="AW782" s="61" t="s">
        <v>66</v>
      </c>
      <c r="AX782" s="52"/>
      <c r="AY782" s="52"/>
      <c r="AZ782" s="52"/>
      <c r="BA782" s="52"/>
    </row>
    <row r="783" spans="1:53" x14ac:dyDescent="0.25">
      <c r="A783" s="73">
        <v>459</v>
      </c>
      <c r="B783" s="72">
        <v>44888.590277777781</v>
      </c>
      <c r="C783" s="67">
        <v>0.59027777777777779</v>
      </c>
      <c r="D783" s="67">
        <v>0.61111111111111105</v>
      </c>
      <c r="E783" s="67">
        <v>0.625</v>
      </c>
      <c r="F783" s="68" t="s">
        <v>171</v>
      </c>
      <c r="G783" s="68" t="s">
        <v>2235</v>
      </c>
      <c r="H783" s="66" t="s">
        <v>266</v>
      </c>
      <c r="I783" s="66" t="s">
        <v>40</v>
      </c>
      <c r="J783" s="66" t="s">
        <v>37</v>
      </c>
      <c r="K783" s="66" t="s">
        <v>180</v>
      </c>
      <c r="L783" s="66" t="s">
        <v>271</v>
      </c>
      <c r="M783" s="68" t="s">
        <v>2239</v>
      </c>
      <c r="N783" s="68" t="s">
        <v>154</v>
      </c>
      <c r="O783" s="68" t="s">
        <v>2240</v>
      </c>
      <c r="P783" s="68">
        <v>84818030</v>
      </c>
      <c r="Q783" s="303">
        <f t="shared" si="76"/>
        <v>1</v>
      </c>
      <c r="R783" s="303">
        <f t="shared" si="77"/>
        <v>222</v>
      </c>
      <c r="S783" s="68">
        <v>0</v>
      </c>
      <c r="T783" s="68">
        <v>0</v>
      </c>
      <c r="U783" s="68">
        <v>1</v>
      </c>
      <c r="V783" s="68">
        <v>222</v>
      </c>
      <c r="W783" s="68">
        <v>224</v>
      </c>
      <c r="X783" s="68">
        <v>120</v>
      </c>
      <c r="Y783" s="68">
        <v>60</v>
      </c>
      <c r="Z783" s="68">
        <v>71</v>
      </c>
      <c r="AA783" s="68">
        <v>1</v>
      </c>
      <c r="AB783" s="300">
        <f t="shared" si="78"/>
        <v>85.2</v>
      </c>
      <c r="AC783" s="300">
        <f t="shared" si="79"/>
        <v>0.51325301204819274</v>
      </c>
      <c r="AD783" s="68">
        <v>8194</v>
      </c>
      <c r="AE783" s="68" t="s">
        <v>109</v>
      </c>
      <c r="AF783" s="68" t="s">
        <v>317</v>
      </c>
      <c r="AG783" s="68" t="s">
        <v>317</v>
      </c>
      <c r="AH783" s="68" t="s">
        <v>2241</v>
      </c>
      <c r="AI783" s="309"/>
      <c r="AJ783" s="309"/>
      <c r="AK783" s="68" t="s">
        <v>37</v>
      </c>
      <c r="AL783" s="68" t="s">
        <v>49</v>
      </c>
      <c r="AM783" s="299">
        <f t="shared" ca="1" si="75"/>
        <v>0.15277777777373558</v>
      </c>
      <c r="AN783" s="51"/>
      <c r="AO783" s="61" t="s">
        <v>150</v>
      </c>
      <c r="AP783" s="91" t="s">
        <v>2239</v>
      </c>
      <c r="AQ783" s="59" t="s">
        <v>2267</v>
      </c>
      <c r="AR783" s="64">
        <v>44888.743055555555</v>
      </c>
      <c r="AS783" s="57" t="s">
        <v>117</v>
      </c>
      <c r="AT783" s="61" t="s">
        <v>225</v>
      </c>
      <c r="AU783" s="63">
        <v>0.74305555555555547</v>
      </c>
      <c r="AV783" s="61">
        <v>2</v>
      </c>
      <c r="AW783" s="61" t="s">
        <v>66</v>
      </c>
      <c r="AX783" s="52"/>
      <c r="AY783" s="52"/>
      <c r="AZ783" s="52"/>
      <c r="BA783" s="52"/>
    </row>
    <row r="784" spans="1:53" x14ac:dyDescent="0.25">
      <c r="A784" s="73">
        <v>460</v>
      </c>
      <c r="B784" s="72">
        <v>44888.590277777781</v>
      </c>
      <c r="C784" s="67">
        <v>0.59027777777777779</v>
      </c>
      <c r="D784" s="67">
        <v>0.61111111111111105</v>
      </c>
      <c r="E784" s="67">
        <v>0.625</v>
      </c>
      <c r="F784" s="68" t="s">
        <v>171</v>
      </c>
      <c r="G784" s="68" t="s">
        <v>2235</v>
      </c>
      <c r="H784" s="66" t="s">
        <v>266</v>
      </c>
      <c r="I784" s="66" t="s">
        <v>40</v>
      </c>
      <c r="J784" s="66" t="s">
        <v>37</v>
      </c>
      <c r="K784" s="66" t="s">
        <v>180</v>
      </c>
      <c r="L784" s="66" t="s">
        <v>271</v>
      </c>
      <c r="M784" s="68" t="s">
        <v>2239</v>
      </c>
      <c r="N784" s="68" t="s">
        <v>154</v>
      </c>
      <c r="O784" s="68" t="s">
        <v>2242</v>
      </c>
      <c r="P784" s="68">
        <v>84818030</v>
      </c>
      <c r="Q784" s="303">
        <f t="shared" si="76"/>
        <v>2</v>
      </c>
      <c r="R784" s="303">
        <f t="shared" si="77"/>
        <v>596</v>
      </c>
      <c r="S784" s="68">
        <v>0</v>
      </c>
      <c r="T784" s="68">
        <v>0</v>
      </c>
      <c r="U784" s="68">
        <v>2</v>
      </c>
      <c r="V784" s="68">
        <v>596</v>
      </c>
      <c r="W784" s="68">
        <v>596</v>
      </c>
      <c r="X784" s="68">
        <v>120</v>
      </c>
      <c r="Y784" s="68">
        <v>60</v>
      </c>
      <c r="Z784" s="68">
        <v>71</v>
      </c>
      <c r="AA784" s="68">
        <v>2</v>
      </c>
      <c r="AB784" s="300">
        <f t="shared" si="78"/>
        <v>170.4</v>
      </c>
      <c r="AC784" s="300">
        <f t="shared" si="79"/>
        <v>1.0265060240963855</v>
      </c>
      <c r="AD784" s="68">
        <v>57809</v>
      </c>
      <c r="AE784" s="68" t="s">
        <v>109</v>
      </c>
      <c r="AF784" s="68" t="s">
        <v>317</v>
      </c>
      <c r="AG784" s="68" t="s">
        <v>317</v>
      </c>
      <c r="AH784" s="68" t="s">
        <v>2243</v>
      </c>
      <c r="AI784" s="309"/>
      <c r="AJ784" s="309"/>
      <c r="AK784" s="68" t="s">
        <v>37</v>
      </c>
      <c r="AL784" s="68" t="s">
        <v>49</v>
      </c>
      <c r="AM784" s="299">
        <f t="shared" ca="1" si="75"/>
        <v>0.15277777777373558</v>
      </c>
      <c r="AN784" s="51"/>
      <c r="AO784" s="61" t="s">
        <v>150</v>
      </c>
      <c r="AP784" s="91" t="s">
        <v>2239</v>
      </c>
      <c r="AQ784" s="59" t="s">
        <v>2267</v>
      </c>
      <c r="AR784" s="64">
        <v>44888.743055555555</v>
      </c>
      <c r="AS784" s="57" t="s">
        <v>117</v>
      </c>
      <c r="AT784" s="61" t="s">
        <v>225</v>
      </c>
      <c r="AU784" s="63">
        <v>0.74305555555555547</v>
      </c>
      <c r="AV784" s="61">
        <v>2</v>
      </c>
      <c r="AW784" s="61" t="s">
        <v>66</v>
      </c>
      <c r="AX784" s="52"/>
      <c r="AY784" s="52"/>
      <c r="AZ784" s="52"/>
      <c r="BA784" s="52"/>
    </row>
    <row r="785" spans="1:54" x14ac:dyDescent="0.25">
      <c r="A785" s="73">
        <v>461</v>
      </c>
      <c r="B785" s="72">
        <v>44888.590277777781</v>
      </c>
      <c r="C785" s="67">
        <v>0.59027777777777779</v>
      </c>
      <c r="D785" s="67">
        <v>0.61111111111111105</v>
      </c>
      <c r="E785" s="67">
        <v>0.625</v>
      </c>
      <c r="F785" s="68" t="s">
        <v>171</v>
      </c>
      <c r="G785" s="68" t="s">
        <v>2235</v>
      </c>
      <c r="H785" s="66" t="s">
        <v>266</v>
      </c>
      <c r="I785" s="66" t="s">
        <v>40</v>
      </c>
      <c r="J785" s="66" t="s">
        <v>37</v>
      </c>
      <c r="K785" s="66" t="s">
        <v>180</v>
      </c>
      <c r="L785" s="66" t="s">
        <v>271</v>
      </c>
      <c r="M785" s="68" t="s">
        <v>2239</v>
      </c>
      <c r="N785" s="68" t="s">
        <v>154</v>
      </c>
      <c r="O785" s="68" t="s">
        <v>2244</v>
      </c>
      <c r="P785" s="68">
        <v>84818030</v>
      </c>
      <c r="Q785" s="303">
        <f t="shared" si="76"/>
        <v>8</v>
      </c>
      <c r="R785" s="303">
        <f t="shared" si="77"/>
        <v>1681</v>
      </c>
      <c r="S785" s="68">
        <v>0</v>
      </c>
      <c r="T785" s="68">
        <v>0</v>
      </c>
      <c r="U785" s="68">
        <v>8</v>
      </c>
      <c r="V785" s="68">
        <v>1681</v>
      </c>
      <c r="W785" s="68">
        <v>1607</v>
      </c>
      <c r="X785" s="68">
        <v>120</v>
      </c>
      <c r="Y785" s="68">
        <v>60</v>
      </c>
      <c r="Z785" s="68">
        <v>71</v>
      </c>
      <c r="AA785" s="68">
        <v>8</v>
      </c>
      <c r="AB785" s="300">
        <f t="shared" si="78"/>
        <v>681.6</v>
      </c>
      <c r="AC785" s="300">
        <f t="shared" si="79"/>
        <v>4.1060240963855419</v>
      </c>
      <c r="AD785" s="68">
        <v>61344</v>
      </c>
      <c r="AE785" s="68" t="s">
        <v>109</v>
      </c>
      <c r="AF785" s="68" t="s">
        <v>317</v>
      </c>
      <c r="AG785" s="68" t="s">
        <v>317</v>
      </c>
      <c r="AH785" s="68" t="s">
        <v>2241</v>
      </c>
      <c r="AI785" s="309"/>
      <c r="AJ785" s="309"/>
      <c r="AK785" s="68" t="s">
        <v>37</v>
      </c>
      <c r="AL785" s="68" t="s">
        <v>49</v>
      </c>
      <c r="AM785" s="299">
        <f t="shared" ca="1" si="75"/>
        <v>0.15277777777373558</v>
      </c>
      <c r="AN785" s="51"/>
      <c r="AO785" s="61" t="s">
        <v>150</v>
      </c>
      <c r="AP785" s="91" t="s">
        <v>2239</v>
      </c>
      <c r="AQ785" s="59" t="s">
        <v>2267</v>
      </c>
      <c r="AR785" s="64">
        <v>44888.743055555555</v>
      </c>
      <c r="AS785" s="57" t="s">
        <v>117</v>
      </c>
      <c r="AT785" s="61" t="s">
        <v>225</v>
      </c>
      <c r="AU785" s="63">
        <v>0.74305555555555547</v>
      </c>
      <c r="AV785" s="61">
        <v>2</v>
      </c>
      <c r="AW785" s="61" t="s">
        <v>66</v>
      </c>
      <c r="AX785" s="52"/>
      <c r="AY785" s="52"/>
      <c r="AZ785" s="52"/>
      <c r="BA785" s="52"/>
    </row>
    <row r="786" spans="1:54" x14ac:dyDescent="0.25">
      <c r="A786" s="73">
        <v>462</v>
      </c>
      <c r="B786" s="72">
        <v>44888.590277777781</v>
      </c>
      <c r="C786" s="67">
        <v>0.59027777777777779</v>
      </c>
      <c r="D786" s="67">
        <v>0.61111111111111105</v>
      </c>
      <c r="E786" s="67">
        <v>0.625</v>
      </c>
      <c r="F786" s="68" t="s">
        <v>171</v>
      </c>
      <c r="G786" s="68" t="s">
        <v>2235</v>
      </c>
      <c r="H786" s="66" t="s">
        <v>266</v>
      </c>
      <c r="I786" s="66" t="s">
        <v>40</v>
      </c>
      <c r="J786" s="66" t="s">
        <v>37</v>
      </c>
      <c r="K786" s="66" t="s">
        <v>180</v>
      </c>
      <c r="L786" s="66" t="s">
        <v>271</v>
      </c>
      <c r="M786" s="68" t="s">
        <v>2236</v>
      </c>
      <c r="N786" s="68" t="s">
        <v>154</v>
      </c>
      <c r="O786" s="68" t="s">
        <v>2245</v>
      </c>
      <c r="P786" s="68">
        <v>84818030</v>
      </c>
      <c r="Q786" s="303">
        <f t="shared" si="76"/>
        <v>7</v>
      </c>
      <c r="R786" s="303">
        <f t="shared" si="77"/>
        <v>1442</v>
      </c>
      <c r="S786" s="68">
        <v>0</v>
      </c>
      <c r="T786" s="68">
        <v>0</v>
      </c>
      <c r="U786" s="68">
        <v>7</v>
      </c>
      <c r="V786" s="68">
        <v>1442</v>
      </c>
      <c r="W786" s="68">
        <v>1141</v>
      </c>
      <c r="X786" s="68">
        <v>120</v>
      </c>
      <c r="Y786" s="68">
        <v>60</v>
      </c>
      <c r="Z786" s="68">
        <v>71</v>
      </c>
      <c r="AA786" s="68">
        <v>7</v>
      </c>
      <c r="AB786" s="300">
        <f t="shared" si="78"/>
        <v>596.4</v>
      </c>
      <c r="AC786" s="300">
        <f t="shared" si="79"/>
        <v>3.592771084337349</v>
      </c>
      <c r="AD786" s="68">
        <v>52957</v>
      </c>
      <c r="AE786" s="68" t="s">
        <v>109</v>
      </c>
      <c r="AF786" s="68" t="s">
        <v>317</v>
      </c>
      <c r="AG786" s="68" t="s">
        <v>317</v>
      </c>
      <c r="AH786" s="68" t="s">
        <v>2246</v>
      </c>
      <c r="AI786" s="309"/>
      <c r="AJ786" s="309"/>
      <c r="AK786" s="68" t="s">
        <v>37</v>
      </c>
      <c r="AL786" s="68" t="s">
        <v>49</v>
      </c>
      <c r="AM786" s="299">
        <f t="shared" ca="1" si="75"/>
        <v>0.14583333332848269</v>
      </c>
      <c r="AN786" s="51"/>
      <c r="AO786" s="61" t="s">
        <v>150</v>
      </c>
      <c r="AP786" s="91" t="s">
        <v>2236</v>
      </c>
      <c r="AQ786" s="59" t="s">
        <v>2268</v>
      </c>
      <c r="AR786" s="64">
        <v>44888.736111111109</v>
      </c>
      <c r="AS786" s="61" t="s">
        <v>95</v>
      </c>
      <c r="AT786" s="61" t="s">
        <v>225</v>
      </c>
      <c r="AU786" s="59">
        <v>0.73611111111111116</v>
      </c>
      <c r="AV786" s="61">
        <v>1</v>
      </c>
      <c r="AW786" s="61" t="s">
        <v>66</v>
      </c>
      <c r="AX786" s="52"/>
      <c r="AY786" s="52"/>
      <c r="AZ786" s="52"/>
      <c r="BA786" s="52"/>
    </row>
    <row r="787" spans="1:54" x14ac:dyDescent="0.25">
      <c r="A787" s="73">
        <v>463</v>
      </c>
      <c r="B787" s="72">
        <v>44888.590277777781</v>
      </c>
      <c r="C787" s="67">
        <v>0.59027777777777779</v>
      </c>
      <c r="D787" s="67">
        <v>0.61111111111111105</v>
      </c>
      <c r="E787" s="67">
        <v>0.625</v>
      </c>
      <c r="F787" s="68" t="s">
        <v>171</v>
      </c>
      <c r="G787" s="68" t="s">
        <v>2235</v>
      </c>
      <c r="H787" s="66" t="s">
        <v>266</v>
      </c>
      <c r="I787" s="66" t="s">
        <v>40</v>
      </c>
      <c r="J787" s="66" t="s">
        <v>37</v>
      </c>
      <c r="K787" s="66" t="s">
        <v>180</v>
      </c>
      <c r="L787" s="66" t="s">
        <v>271</v>
      </c>
      <c r="M787" s="68" t="s">
        <v>2239</v>
      </c>
      <c r="N787" s="68" t="s">
        <v>154</v>
      </c>
      <c r="O787" s="68" t="s">
        <v>2247</v>
      </c>
      <c r="P787" s="68">
        <v>84818030</v>
      </c>
      <c r="Q787" s="303">
        <f t="shared" si="76"/>
        <v>1</v>
      </c>
      <c r="R787" s="303">
        <f t="shared" si="77"/>
        <v>220</v>
      </c>
      <c r="S787" s="68">
        <v>0</v>
      </c>
      <c r="T787" s="68">
        <v>0</v>
      </c>
      <c r="U787" s="68">
        <v>1</v>
      </c>
      <c r="V787" s="68">
        <v>220</v>
      </c>
      <c r="W787" s="68">
        <v>228</v>
      </c>
      <c r="X787" s="68">
        <v>120</v>
      </c>
      <c r="Y787" s="68">
        <v>60</v>
      </c>
      <c r="Z787" s="68">
        <v>71</v>
      </c>
      <c r="AA787" s="68">
        <v>1</v>
      </c>
      <c r="AB787" s="300">
        <f t="shared" si="78"/>
        <v>85.2</v>
      </c>
      <c r="AC787" s="300">
        <f t="shared" si="79"/>
        <v>0.51325301204819274</v>
      </c>
      <c r="AD787" s="68">
        <v>8194</v>
      </c>
      <c r="AE787" s="68" t="s">
        <v>109</v>
      </c>
      <c r="AF787" s="68" t="s">
        <v>317</v>
      </c>
      <c r="AG787" s="68" t="s">
        <v>317</v>
      </c>
      <c r="AH787" s="68" t="s">
        <v>2248</v>
      </c>
      <c r="AI787" s="309"/>
      <c r="AJ787" s="309"/>
      <c r="AK787" s="68" t="s">
        <v>37</v>
      </c>
      <c r="AL787" s="68" t="s">
        <v>49</v>
      </c>
      <c r="AM787" s="299">
        <f t="shared" ca="1" si="75"/>
        <v>0.15277777777373558</v>
      </c>
      <c r="AN787" s="51"/>
      <c r="AO787" s="61" t="s">
        <v>150</v>
      </c>
      <c r="AP787" s="91" t="s">
        <v>2239</v>
      </c>
      <c r="AQ787" s="59" t="s">
        <v>2267</v>
      </c>
      <c r="AR787" s="64">
        <v>44888.743055555555</v>
      </c>
      <c r="AS787" s="57" t="s">
        <v>117</v>
      </c>
      <c r="AT787" s="61" t="s">
        <v>225</v>
      </c>
      <c r="AU787" s="63">
        <v>0.74305555555555547</v>
      </c>
      <c r="AV787" s="61">
        <v>2</v>
      </c>
      <c r="AW787" s="61" t="s">
        <v>66</v>
      </c>
      <c r="AX787" s="52"/>
      <c r="AY787" s="52"/>
      <c r="AZ787" s="52"/>
      <c r="BA787" s="52"/>
    </row>
    <row r="788" spans="1:54" x14ac:dyDescent="0.25">
      <c r="A788" s="73">
        <v>464</v>
      </c>
      <c r="B788" s="72">
        <v>44888.590277777781</v>
      </c>
      <c r="C788" s="67">
        <v>0.59027777777777779</v>
      </c>
      <c r="D788" s="67">
        <v>0.61111111111111105</v>
      </c>
      <c r="E788" s="67">
        <v>0.625</v>
      </c>
      <c r="F788" s="68" t="s">
        <v>171</v>
      </c>
      <c r="G788" s="68" t="s">
        <v>2235</v>
      </c>
      <c r="H788" s="66" t="s">
        <v>266</v>
      </c>
      <c r="I788" s="66" t="s">
        <v>40</v>
      </c>
      <c r="J788" s="66" t="s">
        <v>37</v>
      </c>
      <c r="K788" s="66" t="s">
        <v>180</v>
      </c>
      <c r="L788" s="66" t="s">
        <v>271</v>
      </c>
      <c r="M788" s="68" t="s">
        <v>2239</v>
      </c>
      <c r="N788" s="68" t="s">
        <v>154</v>
      </c>
      <c r="O788" s="68" t="s">
        <v>2249</v>
      </c>
      <c r="P788" s="68">
        <v>84818030</v>
      </c>
      <c r="Q788" s="303">
        <f t="shared" si="76"/>
        <v>2</v>
      </c>
      <c r="R788" s="303">
        <f t="shared" si="77"/>
        <v>593</v>
      </c>
      <c r="S788" s="68">
        <v>0</v>
      </c>
      <c r="T788" s="68">
        <v>0</v>
      </c>
      <c r="U788" s="68">
        <v>2</v>
      </c>
      <c r="V788" s="68">
        <v>593</v>
      </c>
      <c r="W788" s="68">
        <v>596</v>
      </c>
      <c r="X788" s="68">
        <v>120</v>
      </c>
      <c r="Y788" s="68">
        <v>60</v>
      </c>
      <c r="Z788" s="68">
        <v>71</v>
      </c>
      <c r="AA788" s="68">
        <v>2</v>
      </c>
      <c r="AB788" s="300">
        <f t="shared" si="78"/>
        <v>170.4</v>
      </c>
      <c r="AC788" s="300">
        <f t="shared" si="79"/>
        <v>1.0265060240963855</v>
      </c>
      <c r="AD788" s="68">
        <v>57809</v>
      </c>
      <c r="AE788" s="68" t="s">
        <v>109</v>
      </c>
      <c r="AF788" s="68" t="s">
        <v>317</v>
      </c>
      <c r="AG788" s="68" t="s">
        <v>317</v>
      </c>
      <c r="AH788" s="68" t="s">
        <v>2250</v>
      </c>
      <c r="AI788" s="309"/>
      <c r="AJ788" s="309"/>
      <c r="AK788" s="68" t="s">
        <v>37</v>
      </c>
      <c r="AL788" s="68" t="s">
        <v>49</v>
      </c>
      <c r="AM788" s="299">
        <f t="shared" ca="1" si="75"/>
        <v>0.15277777777373558</v>
      </c>
      <c r="AN788" s="51"/>
      <c r="AO788" s="61" t="s">
        <v>150</v>
      </c>
      <c r="AP788" s="91" t="s">
        <v>2239</v>
      </c>
      <c r="AQ788" s="59" t="s">
        <v>2267</v>
      </c>
      <c r="AR788" s="64">
        <v>44888.743055555555</v>
      </c>
      <c r="AS788" s="57" t="s">
        <v>117</v>
      </c>
      <c r="AT788" s="61" t="s">
        <v>225</v>
      </c>
      <c r="AU788" s="63">
        <v>0.74305555555555547</v>
      </c>
      <c r="AV788" s="61">
        <v>2</v>
      </c>
      <c r="AW788" s="61" t="s">
        <v>66</v>
      </c>
      <c r="AX788" s="52"/>
      <c r="AY788" s="52"/>
      <c r="AZ788" s="52"/>
      <c r="BA788" s="52"/>
    </row>
    <row r="789" spans="1:54" x14ac:dyDescent="0.25">
      <c r="A789" s="73">
        <v>465</v>
      </c>
      <c r="B789" s="72">
        <v>44888.590277777781</v>
      </c>
      <c r="C789" s="67">
        <v>0.59027777777777779</v>
      </c>
      <c r="D789" s="67">
        <v>0.61111111111111105</v>
      </c>
      <c r="E789" s="67">
        <v>0.625</v>
      </c>
      <c r="F789" s="68" t="s">
        <v>171</v>
      </c>
      <c r="G789" s="68" t="s">
        <v>2235</v>
      </c>
      <c r="H789" s="66" t="s">
        <v>266</v>
      </c>
      <c r="I789" s="66" t="s">
        <v>40</v>
      </c>
      <c r="J789" s="66" t="s">
        <v>37</v>
      </c>
      <c r="K789" s="66" t="s">
        <v>180</v>
      </c>
      <c r="L789" s="66" t="s">
        <v>271</v>
      </c>
      <c r="M789" s="68" t="s">
        <v>2236</v>
      </c>
      <c r="N789" s="68" t="s">
        <v>154</v>
      </c>
      <c r="O789" s="68" t="s">
        <v>2251</v>
      </c>
      <c r="P789" s="68">
        <v>84818030</v>
      </c>
      <c r="Q789" s="303">
        <f t="shared" si="76"/>
        <v>2</v>
      </c>
      <c r="R789" s="303">
        <f t="shared" si="77"/>
        <v>596</v>
      </c>
      <c r="S789" s="68">
        <v>0</v>
      </c>
      <c r="T789" s="68">
        <v>0</v>
      </c>
      <c r="U789" s="68">
        <v>2</v>
      </c>
      <c r="V789" s="68">
        <v>596</v>
      </c>
      <c r="W789" s="68">
        <v>596</v>
      </c>
      <c r="X789" s="68">
        <v>120</v>
      </c>
      <c r="Y789" s="68">
        <v>60</v>
      </c>
      <c r="Z789" s="68">
        <v>71</v>
      </c>
      <c r="AA789" s="68">
        <v>2</v>
      </c>
      <c r="AB789" s="300">
        <f t="shared" si="78"/>
        <v>170.4</v>
      </c>
      <c r="AC789" s="300">
        <f t="shared" si="79"/>
        <v>1.0265060240963855</v>
      </c>
      <c r="AD789" s="68">
        <v>57809</v>
      </c>
      <c r="AE789" s="68" t="s">
        <v>109</v>
      </c>
      <c r="AF789" s="68" t="s">
        <v>317</v>
      </c>
      <c r="AG789" s="68" t="s">
        <v>317</v>
      </c>
      <c r="AH789" s="68" t="s">
        <v>2252</v>
      </c>
      <c r="AI789" s="309"/>
      <c r="AJ789" s="309"/>
      <c r="AK789" s="68" t="s">
        <v>37</v>
      </c>
      <c r="AL789" s="68" t="s">
        <v>49</v>
      </c>
      <c r="AM789" s="299">
        <f t="shared" ca="1" si="75"/>
        <v>0.14583333332848269</v>
      </c>
      <c r="AN789" s="51"/>
      <c r="AO789" s="61" t="s">
        <v>150</v>
      </c>
      <c r="AP789" s="91" t="s">
        <v>2236</v>
      </c>
      <c r="AQ789" s="59" t="s">
        <v>2268</v>
      </c>
      <c r="AR789" s="64">
        <v>44888.736111111109</v>
      </c>
      <c r="AS789" s="61" t="s">
        <v>95</v>
      </c>
      <c r="AT789" s="61" t="s">
        <v>225</v>
      </c>
      <c r="AU789" s="59">
        <v>0.73611111111111116</v>
      </c>
      <c r="AV789" s="61">
        <v>1</v>
      </c>
      <c r="AW789" s="61" t="s">
        <v>66</v>
      </c>
      <c r="AX789" s="52"/>
      <c r="AY789" s="52"/>
      <c r="AZ789" s="52"/>
      <c r="BA789" s="52"/>
    </row>
    <row r="790" spans="1:54" ht="15.75" thickBot="1" x14ac:dyDescent="0.3">
      <c r="A790" s="73">
        <v>466</v>
      </c>
      <c r="B790" s="72">
        <v>44888.736111111109</v>
      </c>
      <c r="C790" s="67">
        <v>0.73958333333333337</v>
      </c>
      <c r="D790" s="67">
        <v>0.74305555555555547</v>
      </c>
      <c r="E790" s="67">
        <v>0.75</v>
      </c>
      <c r="F790" s="68" t="s">
        <v>171</v>
      </c>
      <c r="G790" s="68" t="s">
        <v>2253</v>
      </c>
      <c r="H790" s="66" t="s">
        <v>91</v>
      </c>
      <c r="I790" s="66" t="s">
        <v>118</v>
      </c>
      <c r="J790" s="66" t="s">
        <v>41</v>
      </c>
      <c r="K790" s="66" t="s">
        <v>180</v>
      </c>
      <c r="L790" s="70" t="s">
        <v>206</v>
      </c>
      <c r="M790" s="68" t="s">
        <v>2254</v>
      </c>
      <c r="N790" s="68" t="s">
        <v>44</v>
      </c>
      <c r="O790" s="68">
        <v>1054969402</v>
      </c>
      <c r="P790" s="68">
        <v>1213929173</v>
      </c>
      <c r="Q790" s="303">
        <f t="shared" si="76"/>
        <v>1</v>
      </c>
      <c r="R790" s="303">
        <f t="shared" si="77"/>
        <v>57</v>
      </c>
      <c r="S790" s="68">
        <v>0</v>
      </c>
      <c r="T790" s="68">
        <v>0</v>
      </c>
      <c r="U790" s="68">
        <v>1</v>
      </c>
      <c r="V790" s="68">
        <v>57</v>
      </c>
      <c r="W790" s="68">
        <v>59</v>
      </c>
      <c r="X790" s="68">
        <v>100</v>
      </c>
      <c r="Y790" s="68">
        <v>76</v>
      </c>
      <c r="Z790" s="68">
        <v>72</v>
      </c>
      <c r="AA790" s="68">
        <v>1</v>
      </c>
      <c r="AB790" s="300">
        <f t="shared" si="78"/>
        <v>91.2</v>
      </c>
      <c r="AC790" s="300">
        <f t="shared" si="79"/>
        <v>0.54939759036144575</v>
      </c>
      <c r="AD790" s="68">
        <v>48444.87</v>
      </c>
      <c r="AE790" s="68" t="s">
        <v>111</v>
      </c>
      <c r="AF790" s="68" t="s">
        <v>317</v>
      </c>
      <c r="AG790" s="68" t="s">
        <v>317</v>
      </c>
      <c r="AH790" s="68" t="s">
        <v>2255</v>
      </c>
      <c r="AI790" s="309"/>
      <c r="AJ790" s="309"/>
      <c r="AK790" s="68" t="s">
        <v>37</v>
      </c>
      <c r="AL790" s="68" t="s">
        <v>58</v>
      </c>
      <c r="AM790" s="299">
        <f t="shared" ca="1" si="75"/>
        <v>1.9305555555547471</v>
      </c>
      <c r="AN790" s="51"/>
      <c r="AO790" s="59" t="s">
        <v>53</v>
      </c>
      <c r="AP790" s="62" t="s">
        <v>2254</v>
      </c>
      <c r="AQ790" s="61" t="s">
        <v>2408</v>
      </c>
      <c r="AR790" s="64">
        <v>44890.666666666664</v>
      </c>
      <c r="AS790" s="61" t="s">
        <v>95</v>
      </c>
      <c r="AT790" s="61" t="s">
        <v>225</v>
      </c>
      <c r="AU790" s="59">
        <v>0.66666666666666663</v>
      </c>
      <c r="AV790" s="61">
        <v>1</v>
      </c>
      <c r="AW790" s="61" t="s">
        <v>66</v>
      </c>
      <c r="AX790" s="52"/>
      <c r="AY790" s="52"/>
      <c r="AZ790" s="52"/>
      <c r="BA790" s="52"/>
    </row>
    <row r="791" spans="1:54" ht="15.75" thickBot="1" x14ac:dyDescent="0.3">
      <c r="A791" s="73">
        <v>467</v>
      </c>
      <c r="B791" s="72">
        <v>44888.736111111109</v>
      </c>
      <c r="C791" s="67">
        <v>0.74305555555555547</v>
      </c>
      <c r="D791" s="67">
        <v>0.75694444444444453</v>
      </c>
      <c r="E791" s="67">
        <v>0.76041666666666663</v>
      </c>
      <c r="F791" s="68" t="s">
        <v>169</v>
      </c>
      <c r="G791" s="68" t="s">
        <v>261</v>
      </c>
      <c r="H791" s="71" t="s">
        <v>262</v>
      </c>
      <c r="I791" s="71" t="s">
        <v>258</v>
      </c>
      <c r="J791" s="71" t="s">
        <v>37</v>
      </c>
      <c r="K791" s="71" t="s">
        <v>82</v>
      </c>
      <c r="L791" s="47" t="s">
        <v>206</v>
      </c>
      <c r="M791" s="68" t="s">
        <v>2256</v>
      </c>
      <c r="N791" s="68" t="s">
        <v>42</v>
      </c>
      <c r="O791" s="68" t="s">
        <v>2257</v>
      </c>
      <c r="P791" s="68">
        <v>4500118213</v>
      </c>
      <c r="Q791" s="303">
        <f t="shared" si="76"/>
        <v>18</v>
      </c>
      <c r="R791" s="303">
        <f t="shared" si="77"/>
        <v>240</v>
      </c>
      <c r="S791" s="68">
        <v>18</v>
      </c>
      <c r="T791" s="68">
        <v>240</v>
      </c>
      <c r="U791" s="68">
        <v>0</v>
      </c>
      <c r="V791" s="68">
        <v>0</v>
      </c>
      <c r="W791" s="68">
        <v>232.2</v>
      </c>
      <c r="X791" s="68">
        <v>65</v>
      </c>
      <c r="Y791" s="68">
        <v>50</v>
      </c>
      <c r="Z791" s="68">
        <v>30</v>
      </c>
      <c r="AA791" s="68">
        <v>18</v>
      </c>
      <c r="AB791" s="300">
        <f t="shared" si="78"/>
        <v>292.5</v>
      </c>
      <c r="AC791" s="300">
        <f t="shared" si="79"/>
        <v>1.7620481927710843</v>
      </c>
      <c r="AD791" s="68">
        <v>13186.8</v>
      </c>
      <c r="AE791" s="68" t="s">
        <v>109</v>
      </c>
      <c r="AF791" s="68" t="s">
        <v>317</v>
      </c>
      <c r="AG791" s="68" t="s">
        <v>317</v>
      </c>
      <c r="AH791" s="68" t="s">
        <v>2258</v>
      </c>
      <c r="AI791" s="309"/>
      <c r="AJ791" s="309"/>
      <c r="AK791" s="68" t="s">
        <v>48</v>
      </c>
      <c r="AL791" s="68" t="s">
        <v>47</v>
      </c>
      <c r="AM791" s="299">
        <f t="shared" ca="1" si="75"/>
        <v>6.8125</v>
      </c>
      <c r="AN791" s="75"/>
      <c r="AO791" s="61" t="s">
        <v>127</v>
      </c>
      <c r="AP791" s="62" t="s">
        <v>2256</v>
      </c>
      <c r="AQ791" s="97" t="s">
        <v>2731</v>
      </c>
      <c r="AR791" s="64">
        <v>44895.548611111109</v>
      </c>
      <c r="AS791" s="61" t="s">
        <v>136</v>
      </c>
      <c r="AT791" s="61" t="s">
        <v>225</v>
      </c>
      <c r="AU791" s="63">
        <v>0.54861111111111105</v>
      </c>
      <c r="AV791" s="61">
        <v>1</v>
      </c>
      <c r="AW791" s="61" t="s">
        <v>66</v>
      </c>
      <c r="AX791" s="76"/>
      <c r="AY791" s="76"/>
      <c r="AZ791" s="76"/>
      <c r="BA791" s="76"/>
      <c r="BB791" s="74"/>
    </row>
    <row r="792" spans="1:54" x14ac:dyDescent="0.25">
      <c r="A792" s="48">
        <v>468</v>
      </c>
      <c r="B792" s="72">
        <v>44888.805555555555</v>
      </c>
      <c r="C792" s="36">
        <v>0.80902777777777779</v>
      </c>
      <c r="D792" s="36">
        <v>0.8125</v>
      </c>
      <c r="E792" s="36">
        <v>0.81944444444444453</v>
      </c>
      <c r="F792" s="37" t="s">
        <v>171</v>
      </c>
      <c r="G792" s="37" t="s">
        <v>326</v>
      </c>
      <c r="H792" s="26" t="s">
        <v>195</v>
      </c>
      <c r="I792" s="26" t="s">
        <v>195</v>
      </c>
      <c r="J792" s="71" t="s">
        <v>37</v>
      </c>
      <c r="K792" s="66" t="s">
        <v>180</v>
      </c>
      <c r="L792" s="26" t="s">
        <v>209</v>
      </c>
      <c r="M792" s="68" t="s">
        <v>2271</v>
      </c>
      <c r="N792" s="68" t="s">
        <v>42</v>
      </c>
      <c r="O792" s="37" t="s">
        <v>2269</v>
      </c>
      <c r="P792" s="37">
        <v>2101080667</v>
      </c>
      <c r="Q792" s="303">
        <f t="shared" si="76"/>
        <v>4</v>
      </c>
      <c r="R792" s="303">
        <f t="shared" si="77"/>
        <v>881</v>
      </c>
      <c r="S792" s="37">
        <v>0</v>
      </c>
      <c r="T792" s="37">
        <v>0</v>
      </c>
      <c r="U792" s="37">
        <v>4</v>
      </c>
      <c r="V792" s="37">
        <f>264+176+228+213</f>
        <v>881</v>
      </c>
      <c r="W792" s="37">
        <v>965</v>
      </c>
      <c r="X792" s="37">
        <v>114</v>
      </c>
      <c r="Y792" s="37">
        <v>80</v>
      </c>
      <c r="Z792" s="37">
        <v>112</v>
      </c>
      <c r="AA792" s="37">
        <v>2</v>
      </c>
      <c r="AB792" s="300">
        <f t="shared" si="78"/>
        <v>340.48</v>
      </c>
      <c r="AC792" s="300">
        <f t="shared" si="79"/>
        <v>2.0510843373493977</v>
      </c>
      <c r="AD792" s="37">
        <v>33766.92</v>
      </c>
      <c r="AE792" s="68" t="s">
        <v>109</v>
      </c>
      <c r="AF792" s="68" t="s">
        <v>317</v>
      </c>
      <c r="AG792" s="68" t="s">
        <v>317</v>
      </c>
      <c r="AH792" s="37" t="s">
        <v>2270</v>
      </c>
      <c r="AI792" s="309"/>
      <c r="AJ792" s="309"/>
      <c r="AK792" s="37" t="s">
        <v>41</v>
      </c>
      <c r="AL792" s="37" t="s">
        <v>49</v>
      </c>
      <c r="AM792" s="299">
        <f t="shared" ca="1" si="75"/>
        <v>1.7291666666642413</v>
      </c>
      <c r="AN792" s="51"/>
      <c r="AO792" s="61" t="s">
        <v>128</v>
      </c>
      <c r="AP792" s="91" t="s">
        <v>2271</v>
      </c>
      <c r="AQ792" s="59" t="s">
        <v>2400</v>
      </c>
      <c r="AR792" s="64">
        <v>44890.534722222219</v>
      </c>
      <c r="AS792" s="57" t="s">
        <v>173</v>
      </c>
      <c r="AT792" s="61" t="s">
        <v>225</v>
      </c>
      <c r="AU792" s="63">
        <v>0.53472222222222221</v>
      </c>
      <c r="AV792" s="61">
        <v>1</v>
      </c>
      <c r="AW792" s="61" t="s">
        <v>66</v>
      </c>
      <c r="AX792" s="52"/>
      <c r="AY792" s="52"/>
      <c r="AZ792" s="52"/>
      <c r="BA792" s="52"/>
    </row>
    <row r="793" spans="1:54" x14ac:dyDescent="0.25">
      <c r="A793" s="73">
        <v>468</v>
      </c>
      <c r="B793" s="72">
        <v>44888.805555555555</v>
      </c>
      <c r="C793" s="67">
        <v>0.80902777777777779</v>
      </c>
      <c r="D793" s="67">
        <v>0.8125</v>
      </c>
      <c r="E793" s="67">
        <v>0.81944444444444453</v>
      </c>
      <c r="F793" s="68" t="s">
        <v>171</v>
      </c>
      <c r="G793" s="68" t="s">
        <v>326</v>
      </c>
      <c r="H793" s="60" t="s">
        <v>195</v>
      </c>
      <c r="I793" s="60" t="s">
        <v>195</v>
      </c>
      <c r="J793" s="71" t="s">
        <v>37</v>
      </c>
      <c r="K793" s="66" t="s">
        <v>180</v>
      </c>
      <c r="L793" s="60" t="s">
        <v>209</v>
      </c>
      <c r="M793" s="68" t="s">
        <v>2271</v>
      </c>
      <c r="N793" s="68" t="s">
        <v>42</v>
      </c>
      <c r="O793" s="68" t="s">
        <v>2269</v>
      </c>
      <c r="P793" s="68">
        <v>2101080667</v>
      </c>
      <c r="Q793" s="303">
        <f t="shared" si="76"/>
        <v>0</v>
      </c>
      <c r="R793" s="303">
        <f t="shared" si="77"/>
        <v>0</v>
      </c>
      <c r="S793" s="68">
        <v>0</v>
      </c>
      <c r="T793" s="68">
        <v>0</v>
      </c>
      <c r="U793" s="68">
        <v>0</v>
      </c>
      <c r="V793" s="68">
        <v>0</v>
      </c>
      <c r="W793" s="37">
        <v>0</v>
      </c>
      <c r="X793" s="37">
        <v>114</v>
      </c>
      <c r="Y793" s="37">
        <v>80</v>
      </c>
      <c r="Z793" s="37">
        <v>100</v>
      </c>
      <c r="AA793" s="37">
        <v>1</v>
      </c>
      <c r="AB793" s="300">
        <f t="shared" si="78"/>
        <v>152</v>
      </c>
      <c r="AC793" s="300">
        <f t="shared" si="79"/>
        <v>0.91566265060240959</v>
      </c>
      <c r="AD793" s="37">
        <v>0</v>
      </c>
      <c r="AE793" s="68" t="s">
        <v>109</v>
      </c>
      <c r="AF793" s="68" t="s">
        <v>317</v>
      </c>
      <c r="AG793" s="68" t="s">
        <v>317</v>
      </c>
      <c r="AH793" s="37">
        <v>0</v>
      </c>
      <c r="AI793" s="309"/>
      <c r="AJ793" s="309"/>
      <c r="AK793" s="68" t="s">
        <v>41</v>
      </c>
      <c r="AL793" s="37">
        <v>0</v>
      </c>
      <c r="AM793" s="299">
        <f t="shared" ca="1" si="75"/>
        <v>1.7291666666642413</v>
      </c>
      <c r="AN793" s="51"/>
      <c r="AO793" s="61" t="s">
        <v>128</v>
      </c>
      <c r="AP793" s="91" t="s">
        <v>2271</v>
      </c>
      <c r="AQ793" s="59" t="s">
        <v>2400</v>
      </c>
      <c r="AR793" s="64">
        <v>44890.534722222219</v>
      </c>
      <c r="AS793" s="57" t="s">
        <v>173</v>
      </c>
      <c r="AT793" s="61" t="s">
        <v>225</v>
      </c>
      <c r="AU793" s="63">
        <v>0.53472222222222221</v>
      </c>
      <c r="AV793" s="61">
        <v>1</v>
      </c>
      <c r="AW793" s="61" t="s">
        <v>66</v>
      </c>
      <c r="AX793" s="52"/>
      <c r="AY793" s="52"/>
      <c r="AZ793" s="52"/>
      <c r="BA793" s="52"/>
    </row>
    <row r="794" spans="1:54" x14ac:dyDescent="0.25">
      <c r="A794" s="73">
        <v>468</v>
      </c>
      <c r="B794" s="72">
        <v>44888.805555555555</v>
      </c>
      <c r="C794" s="67">
        <v>0.80902777777777779</v>
      </c>
      <c r="D794" s="67">
        <v>0.8125</v>
      </c>
      <c r="E794" s="67">
        <v>0.81944444444444453</v>
      </c>
      <c r="F794" s="68" t="s">
        <v>171</v>
      </c>
      <c r="G794" s="68" t="s">
        <v>326</v>
      </c>
      <c r="H794" s="60" t="s">
        <v>195</v>
      </c>
      <c r="I794" s="60" t="s">
        <v>195</v>
      </c>
      <c r="J794" s="71" t="s">
        <v>37</v>
      </c>
      <c r="K794" s="66" t="s">
        <v>180</v>
      </c>
      <c r="L794" s="60" t="s">
        <v>209</v>
      </c>
      <c r="M794" s="68" t="s">
        <v>2271</v>
      </c>
      <c r="N794" s="68" t="s">
        <v>42</v>
      </c>
      <c r="O794" s="68" t="s">
        <v>2269</v>
      </c>
      <c r="P794" s="68">
        <v>2101080667</v>
      </c>
      <c r="Q794" s="303">
        <f t="shared" si="76"/>
        <v>0</v>
      </c>
      <c r="R794" s="303">
        <f t="shared" si="77"/>
        <v>0</v>
      </c>
      <c r="S794" s="68">
        <v>0</v>
      </c>
      <c r="T794" s="68">
        <v>0</v>
      </c>
      <c r="U794" s="68">
        <v>0</v>
      </c>
      <c r="V794" s="68">
        <v>0</v>
      </c>
      <c r="W794" s="68">
        <v>0</v>
      </c>
      <c r="X794" s="37">
        <v>114</v>
      </c>
      <c r="Y794" s="37">
        <v>80</v>
      </c>
      <c r="Z794" s="37">
        <v>115</v>
      </c>
      <c r="AA794" s="37">
        <v>1</v>
      </c>
      <c r="AB794" s="300">
        <f t="shared" si="78"/>
        <v>174.8</v>
      </c>
      <c r="AC794" s="300">
        <f t="shared" si="79"/>
        <v>1.0530120481927712</v>
      </c>
      <c r="AD794" s="68">
        <v>0</v>
      </c>
      <c r="AE794" s="68" t="s">
        <v>109</v>
      </c>
      <c r="AF794" s="68" t="s">
        <v>317</v>
      </c>
      <c r="AG794" s="68" t="s">
        <v>317</v>
      </c>
      <c r="AH794" s="68">
        <v>0</v>
      </c>
      <c r="AI794" s="309"/>
      <c r="AJ794" s="309"/>
      <c r="AK794" s="68" t="s">
        <v>41</v>
      </c>
      <c r="AL794" s="37">
        <v>0</v>
      </c>
      <c r="AM794" s="299">
        <f t="shared" ca="1" si="75"/>
        <v>1.7291666666642413</v>
      </c>
      <c r="AN794" s="51"/>
      <c r="AO794" s="61" t="s">
        <v>128</v>
      </c>
      <c r="AP794" s="91" t="s">
        <v>2271</v>
      </c>
      <c r="AQ794" s="59" t="s">
        <v>2400</v>
      </c>
      <c r="AR794" s="64">
        <v>44890.534722222219</v>
      </c>
      <c r="AS794" s="57" t="s">
        <v>173</v>
      </c>
      <c r="AT794" s="61" t="s">
        <v>225</v>
      </c>
      <c r="AU794" s="63">
        <v>0.53472222222222221</v>
      </c>
      <c r="AV794" s="61">
        <v>1</v>
      </c>
      <c r="AW794" s="61" t="s">
        <v>66</v>
      </c>
      <c r="AX794" s="52"/>
      <c r="AY794" s="52"/>
      <c r="AZ794" s="52"/>
      <c r="BA794" s="52"/>
    </row>
    <row r="795" spans="1:54" x14ac:dyDescent="0.25">
      <c r="A795" s="73">
        <v>469</v>
      </c>
      <c r="B795" s="72">
        <v>44889.402777777781</v>
      </c>
      <c r="C795" s="67">
        <v>0.40625</v>
      </c>
      <c r="D795" s="67">
        <v>0.40972222222222227</v>
      </c>
      <c r="E795" s="67">
        <v>0.4236111111111111</v>
      </c>
      <c r="F795" s="68" t="s">
        <v>171</v>
      </c>
      <c r="G795" s="68" t="s">
        <v>1158</v>
      </c>
      <c r="H795" s="71" t="s">
        <v>85</v>
      </c>
      <c r="I795" s="71" t="s">
        <v>86</v>
      </c>
      <c r="J795" s="71" t="s">
        <v>37</v>
      </c>
      <c r="K795" s="71" t="s">
        <v>180</v>
      </c>
      <c r="L795" s="47" t="s">
        <v>206</v>
      </c>
      <c r="M795" s="68" t="s">
        <v>2272</v>
      </c>
      <c r="N795" s="68" t="s">
        <v>42</v>
      </c>
      <c r="O795" s="68" t="s">
        <v>2273</v>
      </c>
      <c r="P795" s="68" t="s">
        <v>2274</v>
      </c>
      <c r="Q795" s="303">
        <f t="shared" si="76"/>
        <v>3</v>
      </c>
      <c r="R795" s="303">
        <f t="shared" si="77"/>
        <v>948</v>
      </c>
      <c r="S795" s="68">
        <v>0</v>
      </c>
      <c r="T795" s="68">
        <v>0</v>
      </c>
      <c r="U795" s="68">
        <v>3</v>
      </c>
      <c r="V795" s="68">
        <v>948</v>
      </c>
      <c r="W795" s="68">
        <v>928</v>
      </c>
      <c r="X795" s="68">
        <v>120</v>
      </c>
      <c r="Y795" s="68">
        <v>80</v>
      </c>
      <c r="Z795" s="68">
        <v>52</v>
      </c>
      <c r="AA795" s="68">
        <v>1</v>
      </c>
      <c r="AB795" s="300">
        <f t="shared" si="78"/>
        <v>83.2</v>
      </c>
      <c r="AC795" s="300">
        <f t="shared" si="79"/>
        <v>0.50120481927710847</v>
      </c>
      <c r="AD795" s="68">
        <v>10409.040000000001</v>
      </c>
      <c r="AE795" s="68" t="s">
        <v>109</v>
      </c>
      <c r="AF795" s="68" t="s">
        <v>317</v>
      </c>
      <c r="AG795" s="68" t="s">
        <v>317</v>
      </c>
      <c r="AH795" s="68" t="s">
        <v>2275</v>
      </c>
      <c r="AI795" s="309"/>
      <c r="AJ795" s="309"/>
      <c r="AK795" s="68" t="s">
        <v>37</v>
      </c>
      <c r="AL795" s="68" t="s">
        <v>49</v>
      </c>
      <c r="AM795" s="299">
        <f t="shared" ca="1" si="75"/>
        <v>0.13194444443797693</v>
      </c>
      <c r="AN795" s="51"/>
      <c r="AO795" s="61" t="s">
        <v>87</v>
      </c>
      <c r="AP795" s="91" t="s">
        <v>2272</v>
      </c>
      <c r="AQ795" s="59" t="s">
        <v>2308</v>
      </c>
      <c r="AR795" s="64">
        <v>44889.534722222219</v>
      </c>
      <c r="AS795" s="61" t="s">
        <v>136</v>
      </c>
      <c r="AT795" s="61" t="s">
        <v>225</v>
      </c>
      <c r="AU795" s="63">
        <v>0.53472222222222221</v>
      </c>
      <c r="AV795" s="61">
        <v>1</v>
      </c>
      <c r="AW795" s="61" t="s">
        <v>66</v>
      </c>
      <c r="AX795" s="52"/>
      <c r="AY795" s="52"/>
      <c r="AZ795" s="52"/>
      <c r="BA795" s="52"/>
    </row>
    <row r="796" spans="1:54" x14ac:dyDescent="0.25">
      <c r="A796" s="73">
        <v>469</v>
      </c>
      <c r="B796" s="72">
        <v>44889.402777777781</v>
      </c>
      <c r="C796" s="67">
        <v>0.40625</v>
      </c>
      <c r="D796" s="67">
        <v>0.40972222222222227</v>
      </c>
      <c r="E796" s="67">
        <v>0.4236111111111111</v>
      </c>
      <c r="F796" s="68" t="s">
        <v>171</v>
      </c>
      <c r="G796" s="68" t="s">
        <v>1158</v>
      </c>
      <c r="H796" s="71" t="s">
        <v>85</v>
      </c>
      <c r="I796" s="71" t="s">
        <v>86</v>
      </c>
      <c r="J796" s="71" t="s">
        <v>37</v>
      </c>
      <c r="K796" s="71" t="s">
        <v>180</v>
      </c>
      <c r="L796" s="47" t="s">
        <v>206</v>
      </c>
      <c r="M796" s="68" t="s">
        <v>2272</v>
      </c>
      <c r="N796" s="68" t="s">
        <v>42</v>
      </c>
      <c r="O796" s="68" t="s">
        <v>2273</v>
      </c>
      <c r="P796" s="68" t="s">
        <v>2274</v>
      </c>
      <c r="Q796" s="303">
        <f t="shared" si="76"/>
        <v>0</v>
      </c>
      <c r="R796" s="303">
        <f t="shared" si="77"/>
        <v>0</v>
      </c>
      <c r="S796" s="68">
        <v>0</v>
      </c>
      <c r="T796" s="68">
        <v>0</v>
      </c>
      <c r="U796" s="68">
        <v>0</v>
      </c>
      <c r="V796" s="68">
        <v>0</v>
      </c>
      <c r="W796" s="68">
        <v>0</v>
      </c>
      <c r="X796" s="68">
        <v>120</v>
      </c>
      <c r="Y796" s="68">
        <v>80</v>
      </c>
      <c r="Z796" s="68">
        <v>63</v>
      </c>
      <c r="AA796" s="68">
        <v>1</v>
      </c>
      <c r="AB796" s="300">
        <f t="shared" si="78"/>
        <v>100.8</v>
      </c>
      <c r="AC796" s="300">
        <f t="shared" si="79"/>
        <v>0.60722891566265058</v>
      </c>
      <c r="AD796" s="68">
        <v>0</v>
      </c>
      <c r="AE796" s="68" t="s">
        <v>109</v>
      </c>
      <c r="AF796" s="68" t="s">
        <v>317</v>
      </c>
      <c r="AG796" s="68" t="s">
        <v>317</v>
      </c>
      <c r="AH796" s="68" t="s">
        <v>2275</v>
      </c>
      <c r="AI796" s="309"/>
      <c r="AJ796" s="309"/>
      <c r="AK796" s="68" t="s">
        <v>37</v>
      </c>
      <c r="AL796" s="68" t="s">
        <v>49</v>
      </c>
      <c r="AM796" s="299">
        <f t="shared" ca="1" si="75"/>
        <v>0.13194444443797693</v>
      </c>
      <c r="AN796" s="51"/>
      <c r="AO796" s="61" t="s">
        <v>87</v>
      </c>
      <c r="AP796" s="91" t="s">
        <v>2272</v>
      </c>
      <c r="AQ796" s="59" t="s">
        <v>2308</v>
      </c>
      <c r="AR796" s="64">
        <v>44889.534722222219</v>
      </c>
      <c r="AS796" s="61" t="s">
        <v>136</v>
      </c>
      <c r="AT796" s="61" t="s">
        <v>225</v>
      </c>
      <c r="AU796" s="63">
        <v>0.53472222222222221</v>
      </c>
      <c r="AV796" s="61">
        <v>1</v>
      </c>
      <c r="AW796" s="61" t="s">
        <v>66</v>
      </c>
      <c r="AX796" s="52"/>
      <c r="AY796" s="52"/>
      <c r="AZ796" s="52"/>
      <c r="BA796" s="52"/>
    </row>
    <row r="797" spans="1:54" x14ac:dyDescent="0.25">
      <c r="A797" s="73">
        <v>469</v>
      </c>
      <c r="B797" s="72">
        <v>44889.402777777781</v>
      </c>
      <c r="C797" s="67">
        <v>0.40625</v>
      </c>
      <c r="D797" s="67">
        <v>0.40972222222222227</v>
      </c>
      <c r="E797" s="67">
        <v>0.4236111111111111</v>
      </c>
      <c r="F797" s="68" t="s">
        <v>171</v>
      </c>
      <c r="G797" s="68" t="s">
        <v>1158</v>
      </c>
      <c r="H797" s="71" t="s">
        <v>85</v>
      </c>
      <c r="I797" s="71" t="s">
        <v>86</v>
      </c>
      <c r="J797" s="71" t="s">
        <v>37</v>
      </c>
      <c r="K797" s="71" t="s">
        <v>180</v>
      </c>
      <c r="L797" s="47" t="s">
        <v>206</v>
      </c>
      <c r="M797" s="68" t="s">
        <v>2272</v>
      </c>
      <c r="N797" s="68" t="s">
        <v>42</v>
      </c>
      <c r="O797" s="68" t="s">
        <v>2273</v>
      </c>
      <c r="P797" s="68" t="s">
        <v>2274</v>
      </c>
      <c r="Q797" s="303">
        <f t="shared" si="76"/>
        <v>0</v>
      </c>
      <c r="R797" s="303">
        <f t="shared" si="77"/>
        <v>0</v>
      </c>
      <c r="S797" s="68">
        <v>0</v>
      </c>
      <c r="T797" s="68">
        <v>0</v>
      </c>
      <c r="U797" s="68">
        <v>0</v>
      </c>
      <c r="V797" s="68">
        <v>0</v>
      </c>
      <c r="W797" s="68">
        <v>0</v>
      </c>
      <c r="X797" s="68">
        <v>120</v>
      </c>
      <c r="Y797" s="68">
        <v>80</v>
      </c>
      <c r="Z797" s="68">
        <v>88</v>
      </c>
      <c r="AA797" s="68">
        <v>1</v>
      </c>
      <c r="AB797" s="300">
        <f t="shared" si="78"/>
        <v>140.80000000000001</v>
      </c>
      <c r="AC797" s="300">
        <f t="shared" si="79"/>
        <v>0.84819277108433744</v>
      </c>
      <c r="AD797" s="68">
        <v>0</v>
      </c>
      <c r="AE797" s="68" t="s">
        <v>109</v>
      </c>
      <c r="AF797" s="68" t="s">
        <v>317</v>
      </c>
      <c r="AG797" s="68" t="s">
        <v>317</v>
      </c>
      <c r="AH797" s="68" t="s">
        <v>2275</v>
      </c>
      <c r="AI797" s="309"/>
      <c r="AJ797" s="309"/>
      <c r="AK797" s="68" t="s">
        <v>37</v>
      </c>
      <c r="AL797" s="68" t="s">
        <v>49</v>
      </c>
      <c r="AM797" s="299">
        <f t="shared" ca="1" si="75"/>
        <v>0.13194444443797693</v>
      </c>
      <c r="AN797" s="51"/>
      <c r="AO797" s="61" t="s">
        <v>87</v>
      </c>
      <c r="AP797" s="91" t="s">
        <v>2272</v>
      </c>
      <c r="AQ797" s="59" t="s">
        <v>2308</v>
      </c>
      <c r="AR797" s="64">
        <v>44889.534722222219</v>
      </c>
      <c r="AS797" s="61" t="s">
        <v>136</v>
      </c>
      <c r="AT797" s="61" t="s">
        <v>225</v>
      </c>
      <c r="AU797" s="63">
        <v>0.53472222222222221</v>
      </c>
      <c r="AV797" s="61">
        <v>1</v>
      </c>
      <c r="AW797" s="61" t="s">
        <v>66</v>
      </c>
      <c r="AX797" s="52"/>
      <c r="AY797" s="52"/>
      <c r="AZ797" s="52"/>
      <c r="BA797" s="52"/>
    </row>
    <row r="798" spans="1:54" x14ac:dyDescent="0.25">
      <c r="A798" s="73">
        <v>470</v>
      </c>
      <c r="B798" s="72">
        <v>44889.409722222219</v>
      </c>
      <c r="C798" s="67">
        <v>0.41319444444444442</v>
      </c>
      <c r="D798" s="67">
        <v>0.41666666666666669</v>
      </c>
      <c r="E798" s="67">
        <v>0.42708333333333331</v>
      </c>
      <c r="F798" s="68" t="s">
        <v>171</v>
      </c>
      <c r="G798" s="68" t="s">
        <v>151</v>
      </c>
      <c r="H798" s="66" t="s">
        <v>140</v>
      </c>
      <c r="I798" s="66" t="s">
        <v>2276</v>
      </c>
      <c r="J798" s="66" t="s">
        <v>37</v>
      </c>
      <c r="K798" s="66" t="s">
        <v>180</v>
      </c>
      <c r="L798" s="70" t="s">
        <v>206</v>
      </c>
      <c r="M798" s="68" t="s">
        <v>2277</v>
      </c>
      <c r="N798" s="68" t="s">
        <v>42</v>
      </c>
      <c r="O798" s="68">
        <v>1008043870</v>
      </c>
      <c r="P798" s="68">
        <v>94600109</v>
      </c>
      <c r="Q798" s="303">
        <f t="shared" si="76"/>
        <v>1</v>
      </c>
      <c r="R798" s="303">
        <f t="shared" si="77"/>
        <v>414</v>
      </c>
      <c r="S798" s="68">
        <v>0</v>
      </c>
      <c r="T798" s="68">
        <v>0</v>
      </c>
      <c r="U798" s="68">
        <v>1</v>
      </c>
      <c r="V798" s="68">
        <v>414</v>
      </c>
      <c r="W798" s="68">
        <v>407.6</v>
      </c>
      <c r="X798" s="68">
        <v>105</v>
      </c>
      <c r="Y798" s="68">
        <v>72</v>
      </c>
      <c r="Z798" s="68">
        <v>76</v>
      </c>
      <c r="AA798" s="68">
        <v>1</v>
      </c>
      <c r="AB798" s="300">
        <f t="shared" si="78"/>
        <v>95.76</v>
      </c>
      <c r="AC798" s="300">
        <f t="shared" si="79"/>
        <v>0.57686746987951809</v>
      </c>
      <c r="AD798" s="68" t="s">
        <v>48</v>
      </c>
      <c r="AE798" s="68" t="s">
        <v>48</v>
      </c>
      <c r="AF798" s="68" t="s">
        <v>317</v>
      </c>
      <c r="AG798" s="68" t="s">
        <v>317</v>
      </c>
      <c r="AH798" s="68" t="s">
        <v>2278</v>
      </c>
      <c r="AI798" s="309"/>
      <c r="AJ798" s="309"/>
      <c r="AK798" s="68" t="s">
        <v>37</v>
      </c>
      <c r="AL798" s="68" t="s">
        <v>49</v>
      </c>
      <c r="AM798" s="299">
        <f t="shared" ca="1" si="75"/>
        <v>0.35069444444525288</v>
      </c>
      <c r="AN798" s="51"/>
      <c r="AO798" s="61" t="s">
        <v>157</v>
      </c>
      <c r="AP798" s="91" t="s">
        <v>2277</v>
      </c>
      <c r="AQ798" s="59" t="s">
        <v>2343</v>
      </c>
      <c r="AR798" s="64">
        <v>44889.760416666664</v>
      </c>
      <c r="AS798" s="61" t="s">
        <v>95</v>
      </c>
      <c r="AT798" s="61" t="s">
        <v>225</v>
      </c>
      <c r="AU798" s="59">
        <v>0.76041666666666663</v>
      </c>
      <c r="AV798" s="61">
        <v>3</v>
      </c>
      <c r="AW798" s="61" t="s">
        <v>66</v>
      </c>
      <c r="AX798" s="52"/>
      <c r="AY798" s="52"/>
      <c r="AZ798" s="52"/>
      <c r="BA798" s="52"/>
    </row>
    <row r="799" spans="1:54" x14ac:dyDescent="0.25">
      <c r="A799" s="73">
        <v>471</v>
      </c>
      <c r="B799" s="72">
        <v>44889.430555555555</v>
      </c>
      <c r="C799" s="67">
        <v>0.43402777777777773</v>
      </c>
      <c r="D799" s="67">
        <v>0.44097222222222227</v>
      </c>
      <c r="E799" s="67">
        <v>0.4548611111111111</v>
      </c>
      <c r="F799" s="68" t="s">
        <v>171</v>
      </c>
      <c r="G799" s="68" t="s">
        <v>278</v>
      </c>
      <c r="H799" s="66" t="s">
        <v>396</v>
      </c>
      <c r="I799" s="66" t="s">
        <v>174</v>
      </c>
      <c r="J799" s="66" t="s">
        <v>37</v>
      </c>
      <c r="K799" s="66" t="s">
        <v>180</v>
      </c>
      <c r="L799" s="70" t="s">
        <v>206</v>
      </c>
      <c r="M799" s="68" t="s">
        <v>2279</v>
      </c>
      <c r="N799" s="68" t="s">
        <v>320</v>
      </c>
      <c r="O799" s="68" t="s">
        <v>2280</v>
      </c>
      <c r="P799" s="68">
        <v>5500353547</v>
      </c>
      <c r="Q799" s="303">
        <f t="shared" si="76"/>
        <v>5</v>
      </c>
      <c r="R799" s="303">
        <f t="shared" si="77"/>
        <v>24</v>
      </c>
      <c r="S799" s="68">
        <v>5</v>
      </c>
      <c r="T799" s="68">
        <v>24</v>
      </c>
      <c r="U799" s="68">
        <v>0</v>
      </c>
      <c r="V799" s="68">
        <v>0</v>
      </c>
      <c r="W799" s="68">
        <v>30</v>
      </c>
      <c r="X799" s="68">
        <v>40</v>
      </c>
      <c r="Y799" s="68">
        <v>30</v>
      </c>
      <c r="Z799" s="68">
        <v>19</v>
      </c>
      <c r="AA799" s="68">
        <v>5</v>
      </c>
      <c r="AB799" s="300">
        <f t="shared" si="78"/>
        <v>19</v>
      </c>
      <c r="AC799" s="300">
        <f t="shared" si="79"/>
        <v>0.1144578313253012</v>
      </c>
      <c r="AD799" s="68">
        <v>168</v>
      </c>
      <c r="AE799" s="68" t="s">
        <v>111</v>
      </c>
      <c r="AF799" s="68" t="s">
        <v>317</v>
      </c>
      <c r="AG799" s="68" t="s">
        <v>317</v>
      </c>
      <c r="AH799" s="68">
        <v>0</v>
      </c>
      <c r="AI799" s="309"/>
      <c r="AJ799" s="309"/>
      <c r="AK799" s="68" t="s">
        <v>48</v>
      </c>
      <c r="AL799" s="68" t="s">
        <v>49</v>
      </c>
      <c r="AM799" s="299">
        <f t="shared" ca="1" si="75"/>
        <v>0.29166666666424135</v>
      </c>
      <c r="AN799" s="51"/>
      <c r="AO799" s="59" t="s">
        <v>402</v>
      </c>
      <c r="AP799" s="62" t="s">
        <v>2339</v>
      </c>
      <c r="AQ799" s="61" t="s">
        <v>2335</v>
      </c>
      <c r="AR799" s="64">
        <v>44889.722222222219</v>
      </c>
      <c r="AS799" s="61" t="s">
        <v>274</v>
      </c>
      <c r="AT799" s="61" t="s">
        <v>65</v>
      </c>
      <c r="AU799" s="63">
        <v>0.72222222222222221</v>
      </c>
      <c r="AV799" s="61">
        <v>1</v>
      </c>
      <c r="AW799" s="61" t="s">
        <v>66</v>
      </c>
      <c r="AX799" s="52"/>
      <c r="AY799" s="52"/>
      <c r="AZ799" s="52"/>
      <c r="BA799" s="52"/>
    </row>
    <row r="800" spans="1:54" x14ac:dyDescent="0.25">
      <c r="A800" s="73">
        <v>472</v>
      </c>
      <c r="B800" s="72">
        <v>44889.430555555555</v>
      </c>
      <c r="C800" s="67">
        <v>0.43402777777777773</v>
      </c>
      <c r="D800" s="67">
        <v>0.44097222222222227</v>
      </c>
      <c r="E800" s="67">
        <v>0.4548611111111111</v>
      </c>
      <c r="F800" s="68" t="s">
        <v>171</v>
      </c>
      <c r="G800" s="68" t="s">
        <v>278</v>
      </c>
      <c r="H800" s="66" t="s">
        <v>396</v>
      </c>
      <c r="I800" s="66" t="s">
        <v>174</v>
      </c>
      <c r="J800" s="66" t="s">
        <v>37</v>
      </c>
      <c r="K800" s="66" t="s">
        <v>180</v>
      </c>
      <c r="L800" s="70" t="s">
        <v>206</v>
      </c>
      <c r="M800" s="68" t="s">
        <v>2279</v>
      </c>
      <c r="N800" s="68" t="s">
        <v>320</v>
      </c>
      <c r="O800" s="68" t="s">
        <v>2281</v>
      </c>
      <c r="P800" s="68">
        <v>5500358548</v>
      </c>
      <c r="Q800" s="303">
        <f t="shared" si="76"/>
        <v>1</v>
      </c>
      <c r="R800" s="303">
        <f t="shared" si="77"/>
        <v>3</v>
      </c>
      <c r="S800" s="68">
        <v>1</v>
      </c>
      <c r="T800" s="68">
        <v>3</v>
      </c>
      <c r="U800" s="68">
        <v>0</v>
      </c>
      <c r="V800" s="68">
        <v>0</v>
      </c>
      <c r="W800" s="68">
        <v>6.8</v>
      </c>
      <c r="X800" s="68">
        <v>30</v>
      </c>
      <c r="Y800" s="68">
        <v>20</v>
      </c>
      <c r="Z800" s="68">
        <v>20</v>
      </c>
      <c r="AA800" s="68">
        <v>1</v>
      </c>
      <c r="AB800" s="300">
        <f t="shared" si="78"/>
        <v>2</v>
      </c>
      <c r="AC800" s="300">
        <f t="shared" si="79"/>
        <v>1.2048192771084338E-2</v>
      </c>
      <c r="AD800" s="68">
        <v>76</v>
      </c>
      <c r="AE800" s="68" t="s">
        <v>111</v>
      </c>
      <c r="AF800" s="68" t="s">
        <v>317</v>
      </c>
      <c r="AG800" s="68" t="s">
        <v>317</v>
      </c>
      <c r="AH800" s="68">
        <v>0</v>
      </c>
      <c r="AI800" s="309"/>
      <c r="AJ800" s="309"/>
      <c r="AK800" s="68" t="s">
        <v>48</v>
      </c>
      <c r="AL800" s="68" t="s">
        <v>49</v>
      </c>
      <c r="AM800" s="299">
        <f t="shared" ca="1" si="75"/>
        <v>0.29166666666424135</v>
      </c>
      <c r="AN800" s="51"/>
      <c r="AO800" s="59" t="s">
        <v>402</v>
      </c>
      <c r="AP800" s="62" t="s">
        <v>2339</v>
      </c>
      <c r="AQ800" s="61" t="s">
        <v>2335</v>
      </c>
      <c r="AR800" s="64">
        <v>44889.722222222219</v>
      </c>
      <c r="AS800" s="61" t="s">
        <v>274</v>
      </c>
      <c r="AT800" s="61" t="s">
        <v>65</v>
      </c>
      <c r="AU800" s="63">
        <v>0.72222222222222221</v>
      </c>
      <c r="AV800" s="61">
        <v>1</v>
      </c>
      <c r="AW800" s="61" t="s">
        <v>66</v>
      </c>
      <c r="AX800" s="52"/>
      <c r="AY800" s="52"/>
      <c r="AZ800" s="52"/>
      <c r="BA800" s="52"/>
    </row>
    <row r="801" spans="1:54" x14ac:dyDescent="0.25">
      <c r="A801" s="73">
        <v>473</v>
      </c>
      <c r="B801" s="72">
        <v>44889.430555555555</v>
      </c>
      <c r="C801" s="67">
        <v>0.43402777777777773</v>
      </c>
      <c r="D801" s="67">
        <v>0.44097222222222227</v>
      </c>
      <c r="E801" s="67">
        <v>0.4548611111111111</v>
      </c>
      <c r="F801" s="68" t="s">
        <v>171</v>
      </c>
      <c r="G801" s="68" t="s">
        <v>278</v>
      </c>
      <c r="H801" s="66" t="s">
        <v>396</v>
      </c>
      <c r="I801" s="66" t="s">
        <v>174</v>
      </c>
      <c r="J801" s="66" t="s">
        <v>37</v>
      </c>
      <c r="K801" s="66" t="s">
        <v>180</v>
      </c>
      <c r="L801" s="70" t="s">
        <v>206</v>
      </c>
      <c r="M801" s="68" t="s">
        <v>2279</v>
      </c>
      <c r="N801" s="68" t="s">
        <v>320</v>
      </c>
      <c r="O801" s="68" t="s">
        <v>2282</v>
      </c>
      <c r="P801" s="68">
        <v>5500358545</v>
      </c>
      <c r="Q801" s="303">
        <f t="shared" si="76"/>
        <v>1</v>
      </c>
      <c r="R801" s="303">
        <f t="shared" si="77"/>
        <v>2</v>
      </c>
      <c r="S801" s="68">
        <v>1</v>
      </c>
      <c r="T801" s="68">
        <v>2</v>
      </c>
      <c r="U801" s="68">
        <v>0</v>
      </c>
      <c r="V801" s="68">
        <v>0</v>
      </c>
      <c r="W801" s="68">
        <v>2.5</v>
      </c>
      <c r="X801" s="68">
        <v>30</v>
      </c>
      <c r="Y801" s="68">
        <v>20</v>
      </c>
      <c r="Z801" s="68">
        <v>20</v>
      </c>
      <c r="AA801" s="68">
        <v>1</v>
      </c>
      <c r="AB801" s="300">
        <f t="shared" si="78"/>
        <v>2</v>
      </c>
      <c r="AC801" s="300">
        <f t="shared" si="79"/>
        <v>1.2048192771084338E-2</v>
      </c>
      <c r="AD801" s="68">
        <v>24</v>
      </c>
      <c r="AE801" s="68" t="s">
        <v>111</v>
      </c>
      <c r="AF801" s="68" t="s">
        <v>317</v>
      </c>
      <c r="AG801" s="68" t="s">
        <v>317</v>
      </c>
      <c r="AH801" s="68">
        <v>0</v>
      </c>
      <c r="AI801" s="309"/>
      <c r="AJ801" s="309"/>
      <c r="AK801" s="68" t="s">
        <v>48</v>
      </c>
      <c r="AL801" s="68" t="s">
        <v>49</v>
      </c>
      <c r="AM801" s="299">
        <f t="shared" ca="1" si="75"/>
        <v>0.29166666666424135</v>
      </c>
      <c r="AN801" s="51"/>
      <c r="AO801" s="59" t="s">
        <v>402</v>
      </c>
      <c r="AP801" s="62" t="s">
        <v>2339</v>
      </c>
      <c r="AQ801" s="61" t="s">
        <v>2335</v>
      </c>
      <c r="AR801" s="64">
        <v>44889.722222222219</v>
      </c>
      <c r="AS801" s="61" t="s">
        <v>274</v>
      </c>
      <c r="AT801" s="61" t="s">
        <v>65</v>
      </c>
      <c r="AU801" s="63">
        <v>0.72222222222222221</v>
      </c>
      <c r="AV801" s="61">
        <v>1</v>
      </c>
      <c r="AW801" s="61" t="s">
        <v>66</v>
      </c>
      <c r="AX801" s="52"/>
      <c r="AY801" s="52"/>
      <c r="AZ801" s="52"/>
      <c r="BA801" s="52"/>
    </row>
    <row r="802" spans="1:54" x14ac:dyDescent="0.25">
      <c r="A802" s="73">
        <v>474</v>
      </c>
      <c r="B802" s="72">
        <v>44889.430555555555</v>
      </c>
      <c r="C802" s="67">
        <v>0.43402777777777773</v>
      </c>
      <c r="D802" s="67">
        <v>0.44097222222222227</v>
      </c>
      <c r="E802" s="67">
        <v>0.4548611111111111</v>
      </c>
      <c r="F802" s="68" t="s">
        <v>171</v>
      </c>
      <c r="G802" s="68" t="s">
        <v>278</v>
      </c>
      <c r="H802" s="66" t="s">
        <v>396</v>
      </c>
      <c r="I802" s="66" t="s">
        <v>174</v>
      </c>
      <c r="J802" s="66" t="s">
        <v>37</v>
      </c>
      <c r="K802" s="66" t="s">
        <v>180</v>
      </c>
      <c r="L802" s="70" t="s">
        <v>206</v>
      </c>
      <c r="M802" s="68" t="s">
        <v>2279</v>
      </c>
      <c r="N802" s="68" t="s">
        <v>320</v>
      </c>
      <c r="O802" s="68" t="s">
        <v>2283</v>
      </c>
      <c r="P802" s="68">
        <v>5500318427</v>
      </c>
      <c r="Q802" s="303">
        <f t="shared" si="76"/>
        <v>1</v>
      </c>
      <c r="R802" s="303">
        <f t="shared" si="77"/>
        <v>5</v>
      </c>
      <c r="S802" s="68">
        <v>1</v>
      </c>
      <c r="T802" s="68">
        <v>5</v>
      </c>
      <c r="U802" s="68">
        <v>0</v>
      </c>
      <c r="V802" s="68">
        <v>0</v>
      </c>
      <c r="W802" s="68">
        <v>5.5</v>
      </c>
      <c r="X802" s="68">
        <v>30</v>
      </c>
      <c r="Y802" s="68">
        <v>20</v>
      </c>
      <c r="Z802" s="68">
        <v>20</v>
      </c>
      <c r="AA802" s="68">
        <v>1</v>
      </c>
      <c r="AB802" s="300">
        <f t="shared" si="78"/>
        <v>2</v>
      </c>
      <c r="AC802" s="300">
        <f t="shared" si="79"/>
        <v>1.2048192771084338E-2</v>
      </c>
      <c r="AD802" s="68">
        <v>30</v>
      </c>
      <c r="AE802" s="68" t="s">
        <v>111</v>
      </c>
      <c r="AF802" s="68" t="s">
        <v>317</v>
      </c>
      <c r="AG802" s="68" t="s">
        <v>317</v>
      </c>
      <c r="AH802" s="68">
        <v>0</v>
      </c>
      <c r="AI802" s="309"/>
      <c r="AJ802" s="309"/>
      <c r="AK802" s="68" t="s">
        <v>48</v>
      </c>
      <c r="AL802" s="68" t="s">
        <v>49</v>
      </c>
      <c r="AM802" s="299">
        <f t="shared" ca="1" si="75"/>
        <v>0.29166666666424135</v>
      </c>
      <c r="AN802" s="51"/>
      <c r="AO802" s="59" t="s">
        <v>402</v>
      </c>
      <c r="AP802" s="62" t="s">
        <v>2339</v>
      </c>
      <c r="AQ802" s="61" t="s">
        <v>2335</v>
      </c>
      <c r="AR802" s="64">
        <v>44889.722222222219</v>
      </c>
      <c r="AS802" s="61" t="s">
        <v>274</v>
      </c>
      <c r="AT802" s="61" t="s">
        <v>65</v>
      </c>
      <c r="AU802" s="63">
        <v>0.72222222222222221</v>
      </c>
      <c r="AV802" s="61">
        <v>1</v>
      </c>
      <c r="AW802" s="61" t="s">
        <v>66</v>
      </c>
      <c r="AX802" s="52"/>
      <c r="AY802" s="52"/>
      <c r="AZ802" s="52"/>
      <c r="BA802" s="52"/>
    </row>
    <row r="803" spans="1:54" x14ac:dyDescent="0.25">
      <c r="A803" s="73">
        <v>475</v>
      </c>
      <c r="B803" s="72">
        <v>44889.430555555555</v>
      </c>
      <c r="C803" s="67">
        <v>0.43402777777777773</v>
      </c>
      <c r="D803" s="67">
        <v>0.44097222222222227</v>
      </c>
      <c r="E803" s="67">
        <v>0.4548611111111111</v>
      </c>
      <c r="F803" s="68" t="s">
        <v>171</v>
      </c>
      <c r="G803" s="68" t="s">
        <v>278</v>
      </c>
      <c r="H803" s="66" t="s">
        <v>396</v>
      </c>
      <c r="I803" s="66" t="s">
        <v>174</v>
      </c>
      <c r="J803" s="66" t="s">
        <v>37</v>
      </c>
      <c r="K803" s="66" t="s">
        <v>180</v>
      </c>
      <c r="L803" s="70" t="s">
        <v>206</v>
      </c>
      <c r="M803" s="68" t="s">
        <v>2284</v>
      </c>
      <c r="N803" s="68" t="s">
        <v>320</v>
      </c>
      <c r="O803" s="68" t="s">
        <v>2285</v>
      </c>
      <c r="P803" s="68">
        <v>4502493458</v>
      </c>
      <c r="Q803" s="303">
        <f t="shared" si="76"/>
        <v>1</v>
      </c>
      <c r="R803" s="303">
        <f t="shared" si="77"/>
        <v>12</v>
      </c>
      <c r="S803" s="68">
        <v>1</v>
      </c>
      <c r="T803" s="68">
        <v>12</v>
      </c>
      <c r="U803" s="68">
        <v>0</v>
      </c>
      <c r="V803" s="68">
        <v>0</v>
      </c>
      <c r="W803" s="68">
        <v>13</v>
      </c>
      <c r="X803" s="68">
        <v>40</v>
      </c>
      <c r="Y803" s="68">
        <v>30</v>
      </c>
      <c r="Z803" s="68">
        <v>19</v>
      </c>
      <c r="AA803" s="68">
        <v>1</v>
      </c>
      <c r="AB803" s="300">
        <f t="shared" si="78"/>
        <v>3.8</v>
      </c>
      <c r="AC803" s="300">
        <f t="shared" si="79"/>
        <v>2.289156626506024E-2</v>
      </c>
      <c r="AD803" s="68">
        <v>188</v>
      </c>
      <c r="AE803" s="68" t="s">
        <v>111</v>
      </c>
      <c r="AF803" s="68" t="s">
        <v>317</v>
      </c>
      <c r="AG803" s="68" t="s">
        <v>317</v>
      </c>
      <c r="AH803" s="68">
        <v>0</v>
      </c>
      <c r="AI803" s="309"/>
      <c r="AJ803" s="309"/>
      <c r="AK803" s="68" t="s">
        <v>48</v>
      </c>
      <c r="AL803" s="68" t="s">
        <v>49</v>
      </c>
      <c r="AM803" s="299">
        <f t="shared" ca="1" si="75"/>
        <v>0.29166666666424135</v>
      </c>
      <c r="AN803" s="51"/>
      <c r="AO803" s="59" t="s">
        <v>402</v>
      </c>
      <c r="AP803" s="62" t="s">
        <v>2337</v>
      </c>
      <c r="AQ803" s="61" t="s">
        <v>2335</v>
      </c>
      <c r="AR803" s="64">
        <v>44889.722222222219</v>
      </c>
      <c r="AS803" s="61" t="s">
        <v>274</v>
      </c>
      <c r="AT803" s="61" t="s">
        <v>65</v>
      </c>
      <c r="AU803" s="63">
        <v>0.72222222222222221</v>
      </c>
      <c r="AV803" s="61">
        <v>1</v>
      </c>
      <c r="AW803" s="61" t="s">
        <v>66</v>
      </c>
      <c r="AX803" s="52"/>
      <c r="AY803" s="52"/>
      <c r="AZ803" s="52"/>
      <c r="BA803" s="52"/>
    </row>
    <row r="804" spans="1:54" x14ac:dyDescent="0.25">
      <c r="A804" s="73">
        <v>476</v>
      </c>
      <c r="B804" s="72">
        <v>44889.430555555555</v>
      </c>
      <c r="C804" s="67">
        <v>0.43402777777777773</v>
      </c>
      <c r="D804" s="67">
        <v>0.44097222222222227</v>
      </c>
      <c r="E804" s="67">
        <v>0.4548611111111111</v>
      </c>
      <c r="F804" s="68" t="s">
        <v>171</v>
      </c>
      <c r="G804" s="68" t="s">
        <v>278</v>
      </c>
      <c r="H804" s="66" t="s">
        <v>396</v>
      </c>
      <c r="I804" s="66" t="s">
        <v>174</v>
      </c>
      <c r="J804" s="66" t="s">
        <v>37</v>
      </c>
      <c r="K804" s="66" t="s">
        <v>180</v>
      </c>
      <c r="L804" s="70" t="s">
        <v>206</v>
      </c>
      <c r="M804" s="68" t="s">
        <v>2284</v>
      </c>
      <c r="N804" s="68" t="s">
        <v>320</v>
      </c>
      <c r="O804" s="68" t="s">
        <v>2286</v>
      </c>
      <c r="P804" s="68">
        <v>5500372298</v>
      </c>
      <c r="Q804" s="303">
        <f t="shared" si="76"/>
        <v>1</v>
      </c>
      <c r="R804" s="303">
        <f t="shared" si="77"/>
        <v>5</v>
      </c>
      <c r="S804" s="68">
        <v>1</v>
      </c>
      <c r="T804" s="68">
        <v>5</v>
      </c>
      <c r="U804" s="68">
        <v>0</v>
      </c>
      <c r="V804" s="68">
        <v>0</v>
      </c>
      <c r="W804" s="68">
        <v>6.5</v>
      </c>
      <c r="X804" s="68">
        <v>40</v>
      </c>
      <c r="Y804" s="68">
        <v>30</v>
      </c>
      <c r="Z804" s="68">
        <v>19</v>
      </c>
      <c r="AA804" s="68">
        <v>1</v>
      </c>
      <c r="AB804" s="300">
        <f t="shared" si="78"/>
        <v>3.8</v>
      </c>
      <c r="AC804" s="300">
        <f t="shared" si="79"/>
        <v>2.289156626506024E-2</v>
      </c>
      <c r="AD804" s="68">
        <v>950</v>
      </c>
      <c r="AE804" s="68" t="s">
        <v>111</v>
      </c>
      <c r="AF804" s="68" t="s">
        <v>317</v>
      </c>
      <c r="AG804" s="68" t="s">
        <v>317</v>
      </c>
      <c r="AH804" s="68" t="s">
        <v>2287</v>
      </c>
      <c r="AI804" s="309"/>
      <c r="AJ804" s="309"/>
      <c r="AK804" s="68" t="s">
        <v>48</v>
      </c>
      <c r="AL804" s="68" t="s">
        <v>49</v>
      </c>
      <c r="AM804" s="299">
        <f t="shared" ca="1" si="75"/>
        <v>0.29166666666424135</v>
      </c>
      <c r="AN804" s="51"/>
      <c r="AO804" s="59" t="s">
        <v>402</v>
      </c>
      <c r="AP804" s="62" t="s">
        <v>2337</v>
      </c>
      <c r="AQ804" s="61" t="s">
        <v>2335</v>
      </c>
      <c r="AR804" s="64">
        <v>44889.722222222219</v>
      </c>
      <c r="AS804" s="61" t="s">
        <v>274</v>
      </c>
      <c r="AT804" s="61" t="s">
        <v>65</v>
      </c>
      <c r="AU804" s="63">
        <v>0.72222222222222221</v>
      </c>
      <c r="AV804" s="61">
        <v>1</v>
      </c>
      <c r="AW804" s="61" t="s">
        <v>66</v>
      </c>
      <c r="AX804" s="52"/>
      <c r="AY804" s="52"/>
      <c r="AZ804" s="52"/>
      <c r="BA804" s="52"/>
    </row>
    <row r="805" spans="1:54" x14ac:dyDescent="0.25">
      <c r="A805" s="73">
        <v>477</v>
      </c>
      <c r="B805" s="72">
        <v>44889.430555555555</v>
      </c>
      <c r="C805" s="67">
        <v>0.43402777777777773</v>
      </c>
      <c r="D805" s="67">
        <v>0.44097222222222227</v>
      </c>
      <c r="E805" s="67">
        <v>0.4548611111111111</v>
      </c>
      <c r="F805" s="68" t="s">
        <v>171</v>
      </c>
      <c r="G805" s="68" t="s">
        <v>278</v>
      </c>
      <c r="H805" s="66" t="s">
        <v>396</v>
      </c>
      <c r="I805" s="66" t="s">
        <v>174</v>
      </c>
      <c r="J805" s="66" t="s">
        <v>37</v>
      </c>
      <c r="K805" s="66" t="s">
        <v>180</v>
      </c>
      <c r="L805" s="70" t="s">
        <v>206</v>
      </c>
      <c r="M805" s="68" t="s">
        <v>2284</v>
      </c>
      <c r="N805" s="68" t="s">
        <v>320</v>
      </c>
      <c r="O805" s="68" t="s">
        <v>2288</v>
      </c>
      <c r="P805" s="68">
        <v>5500353830</v>
      </c>
      <c r="Q805" s="303">
        <f t="shared" si="76"/>
        <v>1</v>
      </c>
      <c r="R805" s="303">
        <f t="shared" si="77"/>
        <v>10</v>
      </c>
      <c r="S805" s="68">
        <v>1</v>
      </c>
      <c r="T805" s="68">
        <v>10</v>
      </c>
      <c r="U805" s="68">
        <v>0</v>
      </c>
      <c r="V805" s="68">
        <v>0</v>
      </c>
      <c r="W805" s="68">
        <v>10</v>
      </c>
      <c r="X805" s="68">
        <v>40</v>
      </c>
      <c r="Y805" s="68">
        <v>30</v>
      </c>
      <c r="Z805" s="68">
        <v>19</v>
      </c>
      <c r="AA805" s="68">
        <v>1</v>
      </c>
      <c r="AB805" s="300">
        <f t="shared" si="78"/>
        <v>3.8</v>
      </c>
      <c r="AC805" s="300">
        <f t="shared" si="79"/>
        <v>2.289156626506024E-2</v>
      </c>
      <c r="AD805" s="68">
        <v>50</v>
      </c>
      <c r="AE805" s="68" t="s">
        <v>111</v>
      </c>
      <c r="AF805" s="68" t="s">
        <v>317</v>
      </c>
      <c r="AG805" s="68" t="s">
        <v>317</v>
      </c>
      <c r="AH805" s="68">
        <v>0</v>
      </c>
      <c r="AI805" s="309"/>
      <c r="AJ805" s="309"/>
      <c r="AK805" s="68" t="s">
        <v>48</v>
      </c>
      <c r="AL805" s="68" t="s">
        <v>49</v>
      </c>
      <c r="AM805" s="299">
        <f t="shared" ca="1" si="75"/>
        <v>0.29166666666424135</v>
      </c>
      <c r="AN805" s="51"/>
      <c r="AO805" s="59" t="s">
        <v>402</v>
      </c>
      <c r="AP805" s="62" t="s">
        <v>2337</v>
      </c>
      <c r="AQ805" s="61" t="s">
        <v>2335</v>
      </c>
      <c r="AR805" s="64">
        <v>44889.722222222219</v>
      </c>
      <c r="AS805" s="61" t="s">
        <v>274</v>
      </c>
      <c r="AT805" s="61" t="s">
        <v>65</v>
      </c>
      <c r="AU805" s="63">
        <v>0.72222222222222221</v>
      </c>
      <c r="AV805" s="61">
        <v>1</v>
      </c>
      <c r="AW805" s="61" t="s">
        <v>66</v>
      </c>
      <c r="AX805" s="52"/>
      <c r="AY805" s="52"/>
      <c r="AZ805" s="52"/>
      <c r="BA805" s="52"/>
    </row>
    <row r="806" spans="1:54" x14ac:dyDescent="0.25">
      <c r="A806" s="73">
        <v>478</v>
      </c>
      <c r="B806" s="72">
        <v>44889.430555555555</v>
      </c>
      <c r="C806" s="67">
        <v>0.43402777777777773</v>
      </c>
      <c r="D806" s="67">
        <v>0.44097222222222227</v>
      </c>
      <c r="E806" s="67">
        <v>0.4548611111111111</v>
      </c>
      <c r="F806" s="68" t="s">
        <v>171</v>
      </c>
      <c r="G806" s="68" t="s">
        <v>278</v>
      </c>
      <c r="H806" s="66" t="s">
        <v>396</v>
      </c>
      <c r="I806" s="66" t="s">
        <v>174</v>
      </c>
      <c r="J806" s="66" t="s">
        <v>37</v>
      </c>
      <c r="K806" s="66" t="s">
        <v>180</v>
      </c>
      <c r="L806" s="70" t="s">
        <v>206</v>
      </c>
      <c r="M806" s="68" t="s">
        <v>2289</v>
      </c>
      <c r="N806" s="68" t="s">
        <v>320</v>
      </c>
      <c r="O806" s="68" t="s">
        <v>2290</v>
      </c>
      <c r="P806" s="68">
        <v>5500346920</v>
      </c>
      <c r="Q806" s="303">
        <f t="shared" si="76"/>
        <v>1</v>
      </c>
      <c r="R806" s="303">
        <f t="shared" si="77"/>
        <v>190</v>
      </c>
      <c r="S806" s="68">
        <v>0</v>
      </c>
      <c r="T806" s="68">
        <v>0</v>
      </c>
      <c r="U806" s="68">
        <v>1</v>
      </c>
      <c r="V806" s="68">
        <v>190</v>
      </c>
      <c r="W806" s="68">
        <v>200</v>
      </c>
      <c r="X806" s="68">
        <v>105</v>
      </c>
      <c r="Y806" s="68">
        <v>106</v>
      </c>
      <c r="Z806" s="68">
        <v>87</v>
      </c>
      <c r="AA806" s="68">
        <v>1</v>
      </c>
      <c r="AB806" s="300">
        <f t="shared" si="78"/>
        <v>161.38499999999999</v>
      </c>
      <c r="AC806" s="300">
        <f t="shared" si="79"/>
        <v>0.97219879518072283</v>
      </c>
      <c r="AD806" s="68">
        <v>691</v>
      </c>
      <c r="AE806" s="68" t="s">
        <v>111</v>
      </c>
      <c r="AF806" s="68" t="s">
        <v>317</v>
      </c>
      <c r="AG806" s="68" t="s">
        <v>317</v>
      </c>
      <c r="AH806" s="68" t="s">
        <v>2291</v>
      </c>
      <c r="AI806" s="309"/>
      <c r="AJ806" s="309"/>
      <c r="AK806" s="68" t="s">
        <v>37</v>
      </c>
      <c r="AL806" s="68" t="s">
        <v>49</v>
      </c>
      <c r="AM806" s="299">
        <f t="shared" ca="1" si="75"/>
        <v>0.29166666666424135</v>
      </c>
      <c r="AN806" s="51"/>
      <c r="AO806" s="59" t="s">
        <v>402</v>
      </c>
      <c r="AP806" s="62" t="s">
        <v>2336</v>
      </c>
      <c r="AQ806" s="61" t="s">
        <v>2335</v>
      </c>
      <c r="AR806" s="64">
        <v>44889.722222222219</v>
      </c>
      <c r="AS806" s="61" t="s">
        <v>274</v>
      </c>
      <c r="AT806" s="61" t="s">
        <v>65</v>
      </c>
      <c r="AU806" s="63">
        <v>0.72222222222222221</v>
      </c>
      <c r="AV806" s="61">
        <v>1</v>
      </c>
      <c r="AW806" s="61" t="s">
        <v>66</v>
      </c>
      <c r="AX806" s="52"/>
      <c r="AY806" s="52"/>
      <c r="AZ806" s="52"/>
      <c r="BA806" s="52"/>
    </row>
    <row r="807" spans="1:54" x14ac:dyDescent="0.25">
      <c r="A807" s="73">
        <v>479</v>
      </c>
      <c r="B807" s="72">
        <v>44889.430555555555</v>
      </c>
      <c r="C807" s="67">
        <v>0.43402777777777773</v>
      </c>
      <c r="D807" s="67">
        <v>0.44097222222222227</v>
      </c>
      <c r="E807" s="67">
        <v>0.4548611111111111</v>
      </c>
      <c r="F807" s="68" t="s">
        <v>171</v>
      </c>
      <c r="G807" s="68" t="s">
        <v>278</v>
      </c>
      <c r="H807" s="66" t="s">
        <v>396</v>
      </c>
      <c r="I807" s="66" t="s">
        <v>174</v>
      </c>
      <c r="J807" s="66" t="s">
        <v>37</v>
      </c>
      <c r="K807" s="66" t="s">
        <v>180</v>
      </c>
      <c r="L807" s="70" t="s">
        <v>206</v>
      </c>
      <c r="M807" s="68" t="s">
        <v>2292</v>
      </c>
      <c r="N807" s="68" t="s">
        <v>320</v>
      </c>
      <c r="O807" s="68" t="s">
        <v>2293</v>
      </c>
      <c r="P807" s="68">
        <v>5500310299</v>
      </c>
      <c r="Q807" s="303">
        <f t="shared" si="76"/>
        <v>8</v>
      </c>
      <c r="R807" s="303">
        <f t="shared" si="77"/>
        <v>141</v>
      </c>
      <c r="S807" s="68">
        <v>8</v>
      </c>
      <c r="T807" s="68">
        <v>141</v>
      </c>
      <c r="U807" s="68">
        <v>0</v>
      </c>
      <c r="V807" s="68">
        <v>0</v>
      </c>
      <c r="W807" s="68">
        <v>152</v>
      </c>
      <c r="X807" s="68">
        <v>40</v>
      </c>
      <c r="Y807" s="68">
        <v>30</v>
      </c>
      <c r="Z807" s="68">
        <v>19</v>
      </c>
      <c r="AA807" s="68">
        <v>8</v>
      </c>
      <c r="AB807" s="300">
        <f t="shared" si="78"/>
        <v>30.4</v>
      </c>
      <c r="AC807" s="300">
        <f t="shared" si="79"/>
        <v>0.18313253012048192</v>
      </c>
      <c r="AD807" s="68">
        <v>691</v>
      </c>
      <c r="AE807" s="68" t="s">
        <v>111</v>
      </c>
      <c r="AF807" s="68" t="s">
        <v>317</v>
      </c>
      <c r="AG807" s="68" t="s">
        <v>317</v>
      </c>
      <c r="AH807" s="68" t="s">
        <v>2294</v>
      </c>
      <c r="AI807" s="309"/>
      <c r="AJ807" s="309"/>
      <c r="AK807" s="68" t="s">
        <v>37</v>
      </c>
      <c r="AL807" s="68" t="s">
        <v>49</v>
      </c>
      <c r="AM807" s="299">
        <f t="shared" ca="1" si="75"/>
        <v>0.29166666666424135</v>
      </c>
      <c r="AN807" s="51"/>
      <c r="AO807" s="59" t="s">
        <v>402</v>
      </c>
      <c r="AP807" s="62" t="s">
        <v>2338</v>
      </c>
      <c r="AQ807" s="61" t="s">
        <v>2335</v>
      </c>
      <c r="AR807" s="64">
        <v>44889.722222222219</v>
      </c>
      <c r="AS807" s="61" t="s">
        <v>274</v>
      </c>
      <c r="AT807" s="61" t="s">
        <v>65</v>
      </c>
      <c r="AU807" s="63">
        <v>0.72222222222222221</v>
      </c>
      <c r="AV807" s="61">
        <v>1</v>
      </c>
      <c r="AW807" s="61" t="s">
        <v>66</v>
      </c>
      <c r="AX807" s="52"/>
      <c r="AY807" s="52"/>
      <c r="AZ807" s="52"/>
      <c r="BA807" s="52"/>
    </row>
    <row r="808" spans="1:54" x14ac:dyDescent="0.25">
      <c r="A808" s="73">
        <v>480</v>
      </c>
      <c r="B808" s="72">
        <v>44889.458333333336</v>
      </c>
      <c r="C808" s="67">
        <v>0.45833333333333331</v>
      </c>
      <c r="D808" s="67">
        <v>0.46180555555555558</v>
      </c>
      <c r="E808" s="67">
        <v>0.46527777777777773</v>
      </c>
      <c r="F808" s="68" t="s">
        <v>171</v>
      </c>
      <c r="G808" s="68" t="s">
        <v>165</v>
      </c>
      <c r="H808" s="66" t="s">
        <v>144</v>
      </c>
      <c r="I808" s="66" t="s">
        <v>69</v>
      </c>
      <c r="J808" s="66" t="s">
        <v>37</v>
      </c>
      <c r="K808" s="68" t="s">
        <v>180</v>
      </c>
      <c r="L808" s="69" t="s">
        <v>206</v>
      </c>
      <c r="M808" s="68" t="s">
        <v>2295</v>
      </c>
      <c r="N808" s="68" t="s">
        <v>42</v>
      </c>
      <c r="O808" s="68">
        <v>75045799</v>
      </c>
      <c r="P808" s="68">
        <v>87006685</v>
      </c>
      <c r="Q808" s="303">
        <f t="shared" si="76"/>
        <v>10</v>
      </c>
      <c r="R808" s="303">
        <f t="shared" si="77"/>
        <v>76</v>
      </c>
      <c r="S808" s="68">
        <v>10</v>
      </c>
      <c r="T808" s="68">
        <v>76</v>
      </c>
      <c r="U808" s="68">
        <v>0</v>
      </c>
      <c r="V808" s="68">
        <v>0</v>
      </c>
      <c r="W808" s="68">
        <v>60.4</v>
      </c>
      <c r="X808" s="68">
        <v>72</v>
      </c>
      <c r="Y808" s="68">
        <v>39</v>
      </c>
      <c r="Z808" s="68">
        <v>15</v>
      </c>
      <c r="AA808" s="68">
        <v>10</v>
      </c>
      <c r="AB808" s="300">
        <f t="shared" si="78"/>
        <v>70.2</v>
      </c>
      <c r="AC808" s="300">
        <f t="shared" si="79"/>
        <v>0.42289156626506025</v>
      </c>
      <c r="AD808" s="68">
        <v>460</v>
      </c>
      <c r="AE808" s="68" t="s">
        <v>109</v>
      </c>
      <c r="AF808" s="68" t="s">
        <v>317</v>
      </c>
      <c r="AG808" s="68" t="s">
        <v>317</v>
      </c>
      <c r="AH808" s="68" t="s">
        <v>2296</v>
      </c>
      <c r="AI808" s="309"/>
      <c r="AJ808" s="309"/>
      <c r="AK808" s="68" t="s">
        <v>48</v>
      </c>
      <c r="AL808" s="68" t="s">
        <v>47</v>
      </c>
      <c r="AM808" s="299">
        <f t="shared" ref="AM808:AM871" ca="1" si="80">IF(AP808="",NOW()-B808,AR808-B808)</f>
        <v>0.26388888888322981</v>
      </c>
      <c r="AN808" s="51"/>
      <c r="AO808" s="59" t="s">
        <v>247</v>
      </c>
      <c r="AP808" s="62" t="s">
        <v>2295</v>
      </c>
      <c r="AQ808" s="61" t="s">
        <v>2340</v>
      </c>
      <c r="AR808" s="64">
        <v>44889.722222222219</v>
      </c>
      <c r="AS808" s="61" t="s">
        <v>274</v>
      </c>
      <c r="AT808" s="61" t="s">
        <v>65</v>
      </c>
      <c r="AU808" s="63">
        <v>0.72222222222222221</v>
      </c>
      <c r="AV808" s="61">
        <v>1</v>
      </c>
      <c r="AW808" s="61" t="s">
        <v>66</v>
      </c>
      <c r="AX808" s="52"/>
      <c r="AY808" s="52"/>
      <c r="AZ808" s="52"/>
      <c r="BA808" s="52"/>
    </row>
    <row r="809" spans="1:54" x14ac:dyDescent="0.25">
      <c r="A809" s="73">
        <v>481</v>
      </c>
      <c r="B809" s="72">
        <v>44889.458333333336</v>
      </c>
      <c r="C809" s="67">
        <v>0.46875</v>
      </c>
      <c r="D809" s="67">
        <v>0.4826388888888889</v>
      </c>
      <c r="E809" s="67">
        <v>0.4861111111111111</v>
      </c>
      <c r="F809" s="68" t="s">
        <v>170</v>
      </c>
      <c r="G809" s="68" t="s">
        <v>2297</v>
      </c>
      <c r="H809" s="66" t="s">
        <v>227</v>
      </c>
      <c r="I809" s="66" t="s">
        <v>189</v>
      </c>
      <c r="J809" s="66" t="s">
        <v>37</v>
      </c>
      <c r="K809" s="66" t="s">
        <v>63</v>
      </c>
      <c r="L809" s="66" t="s">
        <v>209</v>
      </c>
      <c r="M809" s="68" t="s">
        <v>2298</v>
      </c>
      <c r="N809" s="68" t="s">
        <v>43</v>
      </c>
      <c r="O809" s="68">
        <v>954</v>
      </c>
      <c r="P809" s="68">
        <v>3728</v>
      </c>
      <c r="Q809" s="303">
        <f t="shared" ref="Q809:Q872" si="81">S809+U809</f>
        <v>6</v>
      </c>
      <c r="R809" s="303">
        <f t="shared" ref="R809:R872" si="82">T809+V809</f>
        <v>1226</v>
      </c>
      <c r="S809" s="68">
        <v>0</v>
      </c>
      <c r="T809" s="68">
        <v>0</v>
      </c>
      <c r="U809" s="68">
        <v>6</v>
      </c>
      <c r="V809" s="68">
        <v>1226</v>
      </c>
      <c r="W809" s="68">
        <v>1170</v>
      </c>
      <c r="X809" s="68">
        <v>169</v>
      </c>
      <c r="Y809" s="68">
        <v>98</v>
      </c>
      <c r="Z809" s="68">
        <v>95</v>
      </c>
      <c r="AA809" s="68">
        <v>6</v>
      </c>
      <c r="AB809" s="300">
        <f t="shared" ref="AB809:AB872" si="83">X809*Y809*Z809*AA809/6000</f>
        <v>1573.39</v>
      </c>
      <c r="AC809" s="300">
        <f t="shared" ref="AC809:AC872" si="84">AB809/166</f>
        <v>9.478253012048194</v>
      </c>
      <c r="AD809" s="68">
        <v>10950</v>
      </c>
      <c r="AE809" s="68" t="s">
        <v>109</v>
      </c>
      <c r="AF809" s="68" t="s">
        <v>317</v>
      </c>
      <c r="AG809" s="68" t="s">
        <v>317</v>
      </c>
      <c r="AH809" s="68" t="s">
        <v>2299</v>
      </c>
      <c r="AI809" s="309"/>
      <c r="AJ809" s="309"/>
      <c r="AK809" s="68" t="s">
        <v>37</v>
      </c>
      <c r="AL809" s="68" t="s">
        <v>39</v>
      </c>
      <c r="AM809" s="299">
        <f t="shared" ca="1" si="80"/>
        <v>0.26388888888322981</v>
      </c>
      <c r="AN809" s="51"/>
      <c r="AO809" s="59" t="s">
        <v>89</v>
      </c>
      <c r="AP809" s="62" t="s">
        <v>2342</v>
      </c>
      <c r="AQ809" s="61" t="s">
        <v>2341</v>
      </c>
      <c r="AR809" s="64">
        <v>44889.722222222219</v>
      </c>
      <c r="AS809" s="61" t="s">
        <v>298</v>
      </c>
      <c r="AT809" s="61" t="s">
        <v>65</v>
      </c>
      <c r="AU809" s="63">
        <v>0.72222222222222221</v>
      </c>
      <c r="AV809" s="61">
        <v>1</v>
      </c>
      <c r="AW809" s="61" t="s">
        <v>66</v>
      </c>
      <c r="AX809" s="52"/>
      <c r="AY809" s="52"/>
      <c r="AZ809" s="52"/>
      <c r="BA809" s="52"/>
    </row>
    <row r="810" spans="1:54" ht="15.75" thickBot="1" x14ac:dyDescent="0.3">
      <c r="A810" s="73">
        <v>482</v>
      </c>
      <c r="B810" s="72">
        <v>44889.458333333336</v>
      </c>
      <c r="C810" s="67">
        <v>0.46875</v>
      </c>
      <c r="D810" s="67">
        <v>0.4826388888888889</v>
      </c>
      <c r="E810" s="67">
        <v>0.4861111111111111</v>
      </c>
      <c r="F810" s="68" t="s">
        <v>170</v>
      </c>
      <c r="G810" s="68" t="s">
        <v>2297</v>
      </c>
      <c r="H810" s="66" t="s">
        <v>227</v>
      </c>
      <c r="I810" s="66" t="s">
        <v>189</v>
      </c>
      <c r="J810" s="66" t="s">
        <v>37</v>
      </c>
      <c r="K810" s="66" t="s">
        <v>63</v>
      </c>
      <c r="L810" s="66" t="s">
        <v>209</v>
      </c>
      <c r="M810" s="68" t="s">
        <v>2300</v>
      </c>
      <c r="N810" s="68" t="s">
        <v>43</v>
      </c>
      <c r="O810" s="68">
        <v>956</v>
      </c>
      <c r="P810" s="68">
        <v>29017</v>
      </c>
      <c r="Q810" s="303">
        <f t="shared" si="81"/>
        <v>12</v>
      </c>
      <c r="R810" s="303">
        <f t="shared" si="82"/>
        <v>225</v>
      </c>
      <c r="S810" s="68">
        <v>12</v>
      </c>
      <c r="T810" s="68">
        <v>225</v>
      </c>
      <c r="U810" s="68">
        <v>0</v>
      </c>
      <c r="V810" s="68">
        <v>0</v>
      </c>
      <c r="W810" s="68">
        <v>216</v>
      </c>
      <c r="X810" s="68">
        <v>84</v>
      </c>
      <c r="Y810" s="68">
        <v>52</v>
      </c>
      <c r="Z810" s="68">
        <v>63</v>
      </c>
      <c r="AA810" s="68">
        <v>12</v>
      </c>
      <c r="AB810" s="300">
        <f t="shared" si="83"/>
        <v>550.36800000000005</v>
      </c>
      <c r="AC810" s="300">
        <f t="shared" si="84"/>
        <v>3.3154698795180728</v>
      </c>
      <c r="AD810" s="68">
        <v>9720</v>
      </c>
      <c r="AE810" s="68" t="s">
        <v>109</v>
      </c>
      <c r="AF810" s="68" t="s">
        <v>317</v>
      </c>
      <c r="AG810" s="68" t="s">
        <v>317</v>
      </c>
      <c r="AH810" s="68" t="s">
        <v>2301</v>
      </c>
      <c r="AI810" s="309"/>
      <c r="AJ810" s="309"/>
      <c r="AK810" s="68" t="s">
        <v>48</v>
      </c>
      <c r="AL810" s="68" t="s">
        <v>39</v>
      </c>
      <c r="AM810" s="299">
        <f t="shared" ca="1" si="80"/>
        <v>1.0034722222189885</v>
      </c>
      <c r="AN810" s="51"/>
      <c r="AO810" s="61" t="s">
        <v>179</v>
      </c>
      <c r="AP810" s="91" t="s">
        <v>2300</v>
      </c>
      <c r="AQ810" s="59" t="s">
        <v>2398</v>
      </c>
      <c r="AR810" s="64">
        <v>44890.461805555555</v>
      </c>
      <c r="AS810" s="57" t="s">
        <v>117</v>
      </c>
      <c r="AT810" s="61" t="s">
        <v>225</v>
      </c>
      <c r="AU810" s="63">
        <v>0.46180555555555558</v>
      </c>
      <c r="AV810" s="61">
        <v>1</v>
      </c>
      <c r="AW810" s="61" t="s">
        <v>66</v>
      </c>
      <c r="AX810" s="52"/>
      <c r="AY810" s="52"/>
      <c r="AZ810" s="52"/>
      <c r="BA810" s="52"/>
    </row>
    <row r="811" spans="1:54" ht="15.75" thickBot="1" x14ac:dyDescent="0.3">
      <c r="A811" s="73">
        <v>483</v>
      </c>
      <c r="B811" s="72">
        <v>44889.472222222219</v>
      </c>
      <c r="C811" s="67">
        <v>0.47569444444444442</v>
      </c>
      <c r="D811" s="67">
        <v>0.47916666666666669</v>
      </c>
      <c r="E811" s="67">
        <v>0.52430555555555558</v>
      </c>
      <c r="F811" s="68" t="s">
        <v>169</v>
      </c>
      <c r="G811" s="68" t="s">
        <v>2309</v>
      </c>
      <c r="H811" s="71" t="s">
        <v>2310</v>
      </c>
      <c r="I811" s="71" t="s">
        <v>141</v>
      </c>
      <c r="J811" s="71" t="s">
        <v>37</v>
      </c>
      <c r="K811" s="71" t="s">
        <v>233</v>
      </c>
      <c r="L811" s="71">
        <v>0</v>
      </c>
      <c r="M811" s="68" t="s">
        <v>2311</v>
      </c>
      <c r="N811" s="68" t="s">
        <v>42</v>
      </c>
      <c r="O811" s="68">
        <v>253</v>
      </c>
      <c r="P811" s="68">
        <v>4201477534</v>
      </c>
      <c r="Q811" s="303">
        <f t="shared" si="81"/>
        <v>13</v>
      </c>
      <c r="R811" s="303">
        <f t="shared" si="82"/>
        <v>285</v>
      </c>
      <c r="S811" s="68">
        <v>13</v>
      </c>
      <c r="T811" s="68">
        <v>285</v>
      </c>
      <c r="U811" s="68">
        <v>0</v>
      </c>
      <c r="V811" s="68">
        <v>0</v>
      </c>
      <c r="W811" s="68">
        <v>305</v>
      </c>
      <c r="X811" s="68">
        <v>35</v>
      </c>
      <c r="Y811" s="68">
        <v>35</v>
      </c>
      <c r="Z811" s="68">
        <v>21</v>
      </c>
      <c r="AA811" s="68">
        <v>13</v>
      </c>
      <c r="AB811" s="300">
        <f t="shared" si="83"/>
        <v>55.737499999999997</v>
      </c>
      <c r="AC811" s="300">
        <f t="shared" si="84"/>
        <v>0.33576807228915662</v>
      </c>
      <c r="AD811" s="68">
        <v>2327.88</v>
      </c>
      <c r="AE811" s="68" t="s">
        <v>109</v>
      </c>
      <c r="AF811" s="68" t="s">
        <v>317</v>
      </c>
      <c r="AG811" s="68" t="s">
        <v>317</v>
      </c>
      <c r="AH811" s="68" t="s">
        <v>2312</v>
      </c>
      <c r="AI811" s="309"/>
      <c r="AJ811" s="309"/>
      <c r="AK811" s="68" t="s">
        <v>48</v>
      </c>
      <c r="AL811" s="68" t="s">
        <v>47</v>
      </c>
      <c r="AM811" s="299">
        <f t="shared" ca="1" si="80"/>
        <v>1.0625</v>
      </c>
      <c r="AN811" s="75"/>
      <c r="AO811" s="61" t="s">
        <v>78</v>
      </c>
      <c r="AP811" s="91" t="s">
        <v>2311</v>
      </c>
      <c r="AQ811" s="59" t="s">
        <v>2400</v>
      </c>
      <c r="AR811" s="64">
        <v>44890.534722222219</v>
      </c>
      <c r="AS811" s="57" t="s">
        <v>173</v>
      </c>
      <c r="AT811" s="61" t="s">
        <v>225</v>
      </c>
      <c r="AU811" s="63">
        <v>0.53472222222222221</v>
      </c>
      <c r="AV811" s="61">
        <v>1</v>
      </c>
      <c r="AW811" s="61" t="s">
        <v>66</v>
      </c>
      <c r="AX811" s="76"/>
      <c r="AY811" s="76"/>
      <c r="AZ811" s="76"/>
      <c r="BA811" s="76"/>
      <c r="BB811" s="74"/>
    </row>
    <row r="812" spans="1:54" ht="15.75" thickBot="1" x14ac:dyDescent="0.3">
      <c r="A812" s="73">
        <v>484</v>
      </c>
      <c r="B812" s="72">
        <v>44889.541666666664</v>
      </c>
      <c r="C812" s="67">
        <v>0.54861111111111105</v>
      </c>
      <c r="D812" s="67">
        <v>0.5625</v>
      </c>
      <c r="E812" s="67">
        <v>0.57291666666666663</v>
      </c>
      <c r="F812" s="68" t="s">
        <v>171</v>
      </c>
      <c r="G812" s="68" t="s">
        <v>309</v>
      </c>
      <c r="H812" s="66" t="s">
        <v>2313</v>
      </c>
      <c r="I812" s="66" t="s">
        <v>2313</v>
      </c>
      <c r="J812" s="66" t="s">
        <v>37</v>
      </c>
      <c r="K812" s="66" t="s">
        <v>180</v>
      </c>
      <c r="L812" s="66" t="s">
        <v>206</v>
      </c>
      <c r="M812" s="68" t="s">
        <v>2314</v>
      </c>
      <c r="N812" s="68" t="s">
        <v>64</v>
      </c>
      <c r="O812" s="68" t="s">
        <v>2315</v>
      </c>
      <c r="P812" s="68" t="s">
        <v>2316</v>
      </c>
      <c r="Q812" s="303">
        <f t="shared" si="81"/>
        <v>175</v>
      </c>
      <c r="R812" s="303">
        <f t="shared" si="82"/>
        <v>1908</v>
      </c>
      <c r="S812" s="68">
        <v>171</v>
      </c>
      <c r="T812" s="68">
        <v>1309</v>
      </c>
      <c r="U812" s="68">
        <v>4</v>
      </c>
      <c r="V812" s="68">
        <v>599</v>
      </c>
      <c r="W812" s="68">
        <v>1908</v>
      </c>
      <c r="X812" s="68">
        <v>54</v>
      </c>
      <c r="Y812" s="68">
        <v>36</v>
      </c>
      <c r="Z812" s="68">
        <v>25</v>
      </c>
      <c r="AA812" s="68">
        <v>72</v>
      </c>
      <c r="AB812" s="300">
        <f t="shared" si="83"/>
        <v>583.20000000000005</v>
      </c>
      <c r="AC812" s="300">
        <f t="shared" si="84"/>
        <v>3.5132530120481928</v>
      </c>
      <c r="AD812" s="68" t="s">
        <v>48</v>
      </c>
      <c r="AE812" s="68" t="s">
        <v>48</v>
      </c>
      <c r="AF812" s="68" t="s">
        <v>317</v>
      </c>
      <c r="AG812" s="68" t="s">
        <v>317</v>
      </c>
      <c r="AH812" s="68" t="s">
        <v>2317</v>
      </c>
      <c r="AI812" s="309"/>
      <c r="AJ812" s="309"/>
      <c r="AK812" s="68" t="s">
        <v>48</v>
      </c>
      <c r="AL812" s="68" t="s">
        <v>47</v>
      </c>
      <c r="AM812" s="299">
        <f t="shared" ca="1" si="80"/>
        <v>0.11458333333575865</v>
      </c>
      <c r="AN812" s="75"/>
      <c r="AO812" s="61" t="s">
        <v>2333</v>
      </c>
      <c r="AP812" s="91" t="s">
        <v>2314</v>
      </c>
      <c r="AQ812" s="59" t="s">
        <v>2334</v>
      </c>
      <c r="AR812" s="64">
        <v>44889.65625</v>
      </c>
      <c r="AS812" s="61" t="s">
        <v>95</v>
      </c>
      <c r="AT812" s="61" t="s">
        <v>225</v>
      </c>
      <c r="AU812" s="59">
        <v>0.65625</v>
      </c>
      <c r="AV812" s="61">
        <v>2</v>
      </c>
      <c r="AW812" s="61" t="s">
        <v>66</v>
      </c>
      <c r="AX812" s="76"/>
      <c r="AY812" s="76"/>
      <c r="AZ812" s="76"/>
      <c r="BA812" s="76"/>
      <c r="BB812" s="74"/>
    </row>
    <row r="813" spans="1:54" ht="15.75" thickBot="1" x14ac:dyDescent="0.3">
      <c r="A813" s="73">
        <v>484</v>
      </c>
      <c r="B813" s="72">
        <v>44889.541666666664</v>
      </c>
      <c r="C813" s="67">
        <v>0.54861111111111105</v>
      </c>
      <c r="D813" s="67">
        <v>0.5625</v>
      </c>
      <c r="E813" s="67">
        <v>0.57291666666666663</v>
      </c>
      <c r="F813" s="68" t="s">
        <v>171</v>
      </c>
      <c r="G813" s="68" t="s">
        <v>309</v>
      </c>
      <c r="H813" s="66" t="s">
        <v>2313</v>
      </c>
      <c r="I813" s="66" t="s">
        <v>2313</v>
      </c>
      <c r="J813" s="66" t="s">
        <v>37</v>
      </c>
      <c r="K813" s="66" t="s">
        <v>180</v>
      </c>
      <c r="L813" s="66" t="s">
        <v>206</v>
      </c>
      <c r="M813" s="68" t="s">
        <v>2314</v>
      </c>
      <c r="N813" s="68" t="s">
        <v>64</v>
      </c>
      <c r="O813" s="68" t="s">
        <v>2315</v>
      </c>
      <c r="P813" s="68" t="s">
        <v>2316</v>
      </c>
      <c r="Q813" s="303">
        <f t="shared" si="81"/>
        <v>0</v>
      </c>
      <c r="R813" s="303">
        <f t="shared" si="82"/>
        <v>0</v>
      </c>
      <c r="S813" s="68">
        <v>0</v>
      </c>
      <c r="T813" s="68">
        <v>0</v>
      </c>
      <c r="U813" s="68">
        <v>0</v>
      </c>
      <c r="V813" s="68">
        <v>0</v>
      </c>
      <c r="W813" s="68">
        <v>0</v>
      </c>
      <c r="X813" s="68">
        <v>53</v>
      </c>
      <c r="Y813" s="68">
        <v>36</v>
      </c>
      <c r="Z813" s="68">
        <v>15</v>
      </c>
      <c r="AA813" s="68">
        <v>33</v>
      </c>
      <c r="AB813" s="300">
        <f t="shared" si="83"/>
        <v>157.41</v>
      </c>
      <c r="AC813" s="300">
        <f t="shared" si="84"/>
        <v>0.94825301204819279</v>
      </c>
      <c r="AD813" s="68">
        <v>0</v>
      </c>
      <c r="AE813" s="68">
        <v>0</v>
      </c>
      <c r="AF813" s="68">
        <v>0</v>
      </c>
      <c r="AG813" s="68">
        <v>0</v>
      </c>
      <c r="AH813" s="68">
        <v>0</v>
      </c>
      <c r="AI813" s="309"/>
      <c r="AJ813" s="309"/>
      <c r="AK813" s="68" t="s">
        <v>48</v>
      </c>
      <c r="AL813" s="68" t="s">
        <v>47</v>
      </c>
      <c r="AM813" s="299">
        <f t="shared" ca="1" si="80"/>
        <v>0.11458333333575865</v>
      </c>
      <c r="AN813" s="75"/>
      <c r="AO813" s="61" t="s">
        <v>2333</v>
      </c>
      <c r="AP813" s="91" t="s">
        <v>2314</v>
      </c>
      <c r="AQ813" s="59" t="s">
        <v>2334</v>
      </c>
      <c r="AR813" s="64">
        <v>44889.65625</v>
      </c>
      <c r="AS813" s="61" t="s">
        <v>95</v>
      </c>
      <c r="AT813" s="61" t="s">
        <v>225</v>
      </c>
      <c r="AU813" s="59">
        <v>0.65625</v>
      </c>
      <c r="AV813" s="61">
        <v>2</v>
      </c>
      <c r="AW813" s="61" t="s">
        <v>66</v>
      </c>
      <c r="AX813" s="76"/>
      <c r="AY813" s="76"/>
      <c r="AZ813" s="76"/>
      <c r="BA813" s="76"/>
      <c r="BB813" s="74"/>
    </row>
    <row r="814" spans="1:54" ht="15.75" thickBot="1" x14ac:dyDescent="0.3">
      <c r="A814" s="73">
        <v>484</v>
      </c>
      <c r="B814" s="72">
        <v>44889.541666666664</v>
      </c>
      <c r="C814" s="67">
        <v>0.54861111111111105</v>
      </c>
      <c r="D814" s="67">
        <v>0.5625</v>
      </c>
      <c r="E814" s="67">
        <v>0.57291666666666663</v>
      </c>
      <c r="F814" s="68" t="s">
        <v>171</v>
      </c>
      <c r="G814" s="68" t="s">
        <v>309</v>
      </c>
      <c r="H814" s="66" t="s">
        <v>2313</v>
      </c>
      <c r="I814" s="66" t="s">
        <v>2313</v>
      </c>
      <c r="J814" s="66" t="s">
        <v>37</v>
      </c>
      <c r="K814" s="66" t="s">
        <v>180</v>
      </c>
      <c r="L814" s="66" t="s">
        <v>206</v>
      </c>
      <c r="M814" s="68" t="s">
        <v>2314</v>
      </c>
      <c r="N814" s="68" t="s">
        <v>64</v>
      </c>
      <c r="O814" s="68" t="s">
        <v>2315</v>
      </c>
      <c r="P814" s="68" t="s">
        <v>2316</v>
      </c>
      <c r="Q814" s="303">
        <f t="shared" si="81"/>
        <v>0</v>
      </c>
      <c r="R814" s="303">
        <f t="shared" si="82"/>
        <v>0</v>
      </c>
      <c r="S814" s="68">
        <v>0</v>
      </c>
      <c r="T814" s="68">
        <v>0</v>
      </c>
      <c r="U814" s="68">
        <v>0</v>
      </c>
      <c r="V814" s="68">
        <v>0</v>
      </c>
      <c r="W814" s="68">
        <v>0</v>
      </c>
      <c r="X814" s="68">
        <v>107</v>
      </c>
      <c r="Y814" s="68">
        <v>38</v>
      </c>
      <c r="Z814" s="68">
        <v>15</v>
      </c>
      <c r="AA814" s="68">
        <v>38</v>
      </c>
      <c r="AB814" s="300">
        <f t="shared" si="83"/>
        <v>386.27</v>
      </c>
      <c r="AC814" s="300">
        <f t="shared" si="84"/>
        <v>2.3269277108433735</v>
      </c>
      <c r="AD814" s="68">
        <v>0</v>
      </c>
      <c r="AE814" s="68">
        <v>0</v>
      </c>
      <c r="AF814" s="68">
        <v>0</v>
      </c>
      <c r="AG814" s="68">
        <v>0</v>
      </c>
      <c r="AH814" s="68">
        <v>0</v>
      </c>
      <c r="AI814" s="309"/>
      <c r="AJ814" s="309"/>
      <c r="AK814" s="68" t="s">
        <v>48</v>
      </c>
      <c r="AL814" s="68" t="s">
        <v>47</v>
      </c>
      <c r="AM814" s="299">
        <f t="shared" ca="1" si="80"/>
        <v>0.11458333333575865</v>
      </c>
      <c r="AN814" s="75"/>
      <c r="AO814" s="61" t="s">
        <v>2333</v>
      </c>
      <c r="AP814" s="91" t="s">
        <v>2314</v>
      </c>
      <c r="AQ814" s="59" t="s">
        <v>2334</v>
      </c>
      <c r="AR814" s="64">
        <v>44889.65625</v>
      </c>
      <c r="AS814" s="61" t="s">
        <v>95</v>
      </c>
      <c r="AT814" s="61" t="s">
        <v>225</v>
      </c>
      <c r="AU814" s="59">
        <v>0.65625</v>
      </c>
      <c r="AV814" s="61">
        <v>2</v>
      </c>
      <c r="AW814" s="61" t="s">
        <v>66</v>
      </c>
      <c r="AX814" s="76"/>
      <c r="AY814" s="76"/>
      <c r="AZ814" s="76"/>
      <c r="BA814" s="76"/>
      <c r="BB814" s="74"/>
    </row>
    <row r="815" spans="1:54" ht="15.75" thickBot="1" x14ac:dyDescent="0.3">
      <c r="A815" s="73">
        <v>484</v>
      </c>
      <c r="B815" s="72">
        <v>44889.541666666664</v>
      </c>
      <c r="C815" s="67">
        <v>0.54861111111111105</v>
      </c>
      <c r="D815" s="67">
        <v>0.5625</v>
      </c>
      <c r="E815" s="67">
        <v>0.57291666666666663</v>
      </c>
      <c r="F815" s="68" t="s">
        <v>171</v>
      </c>
      <c r="G815" s="68" t="s">
        <v>309</v>
      </c>
      <c r="H815" s="66" t="s">
        <v>2313</v>
      </c>
      <c r="I815" s="66" t="s">
        <v>2313</v>
      </c>
      <c r="J815" s="66" t="s">
        <v>37</v>
      </c>
      <c r="K815" s="66" t="s">
        <v>180</v>
      </c>
      <c r="L815" s="66" t="s">
        <v>206</v>
      </c>
      <c r="M815" s="68" t="s">
        <v>2314</v>
      </c>
      <c r="N815" s="68" t="s">
        <v>64</v>
      </c>
      <c r="O815" s="68" t="s">
        <v>2315</v>
      </c>
      <c r="P815" s="68" t="s">
        <v>2316</v>
      </c>
      <c r="Q815" s="303">
        <f t="shared" si="81"/>
        <v>0</v>
      </c>
      <c r="R815" s="303">
        <f t="shared" si="82"/>
        <v>0</v>
      </c>
      <c r="S815" s="68">
        <v>0</v>
      </c>
      <c r="T815" s="68">
        <v>0</v>
      </c>
      <c r="U815" s="68">
        <v>0</v>
      </c>
      <c r="V815" s="68">
        <v>0</v>
      </c>
      <c r="W815" s="68">
        <v>0</v>
      </c>
      <c r="X815" s="68">
        <v>36</v>
      </c>
      <c r="Y815" s="68">
        <v>27</v>
      </c>
      <c r="Z815" s="68">
        <v>15</v>
      </c>
      <c r="AA815" s="68">
        <v>28</v>
      </c>
      <c r="AB815" s="300">
        <f t="shared" si="83"/>
        <v>68.040000000000006</v>
      </c>
      <c r="AC815" s="300">
        <f t="shared" si="84"/>
        <v>0.40987951807228917</v>
      </c>
      <c r="AD815" s="68">
        <v>0</v>
      </c>
      <c r="AE815" s="68">
        <v>0</v>
      </c>
      <c r="AF815" s="68">
        <v>0</v>
      </c>
      <c r="AG815" s="68">
        <v>0</v>
      </c>
      <c r="AH815" s="68">
        <v>0</v>
      </c>
      <c r="AI815" s="309"/>
      <c r="AJ815" s="309"/>
      <c r="AK815" s="68" t="s">
        <v>48</v>
      </c>
      <c r="AL815" s="68" t="s">
        <v>47</v>
      </c>
      <c r="AM815" s="299">
        <f t="shared" ca="1" si="80"/>
        <v>0.11458333333575865</v>
      </c>
      <c r="AN815" s="75"/>
      <c r="AO815" s="61" t="s">
        <v>2333</v>
      </c>
      <c r="AP815" s="91" t="s">
        <v>2314</v>
      </c>
      <c r="AQ815" s="59" t="s">
        <v>2334</v>
      </c>
      <c r="AR815" s="64">
        <v>44889.65625</v>
      </c>
      <c r="AS815" s="61" t="s">
        <v>95</v>
      </c>
      <c r="AT815" s="61" t="s">
        <v>225</v>
      </c>
      <c r="AU815" s="59">
        <v>0.65625</v>
      </c>
      <c r="AV815" s="61">
        <v>2</v>
      </c>
      <c r="AW815" s="61" t="s">
        <v>66</v>
      </c>
      <c r="AX815" s="76"/>
      <c r="AY815" s="76"/>
      <c r="AZ815" s="76"/>
      <c r="BA815" s="76"/>
      <c r="BB815" s="74"/>
    </row>
    <row r="816" spans="1:54" ht="15.75" thickBot="1" x14ac:dyDescent="0.3">
      <c r="A816" s="73">
        <v>484</v>
      </c>
      <c r="B816" s="72">
        <v>44889.541666666664</v>
      </c>
      <c r="C816" s="67">
        <v>0.54861111111111105</v>
      </c>
      <c r="D816" s="67">
        <v>0.5625</v>
      </c>
      <c r="E816" s="67">
        <v>0.57291666666666663</v>
      </c>
      <c r="F816" s="68" t="s">
        <v>171</v>
      </c>
      <c r="G816" s="68" t="s">
        <v>309</v>
      </c>
      <c r="H816" s="66" t="s">
        <v>2313</v>
      </c>
      <c r="I816" s="66" t="s">
        <v>2313</v>
      </c>
      <c r="J816" s="66" t="s">
        <v>37</v>
      </c>
      <c r="K816" s="66" t="s">
        <v>180</v>
      </c>
      <c r="L816" s="66" t="s">
        <v>206</v>
      </c>
      <c r="M816" s="68" t="s">
        <v>2314</v>
      </c>
      <c r="N816" s="68" t="s">
        <v>64</v>
      </c>
      <c r="O816" s="68" t="s">
        <v>2315</v>
      </c>
      <c r="P816" s="68" t="s">
        <v>2316</v>
      </c>
      <c r="Q816" s="303">
        <f t="shared" si="81"/>
        <v>0</v>
      </c>
      <c r="R816" s="303">
        <f t="shared" si="82"/>
        <v>0</v>
      </c>
      <c r="S816" s="68">
        <v>0</v>
      </c>
      <c r="T816" s="68">
        <v>0</v>
      </c>
      <c r="U816" s="68">
        <v>0</v>
      </c>
      <c r="V816" s="68">
        <v>0</v>
      </c>
      <c r="W816" s="68">
        <v>0</v>
      </c>
      <c r="X816" s="68">
        <v>120</v>
      </c>
      <c r="Y816" s="68">
        <v>78</v>
      </c>
      <c r="Z816" s="68">
        <v>85</v>
      </c>
      <c r="AA816" s="68">
        <v>4</v>
      </c>
      <c r="AB816" s="300">
        <f t="shared" si="83"/>
        <v>530.4</v>
      </c>
      <c r="AC816" s="300">
        <f t="shared" si="84"/>
        <v>3.1951807228915663</v>
      </c>
      <c r="AD816" s="68">
        <v>0</v>
      </c>
      <c r="AE816" s="68">
        <v>0</v>
      </c>
      <c r="AF816" s="68">
        <v>0</v>
      </c>
      <c r="AG816" s="68">
        <v>0</v>
      </c>
      <c r="AH816" s="68">
        <v>0</v>
      </c>
      <c r="AI816" s="309"/>
      <c r="AJ816" s="309"/>
      <c r="AK816" s="68" t="s">
        <v>37</v>
      </c>
      <c r="AL816" s="68" t="s">
        <v>47</v>
      </c>
      <c r="AM816" s="299">
        <f t="shared" ca="1" si="80"/>
        <v>0.11458333333575865</v>
      </c>
      <c r="AN816" s="75"/>
      <c r="AO816" s="61" t="s">
        <v>2333</v>
      </c>
      <c r="AP816" s="91" t="s">
        <v>2314</v>
      </c>
      <c r="AQ816" s="59" t="s">
        <v>2334</v>
      </c>
      <c r="AR816" s="64">
        <v>44889.65625</v>
      </c>
      <c r="AS816" s="61" t="s">
        <v>95</v>
      </c>
      <c r="AT816" s="61" t="s">
        <v>225</v>
      </c>
      <c r="AU816" s="59">
        <v>0.65625</v>
      </c>
      <c r="AV816" s="61">
        <v>2</v>
      </c>
      <c r="AW816" s="61" t="s">
        <v>66</v>
      </c>
      <c r="AX816" s="76"/>
      <c r="AY816" s="76"/>
      <c r="AZ816" s="76"/>
      <c r="BA816" s="76"/>
      <c r="BB816" s="74"/>
    </row>
    <row r="817" spans="1:54" ht="15.75" thickBot="1" x14ac:dyDescent="0.3">
      <c r="A817" s="73">
        <v>485</v>
      </c>
      <c r="B817" s="72">
        <v>44889.600694444445</v>
      </c>
      <c r="C817" s="67">
        <v>0.60416666666666663</v>
      </c>
      <c r="D817" s="67">
        <v>0.61458333333333337</v>
      </c>
      <c r="E817" s="67">
        <v>0.63194444444444442</v>
      </c>
      <c r="F817" s="68" t="s">
        <v>170</v>
      </c>
      <c r="G817" s="68" t="s">
        <v>481</v>
      </c>
      <c r="H817" s="66" t="s">
        <v>227</v>
      </c>
      <c r="I817" s="66" t="s">
        <v>189</v>
      </c>
      <c r="J817" s="66" t="s">
        <v>37</v>
      </c>
      <c r="K817" s="66" t="s">
        <v>63</v>
      </c>
      <c r="L817" s="66" t="s">
        <v>209</v>
      </c>
      <c r="M817" s="68" t="s">
        <v>2318</v>
      </c>
      <c r="N817" s="68" t="s">
        <v>42</v>
      </c>
      <c r="O817" s="77">
        <v>942943947</v>
      </c>
      <c r="P817" s="68">
        <v>4798</v>
      </c>
      <c r="Q817" s="303">
        <f t="shared" si="81"/>
        <v>3</v>
      </c>
      <c r="R817" s="303">
        <f t="shared" si="82"/>
        <v>1641</v>
      </c>
      <c r="S817" s="68">
        <v>0</v>
      </c>
      <c r="T817" s="68">
        <v>0</v>
      </c>
      <c r="U817" s="68">
        <v>3</v>
      </c>
      <c r="V817" s="38">
        <v>1641</v>
      </c>
      <c r="W817" s="38">
        <v>1443.95</v>
      </c>
      <c r="X817" s="68">
        <v>113</v>
      </c>
      <c r="Y817" s="68">
        <v>64</v>
      </c>
      <c r="Z817" s="68">
        <v>74</v>
      </c>
      <c r="AA817" s="68">
        <v>1</v>
      </c>
      <c r="AB817" s="300">
        <f t="shared" si="83"/>
        <v>89.194666666666663</v>
      </c>
      <c r="AC817" s="300">
        <f t="shared" si="84"/>
        <v>0.53731726907630517</v>
      </c>
      <c r="AD817" s="68" t="s">
        <v>2319</v>
      </c>
      <c r="AE817" s="68" t="s">
        <v>48</v>
      </c>
      <c r="AF817" s="68" t="s">
        <v>317</v>
      </c>
      <c r="AG817" s="68" t="s">
        <v>317</v>
      </c>
      <c r="AH817" s="68" t="s">
        <v>2320</v>
      </c>
      <c r="AI817" s="309"/>
      <c r="AJ817" s="309"/>
      <c r="AK817" s="68" t="s">
        <v>41</v>
      </c>
      <c r="AL817" s="68" t="s">
        <v>94</v>
      </c>
      <c r="AM817" s="299">
        <f t="shared" ca="1" si="80"/>
        <v>0.12152777777373558</v>
      </c>
      <c r="AN817" s="75"/>
      <c r="AO817" s="59" t="s">
        <v>89</v>
      </c>
      <c r="AP817" s="62" t="s">
        <v>2318</v>
      </c>
      <c r="AQ817" s="61" t="s">
        <v>2341</v>
      </c>
      <c r="AR817" s="64">
        <v>44889.722222222219</v>
      </c>
      <c r="AS817" s="61" t="s">
        <v>274</v>
      </c>
      <c r="AT817" s="61" t="s">
        <v>65</v>
      </c>
      <c r="AU817" s="63">
        <v>0.72222222222222221</v>
      </c>
      <c r="AV817" s="61">
        <v>1</v>
      </c>
      <c r="AW817" s="61" t="s">
        <v>66</v>
      </c>
      <c r="AX817" s="76"/>
      <c r="AY817" s="76"/>
      <c r="AZ817" s="76"/>
      <c r="BA817" s="76"/>
      <c r="BB817" s="74"/>
    </row>
    <row r="818" spans="1:54" ht="15.75" thickBot="1" x14ac:dyDescent="0.3">
      <c r="A818" s="73">
        <v>485</v>
      </c>
      <c r="B818" s="72">
        <v>44889.600694444445</v>
      </c>
      <c r="C818" s="67">
        <v>0.60416666666666663</v>
      </c>
      <c r="D818" s="67">
        <v>0.61458333333333337</v>
      </c>
      <c r="E818" s="67">
        <v>0.63194444444444442</v>
      </c>
      <c r="F818" s="68" t="s">
        <v>170</v>
      </c>
      <c r="G818" s="68" t="s">
        <v>481</v>
      </c>
      <c r="H818" s="66" t="s">
        <v>227</v>
      </c>
      <c r="I818" s="66" t="s">
        <v>189</v>
      </c>
      <c r="J818" s="66" t="s">
        <v>37</v>
      </c>
      <c r="K818" s="66" t="s">
        <v>63</v>
      </c>
      <c r="L818" s="66" t="s">
        <v>209</v>
      </c>
      <c r="M818" s="68" t="s">
        <v>2318</v>
      </c>
      <c r="N818" s="68" t="s">
        <v>42</v>
      </c>
      <c r="O818" s="77">
        <v>942943947</v>
      </c>
      <c r="P818" s="68">
        <v>4798</v>
      </c>
      <c r="Q818" s="303">
        <f t="shared" si="81"/>
        <v>0</v>
      </c>
      <c r="R818" s="303">
        <f t="shared" si="82"/>
        <v>0</v>
      </c>
      <c r="S818" s="68">
        <v>0</v>
      </c>
      <c r="T818" s="68">
        <v>0</v>
      </c>
      <c r="U818" s="68">
        <v>0</v>
      </c>
      <c r="V818" s="68">
        <v>0</v>
      </c>
      <c r="W818" s="68">
        <v>0</v>
      </c>
      <c r="X818" s="68">
        <v>160</v>
      </c>
      <c r="Y818" s="68">
        <v>138</v>
      </c>
      <c r="Z818" s="68">
        <v>78</v>
      </c>
      <c r="AA818" s="68">
        <v>2</v>
      </c>
      <c r="AB818" s="300">
        <f t="shared" si="83"/>
        <v>574.08000000000004</v>
      </c>
      <c r="AC818" s="300">
        <f t="shared" si="84"/>
        <v>3.4583132530120486</v>
      </c>
      <c r="AD818" s="68">
        <v>0</v>
      </c>
      <c r="AE818" s="68">
        <v>0</v>
      </c>
      <c r="AF818" s="68" t="s">
        <v>317</v>
      </c>
      <c r="AG818" s="68" t="s">
        <v>317</v>
      </c>
      <c r="AH818" s="68" t="s">
        <v>2320</v>
      </c>
      <c r="AI818" s="309"/>
      <c r="AJ818" s="309"/>
      <c r="AK818" s="68" t="s">
        <v>37</v>
      </c>
      <c r="AL818" s="68" t="s">
        <v>49</v>
      </c>
      <c r="AM818" s="299">
        <f t="shared" ca="1" si="80"/>
        <v>0.12152777777373558</v>
      </c>
      <c r="AN818" s="75"/>
      <c r="AO818" s="59" t="s">
        <v>89</v>
      </c>
      <c r="AP818" s="62" t="s">
        <v>2318</v>
      </c>
      <c r="AQ818" s="61" t="s">
        <v>2341</v>
      </c>
      <c r="AR818" s="64">
        <v>44889.722222222219</v>
      </c>
      <c r="AS818" s="61" t="s">
        <v>274</v>
      </c>
      <c r="AT818" s="61" t="s">
        <v>65</v>
      </c>
      <c r="AU818" s="63">
        <v>0.72222222222222221</v>
      </c>
      <c r="AV818" s="61">
        <v>1</v>
      </c>
      <c r="AW818" s="61" t="s">
        <v>66</v>
      </c>
      <c r="AX818" s="76"/>
      <c r="AY818" s="76"/>
      <c r="AZ818" s="76"/>
      <c r="BA818" s="76"/>
      <c r="BB818" s="74"/>
    </row>
    <row r="819" spans="1:54" ht="15.75" thickBot="1" x14ac:dyDescent="0.3">
      <c r="A819" s="73">
        <v>486</v>
      </c>
      <c r="B819" s="72">
        <v>44889.600694444445</v>
      </c>
      <c r="C819" s="67">
        <v>0.60416666666666663</v>
      </c>
      <c r="D819" s="67">
        <v>0.61458333333333337</v>
      </c>
      <c r="E819" s="67">
        <v>0.63194444444444442</v>
      </c>
      <c r="F819" s="68" t="s">
        <v>170</v>
      </c>
      <c r="G819" s="68" t="s">
        <v>481</v>
      </c>
      <c r="H819" s="66" t="s">
        <v>227</v>
      </c>
      <c r="I819" s="66" t="s">
        <v>189</v>
      </c>
      <c r="J819" s="66" t="s">
        <v>37</v>
      </c>
      <c r="K819" s="66" t="s">
        <v>63</v>
      </c>
      <c r="L819" s="66" t="s">
        <v>209</v>
      </c>
      <c r="M819" s="68" t="s">
        <v>2321</v>
      </c>
      <c r="N819" s="68" t="s">
        <v>43</v>
      </c>
      <c r="O819" s="68" t="s">
        <v>2322</v>
      </c>
      <c r="P819" s="68">
        <v>30845</v>
      </c>
      <c r="Q819" s="303">
        <f t="shared" si="81"/>
        <v>2</v>
      </c>
      <c r="R819" s="303">
        <f t="shared" si="82"/>
        <v>1170</v>
      </c>
      <c r="S819" s="68">
        <v>0</v>
      </c>
      <c r="T819" s="68">
        <v>0</v>
      </c>
      <c r="U819" s="68">
        <v>2</v>
      </c>
      <c r="V819" s="68">
        <v>1170</v>
      </c>
      <c r="W819" s="68">
        <v>1054.8599999999999</v>
      </c>
      <c r="X819" s="68">
        <v>160</v>
      </c>
      <c r="Y819" s="68">
        <v>74</v>
      </c>
      <c r="Z819" s="68">
        <v>79</v>
      </c>
      <c r="AA819" s="68">
        <v>1</v>
      </c>
      <c r="AB819" s="300">
        <f t="shared" si="83"/>
        <v>155.89333333333335</v>
      </c>
      <c r="AC819" s="300">
        <f t="shared" si="84"/>
        <v>0.93911646586345388</v>
      </c>
      <c r="AD819" s="68" t="s">
        <v>2319</v>
      </c>
      <c r="AE819" s="68" t="s">
        <v>48</v>
      </c>
      <c r="AF819" s="68" t="s">
        <v>317</v>
      </c>
      <c r="AG819" s="68" t="s">
        <v>317</v>
      </c>
      <c r="AH819" s="68" t="s">
        <v>2323</v>
      </c>
      <c r="AI819" s="309"/>
      <c r="AJ819" s="309"/>
      <c r="AK819" s="68" t="s">
        <v>37</v>
      </c>
      <c r="AL819" s="68" t="s">
        <v>49</v>
      </c>
      <c r="AM819" s="299">
        <f t="shared" ca="1" si="80"/>
        <v>0.86111111110949423</v>
      </c>
      <c r="AN819" s="75"/>
      <c r="AO819" s="61" t="s">
        <v>179</v>
      </c>
      <c r="AP819" s="91" t="s">
        <v>2321</v>
      </c>
      <c r="AQ819" s="59" t="s">
        <v>2398</v>
      </c>
      <c r="AR819" s="64">
        <v>44890.461805555555</v>
      </c>
      <c r="AS819" s="57" t="s">
        <v>117</v>
      </c>
      <c r="AT819" s="61" t="s">
        <v>225</v>
      </c>
      <c r="AU819" s="63">
        <v>0.46180555555555558</v>
      </c>
      <c r="AV819" s="61">
        <v>1</v>
      </c>
      <c r="AW819" s="61" t="s">
        <v>66</v>
      </c>
      <c r="AX819" s="76"/>
      <c r="AY819" s="76"/>
      <c r="AZ819" s="76"/>
      <c r="BA819" s="76"/>
      <c r="BB819" s="74"/>
    </row>
    <row r="820" spans="1:54" ht="15.75" thickBot="1" x14ac:dyDescent="0.3">
      <c r="A820" s="73">
        <v>486</v>
      </c>
      <c r="B820" s="72">
        <v>44889.600694444445</v>
      </c>
      <c r="C820" s="67">
        <v>0.60416666666666663</v>
      </c>
      <c r="D820" s="67">
        <v>0.61458333333333337</v>
      </c>
      <c r="E820" s="67">
        <v>0.63194444444444442</v>
      </c>
      <c r="F820" s="68" t="s">
        <v>170</v>
      </c>
      <c r="G820" s="68" t="s">
        <v>481</v>
      </c>
      <c r="H820" s="66" t="s">
        <v>227</v>
      </c>
      <c r="I820" s="66" t="s">
        <v>189</v>
      </c>
      <c r="J820" s="66" t="s">
        <v>37</v>
      </c>
      <c r="K820" s="66" t="s">
        <v>63</v>
      </c>
      <c r="L820" s="66" t="s">
        <v>209</v>
      </c>
      <c r="M820" s="68" t="s">
        <v>2321</v>
      </c>
      <c r="N820" s="68" t="s">
        <v>43</v>
      </c>
      <c r="O820" s="68" t="s">
        <v>2322</v>
      </c>
      <c r="P820" s="68">
        <v>30845</v>
      </c>
      <c r="Q820" s="303">
        <f t="shared" si="81"/>
        <v>0</v>
      </c>
      <c r="R820" s="303">
        <f t="shared" si="82"/>
        <v>0</v>
      </c>
      <c r="S820" s="68">
        <v>0</v>
      </c>
      <c r="T820" s="68">
        <v>0</v>
      </c>
      <c r="U820" s="68">
        <v>0</v>
      </c>
      <c r="V820" s="68">
        <v>0</v>
      </c>
      <c r="W820" s="68">
        <v>0</v>
      </c>
      <c r="X820" s="68">
        <v>160</v>
      </c>
      <c r="Y820" s="68">
        <v>138</v>
      </c>
      <c r="Z820" s="68">
        <v>78</v>
      </c>
      <c r="AA820" s="68">
        <v>1</v>
      </c>
      <c r="AB820" s="300">
        <f t="shared" si="83"/>
        <v>287.04000000000002</v>
      </c>
      <c r="AC820" s="300">
        <f t="shared" si="84"/>
        <v>1.7291566265060243</v>
      </c>
      <c r="AD820" s="68">
        <v>0</v>
      </c>
      <c r="AE820" s="68">
        <v>0</v>
      </c>
      <c r="AF820" s="68" t="s">
        <v>317</v>
      </c>
      <c r="AG820" s="68" t="s">
        <v>317</v>
      </c>
      <c r="AH820" s="68" t="s">
        <v>2323</v>
      </c>
      <c r="AI820" s="309"/>
      <c r="AJ820" s="309"/>
      <c r="AK820" s="68" t="s">
        <v>37</v>
      </c>
      <c r="AL820" s="68" t="s">
        <v>49</v>
      </c>
      <c r="AM820" s="299">
        <f t="shared" ca="1" si="80"/>
        <v>0.86111111110949423</v>
      </c>
      <c r="AN820" s="75"/>
      <c r="AO820" s="61" t="s">
        <v>179</v>
      </c>
      <c r="AP820" s="91" t="s">
        <v>2321</v>
      </c>
      <c r="AQ820" s="59" t="s">
        <v>2398</v>
      </c>
      <c r="AR820" s="64">
        <v>44890.461805555555</v>
      </c>
      <c r="AS820" s="57" t="s">
        <v>117</v>
      </c>
      <c r="AT820" s="61" t="s">
        <v>225</v>
      </c>
      <c r="AU820" s="63">
        <v>0.46180555555555558</v>
      </c>
      <c r="AV820" s="61">
        <v>1</v>
      </c>
      <c r="AW820" s="61" t="s">
        <v>66</v>
      </c>
      <c r="AX820" s="76"/>
      <c r="AY820" s="76"/>
      <c r="AZ820" s="76"/>
      <c r="BA820" s="76"/>
      <c r="BB820" s="74"/>
    </row>
    <row r="821" spans="1:54" ht="15.75" thickBot="1" x14ac:dyDescent="0.3">
      <c r="A821" s="73">
        <v>487</v>
      </c>
      <c r="B821" s="72">
        <v>44889.614583333336</v>
      </c>
      <c r="C821" s="67">
        <v>0.61805555555555558</v>
      </c>
      <c r="D821" s="67">
        <v>0.625</v>
      </c>
      <c r="E821" s="67">
        <v>0.64236111111111105</v>
      </c>
      <c r="F821" s="68" t="s">
        <v>170</v>
      </c>
      <c r="G821" s="68" t="s">
        <v>435</v>
      </c>
      <c r="H821" s="66" t="s">
        <v>356</v>
      </c>
      <c r="I821" s="66" t="s">
        <v>40</v>
      </c>
      <c r="J821" s="66" t="s">
        <v>37</v>
      </c>
      <c r="K821" s="66" t="s">
        <v>63</v>
      </c>
      <c r="L821" s="70" t="s">
        <v>206</v>
      </c>
      <c r="M821" s="68" t="s">
        <v>2324</v>
      </c>
      <c r="N821" s="68" t="s">
        <v>42</v>
      </c>
      <c r="O821" s="68">
        <v>8275002234</v>
      </c>
      <c r="P821" s="68">
        <v>4400013369</v>
      </c>
      <c r="Q821" s="303">
        <f t="shared" si="81"/>
        <v>1</v>
      </c>
      <c r="R821" s="303">
        <f t="shared" si="82"/>
        <v>191</v>
      </c>
      <c r="S821" s="68">
        <v>0</v>
      </c>
      <c r="T821" s="68">
        <v>0</v>
      </c>
      <c r="U821" s="68">
        <v>1</v>
      </c>
      <c r="V821" s="68">
        <v>191</v>
      </c>
      <c r="W821" s="68">
        <v>193</v>
      </c>
      <c r="X821" s="68">
        <v>87</v>
      </c>
      <c r="Y821" s="68">
        <v>64</v>
      </c>
      <c r="Z821" s="68">
        <v>71</v>
      </c>
      <c r="AA821" s="68">
        <v>1</v>
      </c>
      <c r="AB821" s="300">
        <f t="shared" si="83"/>
        <v>65.888000000000005</v>
      </c>
      <c r="AC821" s="300">
        <f t="shared" si="84"/>
        <v>0.39691566265060246</v>
      </c>
      <c r="AD821" s="68">
        <v>2409.25</v>
      </c>
      <c r="AE821" s="68" t="s">
        <v>109</v>
      </c>
      <c r="AF821" s="68" t="s">
        <v>317</v>
      </c>
      <c r="AG821" s="68" t="s">
        <v>317</v>
      </c>
      <c r="AH821" s="68" t="s">
        <v>2325</v>
      </c>
      <c r="AI821" s="309"/>
      <c r="AJ821" s="309"/>
      <c r="AK821" s="68" t="s">
        <v>37</v>
      </c>
      <c r="AL821" s="68" t="s">
        <v>94</v>
      </c>
      <c r="AM821" s="299">
        <f t="shared" ca="1" si="80"/>
        <v>1.8611111111094942</v>
      </c>
      <c r="AN821" s="75"/>
      <c r="AO821" s="61" t="s">
        <v>120</v>
      </c>
      <c r="AP821" s="91" t="s">
        <v>2324</v>
      </c>
      <c r="AQ821" s="59" t="s">
        <v>2504</v>
      </c>
      <c r="AR821" s="64">
        <v>44891.475694444445</v>
      </c>
      <c r="AS821" s="57" t="s">
        <v>176</v>
      </c>
      <c r="AT821" s="61" t="s">
        <v>225</v>
      </c>
      <c r="AU821" s="63">
        <v>0.47569444444444442</v>
      </c>
      <c r="AV821" s="61">
        <v>1</v>
      </c>
      <c r="AW821" s="61" t="s">
        <v>66</v>
      </c>
      <c r="AX821" s="76"/>
      <c r="AY821" s="76"/>
      <c r="AZ821" s="76"/>
      <c r="BA821" s="76"/>
      <c r="BB821" s="74"/>
    </row>
    <row r="822" spans="1:54" ht="15.75" thickBot="1" x14ac:dyDescent="0.3">
      <c r="A822" s="73">
        <v>488</v>
      </c>
      <c r="B822" s="72">
        <v>44889.614583333336</v>
      </c>
      <c r="C822" s="67">
        <v>0.61805555555555558</v>
      </c>
      <c r="D822" s="67">
        <v>0.625</v>
      </c>
      <c r="E822" s="67">
        <v>0.64236111111111105</v>
      </c>
      <c r="F822" s="68" t="s">
        <v>170</v>
      </c>
      <c r="G822" s="68" t="s">
        <v>435</v>
      </c>
      <c r="H822" s="66" t="s">
        <v>55</v>
      </c>
      <c r="I822" s="66" t="s">
        <v>71</v>
      </c>
      <c r="J822" s="66" t="s">
        <v>37</v>
      </c>
      <c r="K822" s="66" t="s">
        <v>63</v>
      </c>
      <c r="L822" s="66" t="s">
        <v>216</v>
      </c>
      <c r="M822" s="68" t="s">
        <v>2326</v>
      </c>
      <c r="N822" s="68" t="s">
        <v>139</v>
      </c>
      <c r="O822" s="68">
        <v>92200847</v>
      </c>
      <c r="P822" s="68" t="s">
        <v>2327</v>
      </c>
      <c r="Q822" s="303">
        <f t="shared" si="81"/>
        <v>1</v>
      </c>
      <c r="R822" s="303">
        <f t="shared" si="82"/>
        <v>89</v>
      </c>
      <c r="S822" s="68">
        <v>0</v>
      </c>
      <c r="T822" s="68">
        <v>0</v>
      </c>
      <c r="U822" s="68">
        <v>1</v>
      </c>
      <c r="V822" s="68">
        <v>89</v>
      </c>
      <c r="W822" s="68">
        <v>87.3</v>
      </c>
      <c r="X822" s="68">
        <v>55</v>
      </c>
      <c r="Y822" s="68">
        <v>55</v>
      </c>
      <c r="Z822" s="68">
        <v>39</v>
      </c>
      <c r="AA822" s="68">
        <v>1</v>
      </c>
      <c r="AB822" s="300">
        <f t="shared" si="83"/>
        <v>19.662500000000001</v>
      </c>
      <c r="AC822" s="300">
        <f t="shared" si="84"/>
        <v>0.1184487951807229</v>
      </c>
      <c r="AD822" s="68">
        <v>620.13</v>
      </c>
      <c r="AE822" s="68" t="s">
        <v>109</v>
      </c>
      <c r="AF822" s="68" t="s">
        <v>317</v>
      </c>
      <c r="AG822" s="68" t="s">
        <v>317</v>
      </c>
      <c r="AH822" s="68" t="s">
        <v>2328</v>
      </c>
      <c r="AI822" s="309"/>
      <c r="AJ822" s="309"/>
      <c r="AK822" s="68" t="s">
        <v>37</v>
      </c>
      <c r="AL822" s="68" t="s">
        <v>49</v>
      </c>
      <c r="AM822" s="299">
        <f t="shared" ca="1" si="80"/>
        <v>1.8611111111094942</v>
      </c>
      <c r="AN822" s="75"/>
      <c r="AO822" s="61" t="s">
        <v>72</v>
      </c>
      <c r="AP822" s="91" t="s">
        <v>2326</v>
      </c>
      <c r="AQ822" s="59" t="s">
        <v>2505</v>
      </c>
      <c r="AR822" s="64">
        <v>44891.475694444445</v>
      </c>
      <c r="AS822" s="57" t="s">
        <v>176</v>
      </c>
      <c r="AT822" s="61" t="s">
        <v>225</v>
      </c>
      <c r="AU822" s="63">
        <v>0.47569444444444442</v>
      </c>
      <c r="AV822" s="61">
        <v>1</v>
      </c>
      <c r="AW822" s="61" t="s">
        <v>66</v>
      </c>
      <c r="AX822" s="76"/>
      <c r="AY822" s="76"/>
      <c r="AZ822" s="76"/>
      <c r="BA822" s="76"/>
      <c r="BB822" s="74"/>
    </row>
    <row r="823" spans="1:54" ht="15.75" thickBot="1" x14ac:dyDescent="0.3">
      <c r="A823" s="73">
        <v>489</v>
      </c>
      <c r="B823" s="72">
        <v>44889.614583333336</v>
      </c>
      <c r="C823" s="67">
        <v>0.61805555555555558</v>
      </c>
      <c r="D823" s="67">
        <v>0.625</v>
      </c>
      <c r="E823" s="67">
        <v>0.64236111111111105</v>
      </c>
      <c r="F823" s="68" t="s">
        <v>170</v>
      </c>
      <c r="G823" s="68" t="s">
        <v>435</v>
      </c>
      <c r="H823" s="66" t="s">
        <v>55</v>
      </c>
      <c r="I823" s="66" t="s">
        <v>92</v>
      </c>
      <c r="J823" s="66" t="s">
        <v>37</v>
      </c>
      <c r="K823" s="66" t="s">
        <v>63</v>
      </c>
      <c r="L823" s="66" t="s">
        <v>216</v>
      </c>
      <c r="M823" s="68" t="s">
        <v>2392</v>
      </c>
      <c r="N823" s="68" t="s">
        <v>42</v>
      </c>
      <c r="O823" s="68">
        <v>92200848</v>
      </c>
      <c r="P823" s="68" t="s">
        <v>2329</v>
      </c>
      <c r="Q823" s="303">
        <f t="shared" si="81"/>
        <v>1</v>
      </c>
      <c r="R823" s="303">
        <f t="shared" si="82"/>
        <v>189</v>
      </c>
      <c r="S823" s="68">
        <v>0</v>
      </c>
      <c r="T823" s="68">
        <v>0</v>
      </c>
      <c r="U823" s="68">
        <v>1</v>
      </c>
      <c r="V823" s="68">
        <v>189</v>
      </c>
      <c r="W823" s="68">
        <v>186.8</v>
      </c>
      <c r="X823" s="68">
        <v>60</v>
      </c>
      <c r="Y823" s="68">
        <v>64</v>
      </c>
      <c r="Z823" s="68">
        <v>58</v>
      </c>
      <c r="AA823" s="68">
        <v>1</v>
      </c>
      <c r="AB823" s="300">
        <f t="shared" si="83"/>
        <v>37.119999999999997</v>
      </c>
      <c r="AC823" s="300">
        <f t="shared" si="84"/>
        <v>0.22361445783132528</v>
      </c>
      <c r="AD823" s="68">
        <v>3814.88</v>
      </c>
      <c r="AE823" s="68" t="s">
        <v>109</v>
      </c>
      <c r="AF823" s="68" t="s">
        <v>317</v>
      </c>
      <c r="AG823" s="68" t="s">
        <v>317</v>
      </c>
      <c r="AH823" s="68" t="s">
        <v>2330</v>
      </c>
      <c r="AI823" s="309"/>
      <c r="AJ823" s="309"/>
      <c r="AK823" s="68" t="s">
        <v>37</v>
      </c>
      <c r="AL823" s="68" t="s">
        <v>49</v>
      </c>
      <c r="AM823" s="299">
        <f t="shared" ca="1" si="80"/>
        <v>1.0277777777737356</v>
      </c>
      <c r="AN823" s="75"/>
      <c r="AO823" s="61" t="s">
        <v>83</v>
      </c>
      <c r="AP823" s="62" t="s">
        <v>2392</v>
      </c>
      <c r="AQ823" s="61" t="s">
        <v>2401</v>
      </c>
      <c r="AR823" s="64">
        <v>44890.642361111109</v>
      </c>
      <c r="AS823" s="61" t="s">
        <v>136</v>
      </c>
      <c r="AT823" s="61" t="s">
        <v>225</v>
      </c>
      <c r="AU823" s="63">
        <v>0.64236111111111105</v>
      </c>
      <c r="AV823" s="61">
        <v>1</v>
      </c>
      <c r="AW823" s="61" t="s">
        <v>66</v>
      </c>
      <c r="AX823" s="76"/>
      <c r="AY823" s="76"/>
      <c r="AZ823" s="76"/>
      <c r="BA823" s="76"/>
      <c r="BB823" s="74"/>
    </row>
    <row r="824" spans="1:54" ht="15.75" thickBot="1" x14ac:dyDescent="0.3">
      <c r="A824" s="73">
        <v>490</v>
      </c>
      <c r="B824" s="72">
        <v>44889.614583333336</v>
      </c>
      <c r="C824" s="67">
        <v>0.61805555555555558</v>
      </c>
      <c r="D824" s="67">
        <v>0.625</v>
      </c>
      <c r="E824" s="67">
        <v>0.64236111111111105</v>
      </c>
      <c r="F824" s="68" t="s">
        <v>170</v>
      </c>
      <c r="G824" s="68" t="s">
        <v>435</v>
      </c>
      <c r="H824" s="66" t="s">
        <v>45</v>
      </c>
      <c r="I824" s="66" t="s">
        <v>71</v>
      </c>
      <c r="J824" s="66" t="s">
        <v>37</v>
      </c>
      <c r="K824" s="66" t="s">
        <v>63</v>
      </c>
      <c r="L824" s="66" t="s">
        <v>215</v>
      </c>
      <c r="M824" s="68" t="s">
        <v>2331</v>
      </c>
      <c r="N824" s="68" t="s">
        <v>139</v>
      </c>
      <c r="O824" s="68">
        <v>3500731</v>
      </c>
      <c r="P824" s="68">
        <v>5051975586</v>
      </c>
      <c r="Q824" s="303">
        <f t="shared" si="81"/>
        <v>1</v>
      </c>
      <c r="R824" s="303">
        <f t="shared" si="82"/>
        <v>258</v>
      </c>
      <c r="S824" s="68">
        <v>0</v>
      </c>
      <c r="T824" s="68">
        <v>0</v>
      </c>
      <c r="U824" s="68">
        <v>1</v>
      </c>
      <c r="V824" s="68">
        <v>258</v>
      </c>
      <c r="W824" s="68">
        <v>248.47200000000001</v>
      </c>
      <c r="X824" s="68">
        <v>90</v>
      </c>
      <c r="Y824" s="68">
        <v>80</v>
      </c>
      <c r="Z824" s="68">
        <v>49</v>
      </c>
      <c r="AA824" s="68">
        <v>1</v>
      </c>
      <c r="AB824" s="300">
        <f t="shared" si="83"/>
        <v>58.8</v>
      </c>
      <c r="AC824" s="300">
        <f t="shared" si="84"/>
        <v>0.35421686746987951</v>
      </c>
      <c r="AD824" s="68">
        <v>9802.2999999999993</v>
      </c>
      <c r="AE824" s="68" t="s">
        <v>109</v>
      </c>
      <c r="AF824" s="68" t="s">
        <v>317</v>
      </c>
      <c r="AG824" s="68" t="s">
        <v>317</v>
      </c>
      <c r="AH824" s="68" t="s">
        <v>2332</v>
      </c>
      <c r="AI824" s="309"/>
      <c r="AJ824" s="309"/>
      <c r="AK824" s="68" t="s">
        <v>37</v>
      </c>
      <c r="AL824" s="68" t="s">
        <v>49</v>
      </c>
      <c r="AM824" s="299">
        <f t="shared" ca="1" si="80"/>
        <v>1.8611111111094942</v>
      </c>
      <c r="AN824" s="75"/>
      <c r="AO824" s="61" t="s">
        <v>72</v>
      </c>
      <c r="AP824" s="91" t="s">
        <v>2331</v>
      </c>
      <c r="AQ824" s="59" t="s">
        <v>2505</v>
      </c>
      <c r="AR824" s="64">
        <v>44891.475694444445</v>
      </c>
      <c r="AS824" s="57" t="s">
        <v>176</v>
      </c>
      <c r="AT824" s="61" t="s">
        <v>225</v>
      </c>
      <c r="AU824" s="63">
        <v>0.47569444444444442</v>
      </c>
      <c r="AV824" s="61">
        <v>1</v>
      </c>
      <c r="AW824" s="61" t="s">
        <v>66</v>
      </c>
      <c r="AX824" s="76"/>
      <c r="AY824" s="76"/>
      <c r="AZ824" s="76"/>
      <c r="BA824" s="76"/>
      <c r="BB824" s="74"/>
    </row>
    <row r="825" spans="1:54" x14ac:dyDescent="0.25">
      <c r="A825" s="73">
        <v>491</v>
      </c>
      <c r="B825" s="72">
        <v>44889.677083333336</v>
      </c>
      <c r="C825" s="67">
        <v>0.68055555555555547</v>
      </c>
      <c r="D825" s="67">
        <v>0.68402777777777779</v>
      </c>
      <c r="E825" s="67">
        <v>0.69444444444444453</v>
      </c>
      <c r="F825" s="68" t="s">
        <v>171</v>
      </c>
      <c r="G825" s="68" t="s">
        <v>811</v>
      </c>
      <c r="H825" s="71" t="s">
        <v>464</v>
      </c>
      <c r="I825" s="71" t="s">
        <v>374</v>
      </c>
      <c r="J825" s="71" t="s">
        <v>37</v>
      </c>
      <c r="K825" s="71" t="s">
        <v>241</v>
      </c>
      <c r="L825" s="71" t="s">
        <v>2344</v>
      </c>
      <c r="M825" s="68" t="s">
        <v>2345</v>
      </c>
      <c r="N825" s="68" t="s">
        <v>375</v>
      </c>
      <c r="O825" s="68" t="s">
        <v>2346</v>
      </c>
      <c r="P825" s="68">
        <v>60014292</v>
      </c>
      <c r="Q825" s="303">
        <f t="shared" si="81"/>
        <v>2</v>
      </c>
      <c r="R825" s="303">
        <f t="shared" si="82"/>
        <v>51</v>
      </c>
      <c r="S825" s="68">
        <v>1</v>
      </c>
      <c r="T825" s="68">
        <v>25</v>
      </c>
      <c r="U825" s="68">
        <v>1</v>
      </c>
      <c r="V825" s="68">
        <v>26</v>
      </c>
      <c r="W825" s="68">
        <v>53</v>
      </c>
      <c r="X825" s="68">
        <v>156</v>
      </c>
      <c r="Y825" s="68">
        <v>16</v>
      </c>
      <c r="Z825" s="68">
        <v>16</v>
      </c>
      <c r="AA825" s="68">
        <v>1</v>
      </c>
      <c r="AB825" s="300">
        <f t="shared" si="83"/>
        <v>6.6559999999999997</v>
      </c>
      <c r="AC825" s="300">
        <f t="shared" si="84"/>
        <v>4.0096385542168676E-2</v>
      </c>
      <c r="AD825" s="68" t="s">
        <v>2319</v>
      </c>
      <c r="AE825" s="68" t="s">
        <v>48</v>
      </c>
      <c r="AF825" s="68" t="s">
        <v>317</v>
      </c>
      <c r="AG825" s="68" t="s">
        <v>317</v>
      </c>
      <c r="AH825" s="68" t="s">
        <v>2347</v>
      </c>
      <c r="AI825" s="309"/>
      <c r="AJ825" s="309"/>
      <c r="AK825" s="68" t="s">
        <v>48</v>
      </c>
      <c r="AL825" s="68" t="s">
        <v>49</v>
      </c>
      <c r="AM825" s="299">
        <f t="shared" ca="1" si="80"/>
        <v>0.96527777777373558</v>
      </c>
      <c r="AN825" s="51"/>
      <c r="AO825" s="57" t="s">
        <v>379</v>
      </c>
      <c r="AP825" s="62" t="s">
        <v>2345</v>
      </c>
      <c r="AQ825" s="63" t="s">
        <v>2406</v>
      </c>
      <c r="AR825" s="64">
        <v>44890.642361111109</v>
      </c>
      <c r="AS825" s="61" t="s">
        <v>136</v>
      </c>
      <c r="AT825" s="61" t="s">
        <v>225</v>
      </c>
      <c r="AU825" s="63">
        <v>0.64236111111111105</v>
      </c>
      <c r="AV825" s="61">
        <v>1</v>
      </c>
      <c r="AW825" s="61" t="s">
        <v>66</v>
      </c>
      <c r="AX825" s="52"/>
      <c r="AY825" s="52"/>
      <c r="AZ825" s="52"/>
      <c r="BA825" s="52"/>
    </row>
    <row r="826" spans="1:54" ht="15.75" thickBot="1" x14ac:dyDescent="0.3">
      <c r="A826" s="73">
        <v>491</v>
      </c>
      <c r="B826" s="72">
        <v>44889.677083333336</v>
      </c>
      <c r="C826" s="67">
        <v>0.68055555555555547</v>
      </c>
      <c r="D826" s="67">
        <v>0.68402777777777779</v>
      </c>
      <c r="E826" s="67">
        <v>0.69444444444444453</v>
      </c>
      <c r="F826" s="68" t="s">
        <v>171</v>
      </c>
      <c r="G826" s="68" t="s">
        <v>811</v>
      </c>
      <c r="H826" s="66" t="s">
        <v>464</v>
      </c>
      <c r="I826" s="66" t="s">
        <v>374</v>
      </c>
      <c r="J826" s="66" t="s">
        <v>37</v>
      </c>
      <c r="K826" s="66" t="s">
        <v>241</v>
      </c>
      <c r="L826" s="66" t="s">
        <v>2344</v>
      </c>
      <c r="M826" s="68" t="s">
        <v>2345</v>
      </c>
      <c r="N826" s="68" t="s">
        <v>375</v>
      </c>
      <c r="O826" s="68" t="s">
        <v>2346</v>
      </c>
      <c r="P826" s="68">
        <v>60014292</v>
      </c>
      <c r="Q826" s="303">
        <f t="shared" si="81"/>
        <v>0</v>
      </c>
      <c r="R826" s="303">
        <f t="shared" si="82"/>
        <v>0</v>
      </c>
      <c r="S826" s="68">
        <v>0</v>
      </c>
      <c r="T826" s="68">
        <v>0</v>
      </c>
      <c r="U826" s="68">
        <v>0</v>
      </c>
      <c r="V826" s="68">
        <v>0</v>
      </c>
      <c r="W826" s="68">
        <v>0</v>
      </c>
      <c r="X826" s="68">
        <v>53</v>
      </c>
      <c r="Y826" s="68">
        <v>53</v>
      </c>
      <c r="Z826" s="68">
        <v>63</v>
      </c>
      <c r="AA826" s="68">
        <v>1</v>
      </c>
      <c r="AB826" s="300">
        <f t="shared" si="83"/>
        <v>29.494499999999999</v>
      </c>
      <c r="AC826" s="300">
        <f t="shared" si="84"/>
        <v>0.1776777108433735</v>
      </c>
      <c r="AD826" s="68">
        <v>0</v>
      </c>
      <c r="AE826" s="68">
        <v>0</v>
      </c>
      <c r="AF826" s="68" t="s">
        <v>317</v>
      </c>
      <c r="AG826" s="68" t="s">
        <v>317</v>
      </c>
      <c r="AH826" s="68" t="s">
        <v>2347</v>
      </c>
      <c r="AI826" s="309"/>
      <c r="AJ826" s="309"/>
      <c r="AK826" s="68" t="s">
        <v>41</v>
      </c>
      <c r="AL826" s="68" t="s">
        <v>49</v>
      </c>
      <c r="AM826" s="299">
        <f t="shared" ca="1" si="80"/>
        <v>0.96527777777373558</v>
      </c>
      <c r="AN826" s="51"/>
      <c r="AO826" s="57" t="s">
        <v>379</v>
      </c>
      <c r="AP826" s="62" t="s">
        <v>2345</v>
      </c>
      <c r="AQ826" s="63" t="s">
        <v>2406</v>
      </c>
      <c r="AR826" s="64">
        <v>44890.642361111109</v>
      </c>
      <c r="AS826" s="61" t="s">
        <v>136</v>
      </c>
      <c r="AT826" s="61" t="s">
        <v>225</v>
      </c>
      <c r="AU826" s="63">
        <v>0.64236111111111105</v>
      </c>
      <c r="AV826" s="61">
        <v>1</v>
      </c>
      <c r="AW826" s="61" t="s">
        <v>66</v>
      </c>
      <c r="AX826" s="52"/>
      <c r="AY826" s="52"/>
      <c r="AZ826" s="52"/>
      <c r="BA826" s="52"/>
    </row>
    <row r="827" spans="1:54" ht="15.75" thickBot="1" x14ac:dyDescent="0.3">
      <c r="A827" s="73">
        <v>492</v>
      </c>
      <c r="B827" s="72">
        <v>44889.795138888891</v>
      </c>
      <c r="C827" s="67">
        <v>0.79861111111111116</v>
      </c>
      <c r="D827" s="67">
        <v>0.80555555555555547</v>
      </c>
      <c r="E827" s="67">
        <v>0.80902777777777779</v>
      </c>
      <c r="F827" s="68" t="s">
        <v>171</v>
      </c>
      <c r="G827" s="68" t="s">
        <v>200</v>
      </c>
      <c r="H827" s="71" t="s">
        <v>75</v>
      </c>
      <c r="I827" s="71" t="s">
        <v>2348</v>
      </c>
      <c r="J827" s="71" t="s">
        <v>37</v>
      </c>
      <c r="K827" s="71" t="s">
        <v>180</v>
      </c>
      <c r="L827" s="47" t="s">
        <v>206</v>
      </c>
      <c r="M827" s="68" t="s">
        <v>2349</v>
      </c>
      <c r="N827" s="68" t="s">
        <v>74</v>
      </c>
      <c r="O827" s="68" t="s">
        <v>2350</v>
      </c>
      <c r="P827" s="68">
        <v>105545</v>
      </c>
      <c r="Q827" s="303">
        <f t="shared" si="81"/>
        <v>1</v>
      </c>
      <c r="R827" s="303">
        <f t="shared" si="82"/>
        <v>254</v>
      </c>
      <c r="S827" s="68">
        <v>0</v>
      </c>
      <c r="T827" s="68">
        <v>0</v>
      </c>
      <c r="U827" s="68">
        <v>1</v>
      </c>
      <c r="V827" s="68">
        <v>254</v>
      </c>
      <c r="W827" s="68">
        <v>250</v>
      </c>
      <c r="X827" s="68">
        <v>81</v>
      </c>
      <c r="Y827" s="68">
        <v>81</v>
      </c>
      <c r="Z827" s="68">
        <v>66</v>
      </c>
      <c r="AA827" s="68">
        <v>1</v>
      </c>
      <c r="AB827" s="300">
        <f t="shared" si="83"/>
        <v>72.171000000000006</v>
      </c>
      <c r="AC827" s="300">
        <f t="shared" si="84"/>
        <v>0.4347650602409639</v>
      </c>
      <c r="AD827" s="68">
        <v>1084.5</v>
      </c>
      <c r="AE827" s="68" t="s">
        <v>109</v>
      </c>
      <c r="AF827" s="68" t="s">
        <v>317</v>
      </c>
      <c r="AG827" s="68" t="s">
        <v>317</v>
      </c>
      <c r="AH827" s="68" t="s">
        <v>2351</v>
      </c>
      <c r="AI827" s="309"/>
      <c r="AJ827" s="309"/>
      <c r="AK827" s="68" t="s">
        <v>37</v>
      </c>
      <c r="AL827" s="68" t="s">
        <v>49</v>
      </c>
      <c r="AM827" s="299">
        <f t="shared" ca="1" si="80"/>
        <v>0.90625</v>
      </c>
      <c r="AN827" s="75"/>
      <c r="AO827" s="57" t="s">
        <v>2425</v>
      </c>
      <c r="AP827" s="62" t="s">
        <v>2349</v>
      </c>
      <c r="AQ827" s="63" t="s">
        <v>2426</v>
      </c>
      <c r="AR827" s="64">
        <v>44890.701388888891</v>
      </c>
      <c r="AS827" s="61" t="s">
        <v>200</v>
      </c>
      <c r="AT827" s="61">
        <v>407</v>
      </c>
      <c r="AU827" s="59">
        <v>0.70138888888888884</v>
      </c>
      <c r="AV827" s="61">
        <v>1</v>
      </c>
      <c r="AW827" s="61" t="s">
        <v>66</v>
      </c>
      <c r="AX827" s="76"/>
      <c r="AY827" s="76"/>
      <c r="AZ827" s="76"/>
      <c r="BA827" s="76"/>
      <c r="BB827" s="74"/>
    </row>
    <row r="828" spans="1:54" ht="15.75" thickBot="1" x14ac:dyDescent="0.3">
      <c r="A828" s="73">
        <v>493</v>
      </c>
      <c r="B828" s="72">
        <v>44890.413194444445</v>
      </c>
      <c r="C828" s="67">
        <v>0.41666666666666669</v>
      </c>
      <c r="D828" s="67">
        <v>0.4236111111111111</v>
      </c>
      <c r="E828" s="67">
        <v>0.43055555555555558</v>
      </c>
      <c r="F828" s="68" t="s">
        <v>171</v>
      </c>
      <c r="G828" s="68" t="s">
        <v>811</v>
      </c>
      <c r="H828" s="71" t="s">
        <v>2352</v>
      </c>
      <c r="I828" s="71" t="s">
        <v>2353</v>
      </c>
      <c r="J828" s="71" t="s">
        <v>37</v>
      </c>
      <c r="K828" s="71" t="s">
        <v>82</v>
      </c>
      <c r="L828" s="71">
        <v>0</v>
      </c>
      <c r="M828" s="68" t="s">
        <v>2354</v>
      </c>
      <c r="N828" s="68" t="s">
        <v>38</v>
      </c>
      <c r="O828" s="68" t="s">
        <v>2355</v>
      </c>
      <c r="P828" s="68">
        <v>109002</v>
      </c>
      <c r="Q828" s="303">
        <f t="shared" si="81"/>
        <v>2</v>
      </c>
      <c r="R828" s="303">
        <f t="shared" si="82"/>
        <v>229</v>
      </c>
      <c r="S828" s="68">
        <v>0</v>
      </c>
      <c r="T828" s="68">
        <v>0</v>
      </c>
      <c r="U828" s="68">
        <v>2</v>
      </c>
      <c r="V828" s="68">
        <v>229</v>
      </c>
      <c r="W828" s="68">
        <v>223</v>
      </c>
      <c r="X828" s="68">
        <v>80</v>
      </c>
      <c r="Y828" s="68">
        <v>80</v>
      </c>
      <c r="Z828" s="68">
        <v>66</v>
      </c>
      <c r="AA828" s="68">
        <v>1</v>
      </c>
      <c r="AB828" s="300">
        <f t="shared" si="83"/>
        <v>70.400000000000006</v>
      </c>
      <c r="AC828" s="300">
        <f t="shared" si="84"/>
        <v>0.42409638554216872</v>
      </c>
      <c r="AD828" s="68" t="s">
        <v>48</v>
      </c>
      <c r="AE828" s="68" t="s">
        <v>48</v>
      </c>
      <c r="AF828" s="68" t="s">
        <v>317</v>
      </c>
      <c r="AG828" s="68" t="s">
        <v>317</v>
      </c>
      <c r="AH828" s="68" t="s">
        <v>2356</v>
      </c>
      <c r="AI828" s="309"/>
      <c r="AJ828" s="309"/>
      <c r="AK828" s="68" t="s">
        <v>41</v>
      </c>
      <c r="AL828" s="68" t="s">
        <v>49</v>
      </c>
      <c r="AM828" s="299">
        <f t="shared" ca="1" si="80"/>
        <v>0.22916666666424135</v>
      </c>
      <c r="AN828" s="75"/>
      <c r="AO828" s="57" t="s">
        <v>147</v>
      </c>
      <c r="AP828" s="62" t="s">
        <v>2354</v>
      </c>
      <c r="AQ828" s="63" t="s">
        <v>2405</v>
      </c>
      <c r="AR828" s="64">
        <v>44890.642361111109</v>
      </c>
      <c r="AS828" s="61" t="s">
        <v>136</v>
      </c>
      <c r="AT828" s="61" t="s">
        <v>225</v>
      </c>
      <c r="AU828" s="63">
        <v>0.64236111111111105</v>
      </c>
      <c r="AV828" s="61">
        <v>1</v>
      </c>
      <c r="AW828" s="61" t="s">
        <v>66</v>
      </c>
      <c r="AX828" s="76"/>
      <c r="AY828" s="76"/>
      <c r="AZ828" s="76"/>
      <c r="BA828" s="76"/>
      <c r="BB828" s="74"/>
    </row>
    <row r="829" spans="1:54" ht="15.75" thickBot="1" x14ac:dyDescent="0.3">
      <c r="A829" s="73">
        <v>493</v>
      </c>
      <c r="B829" s="72">
        <v>44890.413194444445</v>
      </c>
      <c r="C829" s="67">
        <v>0.41666666666666669</v>
      </c>
      <c r="D829" s="67">
        <v>0.4236111111111111</v>
      </c>
      <c r="E829" s="67">
        <v>0.43055555555555558</v>
      </c>
      <c r="F829" s="68" t="s">
        <v>171</v>
      </c>
      <c r="G829" s="68" t="s">
        <v>811</v>
      </c>
      <c r="H829" s="66" t="s">
        <v>2352</v>
      </c>
      <c r="I829" s="66" t="s">
        <v>2353</v>
      </c>
      <c r="J829" s="66" t="s">
        <v>37</v>
      </c>
      <c r="K829" s="66" t="s">
        <v>82</v>
      </c>
      <c r="L829" s="66">
        <v>0</v>
      </c>
      <c r="M829" s="68" t="s">
        <v>2354</v>
      </c>
      <c r="N829" s="68" t="s">
        <v>38</v>
      </c>
      <c r="O829" s="68" t="s">
        <v>2355</v>
      </c>
      <c r="P829" s="68">
        <v>109002</v>
      </c>
      <c r="Q829" s="303">
        <f t="shared" si="81"/>
        <v>0</v>
      </c>
      <c r="R829" s="303">
        <f t="shared" si="82"/>
        <v>0</v>
      </c>
      <c r="S829" s="68">
        <v>0</v>
      </c>
      <c r="T829" s="68">
        <v>0</v>
      </c>
      <c r="U829" s="68">
        <v>0</v>
      </c>
      <c r="V829" s="68">
        <v>0</v>
      </c>
      <c r="W829" s="68">
        <v>0</v>
      </c>
      <c r="X829" s="68">
        <v>116</v>
      </c>
      <c r="Y829" s="68">
        <v>108</v>
      </c>
      <c r="Z829" s="68">
        <v>71</v>
      </c>
      <c r="AA829" s="68">
        <v>1</v>
      </c>
      <c r="AB829" s="300">
        <f t="shared" si="83"/>
        <v>148.24799999999999</v>
      </c>
      <c r="AC829" s="300">
        <f t="shared" si="84"/>
        <v>0.89306024096385539</v>
      </c>
      <c r="AD829" s="68">
        <v>0</v>
      </c>
      <c r="AE829" s="68">
        <v>0</v>
      </c>
      <c r="AF829" s="68" t="s">
        <v>317</v>
      </c>
      <c r="AG829" s="68" t="s">
        <v>317</v>
      </c>
      <c r="AH829" s="68" t="s">
        <v>2356</v>
      </c>
      <c r="AI829" s="309"/>
      <c r="AJ829" s="309"/>
      <c r="AK829" s="68" t="s">
        <v>41</v>
      </c>
      <c r="AL829" s="68" t="s">
        <v>49</v>
      </c>
      <c r="AM829" s="299">
        <f t="shared" ca="1" si="80"/>
        <v>0.22916666666424135</v>
      </c>
      <c r="AN829" s="75"/>
      <c r="AO829" s="57" t="s">
        <v>147</v>
      </c>
      <c r="AP829" s="62" t="s">
        <v>2354</v>
      </c>
      <c r="AQ829" s="63" t="s">
        <v>2405</v>
      </c>
      <c r="AR829" s="64">
        <v>44890.642361111109</v>
      </c>
      <c r="AS829" s="61" t="s">
        <v>136</v>
      </c>
      <c r="AT829" s="61" t="s">
        <v>225</v>
      </c>
      <c r="AU829" s="63">
        <v>0.64236111111111105</v>
      </c>
      <c r="AV829" s="61">
        <v>1</v>
      </c>
      <c r="AW829" s="61" t="s">
        <v>66</v>
      </c>
      <c r="AX829" s="76"/>
      <c r="AY829" s="76"/>
      <c r="AZ829" s="76"/>
      <c r="BA829" s="76"/>
      <c r="BB829" s="74"/>
    </row>
    <row r="830" spans="1:54" ht="15.75" thickBot="1" x14ac:dyDescent="0.3">
      <c r="A830" s="73">
        <v>494</v>
      </c>
      <c r="B830" s="72">
        <v>44890.416666666664</v>
      </c>
      <c r="C830" s="67">
        <v>0.4236111111111111</v>
      </c>
      <c r="D830" s="67">
        <v>0.43055555555555558</v>
      </c>
      <c r="E830" s="67">
        <v>0.46180555555555558</v>
      </c>
      <c r="F830" s="68" t="s">
        <v>171</v>
      </c>
      <c r="G830" s="68" t="s">
        <v>117</v>
      </c>
      <c r="H830" s="66" t="s">
        <v>342</v>
      </c>
      <c r="I830" s="66" t="s">
        <v>342</v>
      </c>
      <c r="J830" s="66" t="s">
        <v>37</v>
      </c>
      <c r="K830" s="66" t="s">
        <v>180</v>
      </c>
      <c r="L830" s="70" t="s">
        <v>206</v>
      </c>
      <c r="M830" s="68" t="s">
        <v>2357</v>
      </c>
      <c r="N830" s="68" t="s">
        <v>175</v>
      </c>
      <c r="O830" s="68" t="s">
        <v>2358</v>
      </c>
      <c r="P830" s="68" t="s">
        <v>510</v>
      </c>
      <c r="Q830" s="303">
        <f t="shared" si="81"/>
        <v>5</v>
      </c>
      <c r="R830" s="303">
        <f t="shared" si="82"/>
        <v>3062</v>
      </c>
      <c r="S830" s="68">
        <v>0</v>
      </c>
      <c r="T830" s="68">
        <v>0</v>
      </c>
      <c r="U830" s="68">
        <v>5</v>
      </c>
      <c r="V830" s="38">
        <v>3062</v>
      </c>
      <c r="W830" s="38">
        <v>2850</v>
      </c>
      <c r="X830" s="68">
        <v>99</v>
      </c>
      <c r="Y830" s="68">
        <v>99</v>
      </c>
      <c r="Z830" s="68">
        <v>76</v>
      </c>
      <c r="AA830" s="68">
        <v>4</v>
      </c>
      <c r="AB830" s="300">
        <f t="shared" si="83"/>
        <v>496.584</v>
      </c>
      <c r="AC830" s="300">
        <f t="shared" si="84"/>
        <v>2.9914698795180725</v>
      </c>
      <c r="AD830" s="68">
        <v>28860.240000000002</v>
      </c>
      <c r="AE830" s="68" t="s">
        <v>109</v>
      </c>
      <c r="AF830" s="68" t="s">
        <v>317</v>
      </c>
      <c r="AG830" s="68" t="s">
        <v>317</v>
      </c>
      <c r="AH830" s="68" t="s">
        <v>2359</v>
      </c>
      <c r="AI830" s="309"/>
      <c r="AJ830" s="309"/>
      <c r="AK830" s="68" t="s">
        <v>37</v>
      </c>
      <c r="AL830" s="68" t="s">
        <v>54</v>
      </c>
      <c r="AM830" s="299">
        <f t="shared" ca="1" si="80"/>
        <v>0.30208333333575865</v>
      </c>
      <c r="AN830" s="75"/>
      <c r="AO830" s="57" t="s">
        <v>181</v>
      </c>
      <c r="AP830" s="62" t="s">
        <v>2357</v>
      </c>
      <c r="AQ830" s="63" t="s">
        <v>2427</v>
      </c>
      <c r="AR830" s="64">
        <v>44890.71875</v>
      </c>
      <c r="AS830" s="57" t="s">
        <v>173</v>
      </c>
      <c r="AT830" s="61" t="s">
        <v>225</v>
      </c>
      <c r="AU830" s="63">
        <v>0.71875</v>
      </c>
      <c r="AV830" s="61">
        <v>5</v>
      </c>
      <c r="AW830" s="61" t="s">
        <v>66</v>
      </c>
      <c r="AX830" s="76"/>
      <c r="AY830" s="76"/>
      <c r="AZ830" s="76"/>
      <c r="BA830" s="76"/>
      <c r="BB830" s="74"/>
    </row>
    <row r="831" spans="1:54" ht="15.75" thickBot="1" x14ac:dyDescent="0.3">
      <c r="A831" s="73">
        <v>494</v>
      </c>
      <c r="B831" s="72">
        <v>44890.416666666664</v>
      </c>
      <c r="C831" s="67">
        <v>0.4236111111111111</v>
      </c>
      <c r="D831" s="67">
        <v>0.43055555555555558</v>
      </c>
      <c r="E831" s="67">
        <v>0.46180555555555558</v>
      </c>
      <c r="F831" s="68" t="s">
        <v>171</v>
      </c>
      <c r="G831" s="68" t="s">
        <v>117</v>
      </c>
      <c r="H831" s="66" t="s">
        <v>342</v>
      </c>
      <c r="I831" s="66" t="s">
        <v>342</v>
      </c>
      <c r="J831" s="66" t="s">
        <v>37</v>
      </c>
      <c r="K831" s="66" t="s">
        <v>180</v>
      </c>
      <c r="L831" s="70" t="s">
        <v>206</v>
      </c>
      <c r="M831" s="68" t="s">
        <v>2357</v>
      </c>
      <c r="N831" s="68" t="s">
        <v>175</v>
      </c>
      <c r="O831" s="68" t="s">
        <v>2358</v>
      </c>
      <c r="P831" s="68" t="s">
        <v>510</v>
      </c>
      <c r="Q831" s="303">
        <f t="shared" si="81"/>
        <v>0</v>
      </c>
      <c r="R831" s="303">
        <f t="shared" si="82"/>
        <v>0</v>
      </c>
      <c r="S831" s="68">
        <v>0</v>
      </c>
      <c r="T831" s="68">
        <v>0</v>
      </c>
      <c r="U831" s="68">
        <v>0</v>
      </c>
      <c r="V831" s="68">
        <v>0</v>
      </c>
      <c r="W831" s="68">
        <v>0</v>
      </c>
      <c r="X831" s="68">
        <v>85</v>
      </c>
      <c r="Y831" s="68">
        <v>83</v>
      </c>
      <c r="Z831" s="68">
        <v>78</v>
      </c>
      <c r="AA831" s="68">
        <v>1</v>
      </c>
      <c r="AB831" s="300">
        <f t="shared" si="83"/>
        <v>91.715000000000003</v>
      </c>
      <c r="AC831" s="300">
        <f t="shared" si="84"/>
        <v>0.55249999999999999</v>
      </c>
      <c r="AD831" s="68">
        <v>0</v>
      </c>
      <c r="AE831" s="68">
        <v>0</v>
      </c>
      <c r="AF831" s="68" t="s">
        <v>317</v>
      </c>
      <c r="AG831" s="68" t="s">
        <v>317</v>
      </c>
      <c r="AH831" s="68" t="s">
        <v>2359</v>
      </c>
      <c r="AI831" s="309"/>
      <c r="AJ831" s="309"/>
      <c r="AK831" s="68" t="s">
        <v>37</v>
      </c>
      <c r="AL831" s="68" t="s">
        <v>54</v>
      </c>
      <c r="AM831" s="299">
        <f t="shared" ca="1" si="80"/>
        <v>0.30208333333575865</v>
      </c>
      <c r="AN831" s="75"/>
      <c r="AO831" s="57" t="s">
        <v>181</v>
      </c>
      <c r="AP831" s="62" t="s">
        <v>2357</v>
      </c>
      <c r="AQ831" s="63" t="s">
        <v>2427</v>
      </c>
      <c r="AR831" s="64">
        <v>44890.71875</v>
      </c>
      <c r="AS831" s="57" t="s">
        <v>173</v>
      </c>
      <c r="AT831" s="61" t="s">
        <v>225</v>
      </c>
      <c r="AU831" s="63">
        <v>0.71875</v>
      </c>
      <c r="AV831" s="61">
        <v>5</v>
      </c>
      <c r="AW831" s="61" t="s">
        <v>66</v>
      </c>
      <c r="AX831" s="76"/>
      <c r="AY831" s="76"/>
      <c r="AZ831" s="76"/>
      <c r="BA831" s="76"/>
      <c r="BB831" s="74"/>
    </row>
    <row r="832" spans="1:54" ht="15.75" thickBot="1" x14ac:dyDescent="0.3">
      <c r="A832" s="73">
        <v>495</v>
      </c>
      <c r="B832" s="72">
        <v>44890.416666666664</v>
      </c>
      <c r="C832" s="67">
        <v>0.4236111111111111</v>
      </c>
      <c r="D832" s="67">
        <v>0.43055555555555558</v>
      </c>
      <c r="E832" s="67">
        <v>0.47569444444444442</v>
      </c>
      <c r="F832" s="68" t="s">
        <v>171</v>
      </c>
      <c r="G832" s="68" t="s">
        <v>117</v>
      </c>
      <c r="H832" s="66" t="s">
        <v>342</v>
      </c>
      <c r="I832" s="66" t="s">
        <v>342</v>
      </c>
      <c r="J832" s="66" t="s">
        <v>37</v>
      </c>
      <c r="K832" s="66" t="s">
        <v>180</v>
      </c>
      <c r="L832" s="70" t="s">
        <v>206</v>
      </c>
      <c r="M832" s="68" t="s">
        <v>2360</v>
      </c>
      <c r="N832" s="68" t="s">
        <v>44</v>
      </c>
      <c r="O832" s="68" t="s">
        <v>2361</v>
      </c>
      <c r="P832" s="68" t="s">
        <v>473</v>
      </c>
      <c r="Q832" s="303">
        <f t="shared" si="81"/>
        <v>6</v>
      </c>
      <c r="R832" s="303">
        <f t="shared" si="82"/>
        <v>3074</v>
      </c>
      <c r="S832" s="68">
        <v>0</v>
      </c>
      <c r="T832" s="68">
        <v>0</v>
      </c>
      <c r="U832" s="68">
        <v>6</v>
      </c>
      <c r="V832" s="68">
        <v>3074</v>
      </c>
      <c r="W832" s="68">
        <v>3000</v>
      </c>
      <c r="X832" s="68">
        <v>99</v>
      </c>
      <c r="Y832" s="68">
        <v>99</v>
      </c>
      <c r="Z832" s="68">
        <v>76</v>
      </c>
      <c r="AA832" s="68">
        <v>2</v>
      </c>
      <c r="AB832" s="300">
        <f t="shared" si="83"/>
        <v>248.292</v>
      </c>
      <c r="AC832" s="300">
        <f t="shared" si="84"/>
        <v>1.4957349397590363</v>
      </c>
      <c r="AD832" s="68">
        <v>22691.52</v>
      </c>
      <c r="AE832" s="68" t="s">
        <v>109</v>
      </c>
      <c r="AF832" s="68" t="s">
        <v>317</v>
      </c>
      <c r="AG832" s="68" t="s">
        <v>317</v>
      </c>
      <c r="AH832" s="68" t="s">
        <v>2362</v>
      </c>
      <c r="AI832" s="309"/>
      <c r="AJ832" s="309"/>
      <c r="AK832" s="68" t="s">
        <v>37</v>
      </c>
      <c r="AL832" s="68" t="s">
        <v>54</v>
      </c>
      <c r="AM832" s="299">
        <f t="shared" ca="1" si="80"/>
        <v>0.25</v>
      </c>
      <c r="AN832" s="75"/>
      <c r="AO832" s="59" t="s">
        <v>53</v>
      </c>
      <c r="AP832" s="62" t="s">
        <v>2360</v>
      </c>
      <c r="AQ832" s="61" t="s">
        <v>2408</v>
      </c>
      <c r="AR832" s="64">
        <v>44890.666666666664</v>
      </c>
      <c r="AS832" s="61" t="s">
        <v>95</v>
      </c>
      <c r="AT832" s="61" t="s">
        <v>225</v>
      </c>
      <c r="AU832" s="59">
        <v>0.66666666666666663</v>
      </c>
      <c r="AV832" s="61">
        <v>1</v>
      </c>
      <c r="AW832" s="61" t="s">
        <v>66</v>
      </c>
      <c r="AX832" s="76"/>
      <c r="AY832" s="76"/>
      <c r="AZ832" s="76"/>
      <c r="BA832" s="76"/>
      <c r="BB832" s="74"/>
    </row>
    <row r="833" spans="1:54" ht="15.75" thickBot="1" x14ac:dyDescent="0.3">
      <c r="A833" s="73">
        <v>495</v>
      </c>
      <c r="B833" s="72">
        <v>44890.416666666664</v>
      </c>
      <c r="C833" s="67">
        <v>0.4236111111111111</v>
      </c>
      <c r="D833" s="67">
        <v>0.43055555555555558</v>
      </c>
      <c r="E833" s="67">
        <v>0.47569444444444442</v>
      </c>
      <c r="F833" s="68" t="s">
        <v>171</v>
      </c>
      <c r="G833" s="68" t="s">
        <v>117</v>
      </c>
      <c r="H833" s="66" t="s">
        <v>342</v>
      </c>
      <c r="I833" s="66" t="s">
        <v>342</v>
      </c>
      <c r="J833" s="66" t="s">
        <v>37</v>
      </c>
      <c r="K833" s="66" t="s">
        <v>180</v>
      </c>
      <c r="L833" s="70" t="s">
        <v>206</v>
      </c>
      <c r="M833" s="68" t="s">
        <v>2360</v>
      </c>
      <c r="N833" s="68" t="s">
        <v>44</v>
      </c>
      <c r="O833" s="68" t="s">
        <v>2361</v>
      </c>
      <c r="P833" s="68" t="s">
        <v>473</v>
      </c>
      <c r="Q833" s="303">
        <f t="shared" si="81"/>
        <v>0</v>
      </c>
      <c r="R833" s="303">
        <f t="shared" si="82"/>
        <v>0</v>
      </c>
      <c r="S833" s="68">
        <v>0</v>
      </c>
      <c r="T833" s="68">
        <v>0</v>
      </c>
      <c r="U833" s="68">
        <v>0</v>
      </c>
      <c r="V833" s="68">
        <v>0</v>
      </c>
      <c r="W833" s="68">
        <v>0</v>
      </c>
      <c r="X833" s="68">
        <v>84</v>
      </c>
      <c r="Y833" s="68">
        <v>83</v>
      </c>
      <c r="Z833" s="68">
        <v>78</v>
      </c>
      <c r="AA833" s="68">
        <v>4</v>
      </c>
      <c r="AB833" s="300">
        <f t="shared" si="83"/>
        <v>362.54399999999998</v>
      </c>
      <c r="AC833" s="300">
        <f t="shared" si="84"/>
        <v>2.1839999999999997</v>
      </c>
      <c r="AD833" s="68">
        <v>0</v>
      </c>
      <c r="AE833" s="68">
        <v>0</v>
      </c>
      <c r="AF833" s="68" t="s">
        <v>317</v>
      </c>
      <c r="AG833" s="68" t="s">
        <v>317</v>
      </c>
      <c r="AH833" s="68" t="s">
        <v>2362</v>
      </c>
      <c r="AI833" s="309"/>
      <c r="AJ833" s="309"/>
      <c r="AK833" s="68" t="s">
        <v>37</v>
      </c>
      <c r="AL833" s="68" t="s">
        <v>54</v>
      </c>
      <c r="AM833" s="299">
        <f t="shared" ca="1" si="80"/>
        <v>0.25</v>
      </c>
      <c r="AN833" s="75"/>
      <c r="AO833" s="59" t="s">
        <v>53</v>
      </c>
      <c r="AP833" s="62" t="s">
        <v>2360</v>
      </c>
      <c r="AQ833" s="61" t="s">
        <v>2408</v>
      </c>
      <c r="AR833" s="64">
        <v>44890.666666666664</v>
      </c>
      <c r="AS833" s="61" t="s">
        <v>95</v>
      </c>
      <c r="AT833" s="61" t="s">
        <v>225</v>
      </c>
      <c r="AU833" s="59">
        <v>0.66666666666666663</v>
      </c>
      <c r="AV833" s="61">
        <v>1</v>
      </c>
      <c r="AW833" s="61" t="s">
        <v>66</v>
      </c>
      <c r="AX833" s="76"/>
      <c r="AY833" s="76"/>
      <c r="AZ833" s="76"/>
      <c r="BA833" s="76"/>
      <c r="BB833" s="74"/>
    </row>
    <row r="834" spans="1:54" ht="15.75" thickBot="1" x14ac:dyDescent="0.3">
      <c r="A834" s="73">
        <v>496</v>
      </c>
      <c r="B834" s="72">
        <v>44890.416666666664</v>
      </c>
      <c r="C834" s="67">
        <v>0.4236111111111111</v>
      </c>
      <c r="D834" s="67">
        <v>0.43055555555555558</v>
      </c>
      <c r="E834" s="67">
        <v>0.47569444444444442</v>
      </c>
      <c r="F834" s="68" t="s">
        <v>171</v>
      </c>
      <c r="G834" s="68" t="s">
        <v>173</v>
      </c>
      <c r="H834" s="66" t="s">
        <v>342</v>
      </c>
      <c r="I834" s="66" t="s">
        <v>342</v>
      </c>
      <c r="J834" s="66" t="s">
        <v>37</v>
      </c>
      <c r="K834" s="66" t="s">
        <v>180</v>
      </c>
      <c r="L834" s="70" t="s">
        <v>206</v>
      </c>
      <c r="M834" s="68" t="s">
        <v>2363</v>
      </c>
      <c r="N834" s="68" t="s">
        <v>42</v>
      </c>
      <c r="O834" s="68" t="s">
        <v>2364</v>
      </c>
      <c r="P834" s="68" t="s">
        <v>1897</v>
      </c>
      <c r="Q834" s="303">
        <f t="shared" si="81"/>
        <v>9</v>
      </c>
      <c r="R834" s="303">
        <f t="shared" si="82"/>
        <v>4491</v>
      </c>
      <c r="S834" s="68">
        <v>0</v>
      </c>
      <c r="T834" s="68">
        <v>0</v>
      </c>
      <c r="U834" s="68">
        <v>9</v>
      </c>
      <c r="V834" s="68">
        <v>4491</v>
      </c>
      <c r="W834" s="68">
        <v>4400</v>
      </c>
      <c r="X834" s="68">
        <v>99</v>
      </c>
      <c r="Y834" s="68">
        <v>99</v>
      </c>
      <c r="Z834" s="68">
        <v>75</v>
      </c>
      <c r="AA834" s="68">
        <v>9</v>
      </c>
      <c r="AB834" s="300">
        <f t="shared" si="83"/>
        <v>1102.6125</v>
      </c>
      <c r="AC834" s="300">
        <f t="shared" si="84"/>
        <v>6.6422439759036145</v>
      </c>
      <c r="AD834" s="68">
        <v>38943.24</v>
      </c>
      <c r="AE834" s="68" t="s">
        <v>109</v>
      </c>
      <c r="AF834" s="68" t="s">
        <v>317</v>
      </c>
      <c r="AG834" s="68" t="s">
        <v>317</v>
      </c>
      <c r="AH834" s="68" t="s">
        <v>2365</v>
      </c>
      <c r="AI834" s="309"/>
      <c r="AJ834" s="309"/>
      <c r="AK834" s="68" t="s">
        <v>37</v>
      </c>
      <c r="AL834" s="68" t="s">
        <v>54</v>
      </c>
      <c r="AM834" s="299">
        <f t="shared" ca="1" si="80"/>
        <v>0.11805555555474712</v>
      </c>
      <c r="AN834" s="75"/>
      <c r="AO834" s="61" t="s">
        <v>107</v>
      </c>
      <c r="AP834" s="91" t="s">
        <v>2363</v>
      </c>
      <c r="AQ834" s="59" t="s">
        <v>2400</v>
      </c>
      <c r="AR834" s="64">
        <v>44890.534722222219</v>
      </c>
      <c r="AS834" s="57" t="s">
        <v>173</v>
      </c>
      <c r="AT834" s="61" t="s">
        <v>225</v>
      </c>
      <c r="AU834" s="63">
        <v>0.53472222222222221</v>
      </c>
      <c r="AV834" s="61">
        <v>1</v>
      </c>
      <c r="AW834" s="61" t="s">
        <v>66</v>
      </c>
      <c r="AX834" s="76"/>
      <c r="AY834" s="76"/>
      <c r="AZ834" s="76"/>
      <c r="BA834" s="76"/>
      <c r="BB834" s="74"/>
    </row>
    <row r="835" spans="1:54" ht="15.75" thickBot="1" x14ac:dyDescent="0.3">
      <c r="A835" s="73">
        <v>497</v>
      </c>
      <c r="B835" s="72">
        <v>44890.475694444445</v>
      </c>
      <c r="C835" s="67">
        <v>0.47916666666666669</v>
      </c>
      <c r="D835" s="67">
        <v>0.48958333333333331</v>
      </c>
      <c r="E835" s="67">
        <v>0.5</v>
      </c>
      <c r="F835" s="68" t="s">
        <v>170</v>
      </c>
      <c r="G835" s="68" t="s">
        <v>2366</v>
      </c>
      <c r="H835" s="66" t="s">
        <v>332</v>
      </c>
      <c r="I835" s="66" t="s">
        <v>429</v>
      </c>
      <c r="J835" s="66" t="s">
        <v>37</v>
      </c>
      <c r="K835" s="66" t="s">
        <v>63</v>
      </c>
      <c r="L835" s="70" t="s">
        <v>206</v>
      </c>
      <c r="M835" s="68" t="s">
        <v>2367</v>
      </c>
      <c r="N835" s="68" t="s">
        <v>42</v>
      </c>
      <c r="O835" s="68">
        <v>2053092321</v>
      </c>
      <c r="P835" s="68" t="s">
        <v>2368</v>
      </c>
      <c r="Q835" s="303">
        <f t="shared" si="81"/>
        <v>2</v>
      </c>
      <c r="R835" s="303">
        <f t="shared" si="82"/>
        <v>163</v>
      </c>
      <c r="S835" s="68">
        <v>0</v>
      </c>
      <c r="T835" s="68">
        <v>0</v>
      </c>
      <c r="U835" s="68">
        <v>2</v>
      </c>
      <c r="V835" s="68">
        <v>163</v>
      </c>
      <c r="W835" s="68">
        <v>177</v>
      </c>
      <c r="X835" s="68">
        <v>46</v>
      </c>
      <c r="Y835" s="68">
        <v>43</v>
      </c>
      <c r="Z835" s="68">
        <v>39</v>
      </c>
      <c r="AA835" s="68">
        <v>2</v>
      </c>
      <c r="AB835" s="300">
        <f t="shared" si="83"/>
        <v>25.713999999999999</v>
      </c>
      <c r="AC835" s="300">
        <f t="shared" si="84"/>
        <v>0.15490361445783132</v>
      </c>
      <c r="AD835" s="68">
        <v>327.84</v>
      </c>
      <c r="AE835" s="68" t="s">
        <v>109</v>
      </c>
      <c r="AF835" s="68" t="s">
        <v>317</v>
      </c>
      <c r="AG835" s="68" t="s">
        <v>317</v>
      </c>
      <c r="AH835" s="68" t="s">
        <v>2369</v>
      </c>
      <c r="AI835" s="309"/>
      <c r="AJ835" s="309"/>
      <c r="AK835" s="68" t="s">
        <v>41</v>
      </c>
      <c r="AL835" s="68" t="s">
        <v>56</v>
      </c>
      <c r="AM835" s="299">
        <f t="shared" ca="1" si="80"/>
        <v>1</v>
      </c>
      <c r="AN835" s="75"/>
      <c r="AO835" s="61" t="s">
        <v>120</v>
      </c>
      <c r="AP835" s="91" t="s">
        <v>2367</v>
      </c>
      <c r="AQ835" s="59" t="s">
        <v>2504</v>
      </c>
      <c r="AR835" s="64">
        <v>44891.475694444445</v>
      </c>
      <c r="AS835" s="57" t="s">
        <v>176</v>
      </c>
      <c r="AT835" s="61" t="s">
        <v>225</v>
      </c>
      <c r="AU835" s="63">
        <v>0.47569444444444442</v>
      </c>
      <c r="AV835" s="61">
        <v>1</v>
      </c>
      <c r="AW835" s="61" t="s">
        <v>66</v>
      </c>
      <c r="AX835" s="76"/>
      <c r="AY835" s="76"/>
      <c r="AZ835" s="76"/>
      <c r="BA835" s="76"/>
      <c r="BB835" s="74"/>
    </row>
    <row r="836" spans="1:54" ht="15.75" thickBot="1" x14ac:dyDescent="0.3">
      <c r="A836" s="73">
        <v>498</v>
      </c>
      <c r="B836" s="72">
        <v>44890.475694444445</v>
      </c>
      <c r="C836" s="67">
        <v>0.47916666666666669</v>
      </c>
      <c r="D836" s="67">
        <v>0.48958333333333331</v>
      </c>
      <c r="E836" s="67">
        <v>0.5</v>
      </c>
      <c r="F836" s="68" t="s">
        <v>170</v>
      </c>
      <c r="G836" s="68" t="s">
        <v>2366</v>
      </c>
      <c r="H836" s="66" t="s">
        <v>332</v>
      </c>
      <c r="I836" s="66" t="s">
        <v>429</v>
      </c>
      <c r="J836" s="66" t="s">
        <v>37</v>
      </c>
      <c r="K836" s="66" t="s">
        <v>63</v>
      </c>
      <c r="L836" s="70" t="s">
        <v>206</v>
      </c>
      <c r="M836" s="68" t="s">
        <v>2370</v>
      </c>
      <c r="N836" s="68" t="s">
        <v>42</v>
      </c>
      <c r="O836" s="68">
        <v>2053092322</v>
      </c>
      <c r="P836" s="68">
        <v>14895</v>
      </c>
      <c r="Q836" s="303">
        <f t="shared" si="81"/>
        <v>1</v>
      </c>
      <c r="R836" s="303">
        <f t="shared" si="82"/>
        <v>17</v>
      </c>
      <c r="S836" s="68">
        <v>0</v>
      </c>
      <c r="T836" s="68">
        <v>0</v>
      </c>
      <c r="U836" s="68">
        <v>1</v>
      </c>
      <c r="V836" s="68">
        <v>17</v>
      </c>
      <c r="W836" s="68">
        <v>17</v>
      </c>
      <c r="X836" s="68">
        <v>30</v>
      </c>
      <c r="Y836" s="68">
        <v>30</v>
      </c>
      <c r="Z836" s="68">
        <v>33</v>
      </c>
      <c r="AA836" s="68">
        <v>1</v>
      </c>
      <c r="AB836" s="300">
        <f t="shared" si="83"/>
        <v>4.95</v>
      </c>
      <c r="AC836" s="300">
        <f t="shared" si="84"/>
        <v>2.9819277108433736E-2</v>
      </c>
      <c r="AD836" s="68">
        <v>349.61</v>
      </c>
      <c r="AE836" s="68" t="s">
        <v>109</v>
      </c>
      <c r="AF836" s="68" t="s">
        <v>317</v>
      </c>
      <c r="AG836" s="68" t="s">
        <v>317</v>
      </c>
      <c r="AH836" s="68" t="s">
        <v>2371</v>
      </c>
      <c r="AI836" s="309"/>
      <c r="AJ836" s="309"/>
      <c r="AK836" s="68" t="s">
        <v>41</v>
      </c>
      <c r="AL836" s="68" t="s">
        <v>56</v>
      </c>
      <c r="AM836" s="299">
        <f t="shared" ca="1" si="80"/>
        <v>1</v>
      </c>
      <c r="AN836" s="75"/>
      <c r="AO836" s="61" t="s">
        <v>120</v>
      </c>
      <c r="AP836" s="91" t="s">
        <v>2367</v>
      </c>
      <c r="AQ836" s="59" t="s">
        <v>2504</v>
      </c>
      <c r="AR836" s="64">
        <v>44891.475694444445</v>
      </c>
      <c r="AS836" s="57" t="s">
        <v>176</v>
      </c>
      <c r="AT836" s="61" t="s">
        <v>225</v>
      </c>
      <c r="AU836" s="63">
        <v>0.47569444444444442</v>
      </c>
      <c r="AV836" s="61">
        <v>1</v>
      </c>
      <c r="AW836" s="61" t="s">
        <v>66</v>
      </c>
      <c r="AX836" s="76"/>
      <c r="AY836" s="76"/>
      <c r="AZ836" s="76"/>
      <c r="BA836" s="76"/>
      <c r="BB836" s="74"/>
    </row>
    <row r="837" spans="1:54" ht="15.75" thickBot="1" x14ac:dyDescent="0.3">
      <c r="A837" s="73">
        <v>499</v>
      </c>
      <c r="B837" s="72">
        <v>44890.475694444445</v>
      </c>
      <c r="C837" s="67">
        <v>0.47916666666666669</v>
      </c>
      <c r="D837" s="67">
        <v>0.48958333333333331</v>
      </c>
      <c r="E837" s="67">
        <v>0.5</v>
      </c>
      <c r="F837" s="68" t="s">
        <v>170</v>
      </c>
      <c r="G837" s="68" t="s">
        <v>2366</v>
      </c>
      <c r="H837" s="66" t="s">
        <v>332</v>
      </c>
      <c r="I837" s="66" t="s">
        <v>429</v>
      </c>
      <c r="J837" s="66" t="s">
        <v>37</v>
      </c>
      <c r="K837" s="66" t="s">
        <v>63</v>
      </c>
      <c r="L837" s="70" t="s">
        <v>206</v>
      </c>
      <c r="M837" s="68" t="s">
        <v>2372</v>
      </c>
      <c r="N837" s="68" t="s">
        <v>42</v>
      </c>
      <c r="O837" s="68">
        <v>2053092323</v>
      </c>
      <c r="P837" s="68" t="s">
        <v>2373</v>
      </c>
      <c r="Q837" s="303">
        <f t="shared" si="81"/>
        <v>6</v>
      </c>
      <c r="R837" s="303">
        <f t="shared" si="82"/>
        <v>298</v>
      </c>
      <c r="S837" s="68">
        <v>0</v>
      </c>
      <c r="T837" s="68">
        <v>0</v>
      </c>
      <c r="U837" s="68">
        <v>6</v>
      </c>
      <c r="V837" s="68">
        <v>298</v>
      </c>
      <c r="W837" s="68">
        <v>275</v>
      </c>
      <c r="X837" s="68">
        <v>92</v>
      </c>
      <c r="Y837" s="68">
        <v>61</v>
      </c>
      <c r="Z837" s="68">
        <v>40</v>
      </c>
      <c r="AA837" s="68">
        <v>1</v>
      </c>
      <c r="AB837" s="300">
        <f t="shared" si="83"/>
        <v>37.413333333333334</v>
      </c>
      <c r="AC837" s="300">
        <f t="shared" si="84"/>
        <v>0.22538152610441767</v>
      </c>
      <c r="AD837" s="68">
        <v>1816.19</v>
      </c>
      <c r="AE837" s="68" t="s">
        <v>109</v>
      </c>
      <c r="AF837" s="68" t="s">
        <v>317</v>
      </c>
      <c r="AG837" s="68" t="s">
        <v>317</v>
      </c>
      <c r="AH837" s="68" t="s">
        <v>2374</v>
      </c>
      <c r="AI837" s="309"/>
      <c r="AJ837" s="309"/>
      <c r="AK837" s="68" t="s">
        <v>41</v>
      </c>
      <c r="AL837" s="68" t="s">
        <v>56</v>
      </c>
      <c r="AM837" s="299">
        <f t="shared" ca="1" si="80"/>
        <v>1</v>
      </c>
      <c r="AN837" s="75"/>
      <c r="AO837" s="61" t="s">
        <v>120</v>
      </c>
      <c r="AP837" s="91" t="s">
        <v>2367</v>
      </c>
      <c r="AQ837" s="59" t="s">
        <v>2504</v>
      </c>
      <c r="AR837" s="64">
        <v>44891.475694444445</v>
      </c>
      <c r="AS837" s="57" t="s">
        <v>176</v>
      </c>
      <c r="AT837" s="61" t="s">
        <v>225</v>
      </c>
      <c r="AU837" s="63">
        <v>0.47569444444444442</v>
      </c>
      <c r="AV837" s="61">
        <v>1</v>
      </c>
      <c r="AW837" s="61" t="s">
        <v>66</v>
      </c>
      <c r="AX837" s="76"/>
      <c r="AY837" s="76"/>
      <c r="AZ837" s="76"/>
      <c r="BA837" s="76"/>
      <c r="BB837" s="74"/>
    </row>
    <row r="838" spans="1:54" ht="15.75" thickBot="1" x14ac:dyDescent="0.3">
      <c r="A838" s="73">
        <v>499</v>
      </c>
      <c r="B838" s="72">
        <v>44890.475694444445</v>
      </c>
      <c r="C838" s="67">
        <v>0.47916666666666669</v>
      </c>
      <c r="D838" s="67">
        <v>0.48958333333333331</v>
      </c>
      <c r="E838" s="67">
        <v>0.5</v>
      </c>
      <c r="F838" s="68" t="s">
        <v>170</v>
      </c>
      <c r="G838" s="68" t="s">
        <v>2366</v>
      </c>
      <c r="H838" s="66" t="s">
        <v>332</v>
      </c>
      <c r="I838" s="66" t="s">
        <v>429</v>
      </c>
      <c r="J838" s="66" t="s">
        <v>37</v>
      </c>
      <c r="K838" s="66" t="s">
        <v>63</v>
      </c>
      <c r="L838" s="70" t="s">
        <v>206</v>
      </c>
      <c r="M838" s="68" t="s">
        <v>2372</v>
      </c>
      <c r="N838" s="68" t="s">
        <v>42</v>
      </c>
      <c r="O838" s="68">
        <v>2053092323</v>
      </c>
      <c r="P838" s="68" t="s">
        <v>2373</v>
      </c>
      <c r="Q838" s="303">
        <f t="shared" si="81"/>
        <v>0</v>
      </c>
      <c r="R838" s="303">
        <f t="shared" si="82"/>
        <v>0</v>
      </c>
      <c r="S838" s="68">
        <v>0</v>
      </c>
      <c r="T838" s="68">
        <v>0</v>
      </c>
      <c r="U838" s="68">
        <v>0</v>
      </c>
      <c r="V838" s="68">
        <v>0</v>
      </c>
      <c r="W838" s="68">
        <v>0</v>
      </c>
      <c r="X838" s="68">
        <v>77</v>
      </c>
      <c r="Y838" s="68">
        <v>56</v>
      </c>
      <c r="Z838" s="68">
        <v>60</v>
      </c>
      <c r="AA838" s="68">
        <v>1</v>
      </c>
      <c r="AB838" s="300">
        <f t="shared" si="83"/>
        <v>43.12</v>
      </c>
      <c r="AC838" s="300">
        <f t="shared" si="84"/>
        <v>0.25975903614457829</v>
      </c>
      <c r="AD838" s="68">
        <v>0</v>
      </c>
      <c r="AE838" s="68">
        <v>0</v>
      </c>
      <c r="AF838" s="68" t="s">
        <v>317</v>
      </c>
      <c r="AG838" s="68" t="s">
        <v>317</v>
      </c>
      <c r="AH838" s="68" t="s">
        <v>2374</v>
      </c>
      <c r="AI838" s="309"/>
      <c r="AJ838" s="309"/>
      <c r="AK838" s="68" t="s">
        <v>41</v>
      </c>
      <c r="AL838" s="68" t="s">
        <v>56</v>
      </c>
      <c r="AM838" s="299">
        <f t="shared" ca="1" si="80"/>
        <v>1</v>
      </c>
      <c r="AN838" s="75"/>
      <c r="AO838" s="61" t="s">
        <v>120</v>
      </c>
      <c r="AP838" s="91" t="s">
        <v>2367</v>
      </c>
      <c r="AQ838" s="59" t="s">
        <v>2504</v>
      </c>
      <c r="AR838" s="64">
        <v>44891.475694444445</v>
      </c>
      <c r="AS838" s="57" t="s">
        <v>176</v>
      </c>
      <c r="AT838" s="61" t="s">
        <v>225</v>
      </c>
      <c r="AU838" s="63">
        <v>0.47569444444444442</v>
      </c>
      <c r="AV838" s="61">
        <v>1</v>
      </c>
      <c r="AW838" s="61" t="s">
        <v>66</v>
      </c>
      <c r="AX838" s="76"/>
      <c r="AY838" s="76"/>
      <c r="AZ838" s="76"/>
      <c r="BA838" s="76"/>
      <c r="BB838" s="74"/>
    </row>
    <row r="839" spans="1:54" ht="15.75" thickBot="1" x14ac:dyDescent="0.3">
      <c r="A839" s="73">
        <v>499</v>
      </c>
      <c r="B839" s="72">
        <v>44890.475694444445</v>
      </c>
      <c r="C839" s="67">
        <v>0.47916666666666669</v>
      </c>
      <c r="D839" s="67">
        <v>0.48958333333333331</v>
      </c>
      <c r="E839" s="67">
        <v>0.5</v>
      </c>
      <c r="F839" s="68" t="s">
        <v>170</v>
      </c>
      <c r="G839" s="68" t="s">
        <v>2366</v>
      </c>
      <c r="H839" s="66" t="s">
        <v>332</v>
      </c>
      <c r="I839" s="66" t="s">
        <v>429</v>
      </c>
      <c r="J839" s="66" t="s">
        <v>37</v>
      </c>
      <c r="K839" s="66" t="s">
        <v>63</v>
      </c>
      <c r="L839" s="70" t="s">
        <v>206</v>
      </c>
      <c r="M839" s="68" t="s">
        <v>2372</v>
      </c>
      <c r="N839" s="68" t="s">
        <v>42</v>
      </c>
      <c r="O839" s="68">
        <v>2053092323</v>
      </c>
      <c r="P839" s="68" t="s">
        <v>2373</v>
      </c>
      <c r="Q839" s="303">
        <f t="shared" si="81"/>
        <v>0</v>
      </c>
      <c r="R839" s="303">
        <f t="shared" si="82"/>
        <v>0</v>
      </c>
      <c r="S839" s="68">
        <v>0</v>
      </c>
      <c r="T839" s="68">
        <v>0</v>
      </c>
      <c r="U839" s="68">
        <v>0</v>
      </c>
      <c r="V839" s="68">
        <v>0</v>
      </c>
      <c r="W839" s="68">
        <v>0</v>
      </c>
      <c r="X839" s="68">
        <v>30</v>
      </c>
      <c r="Y839" s="68">
        <v>30</v>
      </c>
      <c r="Z839" s="68">
        <v>33</v>
      </c>
      <c r="AA839" s="68">
        <v>2</v>
      </c>
      <c r="AB839" s="300">
        <f t="shared" si="83"/>
        <v>9.9</v>
      </c>
      <c r="AC839" s="300">
        <f t="shared" si="84"/>
        <v>5.9638554216867472E-2</v>
      </c>
      <c r="AD839" s="68">
        <v>0</v>
      </c>
      <c r="AE839" s="68">
        <v>0</v>
      </c>
      <c r="AF839" s="68" t="s">
        <v>317</v>
      </c>
      <c r="AG839" s="68" t="s">
        <v>317</v>
      </c>
      <c r="AH839" s="68" t="s">
        <v>2374</v>
      </c>
      <c r="AI839" s="309"/>
      <c r="AJ839" s="309"/>
      <c r="AK839" s="68" t="s">
        <v>41</v>
      </c>
      <c r="AL839" s="68" t="s">
        <v>56</v>
      </c>
      <c r="AM839" s="299">
        <f t="shared" ca="1" si="80"/>
        <v>1</v>
      </c>
      <c r="AN839" s="75"/>
      <c r="AO839" s="61" t="s">
        <v>120</v>
      </c>
      <c r="AP839" s="91" t="s">
        <v>2367</v>
      </c>
      <c r="AQ839" s="59" t="s">
        <v>2504</v>
      </c>
      <c r="AR839" s="64">
        <v>44891.475694444445</v>
      </c>
      <c r="AS839" s="57" t="s">
        <v>176</v>
      </c>
      <c r="AT839" s="61" t="s">
        <v>225</v>
      </c>
      <c r="AU839" s="63">
        <v>0.47569444444444442</v>
      </c>
      <c r="AV839" s="61">
        <v>1</v>
      </c>
      <c r="AW839" s="61" t="s">
        <v>66</v>
      </c>
      <c r="AX839" s="76"/>
      <c r="AY839" s="76"/>
      <c r="AZ839" s="76"/>
      <c r="BA839" s="76"/>
      <c r="BB839" s="74"/>
    </row>
    <row r="840" spans="1:54" ht="15.75" thickBot="1" x14ac:dyDescent="0.3">
      <c r="A840" s="73">
        <v>499</v>
      </c>
      <c r="B840" s="72">
        <v>44890.475694444445</v>
      </c>
      <c r="C840" s="67">
        <v>0.47916666666666669</v>
      </c>
      <c r="D840" s="67">
        <v>0.48958333333333331</v>
      </c>
      <c r="E840" s="67">
        <v>0.5</v>
      </c>
      <c r="F840" s="68" t="s">
        <v>170</v>
      </c>
      <c r="G840" s="68" t="s">
        <v>2366</v>
      </c>
      <c r="H840" s="66" t="s">
        <v>332</v>
      </c>
      <c r="I840" s="66" t="s">
        <v>429</v>
      </c>
      <c r="J840" s="66" t="s">
        <v>37</v>
      </c>
      <c r="K840" s="66" t="s">
        <v>63</v>
      </c>
      <c r="L840" s="70" t="s">
        <v>206</v>
      </c>
      <c r="M840" s="68" t="s">
        <v>2372</v>
      </c>
      <c r="N840" s="68" t="s">
        <v>42</v>
      </c>
      <c r="O840" s="68">
        <v>2053092323</v>
      </c>
      <c r="P840" s="68" t="s">
        <v>2373</v>
      </c>
      <c r="Q840" s="303">
        <f t="shared" si="81"/>
        <v>0</v>
      </c>
      <c r="R840" s="303">
        <f t="shared" si="82"/>
        <v>0</v>
      </c>
      <c r="S840" s="68">
        <v>0</v>
      </c>
      <c r="T840" s="68">
        <v>0</v>
      </c>
      <c r="U840" s="68">
        <v>0</v>
      </c>
      <c r="V840" s="68">
        <v>0</v>
      </c>
      <c r="W840" s="68">
        <v>0</v>
      </c>
      <c r="X840" s="68">
        <v>51</v>
      </c>
      <c r="Y840" s="68">
        <v>40</v>
      </c>
      <c r="Z840" s="68">
        <v>41</v>
      </c>
      <c r="AA840" s="68">
        <v>2</v>
      </c>
      <c r="AB840" s="300">
        <f t="shared" si="83"/>
        <v>27.88</v>
      </c>
      <c r="AC840" s="300">
        <f t="shared" si="84"/>
        <v>0.16795180722891564</v>
      </c>
      <c r="AD840" s="68">
        <v>0</v>
      </c>
      <c r="AE840" s="68">
        <v>0</v>
      </c>
      <c r="AF840" s="68" t="s">
        <v>317</v>
      </c>
      <c r="AG840" s="68" t="s">
        <v>317</v>
      </c>
      <c r="AH840" s="68" t="s">
        <v>2374</v>
      </c>
      <c r="AI840" s="309"/>
      <c r="AJ840" s="309"/>
      <c r="AK840" s="68" t="s">
        <v>41</v>
      </c>
      <c r="AL840" s="68" t="s">
        <v>56</v>
      </c>
      <c r="AM840" s="299">
        <f t="shared" ca="1" si="80"/>
        <v>1</v>
      </c>
      <c r="AN840" s="75"/>
      <c r="AO840" s="61" t="s">
        <v>120</v>
      </c>
      <c r="AP840" s="91" t="s">
        <v>2367</v>
      </c>
      <c r="AQ840" s="59" t="s">
        <v>2504</v>
      </c>
      <c r="AR840" s="64">
        <v>44891.475694444445</v>
      </c>
      <c r="AS840" s="57" t="s">
        <v>176</v>
      </c>
      <c r="AT840" s="61" t="s">
        <v>225</v>
      </c>
      <c r="AU840" s="63">
        <v>0.47569444444444442</v>
      </c>
      <c r="AV840" s="61">
        <v>1</v>
      </c>
      <c r="AW840" s="61" t="s">
        <v>66</v>
      </c>
      <c r="AX840" s="76"/>
      <c r="AY840" s="76"/>
      <c r="AZ840" s="76"/>
      <c r="BA840" s="76"/>
      <c r="BB840" s="74"/>
    </row>
    <row r="841" spans="1:54" ht="15.75" thickBot="1" x14ac:dyDescent="0.3">
      <c r="A841" s="73">
        <v>500</v>
      </c>
      <c r="B841" s="72">
        <v>44890.5</v>
      </c>
      <c r="C841" s="67">
        <v>0.5</v>
      </c>
      <c r="D841" s="67">
        <v>0.51736111111111105</v>
      </c>
      <c r="E841" s="67">
        <v>0.52430555555555558</v>
      </c>
      <c r="F841" s="68" t="s">
        <v>170</v>
      </c>
      <c r="G841" s="68" t="s">
        <v>1599</v>
      </c>
      <c r="H841" s="66" t="s">
        <v>227</v>
      </c>
      <c r="I841" s="66" t="s">
        <v>189</v>
      </c>
      <c r="J841" s="66" t="s">
        <v>37</v>
      </c>
      <c r="K841" s="66" t="s">
        <v>63</v>
      </c>
      <c r="L841" s="66" t="s">
        <v>209</v>
      </c>
      <c r="M841" s="68" t="s">
        <v>2375</v>
      </c>
      <c r="N841" s="68" t="s">
        <v>42</v>
      </c>
      <c r="O841" s="77">
        <v>960961</v>
      </c>
      <c r="P841" s="68">
        <v>3728</v>
      </c>
      <c r="Q841" s="303">
        <f t="shared" si="81"/>
        <v>13</v>
      </c>
      <c r="R841" s="303">
        <f t="shared" si="82"/>
        <v>1404</v>
      </c>
      <c r="S841" s="68">
        <v>7</v>
      </c>
      <c r="T841" s="68">
        <v>133</v>
      </c>
      <c r="U841" s="68">
        <v>6</v>
      </c>
      <c r="V841" s="68">
        <v>1271</v>
      </c>
      <c r="W841" s="68">
        <v>1296</v>
      </c>
      <c r="X841" s="68">
        <v>170</v>
      </c>
      <c r="Y841" s="68">
        <v>97</v>
      </c>
      <c r="Z841" s="68">
        <v>95</v>
      </c>
      <c r="AA841" s="68">
        <v>6</v>
      </c>
      <c r="AB841" s="300">
        <f t="shared" si="83"/>
        <v>1566.55</v>
      </c>
      <c r="AC841" s="300">
        <f t="shared" si="84"/>
        <v>9.4370481927710834</v>
      </c>
      <c r="AD841" s="68" t="s">
        <v>2319</v>
      </c>
      <c r="AE841" s="68" t="s">
        <v>48</v>
      </c>
      <c r="AF841" s="68" t="s">
        <v>317</v>
      </c>
      <c r="AG841" s="68" t="s">
        <v>317</v>
      </c>
      <c r="AH841" s="68" t="s">
        <v>2376</v>
      </c>
      <c r="AI841" s="309"/>
      <c r="AJ841" s="309"/>
      <c r="AK841" s="68" t="s">
        <v>37</v>
      </c>
      <c r="AL841" s="68" t="s">
        <v>39</v>
      </c>
      <c r="AM841" s="299">
        <f t="shared" ca="1" si="80"/>
        <v>1.0173611111094942</v>
      </c>
      <c r="AN841" s="75"/>
      <c r="AO841" s="61" t="s">
        <v>89</v>
      </c>
      <c r="AP841" s="91" t="s">
        <v>2507</v>
      </c>
      <c r="AQ841" s="59" t="s">
        <v>2508</v>
      </c>
      <c r="AR841" s="64">
        <v>44891.517361111109</v>
      </c>
      <c r="AS841" s="57" t="s">
        <v>117</v>
      </c>
      <c r="AT841" s="61" t="s">
        <v>225</v>
      </c>
      <c r="AU841" s="63">
        <v>0.51736111111111105</v>
      </c>
      <c r="AV841" s="61">
        <v>1</v>
      </c>
      <c r="AW841" s="61" t="s">
        <v>66</v>
      </c>
      <c r="AX841" s="76"/>
      <c r="AY841" s="76"/>
      <c r="AZ841" s="76"/>
      <c r="BA841" s="76"/>
      <c r="BB841" s="74"/>
    </row>
    <row r="842" spans="1:54" ht="15.75" thickBot="1" x14ac:dyDescent="0.3">
      <c r="A842" s="73">
        <v>500</v>
      </c>
      <c r="B842" s="72">
        <v>44890.5</v>
      </c>
      <c r="C842" s="67">
        <v>0.5</v>
      </c>
      <c r="D842" s="67">
        <v>0.51736111111111105</v>
      </c>
      <c r="E842" s="67">
        <v>0.52430555555555558</v>
      </c>
      <c r="F842" s="68" t="s">
        <v>170</v>
      </c>
      <c r="G842" s="68" t="s">
        <v>1599</v>
      </c>
      <c r="H842" s="66" t="s">
        <v>227</v>
      </c>
      <c r="I842" s="66" t="s">
        <v>189</v>
      </c>
      <c r="J842" s="66" t="s">
        <v>37</v>
      </c>
      <c r="K842" s="66" t="s">
        <v>63</v>
      </c>
      <c r="L842" s="66" t="s">
        <v>209</v>
      </c>
      <c r="M842" s="68" t="s">
        <v>2375</v>
      </c>
      <c r="N842" s="68" t="s">
        <v>42</v>
      </c>
      <c r="O842" s="77">
        <v>960961</v>
      </c>
      <c r="P842" s="68">
        <v>3728</v>
      </c>
      <c r="Q842" s="303">
        <f t="shared" si="81"/>
        <v>0</v>
      </c>
      <c r="R842" s="303">
        <f t="shared" si="82"/>
        <v>0</v>
      </c>
      <c r="S842" s="68">
        <v>0</v>
      </c>
      <c r="T842" s="68">
        <v>0</v>
      </c>
      <c r="U842" s="68">
        <v>0</v>
      </c>
      <c r="V842" s="68">
        <v>0</v>
      </c>
      <c r="W842" s="68">
        <v>0</v>
      </c>
      <c r="X842" s="68">
        <v>84</v>
      </c>
      <c r="Y842" s="68">
        <v>53</v>
      </c>
      <c r="Z842" s="68">
        <v>61</v>
      </c>
      <c r="AA842" s="68">
        <v>7</v>
      </c>
      <c r="AB842" s="300">
        <f t="shared" si="83"/>
        <v>316.834</v>
      </c>
      <c r="AC842" s="300">
        <f t="shared" si="84"/>
        <v>1.9086385542168676</v>
      </c>
      <c r="AD842" s="68">
        <v>0</v>
      </c>
      <c r="AE842" s="68">
        <v>0</v>
      </c>
      <c r="AF842" s="68" t="s">
        <v>317</v>
      </c>
      <c r="AG842" s="68" t="s">
        <v>317</v>
      </c>
      <c r="AH842" s="68" t="s">
        <v>2376</v>
      </c>
      <c r="AI842" s="309"/>
      <c r="AJ842" s="309"/>
      <c r="AK842" s="68" t="s">
        <v>48</v>
      </c>
      <c r="AL842" s="68" t="s">
        <v>39</v>
      </c>
      <c r="AM842" s="299">
        <f t="shared" ca="1" si="80"/>
        <v>1.0173611111094942</v>
      </c>
      <c r="AN842" s="75"/>
      <c r="AO842" s="61" t="s">
        <v>89</v>
      </c>
      <c r="AP842" s="91" t="s">
        <v>2507</v>
      </c>
      <c r="AQ842" s="59" t="s">
        <v>2508</v>
      </c>
      <c r="AR842" s="64">
        <v>44891.517361111109</v>
      </c>
      <c r="AS842" s="57" t="s">
        <v>117</v>
      </c>
      <c r="AT842" s="61" t="s">
        <v>225</v>
      </c>
      <c r="AU842" s="63">
        <v>0.51736111111111105</v>
      </c>
      <c r="AV842" s="61">
        <v>1</v>
      </c>
      <c r="AW842" s="61" t="s">
        <v>66</v>
      </c>
      <c r="AX842" s="76"/>
      <c r="AY842" s="76"/>
      <c r="AZ842" s="76"/>
      <c r="BA842" s="76"/>
      <c r="BB842" s="74"/>
    </row>
    <row r="843" spans="1:54" ht="15.75" thickBot="1" x14ac:dyDescent="0.3">
      <c r="A843" s="73">
        <v>501</v>
      </c>
      <c r="B843" s="72">
        <v>44890.513888888891</v>
      </c>
      <c r="C843" s="67">
        <v>0.51388888888888895</v>
      </c>
      <c r="D843" s="67">
        <v>0.51736111111111105</v>
      </c>
      <c r="E843" s="67">
        <v>0.53125</v>
      </c>
      <c r="F843" s="68" t="s">
        <v>170</v>
      </c>
      <c r="G843" s="68" t="s">
        <v>369</v>
      </c>
      <c r="H843" s="66" t="s">
        <v>57</v>
      </c>
      <c r="I843" s="66" t="s">
        <v>71</v>
      </c>
      <c r="J843" s="66" t="s">
        <v>37</v>
      </c>
      <c r="K843" s="66" t="s">
        <v>63</v>
      </c>
      <c r="L843" s="66" t="s">
        <v>209</v>
      </c>
      <c r="M843" s="68" t="s">
        <v>2377</v>
      </c>
      <c r="N843" s="68" t="s">
        <v>139</v>
      </c>
      <c r="O843" s="68" t="s">
        <v>2378</v>
      </c>
      <c r="P843" s="68">
        <v>81965971</v>
      </c>
      <c r="Q843" s="303">
        <f t="shared" si="81"/>
        <v>1</v>
      </c>
      <c r="R843" s="303">
        <f t="shared" si="82"/>
        <v>365</v>
      </c>
      <c r="S843" s="68">
        <v>0</v>
      </c>
      <c r="T843" s="68">
        <v>0</v>
      </c>
      <c r="U843" s="68">
        <v>1</v>
      </c>
      <c r="V843" s="68">
        <v>365</v>
      </c>
      <c r="W843" s="68">
        <v>360</v>
      </c>
      <c r="X843" s="68">
        <v>123</v>
      </c>
      <c r="Y843" s="68">
        <v>68</v>
      </c>
      <c r="Z843" s="68">
        <v>75</v>
      </c>
      <c r="AA843" s="68">
        <v>1</v>
      </c>
      <c r="AB843" s="300">
        <f t="shared" si="83"/>
        <v>104.55</v>
      </c>
      <c r="AC843" s="300">
        <f t="shared" si="84"/>
        <v>0.62981927710843377</v>
      </c>
      <c r="AD843" s="68">
        <v>2299.98</v>
      </c>
      <c r="AE843" s="68" t="s">
        <v>109</v>
      </c>
      <c r="AF843" s="68" t="s">
        <v>317</v>
      </c>
      <c r="AG843" s="68" t="s">
        <v>317</v>
      </c>
      <c r="AH843" s="68" t="s">
        <v>2379</v>
      </c>
      <c r="AI843" s="309"/>
      <c r="AJ843" s="309"/>
      <c r="AK843" s="68" t="s">
        <v>37</v>
      </c>
      <c r="AL843" s="68" t="s">
        <v>39</v>
      </c>
      <c r="AM843" s="299">
        <f t="shared" ca="1" si="80"/>
        <v>0.96180555555474712</v>
      </c>
      <c r="AN843" s="75"/>
      <c r="AO843" s="61" t="s">
        <v>72</v>
      </c>
      <c r="AP843" s="91" t="s">
        <v>2377</v>
      </c>
      <c r="AQ843" s="59" t="s">
        <v>2505</v>
      </c>
      <c r="AR843" s="64">
        <v>44891.475694444445</v>
      </c>
      <c r="AS843" s="57" t="s">
        <v>176</v>
      </c>
      <c r="AT843" s="61" t="s">
        <v>225</v>
      </c>
      <c r="AU843" s="63">
        <v>0.47569444444444442</v>
      </c>
      <c r="AV843" s="61">
        <v>1</v>
      </c>
      <c r="AW843" s="61" t="s">
        <v>66</v>
      </c>
      <c r="AX843" s="76"/>
      <c r="AY843" s="76"/>
      <c r="AZ843" s="76"/>
      <c r="BA843" s="76"/>
      <c r="BB843" s="74"/>
    </row>
    <row r="844" spans="1:54" ht="15.75" thickBot="1" x14ac:dyDescent="0.3">
      <c r="A844" s="73">
        <v>502</v>
      </c>
      <c r="B844" s="72">
        <v>44890.513888888891</v>
      </c>
      <c r="C844" s="67">
        <v>0.51388888888888895</v>
      </c>
      <c r="D844" s="67">
        <v>0.51736111111111105</v>
      </c>
      <c r="E844" s="67">
        <v>0.53125</v>
      </c>
      <c r="F844" s="68" t="s">
        <v>170</v>
      </c>
      <c r="G844" s="68" t="s">
        <v>369</v>
      </c>
      <c r="H844" s="66" t="s">
        <v>45</v>
      </c>
      <c r="I844" s="66" t="s">
        <v>162</v>
      </c>
      <c r="J844" s="66" t="s">
        <v>37</v>
      </c>
      <c r="K844" s="66" t="s">
        <v>63</v>
      </c>
      <c r="L844" s="66" t="s">
        <v>215</v>
      </c>
      <c r="M844" s="68" t="s">
        <v>2380</v>
      </c>
      <c r="N844" s="68" t="s">
        <v>158</v>
      </c>
      <c r="O844" s="68">
        <v>3500734</v>
      </c>
      <c r="P844" s="68">
        <v>5052007439</v>
      </c>
      <c r="Q844" s="303">
        <f t="shared" si="81"/>
        <v>1</v>
      </c>
      <c r="R844" s="303">
        <f t="shared" si="82"/>
        <v>178</v>
      </c>
      <c r="S844" s="68">
        <v>0</v>
      </c>
      <c r="T844" s="68">
        <v>0</v>
      </c>
      <c r="U844" s="68">
        <v>1</v>
      </c>
      <c r="V844" s="68">
        <v>178</v>
      </c>
      <c r="W844" s="68">
        <v>179.512</v>
      </c>
      <c r="X844" s="68">
        <v>80</v>
      </c>
      <c r="Y844" s="68">
        <v>80</v>
      </c>
      <c r="Z844" s="68">
        <v>32</v>
      </c>
      <c r="AA844" s="68">
        <v>1</v>
      </c>
      <c r="AB844" s="300">
        <f t="shared" si="83"/>
        <v>34.133333333333333</v>
      </c>
      <c r="AC844" s="300">
        <f t="shared" si="84"/>
        <v>0.20562248995983937</v>
      </c>
      <c r="AD844" s="68">
        <v>14356.3</v>
      </c>
      <c r="AE844" s="68" t="s">
        <v>109</v>
      </c>
      <c r="AF844" s="68" t="s">
        <v>317</v>
      </c>
      <c r="AG844" s="68" t="s">
        <v>317</v>
      </c>
      <c r="AH844" s="68" t="s">
        <v>2381</v>
      </c>
      <c r="AI844" s="309"/>
      <c r="AJ844" s="309"/>
      <c r="AK844" s="68" t="s">
        <v>37</v>
      </c>
      <c r="AL844" s="68" t="s">
        <v>39</v>
      </c>
      <c r="AM844" s="299">
        <f t="shared" ca="1" si="80"/>
        <v>3.1006944444452529</v>
      </c>
      <c r="AN844" s="75"/>
      <c r="AO844" s="61" t="s">
        <v>159</v>
      </c>
      <c r="AP844" s="91" t="s">
        <v>2380</v>
      </c>
      <c r="AQ844" s="59" t="s">
        <v>2564</v>
      </c>
      <c r="AR844" s="64">
        <v>44893.614583333336</v>
      </c>
      <c r="AS844" s="57" t="s">
        <v>173</v>
      </c>
      <c r="AT844" s="61" t="s">
        <v>225</v>
      </c>
      <c r="AU844" s="63">
        <v>0.61458333333333337</v>
      </c>
      <c r="AV844" s="61">
        <v>1</v>
      </c>
      <c r="AW844" s="61" t="s">
        <v>66</v>
      </c>
      <c r="AY844" s="76"/>
      <c r="AZ844" s="76"/>
      <c r="BA844" s="76"/>
      <c r="BB844" s="74"/>
    </row>
    <row r="845" spans="1:54" ht="15.75" thickBot="1" x14ac:dyDescent="0.3">
      <c r="A845" s="73">
        <v>503</v>
      </c>
      <c r="B845" s="72">
        <v>44890.513888888891</v>
      </c>
      <c r="C845" s="67">
        <v>0.51388888888888895</v>
      </c>
      <c r="D845" s="67">
        <v>0.51736111111111105</v>
      </c>
      <c r="E845" s="67">
        <v>0.53125</v>
      </c>
      <c r="F845" s="68" t="s">
        <v>170</v>
      </c>
      <c r="G845" s="68" t="s">
        <v>369</v>
      </c>
      <c r="H845" s="66" t="s">
        <v>46</v>
      </c>
      <c r="I845" s="66" t="s">
        <v>92</v>
      </c>
      <c r="J845" s="66" t="s">
        <v>37</v>
      </c>
      <c r="K845" s="66" t="s">
        <v>63</v>
      </c>
      <c r="L845" s="66" t="s">
        <v>214</v>
      </c>
      <c r="M845" s="68" t="s">
        <v>2382</v>
      </c>
      <c r="N845" s="68" t="s">
        <v>42</v>
      </c>
      <c r="O845" s="68" t="s">
        <v>2383</v>
      </c>
      <c r="P845" s="68">
        <v>5564</v>
      </c>
      <c r="Q845" s="303">
        <f t="shared" si="81"/>
        <v>1</v>
      </c>
      <c r="R845" s="303">
        <f t="shared" si="82"/>
        <v>100</v>
      </c>
      <c r="S845" s="68">
        <v>0</v>
      </c>
      <c r="T845" s="68">
        <v>0</v>
      </c>
      <c r="U845" s="68">
        <v>1</v>
      </c>
      <c r="V845" s="68">
        <v>100</v>
      </c>
      <c r="W845" s="68">
        <v>100.6</v>
      </c>
      <c r="X845" s="68">
        <v>69</v>
      </c>
      <c r="Y845" s="68">
        <v>39</v>
      </c>
      <c r="Z845" s="68">
        <v>48</v>
      </c>
      <c r="AA845" s="68">
        <v>1</v>
      </c>
      <c r="AB845" s="300">
        <f t="shared" si="83"/>
        <v>21.527999999999999</v>
      </c>
      <c r="AC845" s="300">
        <f t="shared" si="84"/>
        <v>0.1296867469879518</v>
      </c>
      <c r="AD845" s="68" t="s">
        <v>48</v>
      </c>
      <c r="AE845" s="68" t="s">
        <v>48</v>
      </c>
      <c r="AF845" s="68" t="s">
        <v>317</v>
      </c>
      <c r="AG845" s="68" t="s">
        <v>317</v>
      </c>
      <c r="AH845" s="68" t="s">
        <v>2384</v>
      </c>
      <c r="AI845" s="309"/>
      <c r="AJ845" s="309"/>
      <c r="AK845" s="68" t="s">
        <v>41</v>
      </c>
      <c r="AL845" s="68" t="s">
        <v>39</v>
      </c>
      <c r="AM845" s="299">
        <f t="shared" ca="1" si="80"/>
        <v>0.96180555555474712</v>
      </c>
      <c r="AN845" s="75"/>
      <c r="AO845" s="61" t="s">
        <v>120</v>
      </c>
      <c r="AP845" s="91" t="s">
        <v>2382</v>
      </c>
      <c r="AQ845" s="59" t="s">
        <v>2504</v>
      </c>
      <c r="AR845" s="64">
        <v>44891.475694444445</v>
      </c>
      <c r="AS845" s="57" t="s">
        <v>176</v>
      </c>
      <c r="AT845" s="61" t="s">
        <v>225</v>
      </c>
      <c r="AU845" s="63">
        <v>0.47569444444444442</v>
      </c>
      <c r="AV845" s="61">
        <v>1</v>
      </c>
      <c r="AW845" s="61" t="s">
        <v>66</v>
      </c>
      <c r="AX845" s="76"/>
      <c r="AY845" s="76"/>
      <c r="AZ845" s="76"/>
      <c r="BA845" s="76"/>
      <c r="BB845" s="74"/>
    </row>
    <row r="846" spans="1:54" ht="15.75" thickBot="1" x14ac:dyDescent="0.3">
      <c r="A846" s="73">
        <v>504</v>
      </c>
      <c r="B846" s="72">
        <v>44890.513888888891</v>
      </c>
      <c r="C846" s="67">
        <v>0.51388888888888895</v>
      </c>
      <c r="D846" s="67">
        <v>0.51736111111111105</v>
      </c>
      <c r="E846" s="67">
        <v>0.53125</v>
      </c>
      <c r="F846" s="68" t="s">
        <v>170</v>
      </c>
      <c r="G846" s="68" t="s">
        <v>369</v>
      </c>
      <c r="H846" s="66" t="s">
        <v>501</v>
      </c>
      <c r="I846" s="66" t="s">
        <v>348</v>
      </c>
      <c r="J846" s="66" t="s">
        <v>37</v>
      </c>
      <c r="K846" s="66" t="s">
        <v>63</v>
      </c>
      <c r="L846" s="66" t="s">
        <v>206</v>
      </c>
      <c r="M846" s="68" t="s">
        <v>2385</v>
      </c>
      <c r="N846" s="68" t="s">
        <v>42</v>
      </c>
      <c r="O846" s="68" t="s">
        <v>2386</v>
      </c>
      <c r="P846" s="68">
        <v>42300016611</v>
      </c>
      <c r="Q846" s="303">
        <f t="shared" si="81"/>
        <v>1</v>
      </c>
      <c r="R846" s="303">
        <f t="shared" si="82"/>
        <v>113</v>
      </c>
      <c r="S846" s="68">
        <v>0</v>
      </c>
      <c r="T846" s="68">
        <v>0</v>
      </c>
      <c r="U846" s="68">
        <v>1</v>
      </c>
      <c r="V846" s="68">
        <v>113</v>
      </c>
      <c r="W846" s="68">
        <v>114</v>
      </c>
      <c r="X846" s="68">
        <v>85</v>
      </c>
      <c r="Y846" s="68">
        <v>84</v>
      </c>
      <c r="Z846" s="68">
        <v>53</v>
      </c>
      <c r="AA846" s="68">
        <v>1</v>
      </c>
      <c r="AB846" s="300">
        <f t="shared" si="83"/>
        <v>63.07</v>
      </c>
      <c r="AC846" s="300">
        <f t="shared" si="84"/>
        <v>0.37993975903614458</v>
      </c>
      <c r="AD846" s="68">
        <v>27202</v>
      </c>
      <c r="AE846" s="68" t="s">
        <v>109</v>
      </c>
      <c r="AF846" s="68" t="s">
        <v>317</v>
      </c>
      <c r="AG846" s="68" t="s">
        <v>317</v>
      </c>
      <c r="AH846" s="68" t="s">
        <v>2387</v>
      </c>
      <c r="AI846" s="309"/>
      <c r="AJ846" s="309"/>
      <c r="AK846" s="68" t="s">
        <v>37</v>
      </c>
      <c r="AL846" s="68" t="s">
        <v>39</v>
      </c>
      <c r="AM846" s="299">
        <f t="shared" ca="1" si="80"/>
        <v>0.12847222221898846</v>
      </c>
      <c r="AN846" s="75"/>
      <c r="AO846" s="61" t="s">
        <v>79</v>
      </c>
      <c r="AP846" s="62" t="s">
        <v>2385</v>
      </c>
      <c r="AQ846" s="61" t="s">
        <v>2401</v>
      </c>
      <c r="AR846" s="64">
        <v>44890.642361111109</v>
      </c>
      <c r="AS846" s="61" t="s">
        <v>136</v>
      </c>
      <c r="AT846" s="61" t="s">
        <v>225</v>
      </c>
      <c r="AU846" s="63">
        <v>0.64236111111111105</v>
      </c>
      <c r="AV846" s="61">
        <v>1</v>
      </c>
      <c r="AW846" s="61" t="s">
        <v>66</v>
      </c>
      <c r="AX846" s="76"/>
      <c r="AY846" s="76"/>
      <c r="AZ846" s="76"/>
      <c r="BA846" s="76"/>
      <c r="BB846" s="74"/>
    </row>
    <row r="847" spans="1:54" ht="15.75" thickBot="1" x14ac:dyDescent="0.3">
      <c r="A847" s="73">
        <v>505</v>
      </c>
      <c r="B847" s="72">
        <v>44890.517361111109</v>
      </c>
      <c r="C847" s="67">
        <v>0.51736111111111105</v>
      </c>
      <c r="D847" s="67">
        <v>0.52083333333333337</v>
      </c>
      <c r="E847" s="67">
        <v>0.53819444444444442</v>
      </c>
      <c r="F847" s="68" t="s">
        <v>169</v>
      </c>
      <c r="G847" s="68" t="s">
        <v>2388</v>
      </c>
      <c r="H847" s="66" t="s">
        <v>185</v>
      </c>
      <c r="I847" s="66" t="s">
        <v>338</v>
      </c>
      <c r="J847" s="66" t="s">
        <v>37</v>
      </c>
      <c r="K847" s="66" t="s">
        <v>82</v>
      </c>
      <c r="L847" s="66" t="s">
        <v>226</v>
      </c>
      <c r="M847" s="68" t="s">
        <v>2389</v>
      </c>
      <c r="N847" s="68" t="s">
        <v>175</v>
      </c>
      <c r="O847" s="68">
        <v>508002891</v>
      </c>
      <c r="P847" s="68" t="s">
        <v>2390</v>
      </c>
      <c r="Q847" s="303">
        <f t="shared" si="81"/>
        <v>2</v>
      </c>
      <c r="R847" s="303">
        <f t="shared" si="82"/>
        <v>328</v>
      </c>
      <c r="S847" s="68">
        <v>0</v>
      </c>
      <c r="T847" s="68">
        <v>0</v>
      </c>
      <c r="U847" s="68">
        <v>2</v>
      </c>
      <c r="V847" s="68">
        <v>328</v>
      </c>
      <c r="W847" s="68">
        <v>338.8</v>
      </c>
      <c r="X847" s="68">
        <v>104</v>
      </c>
      <c r="Y847" s="68">
        <v>81</v>
      </c>
      <c r="Z847" s="68">
        <v>92</v>
      </c>
      <c r="AA847" s="68">
        <v>2</v>
      </c>
      <c r="AB847" s="300">
        <f t="shared" si="83"/>
        <v>258.33600000000001</v>
      </c>
      <c r="AC847" s="300">
        <f t="shared" si="84"/>
        <v>1.5562409638554218</v>
      </c>
      <c r="AD847" s="68">
        <v>14219.44</v>
      </c>
      <c r="AE847" s="68" t="s">
        <v>109</v>
      </c>
      <c r="AF847" s="68" t="s">
        <v>2391</v>
      </c>
      <c r="AG847" s="68" t="s">
        <v>2233</v>
      </c>
      <c r="AH847" s="68">
        <v>0</v>
      </c>
      <c r="AI847" s="309"/>
      <c r="AJ847" s="309"/>
      <c r="AK847" s="68" t="s">
        <v>37</v>
      </c>
      <c r="AL847" s="68" t="s">
        <v>49</v>
      </c>
      <c r="AM847" s="299">
        <f t="shared" ca="1" si="80"/>
        <v>1.1597222222262644</v>
      </c>
      <c r="AN847" s="75"/>
      <c r="AO847" s="61" t="s">
        <v>181</v>
      </c>
      <c r="AP847" s="91" t="s">
        <v>2389</v>
      </c>
      <c r="AQ847" s="59" t="s">
        <v>2514</v>
      </c>
      <c r="AR847" s="64">
        <v>44891.677083333336</v>
      </c>
      <c r="AS847" s="57" t="s">
        <v>1203</v>
      </c>
      <c r="AT847" s="61" t="s">
        <v>65</v>
      </c>
      <c r="AU847" s="63">
        <v>0.67708333333333337</v>
      </c>
      <c r="AV847" s="61">
        <v>1</v>
      </c>
      <c r="AW847" s="61" t="s">
        <v>66</v>
      </c>
      <c r="AX847" s="76"/>
      <c r="AY847" s="76"/>
      <c r="AZ847" s="76"/>
      <c r="BA847" s="76"/>
      <c r="BB847" s="74"/>
    </row>
    <row r="848" spans="1:54" ht="15.75" thickBot="1" x14ac:dyDescent="0.3">
      <c r="A848" s="73">
        <v>506</v>
      </c>
      <c r="B848" s="72">
        <v>44890.600694444445</v>
      </c>
      <c r="C848" s="67">
        <v>0.60416666666666663</v>
      </c>
      <c r="D848" s="67">
        <v>0.61111111111111105</v>
      </c>
      <c r="E848" s="67">
        <v>0.62152777777777779</v>
      </c>
      <c r="F848" s="68" t="s">
        <v>170</v>
      </c>
      <c r="G848" s="68" t="s">
        <v>2393</v>
      </c>
      <c r="H848" s="71" t="s">
        <v>227</v>
      </c>
      <c r="I848" s="71" t="s">
        <v>189</v>
      </c>
      <c r="J848" s="71" t="s">
        <v>37</v>
      </c>
      <c r="K848" s="71" t="s">
        <v>63</v>
      </c>
      <c r="L848" s="71" t="s">
        <v>209</v>
      </c>
      <c r="M848" s="68" t="s">
        <v>2394</v>
      </c>
      <c r="N848" s="68" t="s">
        <v>42</v>
      </c>
      <c r="O848" s="77">
        <v>962963</v>
      </c>
      <c r="P848" s="68">
        <v>3737</v>
      </c>
      <c r="Q848" s="303">
        <f t="shared" si="81"/>
        <v>1</v>
      </c>
      <c r="R848" s="303">
        <f t="shared" si="82"/>
        <v>691</v>
      </c>
      <c r="S848" s="68">
        <v>0</v>
      </c>
      <c r="T848" s="68">
        <v>0</v>
      </c>
      <c r="U848" s="68">
        <v>1</v>
      </c>
      <c r="V848" s="38">
        <v>691</v>
      </c>
      <c r="W848" s="38">
        <v>547</v>
      </c>
      <c r="X848" s="68">
        <v>160</v>
      </c>
      <c r="Y848" s="68">
        <v>137</v>
      </c>
      <c r="Z848" s="68">
        <v>79</v>
      </c>
      <c r="AA848" s="68">
        <v>1</v>
      </c>
      <c r="AB848" s="300">
        <f t="shared" si="83"/>
        <v>288.61333333333334</v>
      </c>
      <c r="AC848" s="300">
        <f t="shared" si="84"/>
        <v>1.7386345381526105</v>
      </c>
      <c r="AD848" s="68" t="s">
        <v>48</v>
      </c>
      <c r="AE848" s="68" t="s">
        <v>48</v>
      </c>
      <c r="AF848" s="68" t="s">
        <v>317</v>
      </c>
      <c r="AG848" s="68" t="s">
        <v>317</v>
      </c>
      <c r="AH848" s="68" t="s">
        <v>2395</v>
      </c>
      <c r="AI848" s="309"/>
      <c r="AJ848" s="309"/>
      <c r="AK848" s="68" t="s">
        <v>37</v>
      </c>
      <c r="AL848" s="68" t="s">
        <v>49</v>
      </c>
      <c r="AM848" s="299">
        <f t="shared" ca="1" si="80"/>
        <v>0.9375</v>
      </c>
      <c r="AN848" s="75"/>
      <c r="AO848" s="61" t="s">
        <v>89</v>
      </c>
      <c r="AP848" s="91" t="s">
        <v>2509</v>
      </c>
      <c r="AQ848" s="59" t="s">
        <v>2508</v>
      </c>
      <c r="AR848" s="64">
        <v>44891.538194444445</v>
      </c>
      <c r="AS848" s="61" t="s">
        <v>136</v>
      </c>
      <c r="AT848" s="61" t="s">
        <v>225</v>
      </c>
      <c r="AU848" s="63">
        <v>0.53819444444444442</v>
      </c>
      <c r="AV848" s="61">
        <v>1</v>
      </c>
      <c r="AW848" s="61" t="s">
        <v>66</v>
      </c>
      <c r="AX848" s="76"/>
      <c r="AY848" s="76"/>
      <c r="AZ848" s="76"/>
      <c r="BA848" s="76"/>
      <c r="BB848" s="74"/>
    </row>
    <row r="849" spans="1:54" ht="15.75" thickBot="1" x14ac:dyDescent="0.3">
      <c r="A849" s="73">
        <v>507</v>
      </c>
      <c r="B849" s="72">
        <v>44890.600694444445</v>
      </c>
      <c r="C849" s="67">
        <v>0.60416666666666663</v>
      </c>
      <c r="D849" s="67">
        <v>0.61111111111111105</v>
      </c>
      <c r="E849" s="67">
        <v>0.62152777777777779</v>
      </c>
      <c r="F849" s="68" t="s">
        <v>170</v>
      </c>
      <c r="G849" s="68" t="s">
        <v>2393</v>
      </c>
      <c r="H849" s="66" t="s">
        <v>227</v>
      </c>
      <c r="I849" s="66" t="s">
        <v>189</v>
      </c>
      <c r="J849" s="66" t="s">
        <v>37</v>
      </c>
      <c r="K849" s="66" t="s">
        <v>63</v>
      </c>
      <c r="L849" s="66" t="s">
        <v>209</v>
      </c>
      <c r="M849" s="68" t="s">
        <v>2396</v>
      </c>
      <c r="N849" s="68" t="s">
        <v>43</v>
      </c>
      <c r="O849" s="77">
        <v>964965966967</v>
      </c>
      <c r="P849" s="68">
        <v>29720</v>
      </c>
      <c r="Q849" s="303">
        <f t="shared" si="81"/>
        <v>3</v>
      </c>
      <c r="R849" s="303">
        <f t="shared" si="82"/>
        <v>876</v>
      </c>
      <c r="S849" s="68">
        <v>0</v>
      </c>
      <c r="T849" s="68">
        <v>0</v>
      </c>
      <c r="U849" s="68">
        <v>3</v>
      </c>
      <c r="V849" s="68">
        <v>876</v>
      </c>
      <c r="W849" s="68">
        <v>772</v>
      </c>
      <c r="X849" s="68">
        <v>160</v>
      </c>
      <c r="Y849" s="68">
        <v>137</v>
      </c>
      <c r="Z849" s="68">
        <v>79</v>
      </c>
      <c r="AA849" s="66">
        <v>1</v>
      </c>
      <c r="AB849" s="300">
        <f t="shared" si="83"/>
        <v>288.61333333333334</v>
      </c>
      <c r="AC849" s="300">
        <f t="shared" si="84"/>
        <v>1.7386345381526105</v>
      </c>
      <c r="AD849" s="68" t="s">
        <v>48</v>
      </c>
      <c r="AE849" s="68" t="s">
        <v>48</v>
      </c>
      <c r="AF849" s="68" t="s">
        <v>317</v>
      </c>
      <c r="AG849" s="68" t="s">
        <v>317</v>
      </c>
      <c r="AH849" s="68" t="s">
        <v>2397</v>
      </c>
      <c r="AI849" s="309"/>
      <c r="AJ849" s="309"/>
      <c r="AK849" s="68" t="s">
        <v>37</v>
      </c>
      <c r="AL849" s="68" t="s">
        <v>49</v>
      </c>
      <c r="AM849" s="299">
        <f t="shared" ca="1" si="80"/>
        <v>6.5972222218988463E-2</v>
      </c>
      <c r="AN849" s="75"/>
      <c r="AO849" s="57" t="s">
        <v>179</v>
      </c>
      <c r="AP849" s="62" t="s">
        <v>2396</v>
      </c>
      <c r="AQ849" s="63" t="s">
        <v>2407</v>
      </c>
      <c r="AR849" s="64">
        <v>44890.666666666664</v>
      </c>
      <c r="AS849" s="61" t="s">
        <v>95</v>
      </c>
      <c r="AT849" s="61" t="s">
        <v>225</v>
      </c>
      <c r="AU849" s="59">
        <v>0.66666666666666663</v>
      </c>
      <c r="AV849" s="61">
        <v>1</v>
      </c>
      <c r="AW849" s="61" t="s">
        <v>66</v>
      </c>
      <c r="AX849" s="76"/>
      <c r="AY849" s="76"/>
      <c r="AZ849" s="76"/>
      <c r="BA849" s="74"/>
      <c r="BB849" s="74"/>
    </row>
    <row r="850" spans="1:54" ht="15.75" thickBot="1" x14ac:dyDescent="0.3">
      <c r="A850" s="73">
        <v>507</v>
      </c>
      <c r="B850" s="72">
        <v>44890.600694444445</v>
      </c>
      <c r="C850" s="67">
        <v>0.60416666666666663</v>
      </c>
      <c r="D850" s="67">
        <v>0.61111111111111105</v>
      </c>
      <c r="E850" s="67">
        <v>0.62152777777777779</v>
      </c>
      <c r="F850" s="68" t="s">
        <v>170</v>
      </c>
      <c r="G850" s="68" t="s">
        <v>2393</v>
      </c>
      <c r="H850" s="66" t="s">
        <v>227</v>
      </c>
      <c r="I850" s="66" t="s">
        <v>189</v>
      </c>
      <c r="J850" s="66" t="s">
        <v>37</v>
      </c>
      <c r="K850" s="66" t="s">
        <v>63</v>
      </c>
      <c r="L850" s="66" t="s">
        <v>209</v>
      </c>
      <c r="M850" s="68" t="s">
        <v>2396</v>
      </c>
      <c r="N850" s="68" t="s">
        <v>43</v>
      </c>
      <c r="O850" s="77">
        <v>964965966967</v>
      </c>
      <c r="P850" s="68">
        <v>29720</v>
      </c>
      <c r="Q850" s="303">
        <f t="shared" si="81"/>
        <v>0</v>
      </c>
      <c r="R850" s="303">
        <f t="shared" si="82"/>
        <v>0</v>
      </c>
      <c r="S850" s="68">
        <v>0</v>
      </c>
      <c r="T850" s="68">
        <v>0</v>
      </c>
      <c r="U850" s="68">
        <v>0</v>
      </c>
      <c r="V850" s="68">
        <v>0</v>
      </c>
      <c r="W850" s="68">
        <v>0</v>
      </c>
      <c r="X850" s="68">
        <v>170</v>
      </c>
      <c r="Y850" s="68">
        <v>98</v>
      </c>
      <c r="Z850" s="68">
        <v>95</v>
      </c>
      <c r="AA850" s="66">
        <v>2</v>
      </c>
      <c r="AB850" s="300">
        <f t="shared" si="83"/>
        <v>527.56666666666672</v>
      </c>
      <c r="AC850" s="300">
        <f t="shared" si="84"/>
        <v>3.178112449799197</v>
      </c>
      <c r="AD850" s="68">
        <v>0</v>
      </c>
      <c r="AE850" s="68">
        <v>0</v>
      </c>
      <c r="AF850" s="68" t="s">
        <v>317</v>
      </c>
      <c r="AG850" s="68" t="s">
        <v>317</v>
      </c>
      <c r="AH850" s="68" t="s">
        <v>2397</v>
      </c>
      <c r="AI850" s="309"/>
      <c r="AJ850" s="309"/>
      <c r="AK850" s="68" t="s">
        <v>37</v>
      </c>
      <c r="AL850" s="68" t="s">
        <v>49</v>
      </c>
      <c r="AM850" s="299">
        <f t="shared" ca="1" si="80"/>
        <v>6.5972222218988463E-2</v>
      </c>
      <c r="AN850" s="75"/>
      <c r="AO850" s="57" t="s">
        <v>179</v>
      </c>
      <c r="AP850" s="62" t="s">
        <v>2396</v>
      </c>
      <c r="AQ850" s="63" t="s">
        <v>2407</v>
      </c>
      <c r="AR850" s="64">
        <v>44890.666666666664</v>
      </c>
      <c r="AS850" s="61" t="s">
        <v>95</v>
      </c>
      <c r="AT850" s="61" t="s">
        <v>225</v>
      </c>
      <c r="AU850" s="59">
        <v>0.66666666666666663</v>
      </c>
      <c r="AV850" s="61">
        <v>1</v>
      </c>
      <c r="AW850" s="61" t="s">
        <v>66</v>
      </c>
      <c r="AX850" s="76"/>
      <c r="AY850" s="76"/>
      <c r="AZ850" s="76"/>
      <c r="BA850" s="74"/>
      <c r="BB850" s="74"/>
    </row>
    <row r="851" spans="1:54" ht="15.75" thickBot="1" x14ac:dyDescent="0.3">
      <c r="A851" s="73">
        <v>508</v>
      </c>
      <c r="B851" s="72">
        <v>44890.638888888891</v>
      </c>
      <c r="C851" s="67">
        <v>0.64236111111111105</v>
      </c>
      <c r="D851" s="67">
        <v>0.64930555555555558</v>
      </c>
      <c r="E851" s="67">
        <v>0.64930555555555558</v>
      </c>
      <c r="F851" s="68" t="s">
        <v>171</v>
      </c>
      <c r="G851" s="68" t="s">
        <v>811</v>
      </c>
      <c r="H851" s="71" t="s">
        <v>442</v>
      </c>
      <c r="I851" s="71" t="s">
        <v>188</v>
      </c>
      <c r="J851" s="71" t="s">
        <v>37</v>
      </c>
      <c r="K851" s="66" t="s">
        <v>180</v>
      </c>
      <c r="L851" s="66">
        <v>0</v>
      </c>
      <c r="M851" s="68" t="s">
        <v>2409</v>
      </c>
      <c r="N851" s="68" t="s">
        <v>76</v>
      </c>
      <c r="O851" s="68">
        <v>2233200395</v>
      </c>
      <c r="P851" s="68">
        <v>2837</v>
      </c>
      <c r="Q851" s="303">
        <f t="shared" si="81"/>
        <v>1</v>
      </c>
      <c r="R851" s="303">
        <f t="shared" si="82"/>
        <v>261</v>
      </c>
      <c r="S851" s="68">
        <v>0</v>
      </c>
      <c r="T851" s="68">
        <v>0</v>
      </c>
      <c r="U851" s="68">
        <v>1</v>
      </c>
      <c r="V851" s="68">
        <v>261</v>
      </c>
      <c r="W851" s="68" t="s">
        <v>48</v>
      </c>
      <c r="X851" s="68">
        <v>119</v>
      </c>
      <c r="Y851" s="68">
        <v>94</v>
      </c>
      <c r="Z851" s="68">
        <v>70</v>
      </c>
      <c r="AA851" s="66">
        <v>1</v>
      </c>
      <c r="AB851" s="300">
        <f t="shared" si="83"/>
        <v>130.50333333333333</v>
      </c>
      <c r="AC851" s="300">
        <f t="shared" si="84"/>
        <v>0.7861646586345381</v>
      </c>
      <c r="AD851" s="68">
        <v>2321</v>
      </c>
      <c r="AE851" s="68" t="s">
        <v>111</v>
      </c>
      <c r="AF851" s="68" t="s">
        <v>317</v>
      </c>
      <c r="AG851" s="68" t="s">
        <v>317</v>
      </c>
      <c r="AH851" s="68" t="s">
        <v>2410</v>
      </c>
      <c r="AI851" s="309"/>
      <c r="AJ851" s="309"/>
      <c r="AK851" s="68" t="s">
        <v>37</v>
      </c>
      <c r="AL851" s="68" t="s">
        <v>49</v>
      </c>
      <c r="AM851" s="299">
        <f t="shared" ca="1" si="80"/>
        <v>6.0173611111094942</v>
      </c>
      <c r="AN851" s="75"/>
      <c r="AO851" s="57" t="s">
        <v>163</v>
      </c>
      <c r="AP851" s="24" t="s">
        <v>2409</v>
      </c>
      <c r="AQ851" s="57" t="s">
        <v>2815</v>
      </c>
      <c r="AR851" s="29">
        <v>44896.65625</v>
      </c>
      <c r="AS851" s="57" t="s">
        <v>173</v>
      </c>
      <c r="AT851" s="61" t="s">
        <v>225</v>
      </c>
      <c r="AU851" s="63">
        <v>0.65625</v>
      </c>
      <c r="AV851" s="61">
        <v>1</v>
      </c>
      <c r="AW851" s="61" t="s">
        <v>66</v>
      </c>
      <c r="AX851" s="76"/>
      <c r="AY851" s="76"/>
      <c r="AZ851" s="76"/>
      <c r="BA851" s="74"/>
      <c r="BB851" s="74"/>
    </row>
    <row r="852" spans="1:54" ht="15.75" thickBot="1" x14ac:dyDescent="0.3">
      <c r="A852" s="73">
        <v>509</v>
      </c>
      <c r="B852" s="72">
        <v>44890.736111111109</v>
      </c>
      <c r="C852" s="67">
        <v>0.73611111111111116</v>
      </c>
      <c r="D852" s="67">
        <v>0.73958333333333337</v>
      </c>
      <c r="E852" s="67">
        <v>0.74652777777777779</v>
      </c>
      <c r="F852" s="68" t="s">
        <v>169</v>
      </c>
      <c r="G852" s="68" t="s">
        <v>2411</v>
      </c>
      <c r="H852" s="66" t="s">
        <v>2412</v>
      </c>
      <c r="I852" s="66" t="s">
        <v>2413</v>
      </c>
      <c r="J852" s="66" t="s">
        <v>41</v>
      </c>
      <c r="K852" s="66" t="s">
        <v>241</v>
      </c>
      <c r="L852" s="66">
        <v>0</v>
      </c>
      <c r="M852" s="68" t="s">
        <v>3051</v>
      </c>
      <c r="N852" s="68" t="s">
        <v>64</v>
      </c>
      <c r="O852" s="68" t="s">
        <v>2414</v>
      </c>
      <c r="P852" s="68" t="s">
        <v>2415</v>
      </c>
      <c r="Q852" s="303">
        <f t="shared" si="81"/>
        <v>1</v>
      </c>
      <c r="R852" s="303">
        <f t="shared" si="82"/>
        <v>159</v>
      </c>
      <c r="S852" s="68">
        <v>0</v>
      </c>
      <c r="T852" s="68">
        <v>0</v>
      </c>
      <c r="U852" s="68">
        <v>1</v>
      </c>
      <c r="V852" s="68">
        <v>159</v>
      </c>
      <c r="W852" s="68">
        <v>158</v>
      </c>
      <c r="X852" s="68">
        <v>178</v>
      </c>
      <c r="Y852" s="68">
        <v>30</v>
      </c>
      <c r="Z852" s="68">
        <v>130</v>
      </c>
      <c r="AA852" s="68">
        <v>1</v>
      </c>
      <c r="AB852" s="300">
        <f t="shared" si="83"/>
        <v>115.7</v>
      </c>
      <c r="AC852" s="300">
        <f t="shared" si="84"/>
        <v>0.69698795180722894</v>
      </c>
      <c r="AD852" s="68">
        <v>592</v>
      </c>
      <c r="AE852" s="68" t="s">
        <v>109</v>
      </c>
      <c r="AF852" s="68" t="s">
        <v>317</v>
      </c>
      <c r="AG852" s="68" t="s">
        <v>317</v>
      </c>
      <c r="AH852" s="68" t="s">
        <v>2416</v>
      </c>
      <c r="AI852" s="309"/>
      <c r="AJ852" s="309"/>
      <c r="AK852" s="68" t="s">
        <v>37</v>
      </c>
      <c r="AL852" s="68" t="s">
        <v>94</v>
      </c>
      <c r="AM852" s="299">
        <f t="shared" ca="1" si="80"/>
        <v>10.020833333335759</v>
      </c>
      <c r="AN852" s="75"/>
      <c r="AO852" s="104" t="s">
        <v>511</v>
      </c>
      <c r="AP852" s="106" t="s">
        <v>3051</v>
      </c>
      <c r="AQ852" s="104" t="s">
        <v>3070</v>
      </c>
      <c r="AR852" s="64">
        <v>44900.756944444445</v>
      </c>
      <c r="AS852" s="109" t="s">
        <v>136</v>
      </c>
      <c r="AT852" s="109" t="s">
        <v>225</v>
      </c>
      <c r="AU852" s="110">
        <v>0.75694444444444453</v>
      </c>
      <c r="AV852" s="104">
        <v>1</v>
      </c>
      <c r="AW852" s="109" t="s">
        <v>66</v>
      </c>
      <c r="AX852" s="76"/>
      <c r="AY852" s="76"/>
      <c r="AZ852" s="76"/>
      <c r="BA852" s="76"/>
      <c r="BB852" s="74"/>
    </row>
    <row r="853" spans="1:54" ht="15.75" thickBot="1" x14ac:dyDescent="0.3">
      <c r="A853" s="73">
        <v>510</v>
      </c>
      <c r="B853" s="72">
        <v>44890.756944444445</v>
      </c>
      <c r="C853" s="67">
        <v>0.76041666666666663</v>
      </c>
      <c r="D853" s="67">
        <v>0.76388888888888884</v>
      </c>
      <c r="E853" s="67">
        <v>0.77083333333333337</v>
      </c>
      <c r="F853" s="68" t="s">
        <v>171</v>
      </c>
      <c r="G853" s="68" t="s">
        <v>117</v>
      </c>
      <c r="H853" s="66" t="s">
        <v>195</v>
      </c>
      <c r="I853" s="66" t="s">
        <v>195</v>
      </c>
      <c r="J853" s="66" t="s">
        <v>37</v>
      </c>
      <c r="K853" s="66" t="s">
        <v>180</v>
      </c>
      <c r="L853" s="66" t="s">
        <v>209</v>
      </c>
      <c r="M853" s="68" t="s">
        <v>2417</v>
      </c>
      <c r="N853" s="68" t="s">
        <v>42</v>
      </c>
      <c r="O853" s="68" t="s">
        <v>2418</v>
      </c>
      <c r="P853" s="68">
        <v>2101083067</v>
      </c>
      <c r="Q853" s="303">
        <f t="shared" si="81"/>
        <v>4</v>
      </c>
      <c r="R853" s="303">
        <f t="shared" si="82"/>
        <v>1022</v>
      </c>
      <c r="S853" s="68">
        <v>0</v>
      </c>
      <c r="T853" s="68">
        <v>0</v>
      </c>
      <c r="U853" s="68">
        <v>4</v>
      </c>
      <c r="V853" s="68">
        <v>1022</v>
      </c>
      <c r="W853" s="68">
        <v>1100</v>
      </c>
      <c r="X853" s="68">
        <v>114</v>
      </c>
      <c r="Y853" s="68">
        <v>80</v>
      </c>
      <c r="Z853" s="68">
        <v>110</v>
      </c>
      <c r="AA853" s="68">
        <v>4</v>
      </c>
      <c r="AB853" s="300">
        <f t="shared" si="83"/>
        <v>668.8</v>
      </c>
      <c r="AC853" s="300">
        <f t="shared" si="84"/>
        <v>4.0289156626506024</v>
      </c>
      <c r="AD853" s="68">
        <v>39062.400000000001</v>
      </c>
      <c r="AE853" s="68" t="s">
        <v>109</v>
      </c>
      <c r="AF853" s="68" t="s">
        <v>317</v>
      </c>
      <c r="AG853" s="68" t="s">
        <v>317</v>
      </c>
      <c r="AH853" s="68" t="s">
        <v>2419</v>
      </c>
      <c r="AI853" s="309"/>
      <c r="AJ853" s="309"/>
      <c r="AK853" s="68" t="s">
        <v>41</v>
      </c>
      <c r="AL853" s="68" t="s">
        <v>54</v>
      </c>
      <c r="AM853" s="299">
        <f t="shared" ca="1" si="80"/>
        <v>0.71875</v>
      </c>
      <c r="AN853" s="75"/>
      <c r="AO853" s="61" t="s">
        <v>132</v>
      </c>
      <c r="AP853" s="91" t="s">
        <v>2417</v>
      </c>
      <c r="AQ853" s="59" t="s">
        <v>2506</v>
      </c>
      <c r="AR853" s="64">
        <v>44891.475694444445</v>
      </c>
      <c r="AS853" s="57" t="s">
        <v>176</v>
      </c>
      <c r="AT853" s="61" t="s">
        <v>225</v>
      </c>
      <c r="AU853" s="63">
        <v>0.47569444444444442</v>
      </c>
      <c r="AV853" s="61">
        <v>1</v>
      </c>
      <c r="AW853" s="61" t="s">
        <v>66</v>
      </c>
      <c r="AX853" s="76"/>
      <c r="AY853" s="76"/>
      <c r="AZ853" s="76"/>
      <c r="BA853" s="76"/>
      <c r="BB853" s="74"/>
    </row>
    <row r="854" spans="1:54" ht="15.75" thickBot="1" x14ac:dyDescent="0.3">
      <c r="A854" s="73">
        <v>511</v>
      </c>
      <c r="B854" s="72">
        <v>44890.756944444445</v>
      </c>
      <c r="C854" s="67">
        <v>0.76041666666666663</v>
      </c>
      <c r="D854" s="67">
        <v>0.76388888888888884</v>
      </c>
      <c r="E854" s="67">
        <v>0.77083333333333337</v>
      </c>
      <c r="F854" s="68" t="s">
        <v>171</v>
      </c>
      <c r="G854" s="68" t="s">
        <v>117</v>
      </c>
      <c r="H854" s="66" t="s">
        <v>195</v>
      </c>
      <c r="I854" s="66" t="s">
        <v>195</v>
      </c>
      <c r="J854" s="66" t="s">
        <v>37</v>
      </c>
      <c r="K854" s="66" t="s">
        <v>180</v>
      </c>
      <c r="L854" s="66" t="s">
        <v>209</v>
      </c>
      <c r="M854" s="68" t="s">
        <v>2417</v>
      </c>
      <c r="N854" s="68" t="s">
        <v>42</v>
      </c>
      <c r="O854" s="68" t="s">
        <v>2420</v>
      </c>
      <c r="P854" s="68">
        <v>2101083068</v>
      </c>
      <c r="Q854" s="303">
        <f t="shared" si="81"/>
        <v>2</v>
      </c>
      <c r="R854" s="303">
        <f t="shared" si="82"/>
        <v>420</v>
      </c>
      <c r="S854" s="68">
        <v>0</v>
      </c>
      <c r="T854" s="68">
        <v>0</v>
      </c>
      <c r="U854" s="68">
        <v>2</v>
      </c>
      <c r="V854" s="68">
        <v>420</v>
      </c>
      <c r="W854" s="68">
        <v>470</v>
      </c>
      <c r="X854" s="68">
        <v>114</v>
      </c>
      <c r="Y854" s="68">
        <v>80</v>
      </c>
      <c r="Z854" s="68">
        <v>99</v>
      </c>
      <c r="AA854" s="68">
        <v>1</v>
      </c>
      <c r="AB854" s="300">
        <f t="shared" si="83"/>
        <v>150.47999999999999</v>
      </c>
      <c r="AC854" s="300">
        <f t="shared" si="84"/>
        <v>0.90650602409638548</v>
      </c>
      <c r="AD854" s="68">
        <v>18447.3</v>
      </c>
      <c r="AE854" s="68" t="s">
        <v>109</v>
      </c>
      <c r="AF854" s="68" t="s">
        <v>317</v>
      </c>
      <c r="AG854" s="68" t="s">
        <v>317</v>
      </c>
      <c r="AH854" s="68" t="s">
        <v>2421</v>
      </c>
      <c r="AI854" s="309"/>
      <c r="AJ854" s="309"/>
      <c r="AK854" s="68" t="s">
        <v>41</v>
      </c>
      <c r="AL854" s="68" t="s">
        <v>54</v>
      </c>
      <c r="AM854" s="299">
        <f t="shared" ca="1" si="80"/>
        <v>0.71875</v>
      </c>
      <c r="AN854" s="75"/>
      <c r="AO854" s="61" t="s">
        <v>132</v>
      </c>
      <c r="AP854" s="91" t="s">
        <v>2417</v>
      </c>
      <c r="AQ854" s="59" t="s">
        <v>2506</v>
      </c>
      <c r="AR854" s="64">
        <v>44891.475694444445</v>
      </c>
      <c r="AS854" s="57" t="s">
        <v>176</v>
      </c>
      <c r="AT854" s="61" t="s">
        <v>225</v>
      </c>
      <c r="AU854" s="63">
        <v>0.47569444444444442</v>
      </c>
      <c r="AV854" s="61">
        <v>1</v>
      </c>
      <c r="AW854" s="61" t="s">
        <v>66</v>
      </c>
      <c r="AX854" s="76"/>
      <c r="AY854" s="76"/>
      <c r="AZ854" s="76"/>
      <c r="BA854" s="76"/>
      <c r="BB854" s="74"/>
    </row>
    <row r="855" spans="1:54" ht="15.75" thickBot="1" x14ac:dyDescent="0.3">
      <c r="A855" s="73">
        <v>511</v>
      </c>
      <c r="B855" s="72">
        <v>44890.756944444445</v>
      </c>
      <c r="C855" s="67">
        <v>0.76041666666666663</v>
      </c>
      <c r="D855" s="67">
        <v>0.76388888888888884</v>
      </c>
      <c r="E855" s="67">
        <v>0.77083333333333337</v>
      </c>
      <c r="F855" s="68" t="s">
        <v>171</v>
      </c>
      <c r="G855" s="68" t="s">
        <v>117</v>
      </c>
      <c r="H855" s="66" t="s">
        <v>195</v>
      </c>
      <c r="I855" s="66" t="s">
        <v>195</v>
      </c>
      <c r="J855" s="66" t="s">
        <v>37</v>
      </c>
      <c r="K855" s="66" t="s">
        <v>180</v>
      </c>
      <c r="L855" s="66" t="s">
        <v>209</v>
      </c>
      <c r="M855" s="68" t="s">
        <v>2417</v>
      </c>
      <c r="N855" s="68" t="s">
        <v>42</v>
      </c>
      <c r="O855" s="68" t="s">
        <v>2420</v>
      </c>
      <c r="P855" s="68">
        <v>2101083068</v>
      </c>
      <c r="Q855" s="303">
        <f t="shared" si="81"/>
        <v>0</v>
      </c>
      <c r="R855" s="303">
        <f t="shared" si="82"/>
        <v>0</v>
      </c>
      <c r="S855" s="68">
        <v>0</v>
      </c>
      <c r="T855" s="68">
        <v>0</v>
      </c>
      <c r="U855" s="68">
        <v>0</v>
      </c>
      <c r="V855" s="68">
        <v>0</v>
      </c>
      <c r="W855" s="68">
        <v>0</v>
      </c>
      <c r="X855" s="68">
        <v>114</v>
      </c>
      <c r="Y855" s="68">
        <v>80</v>
      </c>
      <c r="Z855" s="68">
        <v>110</v>
      </c>
      <c r="AA855" s="68">
        <v>1</v>
      </c>
      <c r="AB855" s="300">
        <f t="shared" si="83"/>
        <v>167.2</v>
      </c>
      <c r="AC855" s="300">
        <f t="shared" si="84"/>
        <v>1.0072289156626506</v>
      </c>
      <c r="AD855" s="68">
        <v>0</v>
      </c>
      <c r="AE855" s="68">
        <v>0</v>
      </c>
      <c r="AF855" s="68" t="s">
        <v>317</v>
      </c>
      <c r="AG855" s="68" t="s">
        <v>317</v>
      </c>
      <c r="AH855" s="68" t="s">
        <v>2421</v>
      </c>
      <c r="AI855" s="309"/>
      <c r="AJ855" s="309"/>
      <c r="AK855" s="68" t="s">
        <v>41</v>
      </c>
      <c r="AL855" s="68" t="s">
        <v>54</v>
      </c>
      <c r="AM855" s="299">
        <f t="shared" ca="1" si="80"/>
        <v>0.71875</v>
      </c>
      <c r="AN855" s="75"/>
      <c r="AO855" s="61" t="s">
        <v>132</v>
      </c>
      <c r="AP855" s="91" t="s">
        <v>2417</v>
      </c>
      <c r="AQ855" s="59" t="s">
        <v>2506</v>
      </c>
      <c r="AR855" s="64">
        <v>44891.475694444445</v>
      </c>
      <c r="AS855" s="57" t="s">
        <v>176</v>
      </c>
      <c r="AT855" s="61" t="s">
        <v>225</v>
      </c>
      <c r="AU855" s="63">
        <v>0.47569444444444442</v>
      </c>
      <c r="AV855" s="61">
        <v>1</v>
      </c>
      <c r="AW855" s="61" t="s">
        <v>66</v>
      </c>
      <c r="AX855" s="76"/>
      <c r="AY855" s="76"/>
      <c r="AZ855" s="76"/>
      <c r="BA855" s="76"/>
      <c r="BB855" s="74"/>
    </row>
    <row r="856" spans="1:54" ht="15.75" thickBot="1" x14ac:dyDescent="0.3">
      <c r="A856" s="73">
        <v>512</v>
      </c>
      <c r="B856" s="72">
        <v>44890.756944444445</v>
      </c>
      <c r="C856" s="67">
        <v>0.76041666666666663</v>
      </c>
      <c r="D856" s="67">
        <v>0.76388888888888884</v>
      </c>
      <c r="E856" s="67">
        <v>0.78472222222222221</v>
      </c>
      <c r="F856" s="68" t="s">
        <v>171</v>
      </c>
      <c r="G856" s="68" t="s">
        <v>811</v>
      </c>
      <c r="H856" s="66" t="s">
        <v>119</v>
      </c>
      <c r="I856" s="66" t="s">
        <v>40</v>
      </c>
      <c r="J856" s="66" t="s">
        <v>37</v>
      </c>
      <c r="K856" s="66" t="s">
        <v>180</v>
      </c>
      <c r="L856" s="70" t="s">
        <v>206</v>
      </c>
      <c r="M856" s="68" t="s">
        <v>2422</v>
      </c>
      <c r="N856" s="68" t="s">
        <v>2423</v>
      </c>
      <c r="O856" s="68" t="s">
        <v>2424</v>
      </c>
      <c r="P856" s="68">
        <v>4513613658</v>
      </c>
      <c r="Q856" s="303">
        <f t="shared" si="81"/>
        <v>1</v>
      </c>
      <c r="R856" s="303">
        <f t="shared" si="82"/>
        <v>199</v>
      </c>
      <c r="S856" s="68">
        <v>0</v>
      </c>
      <c r="T856" s="68">
        <v>0</v>
      </c>
      <c r="U856" s="68">
        <v>1</v>
      </c>
      <c r="V856" s="68">
        <v>199</v>
      </c>
      <c r="W856" s="68">
        <v>190</v>
      </c>
      <c r="X856" s="68">
        <v>100</v>
      </c>
      <c r="Y856" s="68">
        <v>99</v>
      </c>
      <c r="Z856" s="68">
        <v>45</v>
      </c>
      <c r="AA856" s="68">
        <v>1</v>
      </c>
      <c r="AB856" s="300">
        <f t="shared" si="83"/>
        <v>74.25</v>
      </c>
      <c r="AC856" s="300">
        <f t="shared" si="84"/>
        <v>0.44728915662650603</v>
      </c>
      <c r="AD856" s="68">
        <v>598.08000000000004</v>
      </c>
      <c r="AE856" s="68" t="s">
        <v>109</v>
      </c>
      <c r="AF856" s="68" t="s">
        <v>317</v>
      </c>
      <c r="AG856" s="68" t="s">
        <v>317</v>
      </c>
      <c r="AH856" s="68">
        <v>0</v>
      </c>
      <c r="AI856" s="309"/>
      <c r="AJ856" s="309"/>
      <c r="AK856" s="68" t="s">
        <v>37</v>
      </c>
      <c r="AL856" s="68" t="s">
        <v>49</v>
      </c>
      <c r="AM856" s="299">
        <f t="shared" ca="1" si="80"/>
        <v>0.78125</v>
      </c>
      <c r="AN856" s="75"/>
      <c r="AO856" s="61" t="s">
        <v>143</v>
      </c>
      <c r="AP856" s="91" t="s">
        <v>2422</v>
      </c>
      <c r="AQ856" s="59" t="s">
        <v>2512</v>
      </c>
      <c r="AR856" s="64">
        <v>44891.538194444445</v>
      </c>
      <c r="AS856" s="61" t="s">
        <v>136</v>
      </c>
      <c r="AT856" s="61" t="s">
        <v>225</v>
      </c>
      <c r="AU856" s="63">
        <v>0.53819444444444442</v>
      </c>
      <c r="AV856" s="61">
        <v>1</v>
      </c>
      <c r="AW856" s="61" t="s">
        <v>66</v>
      </c>
      <c r="AX856" s="76"/>
      <c r="AY856" s="76"/>
      <c r="AZ856" s="76"/>
      <c r="BA856" s="76"/>
      <c r="BB856" s="74"/>
    </row>
    <row r="857" spans="1:54" ht="15.75" thickBot="1" x14ac:dyDescent="0.3">
      <c r="A857" s="73">
        <v>513</v>
      </c>
      <c r="B857" s="72">
        <v>44891.375</v>
      </c>
      <c r="C857" s="67">
        <v>0.375</v>
      </c>
      <c r="D857" s="67">
        <v>0.37847222222222227</v>
      </c>
      <c r="E857" s="67">
        <v>0.40972222222222227</v>
      </c>
      <c r="F857" s="68" t="s">
        <v>171</v>
      </c>
      <c r="G857" s="68" t="s">
        <v>218</v>
      </c>
      <c r="H857" s="71" t="s">
        <v>1357</v>
      </c>
      <c r="I857" s="71" t="s">
        <v>1357</v>
      </c>
      <c r="J857" s="71" t="s">
        <v>37</v>
      </c>
      <c r="K857" s="71" t="s">
        <v>180</v>
      </c>
      <c r="L857" s="71">
        <v>0</v>
      </c>
      <c r="M857" s="68" t="s">
        <v>2428</v>
      </c>
      <c r="N857" s="68" t="s">
        <v>1358</v>
      </c>
      <c r="O857" s="68">
        <v>6200021212</v>
      </c>
      <c r="P857" s="68">
        <v>80551372</v>
      </c>
      <c r="Q857" s="303">
        <f t="shared" si="81"/>
        <v>1</v>
      </c>
      <c r="R857" s="303">
        <f t="shared" si="82"/>
        <v>6</v>
      </c>
      <c r="S857" s="68">
        <v>1</v>
      </c>
      <c r="T857" s="68">
        <v>6</v>
      </c>
      <c r="U857" s="68">
        <v>0</v>
      </c>
      <c r="V857" s="68">
        <v>0</v>
      </c>
      <c r="W857" s="68">
        <v>7</v>
      </c>
      <c r="X857" s="68">
        <v>32</v>
      </c>
      <c r="Y857" s="68">
        <v>32</v>
      </c>
      <c r="Z857" s="68">
        <v>16</v>
      </c>
      <c r="AA857" s="68">
        <v>1</v>
      </c>
      <c r="AB857" s="300">
        <f t="shared" si="83"/>
        <v>2.7306666666666666</v>
      </c>
      <c r="AC857" s="300">
        <f t="shared" si="84"/>
        <v>1.6449799196787147E-2</v>
      </c>
      <c r="AD857" s="68">
        <v>375</v>
      </c>
      <c r="AE857" s="68" t="s">
        <v>109</v>
      </c>
      <c r="AF857" s="68" t="s">
        <v>317</v>
      </c>
      <c r="AG857" s="68" t="s">
        <v>317</v>
      </c>
      <c r="AH857" s="68" t="s">
        <v>2429</v>
      </c>
      <c r="AI857" s="309"/>
      <c r="AJ857" s="309"/>
      <c r="AK857" s="68" t="s">
        <v>48</v>
      </c>
      <c r="AL857" s="68" t="s">
        <v>47</v>
      </c>
      <c r="AM857" s="299">
        <f t="shared" ca="1" si="80"/>
        <v>3.3333333333357587</v>
      </c>
      <c r="AN857" s="75"/>
      <c r="AO857" s="61" t="s">
        <v>1508</v>
      </c>
      <c r="AP857" s="91" t="s">
        <v>2428</v>
      </c>
      <c r="AQ857" s="59" t="s">
        <v>2624</v>
      </c>
      <c r="AR857" s="64">
        <v>44894.708333333336</v>
      </c>
      <c r="AS857" s="61" t="s">
        <v>430</v>
      </c>
      <c r="AT857" s="61" t="s">
        <v>225</v>
      </c>
      <c r="AU857" s="63">
        <v>0.70833333333333337</v>
      </c>
      <c r="AV857" s="61">
        <v>2</v>
      </c>
      <c r="AW857" s="61" t="s">
        <v>66</v>
      </c>
      <c r="AX857" s="76"/>
      <c r="AY857" s="76"/>
      <c r="AZ857" s="76"/>
      <c r="BA857" s="76"/>
      <c r="BB857" s="74"/>
    </row>
    <row r="858" spans="1:54" ht="15.75" thickBot="1" x14ac:dyDescent="0.3">
      <c r="A858" s="73">
        <v>514</v>
      </c>
      <c r="B858" s="72">
        <v>44891.375</v>
      </c>
      <c r="C858" s="67">
        <v>0.375</v>
      </c>
      <c r="D858" s="67">
        <v>0.37847222222222227</v>
      </c>
      <c r="E858" s="67">
        <v>0.40972222222222227</v>
      </c>
      <c r="F858" s="68" t="s">
        <v>171</v>
      </c>
      <c r="G858" s="68" t="s">
        <v>218</v>
      </c>
      <c r="H858" s="66" t="s">
        <v>1357</v>
      </c>
      <c r="I858" s="66" t="s">
        <v>1357</v>
      </c>
      <c r="J858" s="66" t="s">
        <v>37</v>
      </c>
      <c r="K858" s="66" t="s">
        <v>180</v>
      </c>
      <c r="L858" s="66">
        <v>0</v>
      </c>
      <c r="M858" s="68" t="s">
        <v>2428</v>
      </c>
      <c r="N858" s="68" t="s">
        <v>1358</v>
      </c>
      <c r="O858" s="68">
        <v>6200021211</v>
      </c>
      <c r="P858" s="68">
        <v>80551371</v>
      </c>
      <c r="Q858" s="303">
        <f t="shared" si="81"/>
        <v>1</v>
      </c>
      <c r="R858" s="303">
        <f t="shared" si="82"/>
        <v>8</v>
      </c>
      <c r="S858" s="68">
        <v>1</v>
      </c>
      <c r="T858" s="68">
        <v>8</v>
      </c>
      <c r="U858" s="68">
        <v>0</v>
      </c>
      <c r="V858" s="68">
        <v>0</v>
      </c>
      <c r="W858" s="68">
        <v>7</v>
      </c>
      <c r="X858" s="68">
        <v>38</v>
      </c>
      <c r="Y858" s="68">
        <v>36</v>
      </c>
      <c r="Z858" s="68">
        <v>21</v>
      </c>
      <c r="AA858" s="68">
        <v>1</v>
      </c>
      <c r="AB858" s="300">
        <f t="shared" si="83"/>
        <v>4.7880000000000003</v>
      </c>
      <c r="AC858" s="300">
        <f t="shared" si="84"/>
        <v>2.8843373493975904E-2</v>
      </c>
      <c r="AD858" s="68">
        <v>540</v>
      </c>
      <c r="AE858" s="68" t="s">
        <v>109</v>
      </c>
      <c r="AF858" s="68" t="s">
        <v>317</v>
      </c>
      <c r="AG858" s="68" t="s">
        <v>317</v>
      </c>
      <c r="AH858" s="68" t="s">
        <v>2430</v>
      </c>
      <c r="AI858" s="309"/>
      <c r="AJ858" s="309"/>
      <c r="AK858" s="68" t="s">
        <v>48</v>
      </c>
      <c r="AL858" s="68" t="s">
        <v>47</v>
      </c>
      <c r="AM858" s="299">
        <f t="shared" ca="1" si="80"/>
        <v>3.3333333333357587</v>
      </c>
      <c r="AN858" s="75"/>
      <c r="AO858" s="61" t="s">
        <v>1508</v>
      </c>
      <c r="AP858" s="91" t="s">
        <v>2428</v>
      </c>
      <c r="AQ858" s="59" t="s">
        <v>2624</v>
      </c>
      <c r="AR858" s="64">
        <v>44894.708333333336</v>
      </c>
      <c r="AS858" s="61" t="s">
        <v>430</v>
      </c>
      <c r="AT858" s="61" t="s">
        <v>225</v>
      </c>
      <c r="AU858" s="63">
        <v>0.70833333333333337</v>
      </c>
      <c r="AV858" s="61">
        <v>2</v>
      </c>
      <c r="AW858" s="61" t="s">
        <v>66</v>
      </c>
      <c r="AX858" s="76"/>
      <c r="AY858" s="76"/>
      <c r="AZ858" s="76"/>
      <c r="BA858" s="76"/>
      <c r="BB858" s="74"/>
    </row>
    <row r="859" spans="1:54" ht="15.75" thickBot="1" x14ac:dyDescent="0.3">
      <c r="A859" s="73">
        <v>515</v>
      </c>
      <c r="B859" s="72">
        <v>44891.409722222219</v>
      </c>
      <c r="C859" s="67">
        <v>0.40972222222222227</v>
      </c>
      <c r="D859" s="67">
        <v>0.41666666666666669</v>
      </c>
      <c r="E859" s="67">
        <v>0.4236111111111111</v>
      </c>
      <c r="F859" s="68" t="s">
        <v>171</v>
      </c>
      <c r="G859" s="68" t="s">
        <v>1203</v>
      </c>
      <c r="H859" s="66" t="s">
        <v>178</v>
      </c>
      <c r="I859" s="66" t="s">
        <v>188</v>
      </c>
      <c r="J859" s="66" t="s">
        <v>37</v>
      </c>
      <c r="K859" s="66" t="s">
        <v>180</v>
      </c>
      <c r="L859" s="70" t="s">
        <v>206</v>
      </c>
      <c r="M859" s="68" t="s">
        <v>2431</v>
      </c>
      <c r="N859" s="68" t="s">
        <v>42</v>
      </c>
      <c r="O859" s="68" t="s">
        <v>2432</v>
      </c>
      <c r="P859" s="68">
        <v>28588297</v>
      </c>
      <c r="Q859" s="303">
        <f t="shared" si="81"/>
        <v>1</v>
      </c>
      <c r="R859" s="303">
        <f t="shared" si="82"/>
        <v>93</v>
      </c>
      <c r="S859" s="68">
        <v>0</v>
      </c>
      <c r="T859" s="68">
        <v>0</v>
      </c>
      <c r="U859" s="68">
        <v>1</v>
      </c>
      <c r="V859" s="68">
        <v>93</v>
      </c>
      <c r="W859" s="68">
        <v>87</v>
      </c>
      <c r="X859" s="68">
        <v>110</v>
      </c>
      <c r="Y859" s="68">
        <v>110</v>
      </c>
      <c r="Z859" s="68">
        <v>104</v>
      </c>
      <c r="AA859" s="68">
        <v>1</v>
      </c>
      <c r="AB859" s="300">
        <f t="shared" si="83"/>
        <v>209.73333333333332</v>
      </c>
      <c r="AC859" s="300">
        <f t="shared" si="84"/>
        <v>1.2634538152610442</v>
      </c>
      <c r="AD859" s="68">
        <v>2217.6</v>
      </c>
      <c r="AE859" s="68" t="s">
        <v>109</v>
      </c>
      <c r="AF859" s="68" t="s">
        <v>317</v>
      </c>
      <c r="AG859" s="68" t="s">
        <v>317</v>
      </c>
      <c r="AH859" s="68" t="s">
        <v>2433</v>
      </c>
      <c r="AI859" s="309"/>
      <c r="AJ859" s="309"/>
      <c r="AK859" s="68" t="s">
        <v>41</v>
      </c>
      <c r="AL859" s="68" t="s">
        <v>54</v>
      </c>
      <c r="AM859" s="299">
        <f t="shared" ca="1" si="80"/>
        <v>4.1388888888905058</v>
      </c>
      <c r="AN859" s="75"/>
      <c r="AO859" s="61" t="s">
        <v>177</v>
      </c>
      <c r="AP859" s="62" t="s">
        <v>2431</v>
      </c>
      <c r="AQ859" s="97" t="s">
        <v>2731</v>
      </c>
      <c r="AR859" s="64">
        <v>44895.548611111109</v>
      </c>
      <c r="AS859" s="61" t="s">
        <v>136</v>
      </c>
      <c r="AT859" s="61" t="s">
        <v>225</v>
      </c>
      <c r="AU859" s="63">
        <v>0.54861111111111105</v>
      </c>
      <c r="AV859" s="61">
        <v>1</v>
      </c>
      <c r="AW859" s="61" t="s">
        <v>66</v>
      </c>
      <c r="AX859" s="76"/>
      <c r="AY859" s="76"/>
      <c r="AZ859" s="76"/>
      <c r="BA859" s="76"/>
      <c r="BB859" s="74"/>
    </row>
    <row r="860" spans="1:54" ht="15.75" thickBot="1" x14ac:dyDescent="0.3">
      <c r="A860" s="73">
        <v>516</v>
      </c>
      <c r="B860" s="72">
        <v>44891.416666666664</v>
      </c>
      <c r="C860" s="67">
        <v>0.4236111111111111</v>
      </c>
      <c r="D860" s="67">
        <v>0.42708333333333331</v>
      </c>
      <c r="E860" s="67">
        <v>0.43055555555555558</v>
      </c>
      <c r="F860" s="68" t="s">
        <v>171</v>
      </c>
      <c r="G860" s="68" t="s">
        <v>278</v>
      </c>
      <c r="H860" s="66" t="s">
        <v>339</v>
      </c>
      <c r="I860" s="66" t="s">
        <v>91</v>
      </c>
      <c r="J860" s="66" t="s">
        <v>37</v>
      </c>
      <c r="K860" s="66" t="s">
        <v>180</v>
      </c>
      <c r="L860" s="70" t="s">
        <v>206</v>
      </c>
      <c r="M860" s="68" t="s">
        <v>2434</v>
      </c>
      <c r="N860" s="68" t="s">
        <v>44</v>
      </c>
      <c r="O860" s="68" t="s">
        <v>2435</v>
      </c>
      <c r="P860" s="68">
        <v>4501932264</v>
      </c>
      <c r="Q860" s="303">
        <f t="shared" si="81"/>
        <v>1</v>
      </c>
      <c r="R860" s="303">
        <f t="shared" si="82"/>
        <v>71</v>
      </c>
      <c r="S860" s="68">
        <v>0</v>
      </c>
      <c r="T860" s="68">
        <v>0</v>
      </c>
      <c r="U860" s="68">
        <v>1</v>
      </c>
      <c r="V860" s="68">
        <v>71</v>
      </c>
      <c r="W860" s="68">
        <v>74</v>
      </c>
      <c r="X860" s="68">
        <v>120</v>
      </c>
      <c r="Y860" s="68">
        <v>80</v>
      </c>
      <c r="Z860" s="68">
        <v>81</v>
      </c>
      <c r="AA860" s="68">
        <v>1</v>
      </c>
      <c r="AB860" s="300">
        <f t="shared" si="83"/>
        <v>129.6</v>
      </c>
      <c r="AC860" s="300">
        <f t="shared" si="84"/>
        <v>0.78072289156626506</v>
      </c>
      <c r="AD860" s="68">
        <v>93861</v>
      </c>
      <c r="AE860" s="68" t="s">
        <v>109</v>
      </c>
      <c r="AF860" s="68" t="s">
        <v>317</v>
      </c>
      <c r="AG860" s="68" t="s">
        <v>317</v>
      </c>
      <c r="AH860" s="68" t="s">
        <v>2436</v>
      </c>
      <c r="AI860" s="309"/>
      <c r="AJ860" s="309"/>
      <c r="AK860" s="68" t="s">
        <v>37</v>
      </c>
      <c r="AL860" s="68" t="s">
        <v>49</v>
      </c>
      <c r="AM860" s="299">
        <f t="shared" ca="1" si="80"/>
        <v>0.12152777778101154</v>
      </c>
      <c r="AN860" s="75"/>
      <c r="AO860" s="61" t="s">
        <v>323</v>
      </c>
      <c r="AP860" s="91" t="s">
        <v>2434</v>
      </c>
      <c r="AQ860" s="59" t="s">
        <v>2510</v>
      </c>
      <c r="AR860" s="64">
        <v>44891.538194444445</v>
      </c>
      <c r="AS860" s="61" t="s">
        <v>136</v>
      </c>
      <c r="AT860" s="61" t="s">
        <v>225</v>
      </c>
      <c r="AU860" s="63">
        <v>0.53819444444444442</v>
      </c>
      <c r="AV860" s="61">
        <v>1</v>
      </c>
      <c r="AW860" s="61" t="s">
        <v>66</v>
      </c>
      <c r="AX860" s="76"/>
      <c r="AY860" s="76"/>
      <c r="AZ860" s="76"/>
      <c r="BA860" s="76"/>
      <c r="BB860" s="74"/>
    </row>
    <row r="861" spans="1:54" ht="15.75" thickBot="1" x14ac:dyDescent="0.3">
      <c r="A861" s="73">
        <v>517</v>
      </c>
      <c r="B861" s="72">
        <v>44891.416666666664</v>
      </c>
      <c r="C861" s="67">
        <v>0.4236111111111111</v>
      </c>
      <c r="D861" s="67">
        <v>0.42708333333333331</v>
      </c>
      <c r="E861" s="67">
        <v>0.43055555555555558</v>
      </c>
      <c r="F861" s="68" t="s">
        <v>171</v>
      </c>
      <c r="G861" s="68" t="s">
        <v>278</v>
      </c>
      <c r="H861" s="66" t="s">
        <v>339</v>
      </c>
      <c r="I861" s="66" t="s">
        <v>91</v>
      </c>
      <c r="J861" s="66" t="s">
        <v>37</v>
      </c>
      <c r="K861" s="66" t="s">
        <v>180</v>
      </c>
      <c r="L861" s="70" t="s">
        <v>206</v>
      </c>
      <c r="M861" s="68" t="s">
        <v>2437</v>
      </c>
      <c r="N861" s="68" t="s">
        <v>44</v>
      </c>
      <c r="O861" s="68" t="s">
        <v>2438</v>
      </c>
      <c r="P861" s="68">
        <v>4501932263</v>
      </c>
      <c r="Q861" s="303">
        <f t="shared" si="81"/>
        <v>1</v>
      </c>
      <c r="R861" s="303">
        <f t="shared" si="82"/>
        <v>72</v>
      </c>
      <c r="S861" s="68">
        <v>0</v>
      </c>
      <c r="T861" s="68">
        <v>0</v>
      </c>
      <c r="U861" s="68">
        <v>1</v>
      </c>
      <c r="V861" s="68">
        <v>72</v>
      </c>
      <c r="W861" s="68">
        <v>74</v>
      </c>
      <c r="X861" s="68">
        <v>120</v>
      </c>
      <c r="Y861" s="68">
        <v>80</v>
      </c>
      <c r="Z861" s="68">
        <v>81</v>
      </c>
      <c r="AA861" s="68">
        <v>1</v>
      </c>
      <c r="AB861" s="300">
        <f t="shared" si="83"/>
        <v>129.6</v>
      </c>
      <c r="AC861" s="300">
        <f t="shared" si="84"/>
        <v>0.78072289156626506</v>
      </c>
      <c r="AD861" s="68">
        <v>93861</v>
      </c>
      <c r="AE861" s="68" t="s">
        <v>109</v>
      </c>
      <c r="AF861" s="68" t="s">
        <v>317</v>
      </c>
      <c r="AG861" s="68" t="s">
        <v>317</v>
      </c>
      <c r="AH861" s="68" t="s">
        <v>2439</v>
      </c>
      <c r="AI861" s="309"/>
      <c r="AJ861" s="309"/>
      <c r="AK861" s="68" t="s">
        <v>37</v>
      </c>
      <c r="AL861" s="68" t="s">
        <v>49</v>
      </c>
      <c r="AM861" s="299">
        <f t="shared" ca="1" si="80"/>
        <v>0.12152777778101154</v>
      </c>
      <c r="AN861" s="75"/>
      <c r="AO861" s="61" t="s">
        <v>323</v>
      </c>
      <c r="AP861" s="91" t="s">
        <v>2437</v>
      </c>
      <c r="AQ861" s="59" t="s">
        <v>2510</v>
      </c>
      <c r="AR861" s="64">
        <v>44891.538194444445</v>
      </c>
      <c r="AS861" s="61" t="s">
        <v>136</v>
      </c>
      <c r="AT861" s="61" t="s">
        <v>225</v>
      </c>
      <c r="AU861" s="63">
        <v>0.53819444444444442</v>
      </c>
      <c r="AV861" s="61">
        <v>1</v>
      </c>
      <c r="AW861" s="61" t="s">
        <v>66</v>
      </c>
      <c r="AX861" s="76"/>
      <c r="AY861" s="76"/>
      <c r="AZ861" s="76"/>
      <c r="BA861" s="76"/>
      <c r="BB861" s="74"/>
    </row>
    <row r="862" spans="1:54" ht="15.75" thickBot="1" x14ac:dyDescent="0.3">
      <c r="A862" s="73">
        <v>518</v>
      </c>
      <c r="B862" s="72">
        <v>44891.423611111109</v>
      </c>
      <c r="C862" s="67">
        <v>0.43055555555555558</v>
      </c>
      <c r="D862" s="67">
        <v>0.44097222222222227</v>
      </c>
      <c r="E862" s="67">
        <v>0.44791666666666669</v>
      </c>
      <c r="F862" s="68" t="s">
        <v>171</v>
      </c>
      <c r="G862" s="68" t="s">
        <v>290</v>
      </c>
      <c r="H862" s="66" t="s">
        <v>91</v>
      </c>
      <c r="I862" s="66" t="s">
        <v>318</v>
      </c>
      <c r="J862" s="66" t="s">
        <v>41</v>
      </c>
      <c r="K862" s="66" t="s">
        <v>180</v>
      </c>
      <c r="L862" s="70" t="s">
        <v>206</v>
      </c>
      <c r="M862" s="68" t="s">
        <v>2440</v>
      </c>
      <c r="N862" s="68" t="s">
        <v>44</v>
      </c>
      <c r="O862" s="68">
        <v>1054969562</v>
      </c>
      <c r="P862" s="68">
        <v>1213980631</v>
      </c>
      <c r="Q862" s="303">
        <f t="shared" si="81"/>
        <v>5</v>
      </c>
      <c r="R862" s="303">
        <f t="shared" si="82"/>
        <v>1062</v>
      </c>
      <c r="S862" s="68">
        <v>0</v>
      </c>
      <c r="T862" s="68">
        <v>0</v>
      </c>
      <c r="U862" s="68">
        <v>5</v>
      </c>
      <c r="V862" s="68">
        <v>1062</v>
      </c>
      <c r="W862" s="68">
        <v>1070</v>
      </c>
      <c r="X862" s="68">
        <v>120</v>
      </c>
      <c r="Y862" s="68">
        <v>80</v>
      </c>
      <c r="Z862" s="68">
        <v>78</v>
      </c>
      <c r="AA862" s="68">
        <v>5</v>
      </c>
      <c r="AB862" s="300">
        <f t="shared" si="83"/>
        <v>624</v>
      </c>
      <c r="AC862" s="300">
        <f t="shared" si="84"/>
        <v>3.7590361445783134</v>
      </c>
      <c r="AD862" s="68">
        <v>55894.07</v>
      </c>
      <c r="AE862" s="68" t="s">
        <v>109</v>
      </c>
      <c r="AF862" s="68" t="s">
        <v>317</v>
      </c>
      <c r="AG862" s="68" t="s">
        <v>317</v>
      </c>
      <c r="AH862" s="68" t="s">
        <v>2441</v>
      </c>
      <c r="AI862" s="309"/>
      <c r="AJ862" s="309"/>
      <c r="AK862" s="68" t="s">
        <v>37</v>
      </c>
      <c r="AL862" s="68" t="s">
        <v>58</v>
      </c>
      <c r="AM862" s="299">
        <f t="shared" ca="1" si="80"/>
        <v>0.26388888889050577</v>
      </c>
      <c r="AN862" s="75"/>
      <c r="AO862" s="61" t="s">
        <v>323</v>
      </c>
      <c r="AP862" s="91" t="s">
        <v>2440</v>
      </c>
      <c r="AQ862" s="59" t="s">
        <v>2515</v>
      </c>
      <c r="AR862" s="64">
        <v>44891.6875</v>
      </c>
      <c r="AS862" s="57" t="s">
        <v>483</v>
      </c>
      <c r="AT862" s="61" t="s">
        <v>65</v>
      </c>
      <c r="AU862" s="63">
        <v>0.6875</v>
      </c>
      <c r="AV862" s="61">
        <v>1</v>
      </c>
      <c r="AW862" s="61" t="s">
        <v>66</v>
      </c>
      <c r="AX862" s="76"/>
      <c r="AY862" s="76"/>
      <c r="AZ862" s="76"/>
      <c r="BA862" s="76"/>
      <c r="BB862" s="74"/>
    </row>
    <row r="863" spans="1:54" ht="15.75" thickBot="1" x14ac:dyDescent="0.3">
      <c r="A863" s="73">
        <v>519</v>
      </c>
      <c r="B863" s="72">
        <v>44891.423611111109</v>
      </c>
      <c r="C863" s="67">
        <v>0.43055555555555558</v>
      </c>
      <c r="D863" s="67">
        <v>0.44097222222222227</v>
      </c>
      <c r="E863" s="67">
        <v>0.44791666666666669</v>
      </c>
      <c r="F863" s="68" t="s">
        <v>171</v>
      </c>
      <c r="G863" s="68" t="s">
        <v>290</v>
      </c>
      <c r="H863" s="66" t="s">
        <v>91</v>
      </c>
      <c r="I863" s="66" t="s">
        <v>318</v>
      </c>
      <c r="J863" s="66" t="s">
        <v>41</v>
      </c>
      <c r="K863" s="66" t="s">
        <v>180</v>
      </c>
      <c r="L863" s="70" t="s">
        <v>206</v>
      </c>
      <c r="M863" s="68" t="s">
        <v>2440</v>
      </c>
      <c r="N863" s="68" t="s">
        <v>44</v>
      </c>
      <c r="O863" s="68">
        <v>1054969533</v>
      </c>
      <c r="P863" s="68">
        <v>1213980230</v>
      </c>
      <c r="Q863" s="303">
        <f t="shared" si="81"/>
        <v>5</v>
      </c>
      <c r="R863" s="303">
        <f t="shared" si="82"/>
        <v>1061</v>
      </c>
      <c r="S863" s="68">
        <v>0</v>
      </c>
      <c r="T863" s="68">
        <v>0</v>
      </c>
      <c r="U863" s="68">
        <v>5</v>
      </c>
      <c r="V863" s="68">
        <v>1061</v>
      </c>
      <c r="W863" s="68">
        <v>1068</v>
      </c>
      <c r="X863" s="68">
        <v>120</v>
      </c>
      <c r="Y863" s="68">
        <v>80</v>
      </c>
      <c r="Z863" s="68">
        <v>78</v>
      </c>
      <c r="AA863" s="68">
        <v>5</v>
      </c>
      <c r="AB863" s="300">
        <f t="shared" si="83"/>
        <v>624</v>
      </c>
      <c r="AC863" s="300">
        <f t="shared" si="84"/>
        <v>3.7590361445783134</v>
      </c>
      <c r="AD863" s="68">
        <v>55894.07</v>
      </c>
      <c r="AE863" s="68" t="s">
        <v>109</v>
      </c>
      <c r="AF863" s="68" t="s">
        <v>317</v>
      </c>
      <c r="AG863" s="68" t="s">
        <v>317</v>
      </c>
      <c r="AH863" s="68" t="s">
        <v>2442</v>
      </c>
      <c r="AI863" s="309"/>
      <c r="AJ863" s="309"/>
      <c r="AK863" s="68" t="s">
        <v>37</v>
      </c>
      <c r="AL863" s="68" t="s">
        <v>58</v>
      </c>
      <c r="AM863" s="299">
        <f t="shared" ca="1" si="80"/>
        <v>0.26388888889050577</v>
      </c>
      <c r="AN863" s="75"/>
      <c r="AO863" s="61" t="s">
        <v>323</v>
      </c>
      <c r="AP863" s="91" t="s">
        <v>2440</v>
      </c>
      <c r="AQ863" s="59" t="s">
        <v>2515</v>
      </c>
      <c r="AR863" s="64">
        <v>44891.6875</v>
      </c>
      <c r="AS863" s="57" t="s">
        <v>483</v>
      </c>
      <c r="AT863" s="61" t="s">
        <v>65</v>
      </c>
      <c r="AU863" s="63">
        <v>0.6875</v>
      </c>
      <c r="AV863" s="61">
        <v>1</v>
      </c>
      <c r="AW863" s="61" t="s">
        <v>66</v>
      </c>
      <c r="AX863" s="76"/>
      <c r="AY863" s="76"/>
      <c r="AZ863" s="76"/>
      <c r="BA863" s="76"/>
      <c r="BB863" s="74"/>
    </row>
    <row r="864" spans="1:54" ht="15.75" thickBot="1" x14ac:dyDescent="0.3">
      <c r="A864" s="73">
        <v>520</v>
      </c>
      <c r="B864" s="72">
        <v>44891.423611111109</v>
      </c>
      <c r="C864" s="67">
        <v>0.43055555555555558</v>
      </c>
      <c r="D864" s="67">
        <v>0.44097222222222227</v>
      </c>
      <c r="E864" s="67">
        <v>0.44791666666666669</v>
      </c>
      <c r="F864" s="68" t="s">
        <v>171</v>
      </c>
      <c r="G864" s="68" t="s">
        <v>290</v>
      </c>
      <c r="H864" s="66" t="s">
        <v>91</v>
      </c>
      <c r="I864" s="66" t="s">
        <v>318</v>
      </c>
      <c r="J864" s="66" t="s">
        <v>41</v>
      </c>
      <c r="K864" s="66" t="s">
        <v>180</v>
      </c>
      <c r="L864" s="70" t="s">
        <v>206</v>
      </c>
      <c r="M864" s="68" t="s">
        <v>2443</v>
      </c>
      <c r="N864" s="68" t="s">
        <v>44</v>
      </c>
      <c r="O864" s="68">
        <v>1054969489</v>
      </c>
      <c r="P864" s="68">
        <v>1213975862</v>
      </c>
      <c r="Q864" s="303">
        <f t="shared" si="81"/>
        <v>5</v>
      </c>
      <c r="R864" s="303">
        <f t="shared" si="82"/>
        <v>1059</v>
      </c>
      <c r="S864" s="68">
        <v>0</v>
      </c>
      <c r="T864" s="68">
        <v>0</v>
      </c>
      <c r="U864" s="68">
        <v>5</v>
      </c>
      <c r="V864" s="68">
        <v>1059</v>
      </c>
      <c r="W864" s="68">
        <v>1068</v>
      </c>
      <c r="X864" s="68">
        <v>120</v>
      </c>
      <c r="Y864" s="68">
        <v>80</v>
      </c>
      <c r="Z864" s="68">
        <v>78</v>
      </c>
      <c r="AA864" s="68">
        <v>5</v>
      </c>
      <c r="AB864" s="300">
        <f t="shared" si="83"/>
        <v>624</v>
      </c>
      <c r="AC864" s="300">
        <f t="shared" si="84"/>
        <v>3.7590361445783134</v>
      </c>
      <c r="AD864" s="68">
        <v>47367.86</v>
      </c>
      <c r="AE864" s="68" t="s">
        <v>109</v>
      </c>
      <c r="AF864" s="68" t="s">
        <v>317</v>
      </c>
      <c r="AG864" s="68" t="s">
        <v>317</v>
      </c>
      <c r="AH864" s="68" t="s">
        <v>2444</v>
      </c>
      <c r="AI864" s="309"/>
      <c r="AJ864" s="309"/>
      <c r="AK864" s="68" t="s">
        <v>37</v>
      </c>
      <c r="AL864" s="68" t="s">
        <v>54</v>
      </c>
      <c r="AM864" s="299">
        <f t="shared" ca="1" si="80"/>
        <v>0.26388888889050577</v>
      </c>
      <c r="AN864" s="75"/>
      <c r="AO864" s="61" t="s">
        <v>323</v>
      </c>
      <c r="AP864" s="91" t="s">
        <v>2443</v>
      </c>
      <c r="AQ864" s="59" t="s">
        <v>2515</v>
      </c>
      <c r="AR864" s="64">
        <v>44891.6875</v>
      </c>
      <c r="AS864" s="57" t="s">
        <v>483</v>
      </c>
      <c r="AT864" s="61" t="s">
        <v>65</v>
      </c>
      <c r="AU864" s="63">
        <v>0.6875</v>
      </c>
      <c r="AV864" s="61">
        <v>1</v>
      </c>
      <c r="AW864" s="61" t="s">
        <v>66</v>
      </c>
      <c r="AX864" s="76"/>
      <c r="AY864" s="76"/>
      <c r="AZ864" s="76"/>
      <c r="BA864" s="76"/>
      <c r="BB864" s="74"/>
    </row>
    <row r="865" spans="1:54" ht="15.75" thickBot="1" x14ac:dyDescent="0.3">
      <c r="A865" s="73">
        <v>521</v>
      </c>
      <c r="B865" s="72">
        <v>44891.444444444445</v>
      </c>
      <c r="C865" s="67">
        <v>0.4513888888888889</v>
      </c>
      <c r="D865" s="67">
        <v>0.46180555555555558</v>
      </c>
      <c r="E865" s="67">
        <v>0.47569444444444442</v>
      </c>
      <c r="F865" s="68" t="s">
        <v>171</v>
      </c>
      <c r="G865" s="68" t="s">
        <v>293</v>
      </c>
      <c r="H865" s="66" t="s">
        <v>2313</v>
      </c>
      <c r="I865" s="66" t="s">
        <v>2445</v>
      </c>
      <c r="J865" s="66" t="s">
        <v>37</v>
      </c>
      <c r="K865" s="66" t="s">
        <v>180</v>
      </c>
      <c r="L865" s="66" t="s">
        <v>206</v>
      </c>
      <c r="M865" s="68" t="s">
        <v>2446</v>
      </c>
      <c r="N865" s="68" t="s">
        <v>64</v>
      </c>
      <c r="O865" s="68" t="s">
        <v>2447</v>
      </c>
      <c r="P865" s="68" t="s">
        <v>2448</v>
      </c>
      <c r="Q865" s="303">
        <f t="shared" si="81"/>
        <v>86</v>
      </c>
      <c r="R865" s="303">
        <f t="shared" si="82"/>
        <v>786</v>
      </c>
      <c r="S865" s="68">
        <v>84</v>
      </c>
      <c r="T865" s="68">
        <v>604</v>
      </c>
      <c r="U865" s="68">
        <v>2</v>
      </c>
      <c r="V865" s="68">
        <v>182</v>
      </c>
      <c r="W865" s="68">
        <v>775.46</v>
      </c>
      <c r="X865" s="68">
        <v>53</v>
      </c>
      <c r="Y865" s="68">
        <v>36</v>
      </c>
      <c r="Z865" s="68">
        <v>15</v>
      </c>
      <c r="AA865" s="68">
        <v>39</v>
      </c>
      <c r="AB865" s="300">
        <f t="shared" si="83"/>
        <v>186.03</v>
      </c>
      <c r="AC865" s="300">
        <f t="shared" si="84"/>
        <v>1.1206626506024095</v>
      </c>
      <c r="AD865" s="68" t="s">
        <v>48</v>
      </c>
      <c r="AE865" s="68" t="s">
        <v>48</v>
      </c>
      <c r="AF865" s="68" t="s">
        <v>317</v>
      </c>
      <c r="AG865" s="68" t="s">
        <v>317</v>
      </c>
      <c r="AH865" s="68" t="s">
        <v>2449</v>
      </c>
      <c r="AI865" s="309"/>
      <c r="AJ865" s="309"/>
      <c r="AK865" s="68" t="s">
        <v>48</v>
      </c>
      <c r="AL865" s="68" t="s">
        <v>39</v>
      </c>
      <c r="AM865" s="299">
        <f t="shared" ca="1" si="80"/>
        <v>9.375E-2</v>
      </c>
      <c r="AN865" s="75"/>
      <c r="AO865" s="61" t="s">
        <v>2333</v>
      </c>
      <c r="AP865" s="91" t="s">
        <v>2446</v>
      </c>
      <c r="AQ865" s="59" t="s">
        <v>2511</v>
      </c>
      <c r="AR865" s="64">
        <v>44891.538194444445</v>
      </c>
      <c r="AS865" s="61" t="s">
        <v>136</v>
      </c>
      <c r="AT865" s="61" t="s">
        <v>225</v>
      </c>
      <c r="AU865" s="63">
        <v>0.53819444444444442</v>
      </c>
      <c r="AV865" s="61">
        <v>1</v>
      </c>
      <c r="AW865" s="61" t="s">
        <v>66</v>
      </c>
      <c r="AX865" s="76"/>
      <c r="AY865" s="76"/>
      <c r="AZ865" s="76"/>
      <c r="BA865" s="76"/>
      <c r="BB865" s="74"/>
    </row>
    <row r="866" spans="1:54" ht="15.75" thickBot="1" x14ac:dyDescent="0.3">
      <c r="A866" s="73">
        <v>521</v>
      </c>
      <c r="B866" s="72">
        <v>44891.444444444445</v>
      </c>
      <c r="C866" s="67">
        <v>0.4513888888888889</v>
      </c>
      <c r="D866" s="67">
        <v>0.46180555555555558</v>
      </c>
      <c r="E866" s="67">
        <v>0.47569444444444442</v>
      </c>
      <c r="F866" s="68" t="s">
        <v>171</v>
      </c>
      <c r="G866" s="68" t="s">
        <v>293</v>
      </c>
      <c r="H866" s="66" t="s">
        <v>2313</v>
      </c>
      <c r="I866" s="66" t="s">
        <v>2445</v>
      </c>
      <c r="J866" s="66" t="s">
        <v>37</v>
      </c>
      <c r="K866" s="66" t="s">
        <v>180</v>
      </c>
      <c r="L866" s="66" t="s">
        <v>206</v>
      </c>
      <c r="M866" s="68" t="s">
        <v>2446</v>
      </c>
      <c r="N866" s="68" t="s">
        <v>64</v>
      </c>
      <c r="O866" s="68" t="s">
        <v>2447</v>
      </c>
      <c r="P866" s="68" t="s">
        <v>2448</v>
      </c>
      <c r="Q866" s="303">
        <f t="shared" si="81"/>
        <v>0</v>
      </c>
      <c r="R866" s="303">
        <f t="shared" si="82"/>
        <v>0</v>
      </c>
      <c r="S866" s="68">
        <v>0</v>
      </c>
      <c r="T866" s="68">
        <v>0</v>
      </c>
      <c r="U866" s="68">
        <v>0</v>
      </c>
      <c r="V866" s="68">
        <v>0</v>
      </c>
      <c r="W866" s="68">
        <v>0</v>
      </c>
      <c r="X866" s="68">
        <v>54</v>
      </c>
      <c r="Y866" s="68">
        <v>36</v>
      </c>
      <c r="Z866" s="68">
        <v>26</v>
      </c>
      <c r="AA866" s="68">
        <v>26</v>
      </c>
      <c r="AB866" s="300">
        <f t="shared" si="83"/>
        <v>219.024</v>
      </c>
      <c r="AC866" s="300">
        <f t="shared" si="84"/>
        <v>1.3194216867469879</v>
      </c>
      <c r="AD866" s="68">
        <v>0</v>
      </c>
      <c r="AE866" s="68">
        <v>0</v>
      </c>
      <c r="AF866" s="68" t="s">
        <v>317</v>
      </c>
      <c r="AG866" s="68" t="s">
        <v>317</v>
      </c>
      <c r="AH866" s="68" t="s">
        <v>2449</v>
      </c>
      <c r="AI866" s="309"/>
      <c r="AJ866" s="309"/>
      <c r="AK866" s="68" t="s">
        <v>48</v>
      </c>
      <c r="AL866" s="68" t="s">
        <v>39</v>
      </c>
      <c r="AM866" s="299">
        <f t="shared" ca="1" si="80"/>
        <v>9.375E-2</v>
      </c>
      <c r="AN866" s="75"/>
      <c r="AO866" s="61" t="s">
        <v>2333</v>
      </c>
      <c r="AP866" s="91" t="s">
        <v>2446</v>
      </c>
      <c r="AQ866" s="59" t="s">
        <v>2511</v>
      </c>
      <c r="AR866" s="64">
        <v>44891.538194444445</v>
      </c>
      <c r="AS866" s="61" t="s">
        <v>136</v>
      </c>
      <c r="AT866" s="61" t="s">
        <v>225</v>
      </c>
      <c r="AU866" s="63">
        <v>0.53819444444444442</v>
      </c>
      <c r="AV866" s="61">
        <v>1</v>
      </c>
      <c r="AW866" s="61" t="s">
        <v>66</v>
      </c>
      <c r="AX866" s="76"/>
      <c r="AY866" s="76"/>
      <c r="AZ866" s="76"/>
      <c r="BA866" s="76"/>
      <c r="BB866" s="74"/>
    </row>
    <row r="867" spans="1:54" ht="15.75" thickBot="1" x14ac:dyDescent="0.3">
      <c r="A867" s="73">
        <v>521</v>
      </c>
      <c r="B867" s="72">
        <v>44891.444444444445</v>
      </c>
      <c r="C867" s="67">
        <v>0.4513888888888889</v>
      </c>
      <c r="D867" s="67">
        <v>0.46180555555555558</v>
      </c>
      <c r="E867" s="67">
        <v>0.47569444444444442</v>
      </c>
      <c r="F867" s="68" t="s">
        <v>171</v>
      </c>
      <c r="G867" s="68" t="s">
        <v>293</v>
      </c>
      <c r="H867" s="66" t="s">
        <v>2313</v>
      </c>
      <c r="I867" s="66" t="s">
        <v>2445</v>
      </c>
      <c r="J867" s="66" t="s">
        <v>37</v>
      </c>
      <c r="K867" s="66" t="s">
        <v>180</v>
      </c>
      <c r="L867" s="66" t="s">
        <v>206</v>
      </c>
      <c r="M867" s="68" t="s">
        <v>2446</v>
      </c>
      <c r="N867" s="68" t="s">
        <v>64</v>
      </c>
      <c r="O867" s="68" t="s">
        <v>2447</v>
      </c>
      <c r="P867" s="68" t="s">
        <v>2448</v>
      </c>
      <c r="Q867" s="303">
        <f t="shared" si="81"/>
        <v>0</v>
      </c>
      <c r="R867" s="303">
        <f t="shared" si="82"/>
        <v>0</v>
      </c>
      <c r="S867" s="68">
        <v>0</v>
      </c>
      <c r="T867" s="68">
        <v>0</v>
      </c>
      <c r="U867" s="68">
        <v>0</v>
      </c>
      <c r="V867" s="68">
        <v>0</v>
      </c>
      <c r="W867" s="68">
        <v>0</v>
      </c>
      <c r="X867" s="68">
        <v>106</v>
      </c>
      <c r="Y867" s="68">
        <v>37</v>
      </c>
      <c r="Z867" s="68">
        <v>16</v>
      </c>
      <c r="AA867" s="68">
        <v>2</v>
      </c>
      <c r="AB867" s="300">
        <f t="shared" si="83"/>
        <v>20.917333333333332</v>
      </c>
      <c r="AC867" s="300">
        <f t="shared" si="84"/>
        <v>0.12600803212851405</v>
      </c>
      <c r="AD867" s="68">
        <v>0</v>
      </c>
      <c r="AE867" s="68">
        <v>0</v>
      </c>
      <c r="AF867" s="68" t="s">
        <v>317</v>
      </c>
      <c r="AG867" s="68" t="s">
        <v>317</v>
      </c>
      <c r="AH867" s="68" t="s">
        <v>2449</v>
      </c>
      <c r="AI867" s="309"/>
      <c r="AJ867" s="309"/>
      <c r="AK867" s="68" t="s">
        <v>48</v>
      </c>
      <c r="AL867" s="68" t="s">
        <v>39</v>
      </c>
      <c r="AM867" s="299">
        <f t="shared" ca="1" si="80"/>
        <v>9.375E-2</v>
      </c>
      <c r="AN867" s="75"/>
      <c r="AO867" s="61" t="s">
        <v>2333</v>
      </c>
      <c r="AP867" s="91" t="s">
        <v>2446</v>
      </c>
      <c r="AQ867" s="59" t="s">
        <v>2511</v>
      </c>
      <c r="AR867" s="64">
        <v>44891.538194444445</v>
      </c>
      <c r="AS867" s="61" t="s">
        <v>136</v>
      </c>
      <c r="AT867" s="61" t="s">
        <v>225</v>
      </c>
      <c r="AU867" s="63">
        <v>0.53819444444444442</v>
      </c>
      <c r="AV867" s="61">
        <v>1</v>
      </c>
      <c r="AW867" s="61" t="s">
        <v>66</v>
      </c>
      <c r="AX867" s="76"/>
      <c r="AY867" s="76"/>
      <c r="AZ867" s="76"/>
      <c r="BA867" s="76"/>
      <c r="BB867" s="74"/>
    </row>
    <row r="868" spans="1:54" ht="15.75" thickBot="1" x14ac:dyDescent="0.3">
      <c r="A868" s="73">
        <v>521</v>
      </c>
      <c r="B868" s="72">
        <v>44891.444444444445</v>
      </c>
      <c r="C868" s="67">
        <v>0.4513888888888889</v>
      </c>
      <c r="D868" s="67">
        <v>0.46180555555555558</v>
      </c>
      <c r="E868" s="67">
        <v>0.47569444444444442</v>
      </c>
      <c r="F868" s="68" t="s">
        <v>171</v>
      </c>
      <c r="G868" s="68" t="s">
        <v>293</v>
      </c>
      <c r="H868" s="66" t="s">
        <v>2313</v>
      </c>
      <c r="I868" s="66" t="s">
        <v>2445</v>
      </c>
      <c r="J868" s="66" t="s">
        <v>37</v>
      </c>
      <c r="K868" s="66" t="s">
        <v>180</v>
      </c>
      <c r="L868" s="66" t="s">
        <v>206</v>
      </c>
      <c r="M868" s="68" t="s">
        <v>2446</v>
      </c>
      <c r="N868" s="68" t="s">
        <v>64</v>
      </c>
      <c r="O868" s="68" t="s">
        <v>2447</v>
      </c>
      <c r="P868" s="68" t="s">
        <v>2448</v>
      </c>
      <c r="Q868" s="303">
        <f t="shared" si="81"/>
        <v>0</v>
      </c>
      <c r="R868" s="303">
        <f t="shared" si="82"/>
        <v>0</v>
      </c>
      <c r="S868" s="68">
        <v>0</v>
      </c>
      <c r="T868" s="68">
        <v>0</v>
      </c>
      <c r="U868" s="68">
        <v>0</v>
      </c>
      <c r="V868" s="68">
        <v>0</v>
      </c>
      <c r="W868" s="68">
        <v>0</v>
      </c>
      <c r="X868" s="68">
        <v>36</v>
      </c>
      <c r="Y868" s="68">
        <v>27</v>
      </c>
      <c r="Z868" s="68">
        <v>16</v>
      </c>
      <c r="AA868" s="68">
        <v>17</v>
      </c>
      <c r="AB868" s="300">
        <f t="shared" si="83"/>
        <v>44.064</v>
      </c>
      <c r="AC868" s="300">
        <f t="shared" si="84"/>
        <v>0.26544578313253014</v>
      </c>
      <c r="AD868" s="68">
        <v>0</v>
      </c>
      <c r="AE868" s="68">
        <v>0</v>
      </c>
      <c r="AF868" s="68" t="s">
        <v>317</v>
      </c>
      <c r="AG868" s="68" t="s">
        <v>317</v>
      </c>
      <c r="AH868" s="68" t="s">
        <v>2449</v>
      </c>
      <c r="AI868" s="309"/>
      <c r="AJ868" s="309"/>
      <c r="AK868" s="68" t="s">
        <v>48</v>
      </c>
      <c r="AL868" s="68" t="s">
        <v>39</v>
      </c>
      <c r="AM868" s="299">
        <f t="shared" ca="1" si="80"/>
        <v>9.375E-2</v>
      </c>
      <c r="AN868" s="75"/>
      <c r="AO868" s="61" t="s">
        <v>2333</v>
      </c>
      <c r="AP868" s="91" t="s">
        <v>2446</v>
      </c>
      <c r="AQ868" s="59" t="s">
        <v>2511</v>
      </c>
      <c r="AR868" s="64">
        <v>44891.538194444445</v>
      </c>
      <c r="AS868" s="61" t="s">
        <v>136</v>
      </c>
      <c r="AT868" s="61" t="s">
        <v>225</v>
      </c>
      <c r="AU868" s="63">
        <v>0.53819444444444442</v>
      </c>
      <c r="AV868" s="61">
        <v>1</v>
      </c>
      <c r="AW868" s="61" t="s">
        <v>66</v>
      </c>
      <c r="AX868" s="76"/>
      <c r="AY868" s="76"/>
      <c r="AZ868" s="76"/>
      <c r="BA868" s="76"/>
      <c r="BB868" s="74"/>
    </row>
    <row r="869" spans="1:54" ht="15.75" thickBot="1" x14ac:dyDescent="0.3">
      <c r="A869" s="73">
        <v>521</v>
      </c>
      <c r="B869" s="72">
        <v>44891.444444444445</v>
      </c>
      <c r="C869" s="67">
        <v>0.4513888888888889</v>
      </c>
      <c r="D869" s="67">
        <v>0.46180555555555558</v>
      </c>
      <c r="E869" s="67">
        <v>0.47569444444444442</v>
      </c>
      <c r="F869" s="68" t="s">
        <v>171</v>
      </c>
      <c r="G869" s="68" t="s">
        <v>293</v>
      </c>
      <c r="H869" s="66" t="s">
        <v>2313</v>
      </c>
      <c r="I869" s="66" t="s">
        <v>2445</v>
      </c>
      <c r="J869" s="66" t="s">
        <v>37</v>
      </c>
      <c r="K869" s="66" t="s">
        <v>180</v>
      </c>
      <c r="L869" s="66" t="s">
        <v>206</v>
      </c>
      <c r="M869" s="68" t="s">
        <v>2446</v>
      </c>
      <c r="N869" s="68" t="s">
        <v>64</v>
      </c>
      <c r="O869" s="68" t="s">
        <v>2447</v>
      </c>
      <c r="P869" s="68" t="s">
        <v>2448</v>
      </c>
      <c r="Q869" s="303">
        <f t="shared" si="81"/>
        <v>0</v>
      </c>
      <c r="R869" s="303">
        <f t="shared" si="82"/>
        <v>0</v>
      </c>
      <c r="S869" s="68">
        <v>0</v>
      </c>
      <c r="T869" s="68">
        <v>0</v>
      </c>
      <c r="U869" s="68">
        <v>0</v>
      </c>
      <c r="V869" s="68">
        <v>0</v>
      </c>
      <c r="W869" s="68">
        <v>0</v>
      </c>
      <c r="X869" s="68">
        <v>120</v>
      </c>
      <c r="Y869" s="68">
        <v>77</v>
      </c>
      <c r="Z869" s="68">
        <v>85</v>
      </c>
      <c r="AA869" s="68">
        <v>2</v>
      </c>
      <c r="AB869" s="300">
        <f t="shared" si="83"/>
        <v>261.8</v>
      </c>
      <c r="AC869" s="300">
        <f t="shared" si="84"/>
        <v>1.5771084337349399</v>
      </c>
      <c r="AD869" s="68">
        <v>0</v>
      </c>
      <c r="AE869" s="68">
        <v>0</v>
      </c>
      <c r="AF869" s="68" t="s">
        <v>317</v>
      </c>
      <c r="AG869" s="68" t="s">
        <v>317</v>
      </c>
      <c r="AH869" s="68" t="s">
        <v>2449</v>
      </c>
      <c r="AI869" s="309"/>
      <c r="AJ869" s="309"/>
      <c r="AK869" s="68" t="s">
        <v>37</v>
      </c>
      <c r="AL869" s="68" t="s">
        <v>49</v>
      </c>
      <c r="AM869" s="299">
        <f t="shared" ca="1" si="80"/>
        <v>9.375E-2</v>
      </c>
      <c r="AN869" s="75"/>
      <c r="AO869" s="61" t="s">
        <v>2333</v>
      </c>
      <c r="AP869" s="91" t="s">
        <v>2446</v>
      </c>
      <c r="AQ869" s="59" t="s">
        <v>2511</v>
      </c>
      <c r="AR869" s="64">
        <v>44891.538194444445</v>
      </c>
      <c r="AS869" s="61" t="s">
        <v>136</v>
      </c>
      <c r="AT869" s="61" t="s">
        <v>225</v>
      </c>
      <c r="AU869" s="63">
        <v>0.53819444444444442</v>
      </c>
      <c r="AV869" s="61">
        <v>1</v>
      </c>
      <c r="AW869" s="61" t="s">
        <v>66</v>
      </c>
      <c r="AX869" s="76"/>
      <c r="AY869" s="76"/>
      <c r="AZ869" s="76"/>
      <c r="BA869" s="76"/>
      <c r="BB869" s="74"/>
    </row>
    <row r="870" spans="1:54" x14ac:dyDescent="0.25">
      <c r="A870" s="73">
        <v>522</v>
      </c>
      <c r="B870" s="72">
        <v>44891.635416666664</v>
      </c>
      <c r="C870" s="67">
        <v>0.63888888888888895</v>
      </c>
      <c r="D870" s="67">
        <v>0.64583333333333337</v>
      </c>
      <c r="E870" s="67">
        <v>0.65625</v>
      </c>
      <c r="F870" s="68" t="s">
        <v>170</v>
      </c>
      <c r="G870" s="68" t="s">
        <v>2450</v>
      </c>
      <c r="H870" s="71" t="s">
        <v>227</v>
      </c>
      <c r="I870" s="71" t="s">
        <v>189</v>
      </c>
      <c r="J870" s="71" t="s">
        <v>37</v>
      </c>
      <c r="K870" s="71" t="s">
        <v>63</v>
      </c>
      <c r="L870" s="71" t="s">
        <v>209</v>
      </c>
      <c r="M870" s="68" t="s">
        <v>2451</v>
      </c>
      <c r="N870" s="68" t="s">
        <v>42</v>
      </c>
      <c r="O870" s="77">
        <v>968969970</v>
      </c>
      <c r="P870" s="68">
        <v>3729</v>
      </c>
      <c r="Q870" s="303">
        <f t="shared" si="81"/>
        <v>6</v>
      </c>
      <c r="R870" s="303">
        <f t="shared" si="82"/>
        <v>1389</v>
      </c>
      <c r="S870" s="68">
        <v>0</v>
      </c>
      <c r="T870" s="68">
        <v>0</v>
      </c>
      <c r="U870" s="68">
        <v>6</v>
      </c>
      <c r="V870" s="68">
        <v>1389</v>
      </c>
      <c r="W870" s="68">
        <v>1291.02</v>
      </c>
      <c r="X870" s="68">
        <v>160</v>
      </c>
      <c r="Y870" s="68">
        <v>138</v>
      </c>
      <c r="Z870" s="68">
        <v>78</v>
      </c>
      <c r="AA870" s="68">
        <v>6</v>
      </c>
      <c r="AB870" s="300">
        <f t="shared" si="83"/>
        <v>1722.24</v>
      </c>
      <c r="AC870" s="300">
        <f t="shared" si="84"/>
        <v>10.374939759036145</v>
      </c>
      <c r="AD870" s="68" t="s">
        <v>48</v>
      </c>
      <c r="AE870" s="68" t="s">
        <v>48</v>
      </c>
      <c r="AF870" s="68" t="s">
        <v>317</v>
      </c>
      <c r="AG870" s="68" t="s">
        <v>317</v>
      </c>
      <c r="AH870" s="68" t="s">
        <v>2452</v>
      </c>
      <c r="AI870" s="309"/>
      <c r="AJ870" s="309"/>
      <c r="AK870" s="68" t="s">
        <v>37</v>
      </c>
      <c r="AL870" s="68" t="s">
        <v>39</v>
      </c>
      <c r="AM870" s="299">
        <f t="shared" ca="1" si="80"/>
        <v>6.9444444445252884E-2</v>
      </c>
      <c r="AN870" s="51"/>
      <c r="AO870" s="61" t="s">
        <v>89</v>
      </c>
      <c r="AP870" s="91" t="s">
        <v>2451</v>
      </c>
      <c r="AQ870" s="59" t="s">
        <v>2518</v>
      </c>
      <c r="AR870" s="64">
        <v>44891.704861111109</v>
      </c>
      <c r="AS870" s="61" t="s">
        <v>136</v>
      </c>
      <c r="AT870" s="61" t="s">
        <v>225</v>
      </c>
      <c r="AU870" s="63">
        <v>0.70486111111111116</v>
      </c>
      <c r="AV870" s="61">
        <v>2</v>
      </c>
      <c r="AW870" s="61" t="s">
        <v>66</v>
      </c>
      <c r="AX870" s="52"/>
      <c r="AY870" s="52"/>
      <c r="AZ870" s="52"/>
      <c r="BA870" s="52"/>
    </row>
    <row r="871" spans="1:54" x14ac:dyDescent="0.25">
      <c r="A871" s="73">
        <v>523</v>
      </c>
      <c r="B871" s="72">
        <v>44891.635416666664</v>
      </c>
      <c r="C871" s="67">
        <v>0.63888888888888895</v>
      </c>
      <c r="D871" s="67">
        <v>0.64583333333333337</v>
      </c>
      <c r="E871" s="67">
        <v>0.65625</v>
      </c>
      <c r="F871" s="68" t="s">
        <v>170</v>
      </c>
      <c r="G871" s="68" t="s">
        <v>1969</v>
      </c>
      <c r="H871" s="66" t="s">
        <v>227</v>
      </c>
      <c r="I871" s="66" t="s">
        <v>189</v>
      </c>
      <c r="J871" s="66" t="s">
        <v>37</v>
      </c>
      <c r="K871" s="66" t="s">
        <v>63</v>
      </c>
      <c r="L871" s="66" t="s">
        <v>209</v>
      </c>
      <c r="M871" s="68" t="s">
        <v>2453</v>
      </c>
      <c r="N871" s="68" t="s">
        <v>43</v>
      </c>
      <c r="O871" s="77">
        <v>972973</v>
      </c>
      <c r="P871" s="68">
        <v>31817</v>
      </c>
      <c r="Q871" s="303">
        <f t="shared" si="81"/>
        <v>1</v>
      </c>
      <c r="R871" s="303">
        <f t="shared" si="82"/>
        <v>297</v>
      </c>
      <c r="S871" s="68">
        <v>0</v>
      </c>
      <c r="T871" s="68">
        <v>0</v>
      </c>
      <c r="U871" s="68">
        <v>1</v>
      </c>
      <c r="V871" s="68">
        <v>297</v>
      </c>
      <c r="W871" s="68">
        <v>275.39999999999998</v>
      </c>
      <c r="X871" s="68">
        <v>160</v>
      </c>
      <c r="Y871" s="68">
        <v>138</v>
      </c>
      <c r="Z871" s="68">
        <v>78</v>
      </c>
      <c r="AA871" s="68">
        <v>1</v>
      </c>
      <c r="AB871" s="300">
        <f t="shared" si="83"/>
        <v>287.04000000000002</v>
      </c>
      <c r="AC871" s="300">
        <f t="shared" si="84"/>
        <v>1.7291566265060243</v>
      </c>
      <c r="AD871" s="68" t="s">
        <v>48</v>
      </c>
      <c r="AE871" s="68" t="s">
        <v>48</v>
      </c>
      <c r="AF871" s="68" t="s">
        <v>317</v>
      </c>
      <c r="AG871" s="68" t="s">
        <v>317</v>
      </c>
      <c r="AH871" s="68" t="s">
        <v>2454</v>
      </c>
      <c r="AI871" s="309"/>
      <c r="AJ871" s="309"/>
      <c r="AK871" s="68" t="s">
        <v>37</v>
      </c>
      <c r="AL871" s="68" t="s">
        <v>39</v>
      </c>
      <c r="AM871" s="299">
        <f t="shared" ca="1" si="80"/>
        <v>7.2916666671517305E-2</v>
      </c>
      <c r="AN871" s="51"/>
      <c r="AO871" s="61" t="s">
        <v>179</v>
      </c>
      <c r="AP871" s="91" t="s">
        <v>2519</v>
      </c>
      <c r="AQ871" s="59" t="s">
        <v>2520</v>
      </c>
      <c r="AR871" s="64">
        <v>44891.708333333336</v>
      </c>
      <c r="AS871" s="57" t="s">
        <v>117</v>
      </c>
      <c r="AT871" s="61" t="s">
        <v>225</v>
      </c>
      <c r="AU871" s="63">
        <v>0.70833333333333337</v>
      </c>
      <c r="AV871" s="61">
        <v>2</v>
      </c>
      <c r="AW871" s="61" t="s">
        <v>66</v>
      </c>
      <c r="AX871" s="52"/>
      <c r="AY871" s="52"/>
      <c r="AZ871" s="52"/>
      <c r="BA871" s="52"/>
    </row>
    <row r="872" spans="1:54" x14ac:dyDescent="0.25">
      <c r="A872" s="73">
        <v>524</v>
      </c>
      <c r="B872" s="72">
        <v>44891.635416666664</v>
      </c>
      <c r="C872" s="67">
        <v>0.63888888888888895</v>
      </c>
      <c r="D872" s="67">
        <v>0.64583333333333337</v>
      </c>
      <c r="E872" s="67">
        <v>0.65625</v>
      </c>
      <c r="F872" s="68" t="s">
        <v>170</v>
      </c>
      <c r="G872" s="68" t="s">
        <v>1969</v>
      </c>
      <c r="H872" s="66" t="s">
        <v>227</v>
      </c>
      <c r="I872" s="66" t="s">
        <v>189</v>
      </c>
      <c r="J872" s="66" t="s">
        <v>37</v>
      </c>
      <c r="K872" s="66" t="s">
        <v>63</v>
      </c>
      <c r="L872" s="66" t="s">
        <v>209</v>
      </c>
      <c r="M872" s="68" t="s">
        <v>2455</v>
      </c>
      <c r="N872" s="68" t="s">
        <v>42</v>
      </c>
      <c r="O872" s="68">
        <v>971</v>
      </c>
      <c r="P872" s="68">
        <v>2476</v>
      </c>
      <c r="Q872" s="303">
        <f t="shared" si="81"/>
        <v>7</v>
      </c>
      <c r="R872" s="303">
        <f t="shared" si="82"/>
        <v>2090</v>
      </c>
      <c r="S872" s="68">
        <v>0</v>
      </c>
      <c r="T872" s="68">
        <v>0</v>
      </c>
      <c r="U872" s="68">
        <v>7</v>
      </c>
      <c r="V872" s="68">
        <v>2090</v>
      </c>
      <c r="W872" s="68">
        <v>1960</v>
      </c>
      <c r="X872" s="68">
        <v>103</v>
      </c>
      <c r="Y872" s="68">
        <v>44</v>
      </c>
      <c r="Z872" s="68">
        <v>42</v>
      </c>
      <c r="AA872" s="68">
        <v>7</v>
      </c>
      <c r="AB872" s="300">
        <f t="shared" si="83"/>
        <v>222.06800000000001</v>
      </c>
      <c r="AC872" s="300">
        <f t="shared" si="84"/>
        <v>1.3377590361445784</v>
      </c>
      <c r="AD872" s="68">
        <v>10852.8</v>
      </c>
      <c r="AE872" s="68" t="s">
        <v>109</v>
      </c>
      <c r="AF872" s="68" t="s">
        <v>317</v>
      </c>
      <c r="AG872" s="68" t="s">
        <v>317</v>
      </c>
      <c r="AH872" s="68" t="s">
        <v>2456</v>
      </c>
      <c r="AI872" s="309"/>
      <c r="AJ872" s="309"/>
      <c r="AK872" s="68" t="s">
        <v>41</v>
      </c>
      <c r="AL872" s="68" t="s">
        <v>39</v>
      </c>
      <c r="AM872" s="299">
        <f t="shared" ref="AM872:AM935" ca="1" si="85">IF(AP872="",NOW()-B872,AR872-B872)</f>
        <v>7.2916666671517305E-2</v>
      </c>
      <c r="AN872" s="51"/>
      <c r="AO872" s="61" t="s">
        <v>89</v>
      </c>
      <c r="AP872" s="91" t="s">
        <v>2451</v>
      </c>
      <c r="AQ872" s="59" t="s">
        <v>2518</v>
      </c>
      <c r="AR872" s="64">
        <v>44891.708333333336</v>
      </c>
      <c r="AS872" s="57" t="s">
        <v>117</v>
      </c>
      <c r="AT872" s="61" t="s">
        <v>225</v>
      </c>
      <c r="AU872" s="63">
        <v>0.70833333333333337</v>
      </c>
      <c r="AV872" s="61">
        <v>2</v>
      </c>
      <c r="AW872" s="61" t="s">
        <v>66</v>
      </c>
      <c r="AX872" s="52"/>
      <c r="AY872" s="52"/>
      <c r="AZ872" s="52"/>
      <c r="BA872" s="52"/>
    </row>
    <row r="873" spans="1:54" x14ac:dyDescent="0.25">
      <c r="A873" s="73">
        <v>524</v>
      </c>
      <c r="B873" s="72">
        <v>44891.631944444445</v>
      </c>
      <c r="C873" s="67">
        <v>0.63194444444444442</v>
      </c>
      <c r="D873" s="67">
        <v>0.64583333333333337</v>
      </c>
      <c r="E873" s="67">
        <v>0.67013888888888884</v>
      </c>
      <c r="F873" s="68" t="s">
        <v>170</v>
      </c>
      <c r="G873" s="68" t="s">
        <v>2457</v>
      </c>
      <c r="H873" s="66" t="s">
        <v>156</v>
      </c>
      <c r="I873" s="66" t="s">
        <v>124</v>
      </c>
      <c r="J873" s="66" t="s">
        <v>37</v>
      </c>
      <c r="K873" s="66" t="s">
        <v>63</v>
      </c>
      <c r="L873" s="66" t="s">
        <v>212</v>
      </c>
      <c r="M873" s="68" t="s">
        <v>2458</v>
      </c>
      <c r="N873" s="68" t="s">
        <v>42</v>
      </c>
      <c r="O873" s="68" t="s">
        <v>2459</v>
      </c>
      <c r="P873" s="68" t="s">
        <v>432</v>
      </c>
      <c r="Q873" s="303">
        <f t="shared" ref="Q873:Q936" si="86">S873+U873</f>
        <v>7</v>
      </c>
      <c r="R873" s="303">
        <f t="shared" ref="R873:R936" si="87">T873+V873</f>
        <v>138</v>
      </c>
      <c r="S873" s="68">
        <v>0</v>
      </c>
      <c r="T873" s="68">
        <v>0</v>
      </c>
      <c r="U873" s="68">
        <v>7</v>
      </c>
      <c r="V873" s="38">
        <v>138</v>
      </c>
      <c r="W873" s="38">
        <v>178.35</v>
      </c>
      <c r="X873" s="68">
        <v>39</v>
      </c>
      <c r="Y873" s="68">
        <v>39</v>
      </c>
      <c r="Z873" s="68">
        <v>46</v>
      </c>
      <c r="AA873" s="68">
        <v>1</v>
      </c>
      <c r="AB873" s="300">
        <f t="shared" ref="AB873:AB936" si="88">X873*Y873*Z873*AA873/6000</f>
        <v>11.661</v>
      </c>
      <c r="AC873" s="300">
        <f t="shared" ref="AC873:AC936" si="89">AB873/166</f>
        <v>7.0246987951807227E-2</v>
      </c>
      <c r="AD873" s="68">
        <v>2656.69</v>
      </c>
      <c r="AE873" s="68" t="s">
        <v>109</v>
      </c>
      <c r="AF873" s="68" t="s">
        <v>317</v>
      </c>
      <c r="AG873" s="68" t="s">
        <v>317</v>
      </c>
      <c r="AH873" s="68" t="s">
        <v>2460</v>
      </c>
      <c r="AI873" s="309"/>
      <c r="AJ873" s="309"/>
      <c r="AK873" s="68" t="s">
        <v>37</v>
      </c>
      <c r="AL873" s="68" t="s">
        <v>49</v>
      </c>
      <c r="AM873" s="299">
        <f t="shared" ca="1" si="85"/>
        <v>2.9965277777737356</v>
      </c>
      <c r="AN873" s="51"/>
      <c r="AO873" s="61" t="s">
        <v>120</v>
      </c>
      <c r="AP873" s="91" t="s">
        <v>2458</v>
      </c>
      <c r="AQ873" s="59" t="s">
        <v>2621</v>
      </c>
      <c r="AR873" s="64">
        <v>44894.628472222219</v>
      </c>
      <c r="AS873" s="61" t="s">
        <v>483</v>
      </c>
      <c r="AT873" s="61" t="s">
        <v>225</v>
      </c>
      <c r="AU873" s="63">
        <v>0.62847222222222221</v>
      </c>
      <c r="AV873" s="61">
        <v>2</v>
      </c>
      <c r="AW873" s="61" t="s">
        <v>66</v>
      </c>
      <c r="AX873" s="52"/>
      <c r="AY873" s="52"/>
      <c r="AZ873" s="52"/>
      <c r="BA873" s="52"/>
    </row>
    <row r="874" spans="1:54" x14ac:dyDescent="0.25">
      <c r="A874" s="73">
        <v>524</v>
      </c>
      <c r="B874" s="72">
        <v>44891.631944444445</v>
      </c>
      <c r="C874" s="67">
        <v>0.63194444444444442</v>
      </c>
      <c r="D874" s="67">
        <v>0.64583333333333337</v>
      </c>
      <c r="E874" s="67">
        <v>0.67013888888888884</v>
      </c>
      <c r="F874" s="68" t="s">
        <v>170</v>
      </c>
      <c r="G874" s="68" t="s">
        <v>2457</v>
      </c>
      <c r="H874" s="66" t="s">
        <v>156</v>
      </c>
      <c r="I874" s="66" t="s">
        <v>124</v>
      </c>
      <c r="J874" s="66" t="s">
        <v>37</v>
      </c>
      <c r="K874" s="66" t="s">
        <v>63</v>
      </c>
      <c r="L874" s="66" t="s">
        <v>212</v>
      </c>
      <c r="M874" s="68" t="s">
        <v>2458</v>
      </c>
      <c r="N874" s="68" t="s">
        <v>42</v>
      </c>
      <c r="O874" s="68" t="s">
        <v>2459</v>
      </c>
      <c r="P874" s="68" t="s">
        <v>432</v>
      </c>
      <c r="Q874" s="303">
        <f t="shared" si="86"/>
        <v>0</v>
      </c>
      <c r="R874" s="303">
        <f t="shared" si="87"/>
        <v>0</v>
      </c>
      <c r="S874" s="68">
        <v>0</v>
      </c>
      <c r="T874" s="68">
        <v>0</v>
      </c>
      <c r="U874" s="68">
        <v>0</v>
      </c>
      <c r="V874" s="68">
        <v>0</v>
      </c>
      <c r="W874" s="68">
        <v>0</v>
      </c>
      <c r="X874" s="68">
        <v>53</v>
      </c>
      <c r="Y874" s="68">
        <v>36</v>
      </c>
      <c r="Z874" s="68">
        <v>29</v>
      </c>
      <c r="AA874" s="68">
        <v>1</v>
      </c>
      <c r="AB874" s="300">
        <f t="shared" si="88"/>
        <v>9.2219999999999995</v>
      </c>
      <c r="AC874" s="300">
        <f t="shared" si="89"/>
        <v>5.5554216867469877E-2</v>
      </c>
      <c r="AD874" s="68">
        <v>0</v>
      </c>
      <c r="AE874" s="68">
        <v>0</v>
      </c>
      <c r="AF874" s="68" t="s">
        <v>317</v>
      </c>
      <c r="AG874" s="68" t="s">
        <v>317</v>
      </c>
      <c r="AH874" s="68" t="s">
        <v>2460</v>
      </c>
      <c r="AI874" s="309"/>
      <c r="AJ874" s="309"/>
      <c r="AK874" s="68" t="s">
        <v>37</v>
      </c>
      <c r="AL874" s="68" t="s">
        <v>49</v>
      </c>
      <c r="AM874" s="299">
        <f t="shared" ca="1" si="85"/>
        <v>2.9965277777737356</v>
      </c>
      <c r="AN874" s="51"/>
      <c r="AO874" s="61" t="s">
        <v>120</v>
      </c>
      <c r="AP874" s="91" t="s">
        <v>2458</v>
      </c>
      <c r="AQ874" s="59" t="s">
        <v>2621</v>
      </c>
      <c r="AR874" s="64">
        <v>44894.628472222219</v>
      </c>
      <c r="AS874" s="61" t="s">
        <v>483</v>
      </c>
      <c r="AT874" s="61" t="s">
        <v>225</v>
      </c>
      <c r="AU874" s="63">
        <v>0.62847222222222221</v>
      </c>
      <c r="AV874" s="61">
        <v>2</v>
      </c>
      <c r="AW874" s="61" t="s">
        <v>66</v>
      </c>
      <c r="AX874" s="52"/>
      <c r="AY874" s="52"/>
      <c r="AZ874" s="52"/>
      <c r="BA874" s="52"/>
    </row>
    <row r="875" spans="1:54" x14ac:dyDescent="0.25">
      <c r="A875" s="73">
        <v>524</v>
      </c>
      <c r="B875" s="72">
        <v>44891.631944444445</v>
      </c>
      <c r="C875" s="67">
        <v>0.63194444444444442</v>
      </c>
      <c r="D875" s="67">
        <v>0.64583333333333337</v>
      </c>
      <c r="E875" s="67">
        <v>0.67013888888888884</v>
      </c>
      <c r="F875" s="68" t="s">
        <v>170</v>
      </c>
      <c r="G875" s="68" t="s">
        <v>2457</v>
      </c>
      <c r="H875" s="66" t="s">
        <v>156</v>
      </c>
      <c r="I875" s="66" t="s">
        <v>124</v>
      </c>
      <c r="J875" s="66" t="s">
        <v>37</v>
      </c>
      <c r="K875" s="66" t="s">
        <v>63</v>
      </c>
      <c r="L875" s="66" t="s">
        <v>212</v>
      </c>
      <c r="M875" s="68" t="s">
        <v>2458</v>
      </c>
      <c r="N875" s="68" t="s">
        <v>42</v>
      </c>
      <c r="O875" s="68" t="s">
        <v>2459</v>
      </c>
      <c r="P875" s="68" t="s">
        <v>432</v>
      </c>
      <c r="Q875" s="303">
        <f t="shared" si="86"/>
        <v>0</v>
      </c>
      <c r="R875" s="303">
        <f t="shared" si="87"/>
        <v>0</v>
      </c>
      <c r="S875" s="68">
        <v>0</v>
      </c>
      <c r="T875" s="68">
        <v>0</v>
      </c>
      <c r="U875" s="68">
        <v>0</v>
      </c>
      <c r="V875" s="68">
        <v>0</v>
      </c>
      <c r="W875" s="68">
        <v>0</v>
      </c>
      <c r="X875" s="68">
        <v>27</v>
      </c>
      <c r="Y875" s="68">
        <v>22</v>
      </c>
      <c r="Z875" s="68">
        <v>29</v>
      </c>
      <c r="AA875" s="68">
        <v>1</v>
      </c>
      <c r="AB875" s="300">
        <f t="shared" si="88"/>
        <v>2.871</v>
      </c>
      <c r="AC875" s="300">
        <f t="shared" si="89"/>
        <v>1.7295180722891566E-2</v>
      </c>
      <c r="AD875" s="68">
        <v>0</v>
      </c>
      <c r="AE875" s="68">
        <v>0</v>
      </c>
      <c r="AF875" s="68" t="s">
        <v>317</v>
      </c>
      <c r="AG875" s="68" t="s">
        <v>317</v>
      </c>
      <c r="AH875" s="68" t="s">
        <v>2460</v>
      </c>
      <c r="AI875" s="309"/>
      <c r="AJ875" s="309"/>
      <c r="AK875" s="68" t="s">
        <v>37</v>
      </c>
      <c r="AL875" s="68" t="s">
        <v>49</v>
      </c>
      <c r="AM875" s="299">
        <f t="shared" ca="1" si="85"/>
        <v>2.9965277777737356</v>
      </c>
      <c r="AN875" s="51"/>
      <c r="AO875" s="61" t="s">
        <v>120</v>
      </c>
      <c r="AP875" s="91" t="s">
        <v>2458</v>
      </c>
      <c r="AQ875" s="59" t="s">
        <v>2621</v>
      </c>
      <c r="AR875" s="64">
        <v>44894.628472222219</v>
      </c>
      <c r="AS875" s="61" t="s">
        <v>483</v>
      </c>
      <c r="AT875" s="61" t="s">
        <v>225</v>
      </c>
      <c r="AU875" s="63">
        <v>0.62847222222222221</v>
      </c>
      <c r="AV875" s="61">
        <v>2</v>
      </c>
      <c r="AW875" s="61" t="s">
        <v>66</v>
      </c>
      <c r="AX875" s="52"/>
      <c r="AY875" s="52"/>
      <c r="AZ875" s="52"/>
      <c r="BA875" s="52"/>
    </row>
    <row r="876" spans="1:54" x14ac:dyDescent="0.25">
      <c r="A876" s="73">
        <v>524</v>
      </c>
      <c r="B876" s="72">
        <v>44891.631944444445</v>
      </c>
      <c r="C876" s="67">
        <v>0.63194444444444442</v>
      </c>
      <c r="D876" s="67">
        <v>0.64583333333333337</v>
      </c>
      <c r="E876" s="67">
        <v>0.67013888888888884</v>
      </c>
      <c r="F876" s="68" t="s">
        <v>170</v>
      </c>
      <c r="G876" s="68" t="s">
        <v>2457</v>
      </c>
      <c r="H876" s="66" t="s">
        <v>156</v>
      </c>
      <c r="I876" s="66" t="s">
        <v>124</v>
      </c>
      <c r="J876" s="66" t="s">
        <v>37</v>
      </c>
      <c r="K876" s="66" t="s">
        <v>63</v>
      </c>
      <c r="L876" s="66" t="s">
        <v>212</v>
      </c>
      <c r="M876" s="68" t="s">
        <v>2458</v>
      </c>
      <c r="N876" s="68" t="s">
        <v>42</v>
      </c>
      <c r="O876" s="68" t="s">
        <v>2459</v>
      </c>
      <c r="P876" s="68" t="s">
        <v>432</v>
      </c>
      <c r="Q876" s="303">
        <f t="shared" si="86"/>
        <v>0</v>
      </c>
      <c r="R876" s="303">
        <f t="shared" si="87"/>
        <v>0</v>
      </c>
      <c r="S876" s="68">
        <v>0</v>
      </c>
      <c r="T876" s="68">
        <v>0</v>
      </c>
      <c r="U876" s="68">
        <v>0</v>
      </c>
      <c r="V876" s="68">
        <v>0</v>
      </c>
      <c r="W876" s="68">
        <v>0</v>
      </c>
      <c r="X876" s="68">
        <v>21</v>
      </c>
      <c r="Y876" s="68">
        <v>15</v>
      </c>
      <c r="Z876" s="68">
        <v>22</v>
      </c>
      <c r="AA876" s="68">
        <v>1</v>
      </c>
      <c r="AB876" s="300">
        <f t="shared" si="88"/>
        <v>1.155</v>
      </c>
      <c r="AC876" s="300">
        <f t="shared" si="89"/>
        <v>6.9578313253012046E-3</v>
      </c>
      <c r="AD876" s="68">
        <v>0</v>
      </c>
      <c r="AE876" s="68">
        <v>0</v>
      </c>
      <c r="AF876" s="68" t="s">
        <v>317</v>
      </c>
      <c r="AG876" s="68" t="s">
        <v>317</v>
      </c>
      <c r="AH876" s="68" t="s">
        <v>2460</v>
      </c>
      <c r="AI876" s="309"/>
      <c r="AJ876" s="309"/>
      <c r="AK876" s="68" t="s">
        <v>37</v>
      </c>
      <c r="AL876" s="68" t="s">
        <v>49</v>
      </c>
      <c r="AM876" s="299">
        <f t="shared" ca="1" si="85"/>
        <v>2.9965277777737356</v>
      </c>
      <c r="AN876" s="51"/>
      <c r="AO876" s="61" t="s">
        <v>120</v>
      </c>
      <c r="AP876" s="91" t="s">
        <v>2458</v>
      </c>
      <c r="AQ876" s="59" t="s">
        <v>2621</v>
      </c>
      <c r="AR876" s="64">
        <v>44894.628472222219</v>
      </c>
      <c r="AS876" s="61" t="s">
        <v>483</v>
      </c>
      <c r="AT876" s="61" t="s">
        <v>225</v>
      </c>
      <c r="AU876" s="63">
        <v>0.62847222222222221</v>
      </c>
      <c r="AV876" s="61">
        <v>2</v>
      </c>
      <c r="AW876" s="61" t="s">
        <v>66</v>
      </c>
      <c r="AX876" s="52"/>
      <c r="AY876" s="52"/>
      <c r="AZ876" s="52"/>
      <c r="BA876" s="52"/>
    </row>
    <row r="877" spans="1:54" x14ac:dyDescent="0.25">
      <c r="A877" s="73">
        <v>524</v>
      </c>
      <c r="B877" s="72">
        <v>44891.631944444445</v>
      </c>
      <c r="C877" s="67">
        <v>0.63194444444444442</v>
      </c>
      <c r="D877" s="67">
        <v>0.64583333333333337</v>
      </c>
      <c r="E877" s="67">
        <v>0.67013888888888884</v>
      </c>
      <c r="F877" s="68" t="s">
        <v>170</v>
      </c>
      <c r="G877" s="68" t="s">
        <v>2457</v>
      </c>
      <c r="H877" s="66" t="s">
        <v>156</v>
      </c>
      <c r="I877" s="66" t="s">
        <v>124</v>
      </c>
      <c r="J877" s="66" t="s">
        <v>37</v>
      </c>
      <c r="K877" s="66" t="s">
        <v>63</v>
      </c>
      <c r="L877" s="66" t="s">
        <v>212</v>
      </c>
      <c r="M877" s="68" t="s">
        <v>2458</v>
      </c>
      <c r="N877" s="68" t="s">
        <v>42</v>
      </c>
      <c r="O877" s="68" t="s">
        <v>2459</v>
      </c>
      <c r="P877" s="68" t="s">
        <v>432</v>
      </c>
      <c r="Q877" s="303">
        <f t="shared" si="86"/>
        <v>0</v>
      </c>
      <c r="R877" s="303">
        <f t="shared" si="87"/>
        <v>0</v>
      </c>
      <c r="S877" s="68">
        <v>0</v>
      </c>
      <c r="T877" s="68">
        <v>0</v>
      </c>
      <c r="U877" s="68">
        <v>0</v>
      </c>
      <c r="V877" s="68">
        <v>0</v>
      </c>
      <c r="W877" s="68">
        <v>0</v>
      </c>
      <c r="X877" s="68">
        <v>28</v>
      </c>
      <c r="Y877" s="68">
        <v>22</v>
      </c>
      <c r="Z877" s="68">
        <v>15</v>
      </c>
      <c r="AA877" s="68">
        <v>1</v>
      </c>
      <c r="AB877" s="300">
        <f t="shared" si="88"/>
        <v>1.54</v>
      </c>
      <c r="AC877" s="300">
        <f t="shared" si="89"/>
        <v>9.2771084337349395E-3</v>
      </c>
      <c r="AD877" s="68">
        <v>0</v>
      </c>
      <c r="AE877" s="68">
        <v>0</v>
      </c>
      <c r="AF877" s="68" t="s">
        <v>317</v>
      </c>
      <c r="AG877" s="68" t="s">
        <v>317</v>
      </c>
      <c r="AH877" s="68" t="s">
        <v>2460</v>
      </c>
      <c r="AI877" s="309"/>
      <c r="AJ877" s="309"/>
      <c r="AK877" s="68" t="s">
        <v>37</v>
      </c>
      <c r="AL877" s="68" t="s">
        <v>49</v>
      </c>
      <c r="AM877" s="299">
        <f t="shared" ca="1" si="85"/>
        <v>2.9965277777737356</v>
      </c>
      <c r="AN877" s="51"/>
      <c r="AO877" s="61" t="s">
        <v>120</v>
      </c>
      <c r="AP877" s="91" t="s">
        <v>2458</v>
      </c>
      <c r="AQ877" s="59" t="s">
        <v>2621</v>
      </c>
      <c r="AR877" s="64">
        <v>44894.628472222219</v>
      </c>
      <c r="AS877" s="61" t="s">
        <v>483</v>
      </c>
      <c r="AT877" s="61" t="s">
        <v>225</v>
      </c>
      <c r="AU877" s="63">
        <v>0.62847222222222221</v>
      </c>
      <c r="AV877" s="61">
        <v>2</v>
      </c>
      <c r="AW877" s="61" t="s">
        <v>66</v>
      </c>
      <c r="AX877" s="52"/>
      <c r="AY877" s="52"/>
      <c r="AZ877" s="52"/>
      <c r="BA877" s="52"/>
    </row>
    <row r="878" spans="1:54" x14ac:dyDescent="0.25">
      <c r="A878" s="73">
        <v>524</v>
      </c>
      <c r="B878" s="72">
        <v>44891.631944444445</v>
      </c>
      <c r="C878" s="67">
        <v>0.63194444444444442</v>
      </c>
      <c r="D878" s="67">
        <v>0.64583333333333337</v>
      </c>
      <c r="E878" s="67">
        <v>0.67013888888888884</v>
      </c>
      <c r="F878" s="68" t="s">
        <v>170</v>
      </c>
      <c r="G878" s="68" t="s">
        <v>2457</v>
      </c>
      <c r="H878" s="66" t="s">
        <v>156</v>
      </c>
      <c r="I878" s="66" t="s">
        <v>124</v>
      </c>
      <c r="J878" s="66" t="s">
        <v>37</v>
      </c>
      <c r="K878" s="66" t="s">
        <v>63</v>
      </c>
      <c r="L878" s="66" t="s">
        <v>212</v>
      </c>
      <c r="M878" s="68" t="s">
        <v>2458</v>
      </c>
      <c r="N878" s="68" t="s">
        <v>42</v>
      </c>
      <c r="O878" s="68" t="s">
        <v>2459</v>
      </c>
      <c r="P878" s="68" t="s">
        <v>432</v>
      </c>
      <c r="Q878" s="303">
        <f t="shared" si="86"/>
        <v>0</v>
      </c>
      <c r="R878" s="303">
        <f t="shared" si="87"/>
        <v>0</v>
      </c>
      <c r="S878" s="68">
        <v>0</v>
      </c>
      <c r="T878" s="68">
        <v>0</v>
      </c>
      <c r="U878" s="68">
        <v>0</v>
      </c>
      <c r="V878" s="68">
        <v>0</v>
      </c>
      <c r="W878" s="68">
        <v>0</v>
      </c>
      <c r="X878" s="68">
        <v>30</v>
      </c>
      <c r="Y878" s="68">
        <v>26</v>
      </c>
      <c r="Z878" s="68">
        <v>31</v>
      </c>
      <c r="AA878" s="68">
        <v>1</v>
      </c>
      <c r="AB878" s="300">
        <f t="shared" si="88"/>
        <v>4.03</v>
      </c>
      <c r="AC878" s="300">
        <f t="shared" si="89"/>
        <v>2.4277108433734942E-2</v>
      </c>
      <c r="AD878" s="68">
        <v>0</v>
      </c>
      <c r="AE878" s="68">
        <v>0</v>
      </c>
      <c r="AF878" s="68" t="s">
        <v>317</v>
      </c>
      <c r="AG878" s="68" t="s">
        <v>317</v>
      </c>
      <c r="AH878" s="68" t="s">
        <v>2460</v>
      </c>
      <c r="AI878" s="309"/>
      <c r="AJ878" s="309"/>
      <c r="AK878" s="68" t="s">
        <v>37</v>
      </c>
      <c r="AL878" s="68" t="s">
        <v>49</v>
      </c>
      <c r="AM878" s="299">
        <f t="shared" ca="1" si="85"/>
        <v>2.9965277777737356</v>
      </c>
      <c r="AN878" s="51"/>
      <c r="AO878" s="61" t="s">
        <v>120</v>
      </c>
      <c r="AP878" s="91" t="s">
        <v>2458</v>
      </c>
      <c r="AQ878" s="59" t="s">
        <v>2621</v>
      </c>
      <c r="AR878" s="64">
        <v>44894.628472222219</v>
      </c>
      <c r="AS878" s="61" t="s">
        <v>483</v>
      </c>
      <c r="AT878" s="61" t="s">
        <v>225</v>
      </c>
      <c r="AU878" s="63">
        <v>0.62847222222222221</v>
      </c>
      <c r="AV878" s="61">
        <v>2</v>
      </c>
      <c r="AW878" s="61" t="s">
        <v>66</v>
      </c>
      <c r="AX878" s="52"/>
      <c r="AY878" s="52"/>
      <c r="AZ878" s="52"/>
      <c r="BA878" s="52"/>
    </row>
    <row r="879" spans="1:54" x14ac:dyDescent="0.25">
      <c r="A879" s="73">
        <v>524</v>
      </c>
      <c r="B879" s="72">
        <v>44891.631944444445</v>
      </c>
      <c r="C879" s="67">
        <v>0.63194444444444442</v>
      </c>
      <c r="D879" s="67">
        <v>0.64583333333333337</v>
      </c>
      <c r="E879" s="67">
        <v>0.67013888888888884</v>
      </c>
      <c r="F879" s="68" t="s">
        <v>170</v>
      </c>
      <c r="G879" s="68" t="s">
        <v>2457</v>
      </c>
      <c r="H879" s="66" t="s">
        <v>156</v>
      </c>
      <c r="I879" s="66" t="s">
        <v>124</v>
      </c>
      <c r="J879" s="66" t="s">
        <v>37</v>
      </c>
      <c r="K879" s="66" t="s">
        <v>63</v>
      </c>
      <c r="L879" s="66" t="s">
        <v>212</v>
      </c>
      <c r="M879" s="68" t="s">
        <v>2458</v>
      </c>
      <c r="N879" s="68" t="s">
        <v>42</v>
      </c>
      <c r="O879" s="68" t="s">
        <v>2459</v>
      </c>
      <c r="P879" s="68" t="s">
        <v>432</v>
      </c>
      <c r="Q879" s="303">
        <f t="shared" si="86"/>
        <v>0</v>
      </c>
      <c r="R879" s="303">
        <f t="shared" si="87"/>
        <v>0</v>
      </c>
      <c r="S879" s="68">
        <v>0</v>
      </c>
      <c r="T879" s="68">
        <v>0</v>
      </c>
      <c r="U879" s="68">
        <v>0</v>
      </c>
      <c r="V879" s="68">
        <v>0</v>
      </c>
      <c r="W879" s="68">
        <v>0</v>
      </c>
      <c r="X879" s="68">
        <v>23</v>
      </c>
      <c r="Y879" s="68">
        <v>18</v>
      </c>
      <c r="Z879" s="68">
        <v>25</v>
      </c>
      <c r="AA879" s="68">
        <v>1</v>
      </c>
      <c r="AB879" s="300">
        <f t="shared" si="88"/>
        <v>1.7250000000000001</v>
      </c>
      <c r="AC879" s="300">
        <f t="shared" si="89"/>
        <v>1.0391566265060241E-2</v>
      </c>
      <c r="AD879" s="68">
        <v>0</v>
      </c>
      <c r="AE879" s="68">
        <v>0</v>
      </c>
      <c r="AF879" s="68" t="s">
        <v>317</v>
      </c>
      <c r="AG879" s="68" t="s">
        <v>317</v>
      </c>
      <c r="AH879" s="68" t="s">
        <v>2460</v>
      </c>
      <c r="AI879" s="309"/>
      <c r="AJ879" s="309"/>
      <c r="AK879" s="68" t="s">
        <v>37</v>
      </c>
      <c r="AL879" s="68" t="s">
        <v>49</v>
      </c>
      <c r="AM879" s="299">
        <f t="shared" ca="1" si="85"/>
        <v>2.9965277777737356</v>
      </c>
      <c r="AN879" s="51"/>
      <c r="AO879" s="61" t="s">
        <v>120</v>
      </c>
      <c r="AP879" s="91" t="s">
        <v>2458</v>
      </c>
      <c r="AQ879" s="59" t="s">
        <v>2621</v>
      </c>
      <c r="AR879" s="64">
        <v>44894.628472222219</v>
      </c>
      <c r="AS879" s="61" t="s">
        <v>483</v>
      </c>
      <c r="AT879" s="61" t="s">
        <v>225</v>
      </c>
      <c r="AU879" s="63">
        <v>0.62847222222222221</v>
      </c>
      <c r="AV879" s="61">
        <v>2</v>
      </c>
      <c r="AW879" s="61" t="s">
        <v>66</v>
      </c>
      <c r="AX879" s="52"/>
      <c r="AY879" s="52"/>
      <c r="AZ879" s="52"/>
      <c r="BA879" s="52"/>
    </row>
    <row r="880" spans="1:54" x14ac:dyDescent="0.25">
      <c r="A880" s="73">
        <v>525</v>
      </c>
      <c r="B880" s="72">
        <v>44891.631944444445</v>
      </c>
      <c r="C880" s="67">
        <v>0.63194444444444442</v>
      </c>
      <c r="D880" s="67">
        <v>0.64583333333333337</v>
      </c>
      <c r="E880" s="67">
        <v>0.67013888888888884</v>
      </c>
      <c r="F880" s="68" t="s">
        <v>170</v>
      </c>
      <c r="G880" s="68" t="s">
        <v>2457</v>
      </c>
      <c r="H880" s="66" t="s">
        <v>45</v>
      </c>
      <c r="I880" s="66" t="s">
        <v>110</v>
      </c>
      <c r="J880" s="66" t="s">
        <v>37</v>
      </c>
      <c r="K880" s="66" t="s">
        <v>63</v>
      </c>
      <c r="L880" s="66" t="s">
        <v>215</v>
      </c>
      <c r="M880" s="68" t="s">
        <v>2461</v>
      </c>
      <c r="N880" s="68" t="s">
        <v>186</v>
      </c>
      <c r="O880" s="68">
        <v>3500736</v>
      </c>
      <c r="P880" s="68">
        <v>5052007682</v>
      </c>
      <c r="Q880" s="303">
        <f t="shared" si="86"/>
        <v>1</v>
      </c>
      <c r="R880" s="303">
        <f t="shared" si="87"/>
        <v>192.52799999999999</v>
      </c>
      <c r="S880" s="68">
        <v>0</v>
      </c>
      <c r="T880" s="68">
        <v>0</v>
      </c>
      <c r="U880" s="68">
        <v>1</v>
      </c>
      <c r="V880" s="68">
        <v>192.52799999999999</v>
      </c>
      <c r="W880" s="68">
        <v>192</v>
      </c>
      <c r="X880" s="68">
        <v>90</v>
      </c>
      <c r="Y880" s="68">
        <v>80</v>
      </c>
      <c r="Z880" s="68">
        <v>49</v>
      </c>
      <c r="AA880" s="68">
        <v>1</v>
      </c>
      <c r="AB880" s="300">
        <f t="shared" si="88"/>
        <v>58.8</v>
      </c>
      <c r="AC880" s="300">
        <f t="shared" si="89"/>
        <v>0.35421686746987951</v>
      </c>
      <c r="AD880" s="68">
        <v>15042.2</v>
      </c>
      <c r="AE880" s="68" t="s">
        <v>109</v>
      </c>
      <c r="AF880" s="68" t="s">
        <v>317</v>
      </c>
      <c r="AG880" s="68" t="s">
        <v>317</v>
      </c>
      <c r="AH880" s="68" t="s">
        <v>2462</v>
      </c>
      <c r="AI880" s="309"/>
      <c r="AJ880" s="309"/>
      <c r="AK880" s="68" t="s">
        <v>37</v>
      </c>
      <c r="AL880" s="68" t="s">
        <v>49</v>
      </c>
      <c r="AM880" s="299">
        <f t="shared" ca="1" si="85"/>
        <v>2.0347222222189885</v>
      </c>
      <c r="AN880" s="51"/>
      <c r="AO880" s="61" t="s">
        <v>131</v>
      </c>
      <c r="AP880" s="91" t="s">
        <v>2461</v>
      </c>
      <c r="AQ880" s="59" t="s">
        <v>2565</v>
      </c>
      <c r="AR880" s="64">
        <v>44893.666666666664</v>
      </c>
      <c r="AS880" s="61" t="s">
        <v>136</v>
      </c>
      <c r="AT880" s="61" t="s">
        <v>225</v>
      </c>
      <c r="AU880" s="63">
        <v>0.66666666666666663</v>
      </c>
      <c r="AV880" s="61">
        <v>1</v>
      </c>
      <c r="AW880" s="61" t="s">
        <v>66</v>
      </c>
      <c r="AX880" s="52"/>
      <c r="AY880" s="52"/>
      <c r="AZ880" s="52"/>
      <c r="BA880" s="52"/>
    </row>
    <row r="881" spans="1:53" x14ac:dyDescent="0.25">
      <c r="A881" s="73">
        <v>526</v>
      </c>
      <c r="B881" s="72">
        <v>44891.631944444445</v>
      </c>
      <c r="C881" s="67">
        <v>0.63194444444444442</v>
      </c>
      <c r="D881" s="67">
        <v>0.64583333333333337</v>
      </c>
      <c r="E881" s="67">
        <v>0.67013888888888884</v>
      </c>
      <c r="F881" s="68" t="s">
        <v>170</v>
      </c>
      <c r="G881" s="68" t="s">
        <v>2457</v>
      </c>
      <c r="H881" s="66" t="s">
        <v>46</v>
      </c>
      <c r="I881" s="66" t="s">
        <v>92</v>
      </c>
      <c r="J881" s="66" t="s">
        <v>41</v>
      </c>
      <c r="K881" s="66" t="s">
        <v>63</v>
      </c>
      <c r="L881" s="66" t="s">
        <v>214</v>
      </c>
      <c r="M881" s="68" t="s">
        <v>2463</v>
      </c>
      <c r="N881" s="68" t="s">
        <v>42</v>
      </c>
      <c r="O881" s="68" t="s">
        <v>2464</v>
      </c>
      <c r="P881" s="68" t="s">
        <v>2465</v>
      </c>
      <c r="Q881" s="303">
        <f t="shared" si="86"/>
        <v>2</v>
      </c>
      <c r="R881" s="303">
        <f t="shared" si="87"/>
        <v>230</v>
      </c>
      <c r="S881" s="68">
        <v>0</v>
      </c>
      <c r="T881" s="68">
        <v>0</v>
      </c>
      <c r="U881" s="68">
        <v>2</v>
      </c>
      <c r="V881" s="68">
        <v>230</v>
      </c>
      <c r="W881" s="68">
        <v>242.8</v>
      </c>
      <c r="X881" s="68">
        <v>80</v>
      </c>
      <c r="Y881" s="68">
        <v>44</v>
      </c>
      <c r="Z881" s="68">
        <v>47</v>
      </c>
      <c r="AA881" s="68">
        <v>1</v>
      </c>
      <c r="AB881" s="300">
        <f t="shared" si="88"/>
        <v>27.573333333333334</v>
      </c>
      <c r="AC881" s="300">
        <f t="shared" si="89"/>
        <v>0.16610441767068274</v>
      </c>
      <c r="AD881" s="68" t="s">
        <v>48</v>
      </c>
      <c r="AE881" s="68" t="s">
        <v>48</v>
      </c>
      <c r="AF881" s="68" t="s">
        <v>317</v>
      </c>
      <c r="AG881" s="68" t="s">
        <v>317</v>
      </c>
      <c r="AH881" s="68" t="s">
        <v>2466</v>
      </c>
      <c r="AI881" s="309"/>
      <c r="AJ881" s="309"/>
      <c r="AK881" s="68" t="s">
        <v>41</v>
      </c>
      <c r="AL881" s="68" t="s">
        <v>49</v>
      </c>
      <c r="AM881" s="299">
        <f t="shared" ca="1" si="85"/>
        <v>2.9965277777737356</v>
      </c>
      <c r="AN881" s="51"/>
      <c r="AO881" s="61" t="s">
        <v>83</v>
      </c>
      <c r="AP881" s="91" t="s">
        <v>2463</v>
      </c>
      <c r="AQ881" s="59" t="s">
        <v>2622</v>
      </c>
      <c r="AR881" s="64">
        <v>44894.628472222219</v>
      </c>
      <c r="AS881" s="61" t="s">
        <v>483</v>
      </c>
      <c r="AT881" s="61" t="s">
        <v>225</v>
      </c>
      <c r="AU881" s="63">
        <v>0.62847222222222221</v>
      </c>
      <c r="AV881" s="61">
        <v>2</v>
      </c>
      <c r="AW881" s="61" t="s">
        <v>66</v>
      </c>
      <c r="AX881" s="52"/>
      <c r="AY881" s="52"/>
      <c r="AZ881" s="52"/>
      <c r="BA881" s="52"/>
    </row>
    <row r="882" spans="1:53" x14ac:dyDescent="0.25">
      <c r="A882" s="73">
        <v>526</v>
      </c>
      <c r="B882" s="72">
        <v>44891.631944444445</v>
      </c>
      <c r="C882" s="67">
        <v>0.63194444444444442</v>
      </c>
      <c r="D882" s="67">
        <v>0.64583333333333337</v>
      </c>
      <c r="E882" s="67">
        <v>0.67013888888888884</v>
      </c>
      <c r="F882" s="68" t="s">
        <v>170</v>
      </c>
      <c r="G882" s="68" t="s">
        <v>2457</v>
      </c>
      <c r="H882" s="66" t="s">
        <v>46</v>
      </c>
      <c r="I882" s="66" t="s">
        <v>92</v>
      </c>
      <c r="J882" s="66" t="s">
        <v>41</v>
      </c>
      <c r="K882" s="66" t="s">
        <v>63</v>
      </c>
      <c r="L882" s="66" t="s">
        <v>214</v>
      </c>
      <c r="M882" s="68" t="s">
        <v>2463</v>
      </c>
      <c r="N882" s="68" t="s">
        <v>42</v>
      </c>
      <c r="O882" s="68" t="s">
        <v>2464</v>
      </c>
      <c r="P882" s="68" t="s">
        <v>2465</v>
      </c>
      <c r="Q882" s="303">
        <f t="shared" si="86"/>
        <v>0</v>
      </c>
      <c r="R882" s="303">
        <f t="shared" si="87"/>
        <v>0</v>
      </c>
      <c r="S882" s="68">
        <v>0</v>
      </c>
      <c r="T882" s="68">
        <v>0</v>
      </c>
      <c r="U882" s="68">
        <v>0</v>
      </c>
      <c r="V882" s="68">
        <v>0</v>
      </c>
      <c r="W882" s="68">
        <v>0</v>
      </c>
      <c r="X882" s="68">
        <v>59</v>
      </c>
      <c r="Y882" s="68">
        <v>59</v>
      </c>
      <c r="Z882" s="68">
        <v>56</v>
      </c>
      <c r="AA882" s="68">
        <v>1</v>
      </c>
      <c r="AB882" s="300">
        <f t="shared" si="88"/>
        <v>32.489333333333335</v>
      </c>
      <c r="AC882" s="300">
        <f t="shared" si="89"/>
        <v>0.19571887550200803</v>
      </c>
      <c r="AD882" s="68">
        <v>0</v>
      </c>
      <c r="AE882" s="68">
        <v>0</v>
      </c>
      <c r="AF882" s="68" t="s">
        <v>317</v>
      </c>
      <c r="AG882" s="68" t="s">
        <v>317</v>
      </c>
      <c r="AH882" s="68" t="s">
        <v>2466</v>
      </c>
      <c r="AI882" s="309"/>
      <c r="AJ882" s="309"/>
      <c r="AK882" s="68" t="s">
        <v>41</v>
      </c>
      <c r="AL882" s="68" t="s">
        <v>49</v>
      </c>
      <c r="AM882" s="299">
        <f t="shared" ca="1" si="85"/>
        <v>2.9965277777737356</v>
      </c>
      <c r="AN882" s="51"/>
      <c r="AO882" s="61" t="s">
        <v>83</v>
      </c>
      <c r="AP882" s="91" t="s">
        <v>2463</v>
      </c>
      <c r="AQ882" s="59" t="s">
        <v>2622</v>
      </c>
      <c r="AR882" s="64">
        <v>44894.628472222219</v>
      </c>
      <c r="AS882" s="61" t="s">
        <v>483</v>
      </c>
      <c r="AT882" s="61" t="s">
        <v>225</v>
      </c>
      <c r="AU882" s="63">
        <v>0.62847222222222221</v>
      </c>
      <c r="AV882" s="61">
        <v>2</v>
      </c>
      <c r="AW882" s="61" t="s">
        <v>66</v>
      </c>
      <c r="AX882" s="52"/>
      <c r="AY882" s="52"/>
      <c r="AZ882" s="52"/>
      <c r="BA882" s="52"/>
    </row>
    <row r="883" spans="1:53" x14ac:dyDescent="0.25">
      <c r="A883" s="73">
        <v>527</v>
      </c>
      <c r="B883" s="72">
        <v>44891.631944444445</v>
      </c>
      <c r="C883" s="67">
        <v>0.63194444444444442</v>
      </c>
      <c r="D883" s="67">
        <v>0.64583333333333337</v>
      </c>
      <c r="E883" s="67">
        <v>0.67013888888888884</v>
      </c>
      <c r="F883" s="68" t="s">
        <v>170</v>
      </c>
      <c r="G883" s="68" t="s">
        <v>2457</v>
      </c>
      <c r="H883" s="66" t="s">
        <v>46</v>
      </c>
      <c r="I883" s="66" t="s">
        <v>92</v>
      </c>
      <c r="J883" s="66" t="s">
        <v>41</v>
      </c>
      <c r="K883" s="66" t="s">
        <v>63</v>
      </c>
      <c r="L883" s="66" t="s">
        <v>214</v>
      </c>
      <c r="M883" s="68" t="s">
        <v>2467</v>
      </c>
      <c r="N883" s="68" t="s">
        <v>42</v>
      </c>
      <c r="O883" s="68" t="s">
        <v>2468</v>
      </c>
      <c r="P883" s="68" t="s">
        <v>2469</v>
      </c>
      <c r="Q883" s="303">
        <f t="shared" si="86"/>
        <v>1</v>
      </c>
      <c r="R883" s="303">
        <f t="shared" si="87"/>
        <v>435</v>
      </c>
      <c r="S883" s="68">
        <v>0</v>
      </c>
      <c r="T883" s="68">
        <v>0</v>
      </c>
      <c r="U883" s="68">
        <v>1</v>
      </c>
      <c r="V883" s="68">
        <v>435</v>
      </c>
      <c r="W883" s="68">
        <v>413.2</v>
      </c>
      <c r="X883" s="68">
        <v>96</v>
      </c>
      <c r="Y883" s="68">
        <v>95</v>
      </c>
      <c r="Z883" s="68">
        <v>53</v>
      </c>
      <c r="AA883" s="68">
        <v>1</v>
      </c>
      <c r="AB883" s="300">
        <f t="shared" si="88"/>
        <v>80.56</v>
      </c>
      <c r="AC883" s="300">
        <f t="shared" si="89"/>
        <v>0.48530120481927713</v>
      </c>
      <c r="AD883" s="68" t="s">
        <v>48</v>
      </c>
      <c r="AE883" s="68" t="s">
        <v>48</v>
      </c>
      <c r="AF883" s="68" t="s">
        <v>317</v>
      </c>
      <c r="AG883" s="68" t="s">
        <v>317</v>
      </c>
      <c r="AH883" s="68" t="s">
        <v>2470</v>
      </c>
      <c r="AI883" s="309"/>
      <c r="AJ883" s="309"/>
      <c r="AK883" s="68" t="s">
        <v>41</v>
      </c>
      <c r="AL883" s="68" t="s">
        <v>49</v>
      </c>
      <c r="AM883" s="299">
        <f t="shared" ca="1" si="85"/>
        <v>2.9965277777737356</v>
      </c>
      <c r="AN883" s="51"/>
      <c r="AO883" s="61" t="s">
        <v>120</v>
      </c>
      <c r="AP883" s="91" t="s">
        <v>2467</v>
      </c>
      <c r="AQ883" s="59" t="s">
        <v>2621</v>
      </c>
      <c r="AR883" s="64">
        <v>44894.628472222219</v>
      </c>
      <c r="AS883" s="61" t="s">
        <v>483</v>
      </c>
      <c r="AT883" s="61" t="s">
        <v>225</v>
      </c>
      <c r="AU883" s="63">
        <v>0.62847222222222221</v>
      </c>
      <c r="AV883" s="61">
        <v>2</v>
      </c>
      <c r="AW883" s="61" t="s">
        <v>66</v>
      </c>
      <c r="AX883" s="52"/>
      <c r="AY883" s="52"/>
      <c r="AZ883" s="52"/>
      <c r="BA883" s="52"/>
    </row>
    <row r="884" spans="1:53" x14ac:dyDescent="0.25">
      <c r="A884" s="73">
        <v>528</v>
      </c>
      <c r="B884" s="72">
        <v>44891.631944444445</v>
      </c>
      <c r="C884" s="67">
        <v>0.63194444444444442</v>
      </c>
      <c r="D884" s="67">
        <v>0.64583333333333337</v>
      </c>
      <c r="E884" s="67">
        <v>0.67013888888888884</v>
      </c>
      <c r="F884" s="68" t="s">
        <v>170</v>
      </c>
      <c r="G884" s="68" t="s">
        <v>2457</v>
      </c>
      <c r="H884" s="66" t="s">
        <v>46</v>
      </c>
      <c r="I884" s="66" t="s">
        <v>110</v>
      </c>
      <c r="J884" s="66" t="s">
        <v>41</v>
      </c>
      <c r="K884" s="66" t="s">
        <v>63</v>
      </c>
      <c r="L884" s="66" t="s">
        <v>214</v>
      </c>
      <c r="M884" s="68" t="s">
        <v>2471</v>
      </c>
      <c r="N884" s="68" t="s">
        <v>186</v>
      </c>
      <c r="O884" s="68" t="s">
        <v>2472</v>
      </c>
      <c r="P884" s="68" t="s">
        <v>2473</v>
      </c>
      <c r="Q884" s="303">
        <f t="shared" si="86"/>
        <v>2</v>
      </c>
      <c r="R884" s="303">
        <f t="shared" si="87"/>
        <v>371</v>
      </c>
      <c r="S884" s="68">
        <v>0</v>
      </c>
      <c r="T884" s="68">
        <v>0</v>
      </c>
      <c r="U884" s="68">
        <v>2</v>
      </c>
      <c r="V884" s="68">
        <v>371</v>
      </c>
      <c r="W884" s="68">
        <v>355</v>
      </c>
      <c r="X884" s="68">
        <v>74</v>
      </c>
      <c r="Y884" s="68">
        <v>74</v>
      </c>
      <c r="Z884" s="68">
        <v>58</v>
      </c>
      <c r="AA884" s="68">
        <v>1</v>
      </c>
      <c r="AB884" s="300">
        <f t="shared" si="88"/>
        <v>52.934666666666665</v>
      </c>
      <c r="AC884" s="300">
        <f t="shared" si="89"/>
        <v>0.31888353413654619</v>
      </c>
      <c r="AD884" s="68" t="s">
        <v>48</v>
      </c>
      <c r="AE884" s="68" t="s">
        <v>48</v>
      </c>
      <c r="AF884" s="68" t="s">
        <v>317</v>
      </c>
      <c r="AG884" s="68" t="s">
        <v>317</v>
      </c>
      <c r="AH884" s="68" t="s">
        <v>2474</v>
      </c>
      <c r="AI884" s="309"/>
      <c r="AJ884" s="309"/>
      <c r="AK884" s="68" t="s">
        <v>41</v>
      </c>
      <c r="AL884" s="68" t="s">
        <v>49</v>
      </c>
      <c r="AM884" s="299">
        <f t="shared" ca="1" si="85"/>
        <v>2.0347222222189885</v>
      </c>
      <c r="AN884" s="51"/>
      <c r="AO884" s="61" t="s">
        <v>131</v>
      </c>
      <c r="AP884" s="91" t="s">
        <v>2471</v>
      </c>
      <c r="AQ884" s="59" t="s">
        <v>2565</v>
      </c>
      <c r="AR884" s="64">
        <v>44893.666666666664</v>
      </c>
      <c r="AS884" s="61" t="s">
        <v>136</v>
      </c>
      <c r="AT884" s="61" t="s">
        <v>225</v>
      </c>
      <c r="AU884" s="63">
        <v>0.66666666666666663</v>
      </c>
      <c r="AV884" s="61">
        <v>1</v>
      </c>
      <c r="AW884" s="61" t="s">
        <v>66</v>
      </c>
      <c r="AX884" s="52"/>
      <c r="AY884" s="52"/>
      <c r="AZ884" s="52"/>
      <c r="BA884" s="52"/>
    </row>
    <row r="885" spans="1:53" x14ac:dyDescent="0.25">
      <c r="A885" s="73">
        <v>528</v>
      </c>
      <c r="B885" s="72">
        <v>44891.631944444445</v>
      </c>
      <c r="C885" s="67">
        <v>0.63194444444444442</v>
      </c>
      <c r="D885" s="67">
        <v>0.64583333333333337</v>
      </c>
      <c r="E885" s="67">
        <v>0.67013888888888884</v>
      </c>
      <c r="F885" s="68" t="s">
        <v>170</v>
      </c>
      <c r="G885" s="68" t="s">
        <v>2457</v>
      </c>
      <c r="H885" s="66" t="s">
        <v>46</v>
      </c>
      <c r="I885" s="66" t="s">
        <v>110</v>
      </c>
      <c r="J885" s="66" t="s">
        <v>41</v>
      </c>
      <c r="K885" s="66" t="s">
        <v>63</v>
      </c>
      <c r="L885" s="66" t="s">
        <v>214</v>
      </c>
      <c r="M885" s="68" t="s">
        <v>2471</v>
      </c>
      <c r="N885" s="68" t="s">
        <v>186</v>
      </c>
      <c r="O885" s="68" t="s">
        <v>2472</v>
      </c>
      <c r="P885" s="68" t="s">
        <v>2473</v>
      </c>
      <c r="Q885" s="303">
        <f t="shared" si="86"/>
        <v>0</v>
      </c>
      <c r="R885" s="303">
        <f t="shared" si="87"/>
        <v>0</v>
      </c>
      <c r="S885" s="68">
        <v>0</v>
      </c>
      <c r="T885" s="68">
        <v>0</v>
      </c>
      <c r="U885" s="68">
        <v>0</v>
      </c>
      <c r="V885" s="68">
        <v>0</v>
      </c>
      <c r="W885" s="68">
        <v>0</v>
      </c>
      <c r="X885" s="68">
        <v>59</v>
      </c>
      <c r="Y885" s="68">
        <v>59</v>
      </c>
      <c r="Z885" s="68">
        <v>57</v>
      </c>
      <c r="AA885" s="68">
        <v>1</v>
      </c>
      <c r="AB885" s="300">
        <f t="shared" si="88"/>
        <v>33.069499999999998</v>
      </c>
      <c r="AC885" s="300">
        <f t="shared" si="89"/>
        <v>0.19921385542168674</v>
      </c>
      <c r="AD885" s="68">
        <v>0</v>
      </c>
      <c r="AE885" s="68">
        <v>0</v>
      </c>
      <c r="AF885" s="68" t="s">
        <v>317</v>
      </c>
      <c r="AG885" s="68" t="s">
        <v>317</v>
      </c>
      <c r="AH885" s="68" t="s">
        <v>2474</v>
      </c>
      <c r="AI885" s="309"/>
      <c r="AJ885" s="309"/>
      <c r="AK885" s="68" t="s">
        <v>41</v>
      </c>
      <c r="AL885" s="68" t="s">
        <v>49</v>
      </c>
      <c r="AM885" s="299">
        <f t="shared" ca="1" si="85"/>
        <v>2.0347222222189885</v>
      </c>
      <c r="AN885" s="51"/>
      <c r="AO885" s="61" t="s">
        <v>131</v>
      </c>
      <c r="AP885" s="91" t="s">
        <v>2471</v>
      </c>
      <c r="AQ885" s="59" t="s">
        <v>2565</v>
      </c>
      <c r="AR885" s="64">
        <v>44893.666666666664</v>
      </c>
      <c r="AS885" s="61" t="s">
        <v>136</v>
      </c>
      <c r="AT885" s="61" t="s">
        <v>225</v>
      </c>
      <c r="AU885" s="63">
        <v>0.66666666666666663</v>
      </c>
      <c r="AV885" s="61">
        <v>1</v>
      </c>
      <c r="AW885" s="61" t="s">
        <v>66</v>
      </c>
      <c r="AX885" s="52"/>
      <c r="AY885" s="52"/>
      <c r="AZ885" s="52"/>
      <c r="BA885" s="52"/>
    </row>
    <row r="886" spans="1:53" x14ac:dyDescent="0.25">
      <c r="A886" s="73">
        <v>529</v>
      </c>
      <c r="B886" s="72">
        <v>44891.631944444445</v>
      </c>
      <c r="C886" s="67">
        <v>0.63194444444444442</v>
      </c>
      <c r="D886" s="67">
        <v>0.64583333333333337</v>
      </c>
      <c r="E886" s="67">
        <v>0.67013888888888884</v>
      </c>
      <c r="F886" s="68" t="s">
        <v>170</v>
      </c>
      <c r="G886" s="68" t="s">
        <v>2457</v>
      </c>
      <c r="H886" s="66" t="s">
        <v>46</v>
      </c>
      <c r="I886" s="66" t="s">
        <v>110</v>
      </c>
      <c r="J886" s="66" t="s">
        <v>41</v>
      </c>
      <c r="K886" s="66" t="s">
        <v>63</v>
      </c>
      <c r="L886" s="66" t="s">
        <v>214</v>
      </c>
      <c r="M886" s="68" t="s">
        <v>2475</v>
      </c>
      <c r="N886" s="68" t="s">
        <v>186</v>
      </c>
      <c r="O886" s="68" t="s">
        <v>2476</v>
      </c>
      <c r="P886" s="68" t="s">
        <v>2477</v>
      </c>
      <c r="Q886" s="303">
        <f t="shared" si="86"/>
        <v>2</v>
      </c>
      <c r="R886" s="303">
        <f t="shared" si="87"/>
        <v>454</v>
      </c>
      <c r="S886" s="68">
        <v>0</v>
      </c>
      <c r="T886" s="68">
        <v>0</v>
      </c>
      <c r="U886" s="68">
        <v>2</v>
      </c>
      <c r="V886" s="68">
        <v>454</v>
      </c>
      <c r="W886" s="68">
        <v>433.4</v>
      </c>
      <c r="X886" s="68">
        <v>80</v>
      </c>
      <c r="Y886" s="68">
        <v>44</v>
      </c>
      <c r="Z886" s="68">
        <v>48</v>
      </c>
      <c r="AA886" s="68">
        <v>1</v>
      </c>
      <c r="AB886" s="300">
        <f t="shared" si="88"/>
        <v>28.16</v>
      </c>
      <c r="AC886" s="300">
        <f t="shared" si="89"/>
        <v>0.16963855421686747</v>
      </c>
      <c r="AD886" s="68" t="s">
        <v>48</v>
      </c>
      <c r="AE886" s="68" t="s">
        <v>48</v>
      </c>
      <c r="AF886" s="68" t="s">
        <v>317</v>
      </c>
      <c r="AG886" s="68" t="s">
        <v>317</v>
      </c>
      <c r="AH886" s="68" t="s">
        <v>2478</v>
      </c>
      <c r="AI886" s="309"/>
      <c r="AJ886" s="309"/>
      <c r="AK886" s="68" t="s">
        <v>41</v>
      </c>
      <c r="AL886" s="68" t="s">
        <v>49</v>
      </c>
      <c r="AM886" s="299">
        <f t="shared" ca="1" si="85"/>
        <v>2.0347222222189885</v>
      </c>
      <c r="AN886" s="51"/>
      <c r="AO886" s="61" t="s">
        <v>131</v>
      </c>
      <c r="AP886" s="91" t="s">
        <v>2475</v>
      </c>
      <c r="AQ886" s="59" t="s">
        <v>2565</v>
      </c>
      <c r="AR886" s="64">
        <v>44893.666666666664</v>
      </c>
      <c r="AS886" s="61" t="s">
        <v>136</v>
      </c>
      <c r="AT886" s="61" t="s">
        <v>225</v>
      </c>
      <c r="AU886" s="63">
        <v>0.66666666666666663</v>
      </c>
      <c r="AV886" s="61">
        <v>1</v>
      </c>
      <c r="AW886" s="61" t="s">
        <v>66</v>
      </c>
      <c r="AX886" s="52"/>
      <c r="AY886" s="52"/>
      <c r="AZ886" s="52"/>
      <c r="BA886" s="52"/>
    </row>
    <row r="887" spans="1:53" x14ac:dyDescent="0.25">
      <c r="A887" s="73">
        <v>529</v>
      </c>
      <c r="B887" s="72">
        <v>44891.631944444445</v>
      </c>
      <c r="C887" s="67">
        <v>0.63194444444444442</v>
      </c>
      <c r="D887" s="67">
        <v>0.64583333333333337</v>
      </c>
      <c r="E887" s="67">
        <v>0.67013888888888884</v>
      </c>
      <c r="F887" s="68" t="s">
        <v>170</v>
      </c>
      <c r="G887" s="68" t="s">
        <v>2457</v>
      </c>
      <c r="H887" s="66" t="s">
        <v>46</v>
      </c>
      <c r="I887" s="66" t="s">
        <v>110</v>
      </c>
      <c r="J887" s="66" t="s">
        <v>41</v>
      </c>
      <c r="K887" s="66" t="s">
        <v>63</v>
      </c>
      <c r="L887" s="66" t="s">
        <v>214</v>
      </c>
      <c r="M887" s="68" t="s">
        <v>2475</v>
      </c>
      <c r="N887" s="68" t="s">
        <v>186</v>
      </c>
      <c r="O887" s="68" t="s">
        <v>2476</v>
      </c>
      <c r="P887" s="68" t="s">
        <v>2477</v>
      </c>
      <c r="Q887" s="303">
        <f t="shared" si="86"/>
        <v>0</v>
      </c>
      <c r="R887" s="303">
        <f t="shared" si="87"/>
        <v>0</v>
      </c>
      <c r="S887" s="68">
        <v>0</v>
      </c>
      <c r="T887" s="68">
        <v>0</v>
      </c>
      <c r="U887" s="68">
        <v>0</v>
      </c>
      <c r="V887" s="68">
        <v>0</v>
      </c>
      <c r="W887" s="68">
        <v>0</v>
      </c>
      <c r="X887" s="68">
        <v>86</v>
      </c>
      <c r="Y887" s="68">
        <v>59</v>
      </c>
      <c r="Z887" s="68">
        <v>71</v>
      </c>
      <c r="AA887" s="68">
        <v>1</v>
      </c>
      <c r="AB887" s="300">
        <f t="shared" si="88"/>
        <v>60.042333333333332</v>
      </c>
      <c r="AC887" s="300">
        <f t="shared" si="89"/>
        <v>0.36170080321285142</v>
      </c>
      <c r="AD887" s="68">
        <v>0</v>
      </c>
      <c r="AE887" s="68">
        <v>0</v>
      </c>
      <c r="AF887" s="68" t="s">
        <v>317</v>
      </c>
      <c r="AG887" s="68" t="s">
        <v>317</v>
      </c>
      <c r="AH887" s="68" t="s">
        <v>2478</v>
      </c>
      <c r="AI887" s="309"/>
      <c r="AJ887" s="309"/>
      <c r="AK887" s="68" t="s">
        <v>41</v>
      </c>
      <c r="AL887" s="68" t="s">
        <v>49</v>
      </c>
      <c r="AM887" s="299">
        <f t="shared" ca="1" si="85"/>
        <v>2.0347222222189885</v>
      </c>
      <c r="AN887" s="51"/>
      <c r="AO887" s="61" t="s">
        <v>131</v>
      </c>
      <c r="AP887" s="91" t="s">
        <v>2475</v>
      </c>
      <c r="AQ887" s="59" t="s">
        <v>2565</v>
      </c>
      <c r="AR887" s="64">
        <v>44893.666666666664</v>
      </c>
      <c r="AS887" s="61" t="s">
        <v>136</v>
      </c>
      <c r="AT887" s="61" t="s">
        <v>225</v>
      </c>
      <c r="AU887" s="63">
        <v>0.66666666666666663</v>
      </c>
      <c r="AV887" s="61">
        <v>1</v>
      </c>
      <c r="AW887" s="61" t="s">
        <v>66</v>
      </c>
      <c r="AX887" s="52"/>
      <c r="AY887" s="52"/>
      <c r="AZ887" s="52"/>
      <c r="BA887" s="52"/>
    </row>
    <row r="888" spans="1:53" x14ac:dyDescent="0.25">
      <c r="A888" s="73">
        <v>530</v>
      </c>
      <c r="B888" s="72">
        <v>44891.642361111109</v>
      </c>
      <c r="C888" s="67">
        <v>0.64583333333333337</v>
      </c>
      <c r="D888" s="67">
        <v>0.65625</v>
      </c>
      <c r="E888" s="67">
        <v>0.68402777777777779</v>
      </c>
      <c r="F888" s="68" t="s">
        <v>170</v>
      </c>
      <c r="G888" s="68" t="s">
        <v>437</v>
      </c>
      <c r="H888" s="66" t="s">
        <v>57</v>
      </c>
      <c r="I888" s="66" t="s">
        <v>73</v>
      </c>
      <c r="J888" s="66" t="s">
        <v>37</v>
      </c>
      <c r="K888" s="66" t="s">
        <v>63</v>
      </c>
      <c r="L888" s="66" t="s">
        <v>209</v>
      </c>
      <c r="M888" s="68" t="s">
        <v>2479</v>
      </c>
      <c r="N888" s="68" t="s">
        <v>59</v>
      </c>
      <c r="O888" s="68" t="s">
        <v>2480</v>
      </c>
      <c r="P888" s="68">
        <v>81969593</v>
      </c>
      <c r="Q888" s="303">
        <f t="shared" si="86"/>
        <v>1</v>
      </c>
      <c r="R888" s="303">
        <f t="shared" si="87"/>
        <v>741</v>
      </c>
      <c r="S888" s="68">
        <v>0</v>
      </c>
      <c r="T888" s="68">
        <v>0</v>
      </c>
      <c r="U888" s="68">
        <v>1</v>
      </c>
      <c r="V888" s="68">
        <v>741</v>
      </c>
      <c r="W888" s="68">
        <v>733</v>
      </c>
      <c r="X888" s="68">
        <v>183</v>
      </c>
      <c r="Y888" s="68">
        <v>84</v>
      </c>
      <c r="Z888" s="68">
        <v>92</v>
      </c>
      <c r="AA888" s="68">
        <v>1</v>
      </c>
      <c r="AB888" s="300">
        <f t="shared" si="88"/>
        <v>235.70400000000001</v>
      </c>
      <c r="AC888" s="300">
        <f t="shared" si="89"/>
        <v>1.4199036144578314</v>
      </c>
      <c r="AD888" s="68">
        <v>3500</v>
      </c>
      <c r="AE888" s="68" t="s">
        <v>109</v>
      </c>
      <c r="AF888" s="68" t="s">
        <v>317</v>
      </c>
      <c r="AG888" s="68" t="s">
        <v>317</v>
      </c>
      <c r="AH888" s="68" t="s">
        <v>2481</v>
      </c>
      <c r="AI888" s="309"/>
      <c r="AJ888" s="309"/>
      <c r="AK888" s="68" t="s">
        <v>37</v>
      </c>
      <c r="AL888" s="68" t="s">
        <v>54</v>
      </c>
      <c r="AM888" s="299">
        <f t="shared" ca="1" si="85"/>
        <v>2.8125</v>
      </c>
      <c r="AN888" s="51"/>
      <c r="AO888" s="61" t="s">
        <v>70</v>
      </c>
      <c r="AP888" s="91" t="s">
        <v>2479</v>
      </c>
      <c r="AQ888" s="59" t="s">
        <v>2576</v>
      </c>
      <c r="AR888" s="64">
        <v>44894.454861111109</v>
      </c>
      <c r="AS888" s="61" t="s">
        <v>136</v>
      </c>
      <c r="AT888" s="61" t="s">
        <v>225</v>
      </c>
      <c r="AU888" s="63">
        <v>0.4548611111111111</v>
      </c>
      <c r="AV888" s="61">
        <v>1</v>
      </c>
      <c r="AW888" s="61" t="s">
        <v>66</v>
      </c>
      <c r="AX888" s="52"/>
      <c r="AY888" s="52"/>
      <c r="AZ888" s="52"/>
      <c r="BA888" s="52"/>
    </row>
    <row r="889" spans="1:53" x14ac:dyDescent="0.25">
      <c r="A889" s="73">
        <v>531</v>
      </c>
      <c r="B889" s="72">
        <v>44891.642361111109</v>
      </c>
      <c r="C889" s="67">
        <v>0.64583333333333337</v>
      </c>
      <c r="D889" s="67">
        <v>0.65625</v>
      </c>
      <c r="E889" s="67">
        <v>0.68402777777777779</v>
      </c>
      <c r="F889" s="68" t="s">
        <v>170</v>
      </c>
      <c r="G889" s="68" t="s">
        <v>437</v>
      </c>
      <c r="H889" s="66" t="s">
        <v>57</v>
      </c>
      <c r="I889" s="66" t="s">
        <v>162</v>
      </c>
      <c r="J889" s="66" t="s">
        <v>37</v>
      </c>
      <c r="K889" s="66" t="s">
        <v>63</v>
      </c>
      <c r="L889" s="66" t="s">
        <v>209</v>
      </c>
      <c r="M889" s="68" t="s">
        <v>2482</v>
      </c>
      <c r="N889" s="68" t="s">
        <v>158</v>
      </c>
      <c r="O889" s="68" t="s">
        <v>2483</v>
      </c>
      <c r="P889" s="68">
        <v>81967322</v>
      </c>
      <c r="Q889" s="303">
        <f t="shared" si="86"/>
        <v>1</v>
      </c>
      <c r="R889" s="303">
        <f t="shared" si="87"/>
        <v>305</v>
      </c>
      <c r="S889" s="68">
        <v>0</v>
      </c>
      <c r="T889" s="68">
        <v>0</v>
      </c>
      <c r="U889" s="68">
        <v>1</v>
      </c>
      <c r="V889" s="68">
        <v>305</v>
      </c>
      <c r="W889" s="68">
        <v>302</v>
      </c>
      <c r="X889" s="68">
        <v>122</v>
      </c>
      <c r="Y889" s="68">
        <v>83</v>
      </c>
      <c r="Z889" s="68">
        <v>76</v>
      </c>
      <c r="AA889" s="68">
        <v>1</v>
      </c>
      <c r="AB889" s="300">
        <f t="shared" si="88"/>
        <v>128.26266666666666</v>
      </c>
      <c r="AC889" s="300">
        <f t="shared" si="89"/>
        <v>0.77266666666666661</v>
      </c>
      <c r="AD889" s="68">
        <v>2283.15</v>
      </c>
      <c r="AE889" s="68" t="s">
        <v>109</v>
      </c>
      <c r="AF889" s="68" t="s">
        <v>317</v>
      </c>
      <c r="AG889" s="68" t="s">
        <v>317</v>
      </c>
      <c r="AH889" s="68" t="s">
        <v>2484</v>
      </c>
      <c r="AI889" s="309"/>
      <c r="AJ889" s="309"/>
      <c r="AK889" s="68" t="s">
        <v>41</v>
      </c>
      <c r="AL889" s="68" t="s">
        <v>54</v>
      </c>
      <c r="AM889" s="299">
        <f t="shared" ca="1" si="85"/>
        <v>1.9722222222262644</v>
      </c>
      <c r="AN889" s="51"/>
      <c r="AO889" s="61" t="s">
        <v>159</v>
      </c>
      <c r="AP889" s="91" t="s">
        <v>2482</v>
      </c>
      <c r="AQ889" s="59" t="s">
        <v>2564</v>
      </c>
      <c r="AR889" s="64">
        <v>44893.614583333336</v>
      </c>
      <c r="AS889" s="57" t="s">
        <v>173</v>
      </c>
      <c r="AT889" s="61" t="s">
        <v>225</v>
      </c>
      <c r="AU889" s="63">
        <v>0.61458333333333337</v>
      </c>
      <c r="AV889" s="61">
        <v>1</v>
      </c>
      <c r="AW889" s="61" t="s">
        <v>66</v>
      </c>
      <c r="AX889" s="52"/>
      <c r="AY889" s="52"/>
      <c r="AZ889" s="52"/>
      <c r="BA889" s="52"/>
    </row>
    <row r="890" spans="1:53" x14ac:dyDescent="0.25">
      <c r="A890" s="73">
        <v>532</v>
      </c>
      <c r="B890" s="72">
        <v>44891.642361111109</v>
      </c>
      <c r="C890" s="67">
        <v>0.64583333333333337</v>
      </c>
      <c r="D890" s="67">
        <v>0.65625</v>
      </c>
      <c r="E890" s="67">
        <v>0.68402777777777779</v>
      </c>
      <c r="F890" s="68" t="s">
        <v>170</v>
      </c>
      <c r="G890" s="68" t="s">
        <v>437</v>
      </c>
      <c r="H890" s="66" t="s">
        <v>57</v>
      </c>
      <c r="I890" s="66" t="s">
        <v>162</v>
      </c>
      <c r="J890" s="66" t="s">
        <v>37</v>
      </c>
      <c r="K890" s="66" t="s">
        <v>63</v>
      </c>
      <c r="L890" s="66" t="s">
        <v>209</v>
      </c>
      <c r="M890" s="68" t="s">
        <v>2485</v>
      </c>
      <c r="N890" s="68" t="s">
        <v>158</v>
      </c>
      <c r="O890" s="68" t="s">
        <v>2486</v>
      </c>
      <c r="P890" s="68">
        <v>81967340</v>
      </c>
      <c r="Q890" s="303">
        <f t="shared" si="86"/>
        <v>1</v>
      </c>
      <c r="R890" s="303">
        <f t="shared" si="87"/>
        <v>358</v>
      </c>
      <c r="S890" s="68">
        <v>0</v>
      </c>
      <c r="T890" s="68">
        <v>0</v>
      </c>
      <c r="U890" s="68">
        <v>1</v>
      </c>
      <c r="V890" s="68">
        <v>358</v>
      </c>
      <c r="W890" s="68">
        <v>355</v>
      </c>
      <c r="X890" s="68">
        <v>123</v>
      </c>
      <c r="Y890" s="68">
        <v>68</v>
      </c>
      <c r="Z890" s="68">
        <v>76</v>
      </c>
      <c r="AA890" s="68">
        <v>1</v>
      </c>
      <c r="AB890" s="300">
        <f t="shared" si="88"/>
        <v>105.944</v>
      </c>
      <c r="AC890" s="300">
        <f t="shared" si="89"/>
        <v>0.63821686746987949</v>
      </c>
      <c r="AD890" s="68">
        <v>3468.53</v>
      </c>
      <c r="AE890" s="68" t="s">
        <v>109</v>
      </c>
      <c r="AF890" s="68" t="s">
        <v>317</v>
      </c>
      <c r="AG890" s="68" t="s">
        <v>317</v>
      </c>
      <c r="AH890" s="68" t="s">
        <v>2487</v>
      </c>
      <c r="AI890" s="309"/>
      <c r="AJ890" s="309"/>
      <c r="AK890" s="68" t="s">
        <v>37</v>
      </c>
      <c r="AL890" s="68" t="s">
        <v>54</v>
      </c>
      <c r="AM890" s="299">
        <f t="shared" ca="1" si="85"/>
        <v>1.9722222222262644</v>
      </c>
      <c r="AN890" s="51"/>
      <c r="AO890" s="61" t="s">
        <v>159</v>
      </c>
      <c r="AP890" s="91" t="s">
        <v>2485</v>
      </c>
      <c r="AQ890" s="59" t="s">
        <v>2564</v>
      </c>
      <c r="AR890" s="64">
        <v>44893.614583333336</v>
      </c>
      <c r="AS890" s="57" t="s">
        <v>173</v>
      </c>
      <c r="AT890" s="61" t="s">
        <v>225</v>
      </c>
      <c r="AU890" s="63">
        <v>0.61458333333333337</v>
      </c>
      <c r="AV890" s="61">
        <v>1</v>
      </c>
      <c r="AW890" s="61" t="s">
        <v>66</v>
      </c>
      <c r="AX890" s="52"/>
      <c r="AY890" s="52"/>
      <c r="AZ890" s="52"/>
      <c r="BA890" s="52"/>
    </row>
    <row r="891" spans="1:53" x14ac:dyDescent="0.25">
      <c r="A891" s="73">
        <v>533</v>
      </c>
      <c r="B891" s="72">
        <v>44891.642361111109</v>
      </c>
      <c r="C891" s="67">
        <v>0.64583333333333337</v>
      </c>
      <c r="D891" s="67">
        <v>0.65625</v>
      </c>
      <c r="E891" s="67">
        <v>0.68402777777777779</v>
      </c>
      <c r="F891" s="68" t="s">
        <v>170</v>
      </c>
      <c r="G891" s="68" t="s">
        <v>437</v>
      </c>
      <c r="H891" s="66" t="s">
        <v>57</v>
      </c>
      <c r="I891" s="66" t="s">
        <v>110</v>
      </c>
      <c r="J891" s="66" t="s">
        <v>37</v>
      </c>
      <c r="K891" s="66" t="s">
        <v>63</v>
      </c>
      <c r="L891" s="66" t="s">
        <v>209</v>
      </c>
      <c r="M891" s="68" t="s">
        <v>2488</v>
      </c>
      <c r="N891" s="68" t="s">
        <v>186</v>
      </c>
      <c r="O891" s="68" t="s">
        <v>2489</v>
      </c>
      <c r="P891" s="68">
        <v>81951924</v>
      </c>
      <c r="Q891" s="303">
        <f t="shared" si="86"/>
        <v>1</v>
      </c>
      <c r="R891" s="303">
        <f t="shared" si="87"/>
        <v>224</v>
      </c>
      <c r="S891" s="68">
        <v>0</v>
      </c>
      <c r="T891" s="68">
        <v>0</v>
      </c>
      <c r="U891" s="68">
        <v>1</v>
      </c>
      <c r="V891" s="68">
        <v>224</v>
      </c>
      <c r="W891" s="68">
        <v>223</v>
      </c>
      <c r="X891" s="68">
        <v>109</v>
      </c>
      <c r="Y891" s="68">
        <v>83</v>
      </c>
      <c r="Z891" s="68">
        <v>75</v>
      </c>
      <c r="AA891" s="68">
        <v>1</v>
      </c>
      <c r="AB891" s="300">
        <f t="shared" si="88"/>
        <v>113.08750000000001</v>
      </c>
      <c r="AC891" s="300">
        <f t="shared" si="89"/>
        <v>0.68125000000000002</v>
      </c>
      <c r="AD891" s="68">
        <v>1638</v>
      </c>
      <c r="AE891" s="68" t="s">
        <v>109</v>
      </c>
      <c r="AF891" s="68" t="s">
        <v>317</v>
      </c>
      <c r="AG891" s="68" t="s">
        <v>317</v>
      </c>
      <c r="AH891" s="68" t="s">
        <v>2490</v>
      </c>
      <c r="AI891" s="309"/>
      <c r="AJ891" s="309"/>
      <c r="AK891" s="68" t="s">
        <v>37</v>
      </c>
      <c r="AL891" s="68" t="s">
        <v>54</v>
      </c>
      <c r="AM891" s="299">
        <f t="shared" ca="1" si="85"/>
        <v>2.0243055555547471</v>
      </c>
      <c r="AN891" s="51"/>
      <c r="AO891" s="61" t="s">
        <v>131</v>
      </c>
      <c r="AP891" s="91" t="s">
        <v>2488</v>
      </c>
      <c r="AQ891" s="59" t="s">
        <v>2565</v>
      </c>
      <c r="AR891" s="64">
        <v>44893.666666666664</v>
      </c>
      <c r="AS891" s="61" t="s">
        <v>136</v>
      </c>
      <c r="AT891" s="61" t="s">
        <v>225</v>
      </c>
      <c r="AU891" s="63">
        <v>0.66666666666666663</v>
      </c>
      <c r="AV891" s="61">
        <v>1</v>
      </c>
      <c r="AW891" s="61" t="s">
        <v>66</v>
      </c>
      <c r="AX891" s="52"/>
      <c r="AY891" s="52"/>
      <c r="AZ891" s="52"/>
      <c r="BA891" s="52"/>
    </row>
    <row r="892" spans="1:53" x14ac:dyDescent="0.25">
      <c r="A892" s="73">
        <v>534</v>
      </c>
      <c r="B892" s="72">
        <v>44891.642361111109</v>
      </c>
      <c r="C892" s="67">
        <v>0.64583333333333337</v>
      </c>
      <c r="D892" s="67">
        <v>0.65625</v>
      </c>
      <c r="E892" s="67">
        <v>0.68402777777777779</v>
      </c>
      <c r="F892" s="68" t="s">
        <v>170</v>
      </c>
      <c r="G892" s="68" t="s">
        <v>437</v>
      </c>
      <c r="H892" s="66" t="s">
        <v>57</v>
      </c>
      <c r="I892" s="66" t="s">
        <v>162</v>
      </c>
      <c r="J892" s="66" t="s">
        <v>37</v>
      </c>
      <c r="K892" s="66" t="s">
        <v>63</v>
      </c>
      <c r="L892" s="66" t="s">
        <v>209</v>
      </c>
      <c r="M892" s="68" t="s">
        <v>2482</v>
      </c>
      <c r="N892" s="68" t="s">
        <v>158</v>
      </c>
      <c r="O892" s="68" t="s">
        <v>2491</v>
      </c>
      <c r="P892" s="68">
        <v>81967325</v>
      </c>
      <c r="Q892" s="303">
        <f t="shared" si="86"/>
        <v>1</v>
      </c>
      <c r="R892" s="303">
        <f t="shared" si="87"/>
        <v>286</v>
      </c>
      <c r="S892" s="68">
        <v>0</v>
      </c>
      <c r="T892" s="68">
        <v>0</v>
      </c>
      <c r="U892" s="68">
        <v>1</v>
      </c>
      <c r="V892" s="68">
        <v>286</v>
      </c>
      <c r="W892" s="68">
        <v>283</v>
      </c>
      <c r="X892" s="68">
        <v>122</v>
      </c>
      <c r="Y892" s="68">
        <v>83</v>
      </c>
      <c r="Z892" s="68">
        <v>75</v>
      </c>
      <c r="AA892" s="68">
        <v>1</v>
      </c>
      <c r="AB892" s="300">
        <f t="shared" si="88"/>
        <v>126.575</v>
      </c>
      <c r="AC892" s="300">
        <f t="shared" si="89"/>
        <v>0.76250000000000007</v>
      </c>
      <c r="AD892" s="68">
        <v>2167.38</v>
      </c>
      <c r="AE892" s="68" t="s">
        <v>109</v>
      </c>
      <c r="AF892" s="68" t="s">
        <v>317</v>
      </c>
      <c r="AG892" s="68" t="s">
        <v>317</v>
      </c>
      <c r="AH892" s="68" t="s">
        <v>2492</v>
      </c>
      <c r="AI892" s="309"/>
      <c r="AJ892" s="309"/>
      <c r="AK892" s="68" t="s">
        <v>37</v>
      </c>
      <c r="AL892" s="68" t="s">
        <v>54</v>
      </c>
      <c r="AM892" s="299">
        <f t="shared" ca="1" si="85"/>
        <v>1.9722222222262644</v>
      </c>
      <c r="AN892" s="51"/>
      <c r="AO892" s="61" t="s">
        <v>159</v>
      </c>
      <c r="AP892" s="91" t="s">
        <v>2482</v>
      </c>
      <c r="AQ892" s="59" t="s">
        <v>2564</v>
      </c>
      <c r="AR892" s="64">
        <v>44893.614583333336</v>
      </c>
      <c r="AS892" s="57" t="s">
        <v>173</v>
      </c>
      <c r="AT892" s="61" t="s">
        <v>225</v>
      </c>
      <c r="AU892" s="63">
        <v>0.61458333333333337</v>
      </c>
      <c r="AV892" s="61">
        <v>1</v>
      </c>
      <c r="AW892" s="61" t="s">
        <v>66</v>
      </c>
      <c r="AX892" s="52"/>
      <c r="AY892" s="52"/>
      <c r="AZ892" s="52"/>
      <c r="BA892" s="52"/>
    </row>
    <row r="893" spans="1:53" x14ac:dyDescent="0.25">
      <c r="A893" s="73">
        <v>535</v>
      </c>
      <c r="B893" s="72">
        <v>44891.642361111109</v>
      </c>
      <c r="C893" s="67">
        <v>0.64583333333333337</v>
      </c>
      <c r="D893" s="67">
        <v>0.65625</v>
      </c>
      <c r="E893" s="67">
        <v>0.68402777777777779</v>
      </c>
      <c r="F893" s="68" t="s">
        <v>170</v>
      </c>
      <c r="G893" s="68" t="s">
        <v>437</v>
      </c>
      <c r="H893" s="66" t="s">
        <v>57</v>
      </c>
      <c r="I893" s="66" t="s">
        <v>2493</v>
      </c>
      <c r="J893" s="66" t="s">
        <v>37</v>
      </c>
      <c r="K893" s="66" t="s">
        <v>63</v>
      </c>
      <c r="L893" s="66" t="s">
        <v>209</v>
      </c>
      <c r="M893" s="68" t="s">
        <v>2494</v>
      </c>
      <c r="N893" s="68" t="s">
        <v>44</v>
      </c>
      <c r="O893" s="68" t="s">
        <v>2495</v>
      </c>
      <c r="P893" s="68">
        <v>81922261</v>
      </c>
      <c r="Q893" s="303">
        <f t="shared" si="86"/>
        <v>1</v>
      </c>
      <c r="R893" s="303">
        <f t="shared" si="87"/>
        <v>280</v>
      </c>
      <c r="S893" s="68">
        <v>0</v>
      </c>
      <c r="T893" s="68">
        <v>0</v>
      </c>
      <c r="U893" s="68">
        <v>1</v>
      </c>
      <c r="V893" s="68">
        <v>280</v>
      </c>
      <c r="W893" s="68">
        <v>280</v>
      </c>
      <c r="X893" s="68">
        <v>80</v>
      </c>
      <c r="Y893" s="68">
        <v>60</v>
      </c>
      <c r="Z893" s="68">
        <v>68</v>
      </c>
      <c r="AA893" s="68">
        <v>1</v>
      </c>
      <c r="AB893" s="300">
        <f t="shared" si="88"/>
        <v>54.4</v>
      </c>
      <c r="AC893" s="300">
        <f t="shared" si="89"/>
        <v>0.32771084337349399</v>
      </c>
      <c r="AD893" s="68">
        <v>1401.25</v>
      </c>
      <c r="AE893" s="68" t="s">
        <v>109</v>
      </c>
      <c r="AF893" s="68" t="s">
        <v>317</v>
      </c>
      <c r="AG893" s="68" t="s">
        <v>317</v>
      </c>
      <c r="AH893" s="68" t="s">
        <v>2496</v>
      </c>
      <c r="AI893" s="309"/>
      <c r="AJ893" s="309"/>
      <c r="AK893" s="68" t="s">
        <v>37</v>
      </c>
      <c r="AL893" s="68" t="s">
        <v>54</v>
      </c>
      <c r="AM893" s="299">
        <f t="shared" ca="1" si="85"/>
        <v>1.9722222222262644</v>
      </c>
      <c r="AN893" s="51"/>
      <c r="AO893" s="61" t="s">
        <v>53</v>
      </c>
      <c r="AP893" s="91" t="s">
        <v>2494</v>
      </c>
      <c r="AQ893" s="59" t="s">
        <v>2563</v>
      </c>
      <c r="AR893" s="64">
        <v>44893.614583333336</v>
      </c>
      <c r="AS893" s="57" t="s">
        <v>173</v>
      </c>
      <c r="AT893" s="61" t="s">
        <v>225</v>
      </c>
      <c r="AU893" s="63">
        <v>0.61458333333333337</v>
      </c>
      <c r="AV893" s="61">
        <v>1</v>
      </c>
      <c r="AW893" s="61" t="s">
        <v>66</v>
      </c>
      <c r="AX893" s="52"/>
      <c r="AY893" s="52"/>
      <c r="AZ893" s="52"/>
      <c r="BA893" s="52"/>
    </row>
    <row r="894" spans="1:53" x14ac:dyDescent="0.25">
      <c r="A894" s="73">
        <v>536</v>
      </c>
      <c r="B894" s="72">
        <v>44891.642361111109</v>
      </c>
      <c r="C894" s="67">
        <v>0.64583333333333337</v>
      </c>
      <c r="D894" s="67">
        <v>0.65625</v>
      </c>
      <c r="E894" s="67">
        <v>0.68402777777777779</v>
      </c>
      <c r="F894" s="68" t="s">
        <v>170</v>
      </c>
      <c r="G894" s="68" t="s">
        <v>437</v>
      </c>
      <c r="H894" s="66" t="s">
        <v>57</v>
      </c>
      <c r="I894" s="66" t="s">
        <v>71</v>
      </c>
      <c r="J894" s="66" t="s">
        <v>37</v>
      </c>
      <c r="K894" s="66" t="s">
        <v>63</v>
      </c>
      <c r="L894" s="66" t="s">
        <v>209</v>
      </c>
      <c r="M894" s="68" t="s">
        <v>2497</v>
      </c>
      <c r="N894" s="68" t="s">
        <v>139</v>
      </c>
      <c r="O894" s="68" t="s">
        <v>2498</v>
      </c>
      <c r="P894" s="68">
        <v>81954912</v>
      </c>
      <c r="Q894" s="303">
        <f t="shared" si="86"/>
        <v>1</v>
      </c>
      <c r="R894" s="303">
        <f t="shared" si="87"/>
        <v>108</v>
      </c>
      <c r="S894" s="68">
        <v>0</v>
      </c>
      <c r="T894" s="68">
        <v>0</v>
      </c>
      <c r="U894" s="68">
        <v>1</v>
      </c>
      <c r="V894" s="68">
        <v>108</v>
      </c>
      <c r="W894" s="68">
        <v>108</v>
      </c>
      <c r="X894" s="68">
        <v>96</v>
      </c>
      <c r="Y894" s="68">
        <v>57</v>
      </c>
      <c r="Z894" s="68">
        <v>65</v>
      </c>
      <c r="AA894" s="68">
        <v>1</v>
      </c>
      <c r="AB894" s="300">
        <f t="shared" si="88"/>
        <v>59.28</v>
      </c>
      <c r="AC894" s="300">
        <f t="shared" si="89"/>
        <v>0.35710843373493978</v>
      </c>
      <c r="AD894" s="68">
        <v>6682.74</v>
      </c>
      <c r="AE894" s="68" t="s">
        <v>109</v>
      </c>
      <c r="AF894" s="68" t="s">
        <v>317</v>
      </c>
      <c r="AG894" s="68" t="s">
        <v>317</v>
      </c>
      <c r="AH894" s="68" t="s">
        <v>2499</v>
      </c>
      <c r="AI894" s="309"/>
      <c r="AJ894" s="309"/>
      <c r="AK894" s="68" t="s">
        <v>37</v>
      </c>
      <c r="AL894" s="68" t="s">
        <v>54</v>
      </c>
      <c r="AM894" s="299">
        <f t="shared" ca="1" si="85"/>
        <v>4.8680555555547471</v>
      </c>
      <c r="AN894" s="51"/>
      <c r="AO894" s="57" t="s">
        <v>72</v>
      </c>
      <c r="AP894" s="57" t="s">
        <v>2497</v>
      </c>
      <c r="AQ894" s="57" t="s">
        <v>2814</v>
      </c>
      <c r="AR894" s="29">
        <v>44896.510416666664</v>
      </c>
      <c r="AS894" s="57" t="s">
        <v>117</v>
      </c>
      <c r="AT894" s="61" t="s">
        <v>225</v>
      </c>
      <c r="AU894" s="63">
        <v>0.51041666666666663</v>
      </c>
      <c r="AV894" s="61">
        <v>1</v>
      </c>
      <c r="AW894" s="61" t="s">
        <v>66</v>
      </c>
      <c r="AX894" s="52"/>
      <c r="AY894" s="52"/>
      <c r="AZ894" s="52"/>
      <c r="BA894" s="52"/>
    </row>
    <row r="895" spans="1:53" x14ac:dyDescent="0.25">
      <c r="A895" s="73">
        <v>537</v>
      </c>
      <c r="B895" s="72">
        <v>44891.642361111109</v>
      </c>
      <c r="C895" s="67">
        <v>0.64583333333333337</v>
      </c>
      <c r="D895" s="67">
        <v>0.65625</v>
      </c>
      <c r="E895" s="67">
        <v>0.68402777777777779</v>
      </c>
      <c r="F895" s="68" t="s">
        <v>170</v>
      </c>
      <c r="G895" s="68" t="s">
        <v>437</v>
      </c>
      <c r="H895" s="66" t="s">
        <v>57</v>
      </c>
      <c r="I895" s="66" t="s">
        <v>162</v>
      </c>
      <c r="J895" s="66" t="s">
        <v>37</v>
      </c>
      <c r="K895" s="66" t="s">
        <v>63</v>
      </c>
      <c r="L895" s="66" t="s">
        <v>209</v>
      </c>
      <c r="M895" s="68" t="s">
        <v>2482</v>
      </c>
      <c r="N895" s="68" t="s">
        <v>158</v>
      </c>
      <c r="O895" s="68" t="s">
        <v>2500</v>
      </c>
      <c r="P895" s="68">
        <v>81962321</v>
      </c>
      <c r="Q895" s="303">
        <f t="shared" si="86"/>
        <v>1</v>
      </c>
      <c r="R895" s="303">
        <f t="shared" si="87"/>
        <v>74</v>
      </c>
      <c r="S895" s="68">
        <v>0</v>
      </c>
      <c r="T895" s="68">
        <v>0</v>
      </c>
      <c r="U895" s="68">
        <v>1</v>
      </c>
      <c r="V895" s="68">
        <v>74</v>
      </c>
      <c r="W895" s="68">
        <v>75</v>
      </c>
      <c r="X895" s="68">
        <v>59</v>
      </c>
      <c r="Y895" s="68">
        <v>44</v>
      </c>
      <c r="Z895" s="68">
        <v>40</v>
      </c>
      <c r="AA895" s="68">
        <v>1</v>
      </c>
      <c r="AB895" s="300">
        <f t="shared" si="88"/>
        <v>17.306666666666668</v>
      </c>
      <c r="AC895" s="300">
        <f t="shared" si="89"/>
        <v>0.10425702811244981</v>
      </c>
      <c r="AD895" s="68">
        <v>1507.44</v>
      </c>
      <c r="AE895" s="68" t="s">
        <v>109</v>
      </c>
      <c r="AF895" s="68" t="s">
        <v>317</v>
      </c>
      <c r="AG895" s="68" t="s">
        <v>317</v>
      </c>
      <c r="AH895" s="68" t="s">
        <v>2501</v>
      </c>
      <c r="AI895" s="309"/>
      <c r="AJ895" s="309"/>
      <c r="AK895" s="68" t="s">
        <v>37</v>
      </c>
      <c r="AL895" s="68" t="s">
        <v>54</v>
      </c>
      <c r="AM895" s="299">
        <f t="shared" ca="1" si="85"/>
        <v>1.9722222222262644</v>
      </c>
      <c r="AN895" s="51"/>
      <c r="AO895" s="61" t="s">
        <v>159</v>
      </c>
      <c r="AP895" s="91" t="s">
        <v>2482</v>
      </c>
      <c r="AQ895" s="59" t="s">
        <v>2564</v>
      </c>
      <c r="AR895" s="64">
        <v>44893.614583333336</v>
      </c>
      <c r="AS895" s="57" t="s">
        <v>173</v>
      </c>
      <c r="AT895" s="61" t="s">
        <v>225</v>
      </c>
      <c r="AU895" s="63">
        <v>0.61458333333333337</v>
      </c>
      <c r="AV895" s="61">
        <v>1</v>
      </c>
      <c r="AW895" s="61" t="s">
        <v>66</v>
      </c>
      <c r="AX895" s="52"/>
      <c r="AY895" s="52"/>
      <c r="AZ895" s="52"/>
      <c r="BA895" s="52"/>
    </row>
    <row r="896" spans="1:53" ht="15.75" thickBot="1" x14ac:dyDescent="0.3">
      <c r="A896" s="73">
        <v>538</v>
      </c>
      <c r="B896" s="72">
        <v>44891.642361111109</v>
      </c>
      <c r="C896" s="67">
        <v>0.64583333333333337</v>
      </c>
      <c r="D896" s="67">
        <v>0.65625</v>
      </c>
      <c r="E896" s="67">
        <v>0.68402777777777779</v>
      </c>
      <c r="F896" s="68" t="s">
        <v>170</v>
      </c>
      <c r="G896" s="68" t="s">
        <v>437</v>
      </c>
      <c r="H896" s="66" t="s">
        <v>57</v>
      </c>
      <c r="I896" s="66" t="s">
        <v>162</v>
      </c>
      <c r="J896" s="66" t="s">
        <v>37</v>
      </c>
      <c r="K896" s="66" t="s">
        <v>63</v>
      </c>
      <c r="L896" s="66" t="s">
        <v>209</v>
      </c>
      <c r="M896" s="68" t="s">
        <v>2482</v>
      </c>
      <c r="N896" s="68" t="s">
        <v>158</v>
      </c>
      <c r="O896" s="68" t="s">
        <v>2502</v>
      </c>
      <c r="P896" s="68">
        <v>81962297</v>
      </c>
      <c r="Q896" s="303">
        <f t="shared" si="86"/>
        <v>1</v>
      </c>
      <c r="R896" s="303">
        <f t="shared" si="87"/>
        <v>295</v>
      </c>
      <c r="S896" s="68">
        <v>0</v>
      </c>
      <c r="T896" s="68">
        <v>0</v>
      </c>
      <c r="U896" s="68">
        <v>1</v>
      </c>
      <c r="V896" s="68">
        <v>295</v>
      </c>
      <c r="W896" s="68">
        <v>290</v>
      </c>
      <c r="X896" s="68">
        <v>123</v>
      </c>
      <c r="Y896" s="68">
        <v>68</v>
      </c>
      <c r="Z896" s="68">
        <v>76</v>
      </c>
      <c r="AA896" s="68">
        <v>1</v>
      </c>
      <c r="AB896" s="300">
        <f t="shared" si="88"/>
        <v>105.944</v>
      </c>
      <c r="AC896" s="300">
        <f t="shared" si="89"/>
        <v>0.63821686746987949</v>
      </c>
      <c r="AD896" s="68">
        <v>1807.69</v>
      </c>
      <c r="AE896" s="68" t="s">
        <v>109</v>
      </c>
      <c r="AF896" s="68" t="s">
        <v>317</v>
      </c>
      <c r="AG896" s="68" t="s">
        <v>317</v>
      </c>
      <c r="AH896" s="68" t="s">
        <v>2503</v>
      </c>
      <c r="AI896" s="309"/>
      <c r="AJ896" s="309"/>
      <c r="AK896" s="68" t="s">
        <v>37</v>
      </c>
      <c r="AL896" s="68" t="s">
        <v>54</v>
      </c>
      <c r="AM896" s="299">
        <f t="shared" ca="1" si="85"/>
        <v>1.9722222222262644</v>
      </c>
      <c r="AN896" s="51"/>
      <c r="AO896" s="61" t="s">
        <v>159</v>
      </c>
      <c r="AP896" s="91" t="s">
        <v>2482</v>
      </c>
      <c r="AQ896" s="59" t="s">
        <v>2564</v>
      </c>
      <c r="AR896" s="64">
        <v>44893.614583333336</v>
      </c>
      <c r="AS896" s="57" t="s">
        <v>173</v>
      </c>
      <c r="AT896" s="61" t="s">
        <v>225</v>
      </c>
      <c r="AU896" s="63">
        <v>0.61458333333333337</v>
      </c>
      <c r="AV896" s="61">
        <v>1</v>
      </c>
      <c r="AW896" s="61" t="s">
        <v>66</v>
      </c>
      <c r="AX896" s="52"/>
      <c r="AY896" s="52"/>
      <c r="AZ896" s="52"/>
      <c r="BA896" s="52"/>
    </row>
    <row r="897" spans="1:54" ht="15.75" thickBot="1" x14ac:dyDescent="0.3">
      <c r="A897" s="73">
        <v>539</v>
      </c>
      <c r="B897" s="72">
        <v>44893.375</v>
      </c>
      <c r="C897" s="67">
        <v>0.375</v>
      </c>
      <c r="D897" s="67">
        <v>0.38194444444444442</v>
      </c>
      <c r="E897" s="67">
        <v>0.40625</v>
      </c>
      <c r="F897" s="68" t="s">
        <v>171</v>
      </c>
      <c r="G897" s="68" t="s">
        <v>176</v>
      </c>
      <c r="H897" s="68" t="s">
        <v>91</v>
      </c>
      <c r="I897" s="68" t="s">
        <v>318</v>
      </c>
      <c r="J897" s="68" t="s">
        <v>41</v>
      </c>
      <c r="K897" s="68" t="s">
        <v>180</v>
      </c>
      <c r="L897" s="69" t="s">
        <v>206</v>
      </c>
      <c r="M897" s="68" t="s">
        <v>2521</v>
      </c>
      <c r="N897" s="68" t="s">
        <v>44</v>
      </c>
      <c r="O897" s="68">
        <v>1054969575</v>
      </c>
      <c r="P897" s="68">
        <v>1213982424</v>
      </c>
      <c r="Q897" s="303">
        <f t="shared" si="86"/>
        <v>5</v>
      </c>
      <c r="R897" s="303">
        <f t="shared" si="87"/>
        <v>1056</v>
      </c>
      <c r="S897" s="68">
        <v>0</v>
      </c>
      <c r="T897" s="68">
        <v>0</v>
      </c>
      <c r="U897" s="68">
        <v>5</v>
      </c>
      <c r="V897" s="68">
        <v>1056</v>
      </c>
      <c r="W897" s="68">
        <v>1065</v>
      </c>
      <c r="X897" s="68">
        <v>120</v>
      </c>
      <c r="Y897" s="68">
        <v>80</v>
      </c>
      <c r="Z897" s="68">
        <v>78</v>
      </c>
      <c r="AA897" s="68">
        <v>5</v>
      </c>
      <c r="AB897" s="300">
        <f t="shared" si="88"/>
        <v>624</v>
      </c>
      <c r="AC897" s="300">
        <f t="shared" si="89"/>
        <v>3.7590361445783134</v>
      </c>
      <c r="AD897" s="68">
        <v>1807.69</v>
      </c>
      <c r="AE897" s="68" t="s">
        <v>109</v>
      </c>
      <c r="AF897" s="68" t="s">
        <v>317</v>
      </c>
      <c r="AG897" s="68" t="s">
        <v>317</v>
      </c>
      <c r="AH897" s="68" t="s">
        <v>2522</v>
      </c>
      <c r="AI897" s="309"/>
      <c r="AJ897" s="309"/>
      <c r="AK897" s="68" t="s">
        <v>37</v>
      </c>
      <c r="AL897" s="68" t="s">
        <v>49</v>
      </c>
      <c r="AM897" s="299">
        <f t="shared" ca="1" si="85"/>
        <v>0.23958333333575865</v>
      </c>
      <c r="AN897" s="96"/>
      <c r="AO897" s="61" t="s">
        <v>323</v>
      </c>
      <c r="AP897" s="91" t="s">
        <v>2521</v>
      </c>
      <c r="AQ897" s="59" t="s">
        <v>2563</v>
      </c>
      <c r="AR897" s="64">
        <v>44893.614583333336</v>
      </c>
      <c r="AS897" s="57" t="s">
        <v>173</v>
      </c>
      <c r="AT897" s="61" t="s">
        <v>225</v>
      </c>
      <c r="AU897" s="63">
        <v>0.61458333333333337</v>
      </c>
      <c r="AV897" s="61">
        <v>1</v>
      </c>
      <c r="AW897" s="61" t="s">
        <v>66</v>
      </c>
      <c r="AX897" s="76"/>
      <c r="AY897" s="76"/>
      <c r="AZ897" s="76"/>
      <c r="BA897" s="76"/>
      <c r="BB897" s="74"/>
    </row>
    <row r="898" spans="1:54" ht="15.75" thickBot="1" x14ac:dyDescent="0.3">
      <c r="A898" s="73">
        <v>540</v>
      </c>
      <c r="B898" s="72">
        <v>44893.40625</v>
      </c>
      <c r="C898" s="67">
        <v>0.40972222222222227</v>
      </c>
      <c r="D898" s="67">
        <v>0.41319444444444442</v>
      </c>
      <c r="E898" s="67">
        <v>0.42708333333333331</v>
      </c>
      <c r="F898" s="68" t="s">
        <v>170</v>
      </c>
      <c r="G898" s="68" t="s">
        <v>360</v>
      </c>
      <c r="H898" s="66" t="s">
        <v>46</v>
      </c>
      <c r="I898" s="66" t="s">
        <v>73</v>
      </c>
      <c r="J898" s="68" t="s">
        <v>41</v>
      </c>
      <c r="K898" s="66" t="s">
        <v>63</v>
      </c>
      <c r="L898" s="66" t="s">
        <v>214</v>
      </c>
      <c r="M898" s="68" t="s">
        <v>2523</v>
      </c>
      <c r="N898" s="68" t="s">
        <v>59</v>
      </c>
      <c r="O898" s="68" t="s">
        <v>2524</v>
      </c>
      <c r="P898" s="68" t="s">
        <v>2525</v>
      </c>
      <c r="Q898" s="303">
        <f t="shared" si="86"/>
        <v>3</v>
      </c>
      <c r="R898" s="303">
        <f t="shared" si="87"/>
        <v>433</v>
      </c>
      <c r="S898" s="68">
        <v>0</v>
      </c>
      <c r="T898" s="68">
        <v>0</v>
      </c>
      <c r="U898" s="68">
        <v>3</v>
      </c>
      <c r="V898" s="68">
        <v>433</v>
      </c>
      <c r="W898" s="68">
        <v>459.5</v>
      </c>
      <c r="X898" s="68">
        <v>93</v>
      </c>
      <c r="Y898" s="68">
        <v>50</v>
      </c>
      <c r="Z898" s="68">
        <v>50</v>
      </c>
      <c r="AA898" s="68">
        <v>1</v>
      </c>
      <c r="AB898" s="300">
        <f t="shared" si="88"/>
        <v>38.75</v>
      </c>
      <c r="AC898" s="300">
        <f t="shared" si="89"/>
        <v>0.23343373493975902</v>
      </c>
      <c r="AD898" s="68" t="s">
        <v>48</v>
      </c>
      <c r="AE898" s="68" t="s">
        <v>48</v>
      </c>
      <c r="AF898" s="68" t="s">
        <v>317</v>
      </c>
      <c r="AG898" s="68" t="s">
        <v>317</v>
      </c>
      <c r="AH898" s="68" t="s">
        <v>2526</v>
      </c>
      <c r="AI898" s="309"/>
      <c r="AJ898" s="309"/>
      <c r="AK898" s="68" t="s">
        <v>41</v>
      </c>
      <c r="AL898" s="68" t="s">
        <v>49</v>
      </c>
      <c r="AM898" s="299">
        <f t="shared" ca="1" si="85"/>
        <v>1.0486111111094942</v>
      </c>
      <c r="AN898" s="75"/>
      <c r="AO898" s="61" t="s">
        <v>70</v>
      </c>
      <c r="AP898" s="91" t="s">
        <v>2523</v>
      </c>
      <c r="AQ898" s="59" t="s">
        <v>2576</v>
      </c>
      <c r="AR898" s="64">
        <v>44894.454861111109</v>
      </c>
      <c r="AS898" s="61" t="s">
        <v>136</v>
      </c>
      <c r="AT898" s="61" t="s">
        <v>225</v>
      </c>
      <c r="AU898" s="63">
        <v>0.4548611111111111</v>
      </c>
      <c r="AV898" s="61">
        <v>1</v>
      </c>
      <c r="AW898" s="61" t="s">
        <v>66</v>
      </c>
      <c r="AX898" s="76"/>
      <c r="AY898" s="76"/>
      <c r="AZ898" s="76"/>
      <c r="BA898" s="76"/>
      <c r="BB898" s="74"/>
    </row>
    <row r="899" spans="1:54" ht="15.75" thickBot="1" x14ac:dyDescent="0.3">
      <c r="A899" s="73">
        <v>540</v>
      </c>
      <c r="B899" s="72">
        <v>44893.40625</v>
      </c>
      <c r="C899" s="67">
        <v>0.40972222222222227</v>
      </c>
      <c r="D899" s="67">
        <v>0.41319444444444442</v>
      </c>
      <c r="E899" s="67">
        <v>0.42708333333333331</v>
      </c>
      <c r="F899" s="68" t="s">
        <v>170</v>
      </c>
      <c r="G899" s="68" t="s">
        <v>360</v>
      </c>
      <c r="H899" s="66" t="s">
        <v>46</v>
      </c>
      <c r="I899" s="66" t="s">
        <v>73</v>
      </c>
      <c r="J899" s="68" t="s">
        <v>41</v>
      </c>
      <c r="K899" s="66" t="s">
        <v>63</v>
      </c>
      <c r="L899" s="66" t="s">
        <v>214</v>
      </c>
      <c r="M899" s="68" t="s">
        <v>2523</v>
      </c>
      <c r="N899" s="68" t="s">
        <v>59</v>
      </c>
      <c r="O899" s="68" t="s">
        <v>2524</v>
      </c>
      <c r="P899" s="68" t="s">
        <v>2525</v>
      </c>
      <c r="Q899" s="303">
        <f t="shared" si="86"/>
        <v>0</v>
      </c>
      <c r="R899" s="303">
        <f t="shared" si="87"/>
        <v>0</v>
      </c>
      <c r="S899" s="68">
        <v>0</v>
      </c>
      <c r="T899" s="68">
        <v>0</v>
      </c>
      <c r="U899" s="68">
        <v>0</v>
      </c>
      <c r="V899" s="68">
        <v>0</v>
      </c>
      <c r="W899" s="68">
        <v>0</v>
      </c>
      <c r="X899" s="68">
        <v>70</v>
      </c>
      <c r="Y899" s="68">
        <v>38</v>
      </c>
      <c r="Z899" s="68">
        <v>47</v>
      </c>
      <c r="AA899" s="68">
        <v>1</v>
      </c>
      <c r="AB899" s="300">
        <f t="shared" si="88"/>
        <v>20.836666666666666</v>
      </c>
      <c r="AC899" s="300">
        <f t="shared" si="89"/>
        <v>0.12552208835341366</v>
      </c>
      <c r="AD899" s="68">
        <v>0</v>
      </c>
      <c r="AE899" s="68">
        <v>0</v>
      </c>
      <c r="AF899" s="68" t="s">
        <v>317</v>
      </c>
      <c r="AG899" s="68" t="s">
        <v>317</v>
      </c>
      <c r="AH899" s="68" t="s">
        <v>2526</v>
      </c>
      <c r="AI899" s="309"/>
      <c r="AJ899" s="309"/>
      <c r="AK899" s="68" t="s">
        <v>41</v>
      </c>
      <c r="AL899" s="68" t="s">
        <v>49</v>
      </c>
      <c r="AM899" s="299">
        <f t="shared" ca="1" si="85"/>
        <v>1.0486111111094942</v>
      </c>
      <c r="AN899" s="75"/>
      <c r="AO899" s="61" t="s">
        <v>70</v>
      </c>
      <c r="AP899" s="91" t="s">
        <v>2523</v>
      </c>
      <c r="AQ899" s="59" t="s">
        <v>2576</v>
      </c>
      <c r="AR899" s="64">
        <v>44894.454861111109</v>
      </c>
      <c r="AS899" s="61" t="s">
        <v>136</v>
      </c>
      <c r="AT899" s="61" t="s">
        <v>225</v>
      </c>
      <c r="AU899" s="63">
        <v>0.4548611111111111</v>
      </c>
      <c r="AV899" s="61">
        <v>1</v>
      </c>
      <c r="AW899" s="61" t="s">
        <v>66</v>
      </c>
      <c r="AX899" s="76"/>
      <c r="AY899" s="76"/>
      <c r="AZ899" s="76"/>
      <c r="BA899" s="76"/>
      <c r="BB899" s="74"/>
    </row>
    <row r="900" spans="1:54" ht="15.75" thickBot="1" x14ac:dyDescent="0.3">
      <c r="A900" s="73">
        <v>540</v>
      </c>
      <c r="B900" s="72">
        <v>44893.40625</v>
      </c>
      <c r="C900" s="67">
        <v>0.40972222222222227</v>
      </c>
      <c r="D900" s="67">
        <v>0.41319444444444442</v>
      </c>
      <c r="E900" s="67">
        <v>0.42708333333333331</v>
      </c>
      <c r="F900" s="68" t="s">
        <v>170</v>
      </c>
      <c r="G900" s="68" t="s">
        <v>360</v>
      </c>
      <c r="H900" s="66" t="s">
        <v>46</v>
      </c>
      <c r="I900" s="66" t="s">
        <v>73</v>
      </c>
      <c r="J900" s="68" t="s">
        <v>41</v>
      </c>
      <c r="K900" s="66" t="s">
        <v>63</v>
      </c>
      <c r="L900" s="66" t="s">
        <v>214</v>
      </c>
      <c r="M900" s="68" t="s">
        <v>2523</v>
      </c>
      <c r="N900" s="68" t="s">
        <v>59</v>
      </c>
      <c r="O900" s="68" t="s">
        <v>2524</v>
      </c>
      <c r="P900" s="68" t="s">
        <v>2525</v>
      </c>
      <c r="Q900" s="303">
        <f t="shared" si="86"/>
        <v>0</v>
      </c>
      <c r="R900" s="303">
        <f t="shared" si="87"/>
        <v>0</v>
      </c>
      <c r="S900" s="68">
        <v>0</v>
      </c>
      <c r="T900" s="68">
        <v>0</v>
      </c>
      <c r="U900" s="68">
        <v>0</v>
      </c>
      <c r="V900" s="68">
        <v>0</v>
      </c>
      <c r="W900" s="68">
        <v>0</v>
      </c>
      <c r="X900" s="68">
        <v>70</v>
      </c>
      <c r="Y900" s="68">
        <v>53</v>
      </c>
      <c r="Z900" s="68">
        <v>61</v>
      </c>
      <c r="AA900" s="68">
        <v>1</v>
      </c>
      <c r="AB900" s="300">
        <f t="shared" si="88"/>
        <v>37.718333333333334</v>
      </c>
      <c r="AC900" s="300">
        <f t="shared" si="89"/>
        <v>0.22721887550200803</v>
      </c>
      <c r="AD900" s="68">
        <v>0</v>
      </c>
      <c r="AE900" s="68">
        <v>0</v>
      </c>
      <c r="AF900" s="68" t="s">
        <v>317</v>
      </c>
      <c r="AG900" s="68" t="s">
        <v>317</v>
      </c>
      <c r="AH900" s="68" t="s">
        <v>2526</v>
      </c>
      <c r="AI900" s="309"/>
      <c r="AJ900" s="309"/>
      <c r="AK900" s="68" t="s">
        <v>41</v>
      </c>
      <c r="AL900" s="68" t="s">
        <v>49</v>
      </c>
      <c r="AM900" s="299">
        <f t="shared" ca="1" si="85"/>
        <v>1.0486111111094942</v>
      </c>
      <c r="AN900" s="75"/>
      <c r="AO900" s="61" t="s">
        <v>70</v>
      </c>
      <c r="AP900" s="91" t="s">
        <v>2523</v>
      </c>
      <c r="AQ900" s="59" t="s">
        <v>2576</v>
      </c>
      <c r="AR900" s="64">
        <v>44894.454861111109</v>
      </c>
      <c r="AS900" s="61" t="s">
        <v>136</v>
      </c>
      <c r="AT900" s="61" t="s">
        <v>225</v>
      </c>
      <c r="AU900" s="63">
        <v>0.4548611111111111</v>
      </c>
      <c r="AV900" s="61">
        <v>1</v>
      </c>
      <c r="AW900" s="61" t="s">
        <v>66</v>
      </c>
      <c r="AX900" s="76"/>
      <c r="AY900" s="76"/>
      <c r="AZ900" s="76"/>
      <c r="BA900" s="76"/>
      <c r="BB900" s="74"/>
    </row>
    <row r="901" spans="1:54" ht="15.75" thickBot="1" x14ac:dyDescent="0.3">
      <c r="A901" s="73">
        <v>541</v>
      </c>
      <c r="B901" s="72">
        <v>44893.40625</v>
      </c>
      <c r="C901" s="67">
        <v>0.40972222222222227</v>
      </c>
      <c r="D901" s="67">
        <v>0.41319444444444442</v>
      </c>
      <c r="E901" s="67">
        <v>0.42708333333333331</v>
      </c>
      <c r="F901" s="68" t="s">
        <v>170</v>
      </c>
      <c r="G901" s="68" t="s">
        <v>360</v>
      </c>
      <c r="H901" s="66" t="s">
        <v>46</v>
      </c>
      <c r="I901" s="66" t="s">
        <v>162</v>
      </c>
      <c r="J901" s="68" t="s">
        <v>41</v>
      </c>
      <c r="K901" s="66" t="s">
        <v>63</v>
      </c>
      <c r="L901" s="66" t="s">
        <v>214</v>
      </c>
      <c r="M901" s="68" t="s">
        <v>2527</v>
      </c>
      <c r="N901" s="68" t="s">
        <v>158</v>
      </c>
      <c r="O901" s="68" t="s">
        <v>2528</v>
      </c>
      <c r="P901" s="68">
        <v>5547</v>
      </c>
      <c r="Q901" s="303">
        <f t="shared" si="86"/>
        <v>1</v>
      </c>
      <c r="R901" s="303">
        <f t="shared" si="87"/>
        <v>124</v>
      </c>
      <c r="S901" s="68">
        <v>0</v>
      </c>
      <c r="T901" s="68">
        <v>0</v>
      </c>
      <c r="U901" s="68">
        <v>1</v>
      </c>
      <c r="V901" s="68">
        <v>124</v>
      </c>
      <c r="W901" s="68">
        <v>130.5</v>
      </c>
      <c r="X901" s="68">
        <v>59</v>
      </c>
      <c r="Y901" s="68">
        <v>59</v>
      </c>
      <c r="Z901" s="68">
        <v>56</v>
      </c>
      <c r="AA901" s="68">
        <v>1</v>
      </c>
      <c r="AB901" s="300">
        <f t="shared" si="88"/>
        <v>32.489333333333335</v>
      </c>
      <c r="AC901" s="300">
        <f t="shared" si="89"/>
        <v>0.19571887550200803</v>
      </c>
      <c r="AD901" s="68" t="s">
        <v>48</v>
      </c>
      <c r="AE901" s="68" t="s">
        <v>48</v>
      </c>
      <c r="AF901" s="68" t="s">
        <v>317</v>
      </c>
      <c r="AG901" s="68" t="s">
        <v>317</v>
      </c>
      <c r="AH901" s="68" t="s">
        <v>2529</v>
      </c>
      <c r="AI901" s="309"/>
      <c r="AJ901" s="309"/>
      <c r="AK901" s="68" t="s">
        <v>41</v>
      </c>
      <c r="AL901" s="68" t="s">
        <v>49</v>
      </c>
      <c r="AM901" s="299">
        <f t="shared" ca="1" si="85"/>
        <v>0.20833333333575865</v>
      </c>
      <c r="AN901" s="75"/>
      <c r="AO901" s="61" t="s">
        <v>159</v>
      </c>
      <c r="AP901" s="91" t="s">
        <v>2527</v>
      </c>
      <c r="AQ901" s="59" t="s">
        <v>2564</v>
      </c>
      <c r="AR901" s="64">
        <v>44893.614583333336</v>
      </c>
      <c r="AS901" s="57" t="s">
        <v>173</v>
      </c>
      <c r="AT901" s="61" t="s">
        <v>225</v>
      </c>
      <c r="AU901" s="63">
        <v>0.61458333333333337</v>
      </c>
      <c r="AV901" s="61">
        <v>1</v>
      </c>
      <c r="AW901" s="61" t="s">
        <v>66</v>
      </c>
      <c r="AX901" s="76"/>
      <c r="AY901" s="76"/>
      <c r="AZ901" s="76"/>
      <c r="BA901" s="76"/>
      <c r="BB901" s="74"/>
    </row>
    <row r="902" spans="1:54" ht="15.75" thickBot="1" x14ac:dyDescent="0.3">
      <c r="A902" s="73">
        <v>542</v>
      </c>
      <c r="B902" s="72">
        <v>44893.4375</v>
      </c>
      <c r="C902" s="67">
        <v>0.44097222222222227</v>
      </c>
      <c r="D902" s="67">
        <v>0.44791666666666669</v>
      </c>
      <c r="E902" s="67">
        <v>0.49305555555555558</v>
      </c>
      <c r="F902" s="68" t="s">
        <v>171</v>
      </c>
      <c r="G902" s="68" t="s">
        <v>274</v>
      </c>
      <c r="H902" s="66" t="s">
        <v>339</v>
      </c>
      <c r="I902" s="66" t="s">
        <v>198</v>
      </c>
      <c r="J902" s="66" t="s">
        <v>37</v>
      </c>
      <c r="K902" s="66" t="s">
        <v>180</v>
      </c>
      <c r="L902" s="70" t="s">
        <v>206</v>
      </c>
      <c r="M902" s="68" t="s">
        <v>2530</v>
      </c>
      <c r="N902" s="68" t="s">
        <v>482</v>
      </c>
      <c r="O902" s="68" t="s">
        <v>2531</v>
      </c>
      <c r="P902" s="68">
        <v>1331426</v>
      </c>
      <c r="Q902" s="303">
        <f t="shared" si="86"/>
        <v>16</v>
      </c>
      <c r="R902" s="303">
        <f t="shared" si="87"/>
        <v>965</v>
      </c>
      <c r="S902" s="68">
        <v>0</v>
      </c>
      <c r="T902" s="68">
        <v>0</v>
      </c>
      <c r="U902" s="68">
        <v>16</v>
      </c>
      <c r="V902" s="68">
        <v>965</v>
      </c>
      <c r="W902" s="68">
        <v>864</v>
      </c>
      <c r="X902" s="68">
        <v>84</v>
      </c>
      <c r="Y902" s="68">
        <v>84</v>
      </c>
      <c r="Z902" s="68">
        <v>40</v>
      </c>
      <c r="AA902" s="68">
        <v>16</v>
      </c>
      <c r="AB902" s="300">
        <f t="shared" si="88"/>
        <v>752.64</v>
      </c>
      <c r="AC902" s="300">
        <f t="shared" si="89"/>
        <v>4.5339759036144578</v>
      </c>
      <c r="AD902" s="68">
        <v>12334.72</v>
      </c>
      <c r="AE902" s="68" t="s">
        <v>109</v>
      </c>
      <c r="AF902" s="68" t="s">
        <v>317</v>
      </c>
      <c r="AG902" s="68" t="s">
        <v>317</v>
      </c>
      <c r="AH902" s="68" t="s">
        <v>2532</v>
      </c>
      <c r="AI902" s="309"/>
      <c r="AJ902" s="309"/>
      <c r="AK902" s="68" t="s">
        <v>37</v>
      </c>
      <c r="AL902" s="68" t="s">
        <v>54</v>
      </c>
      <c r="AM902" s="299">
        <f t="shared" ca="1" si="85"/>
        <v>1.0104166666642413</v>
      </c>
      <c r="AN902" s="75"/>
      <c r="AO902" s="61" t="s">
        <v>53</v>
      </c>
      <c r="AP902" s="91" t="s">
        <v>2530</v>
      </c>
      <c r="AQ902" s="59" t="s">
        <v>2574</v>
      </c>
      <c r="AR902" s="64">
        <v>44894.447916666664</v>
      </c>
      <c r="AS902" s="61" t="s">
        <v>2575</v>
      </c>
      <c r="AT902" s="61" t="s">
        <v>225</v>
      </c>
      <c r="AU902" s="63">
        <v>0.44791666666666669</v>
      </c>
      <c r="AV902" s="61">
        <v>1</v>
      </c>
      <c r="AW902" s="61" t="s">
        <v>66</v>
      </c>
      <c r="AX902" s="76"/>
      <c r="AY902" s="76"/>
      <c r="AZ902" s="76"/>
      <c r="BA902" s="76"/>
      <c r="BB902" s="74"/>
    </row>
    <row r="903" spans="1:54" ht="15.75" thickBot="1" x14ac:dyDescent="0.3">
      <c r="A903" s="73">
        <v>543</v>
      </c>
      <c r="B903" s="72">
        <v>44893.4375</v>
      </c>
      <c r="C903" s="67">
        <v>0.44097222222222227</v>
      </c>
      <c r="D903" s="67">
        <v>0.44791666666666669</v>
      </c>
      <c r="E903" s="67">
        <v>0.49305555555555558</v>
      </c>
      <c r="F903" s="68" t="s">
        <v>171</v>
      </c>
      <c r="G903" s="68" t="s">
        <v>274</v>
      </c>
      <c r="H903" s="66" t="s">
        <v>339</v>
      </c>
      <c r="I903" s="66" t="s">
        <v>198</v>
      </c>
      <c r="J903" s="66" t="s">
        <v>37</v>
      </c>
      <c r="K903" s="66" t="s">
        <v>180</v>
      </c>
      <c r="L903" s="70" t="s">
        <v>206</v>
      </c>
      <c r="M903" s="68" t="s">
        <v>2530</v>
      </c>
      <c r="N903" s="68" t="s">
        <v>482</v>
      </c>
      <c r="O903" s="68" t="s">
        <v>2533</v>
      </c>
      <c r="P903" s="68">
        <v>1331426</v>
      </c>
      <c r="Q903" s="303">
        <f t="shared" si="86"/>
        <v>8</v>
      </c>
      <c r="R903" s="303">
        <f t="shared" si="87"/>
        <v>484</v>
      </c>
      <c r="S903" s="68">
        <v>0</v>
      </c>
      <c r="T903" s="68">
        <v>0</v>
      </c>
      <c r="U903" s="68">
        <v>8</v>
      </c>
      <c r="V903" s="68">
        <v>484</v>
      </c>
      <c r="W903" s="68">
        <v>432</v>
      </c>
      <c r="X903" s="68">
        <v>84</v>
      </c>
      <c r="Y903" s="68">
        <v>84</v>
      </c>
      <c r="Z903" s="68">
        <v>40</v>
      </c>
      <c r="AA903" s="68">
        <v>8</v>
      </c>
      <c r="AB903" s="300">
        <f t="shared" si="88"/>
        <v>376.32</v>
      </c>
      <c r="AC903" s="300">
        <f t="shared" si="89"/>
        <v>2.2669879518072289</v>
      </c>
      <c r="AD903" s="68">
        <v>6167.36</v>
      </c>
      <c r="AE903" s="68" t="s">
        <v>109</v>
      </c>
      <c r="AF903" s="68" t="s">
        <v>317</v>
      </c>
      <c r="AG903" s="68" t="s">
        <v>317</v>
      </c>
      <c r="AH903" s="68" t="s">
        <v>2534</v>
      </c>
      <c r="AI903" s="309"/>
      <c r="AJ903" s="309"/>
      <c r="AK903" s="68" t="s">
        <v>37</v>
      </c>
      <c r="AL903" s="68" t="s">
        <v>54</v>
      </c>
      <c r="AM903" s="299">
        <f t="shared" ca="1" si="85"/>
        <v>1.0104166666642413</v>
      </c>
      <c r="AN903" s="75"/>
      <c r="AO903" s="61" t="s">
        <v>53</v>
      </c>
      <c r="AP903" s="91" t="s">
        <v>2530</v>
      </c>
      <c r="AQ903" s="59" t="s">
        <v>2574</v>
      </c>
      <c r="AR903" s="64">
        <v>44894.447916666664</v>
      </c>
      <c r="AS903" s="61" t="s">
        <v>2575</v>
      </c>
      <c r="AT903" s="61" t="s">
        <v>225</v>
      </c>
      <c r="AU903" s="63">
        <v>0.44791666666666669</v>
      </c>
      <c r="AV903" s="61">
        <v>1</v>
      </c>
      <c r="AW903" s="61" t="s">
        <v>66</v>
      </c>
      <c r="AX903" s="76"/>
      <c r="AY903" s="76"/>
      <c r="AZ903" s="76"/>
      <c r="BA903" s="76"/>
      <c r="BB903" s="74"/>
    </row>
    <row r="904" spans="1:54" ht="15.75" thickBot="1" x14ac:dyDescent="0.3">
      <c r="A904" s="73">
        <v>544</v>
      </c>
      <c r="B904" s="72">
        <v>44893.451388888891</v>
      </c>
      <c r="C904" s="67">
        <v>0.4548611111111111</v>
      </c>
      <c r="D904" s="67">
        <v>0.46180555555555558</v>
      </c>
      <c r="E904" s="67">
        <v>0.49305555555555558</v>
      </c>
      <c r="F904" s="68" t="s">
        <v>171</v>
      </c>
      <c r="G904" s="68" t="s">
        <v>2535</v>
      </c>
      <c r="H904" s="66" t="s">
        <v>339</v>
      </c>
      <c r="I904" s="66" t="s">
        <v>198</v>
      </c>
      <c r="J904" s="66" t="s">
        <v>37</v>
      </c>
      <c r="K904" s="66" t="s">
        <v>180</v>
      </c>
      <c r="L904" s="70" t="s">
        <v>206</v>
      </c>
      <c r="M904" s="68" t="s">
        <v>2530</v>
      </c>
      <c r="N904" s="68" t="s">
        <v>482</v>
      </c>
      <c r="O904" s="68" t="s">
        <v>2536</v>
      </c>
      <c r="P904" s="68">
        <v>1331426</v>
      </c>
      <c r="Q904" s="303">
        <f t="shared" si="86"/>
        <v>24</v>
      </c>
      <c r="R904" s="303">
        <f t="shared" si="87"/>
        <v>1476</v>
      </c>
      <c r="S904" s="68">
        <v>0</v>
      </c>
      <c r="T904" s="68">
        <v>0</v>
      </c>
      <c r="U904" s="68">
        <v>24</v>
      </c>
      <c r="V904" s="38">
        <v>1476</v>
      </c>
      <c r="W904" s="38">
        <v>1296</v>
      </c>
      <c r="X904" s="68">
        <v>84</v>
      </c>
      <c r="Y904" s="68">
        <v>84</v>
      </c>
      <c r="Z904" s="68">
        <v>40</v>
      </c>
      <c r="AA904" s="68">
        <v>24</v>
      </c>
      <c r="AB904" s="300">
        <f t="shared" si="88"/>
        <v>1128.96</v>
      </c>
      <c r="AC904" s="300">
        <f t="shared" si="89"/>
        <v>6.8009638554216867</v>
      </c>
      <c r="AD904" s="68">
        <v>18502.080000000002</v>
      </c>
      <c r="AE904" s="68" t="s">
        <v>109</v>
      </c>
      <c r="AF904" s="68" t="s">
        <v>317</v>
      </c>
      <c r="AG904" s="68" t="s">
        <v>317</v>
      </c>
      <c r="AH904" s="68" t="s">
        <v>2537</v>
      </c>
      <c r="AI904" s="309"/>
      <c r="AJ904" s="309"/>
      <c r="AK904" s="68" t="s">
        <v>37</v>
      </c>
      <c r="AL904" s="68" t="s">
        <v>58</v>
      </c>
      <c r="AM904" s="299">
        <f t="shared" ca="1" si="85"/>
        <v>0.99652777777373558</v>
      </c>
      <c r="AN904" s="75"/>
      <c r="AO904" s="61" t="s">
        <v>53</v>
      </c>
      <c r="AP904" s="91" t="s">
        <v>2530</v>
      </c>
      <c r="AQ904" s="59" t="s">
        <v>2574</v>
      </c>
      <c r="AR904" s="64">
        <v>44894.447916666664</v>
      </c>
      <c r="AS904" s="61" t="s">
        <v>2575</v>
      </c>
      <c r="AT904" s="61" t="s">
        <v>225</v>
      </c>
      <c r="AU904" s="63">
        <v>0.44791666666666669</v>
      </c>
      <c r="AV904" s="61">
        <v>1</v>
      </c>
      <c r="AW904" s="61" t="s">
        <v>66</v>
      </c>
      <c r="AX904" s="76"/>
      <c r="AY904" s="76"/>
      <c r="AZ904" s="76"/>
      <c r="BA904" s="76"/>
      <c r="BB904" s="74"/>
    </row>
    <row r="905" spans="1:54" ht="15.75" thickBot="1" x14ac:dyDescent="0.3">
      <c r="A905" s="73">
        <v>545</v>
      </c>
      <c r="B905" s="72">
        <v>44893.451388888891</v>
      </c>
      <c r="C905" s="67">
        <v>0.4548611111111111</v>
      </c>
      <c r="D905" s="67">
        <v>0.46180555555555558</v>
      </c>
      <c r="E905" s="67">
        <v>0.49305555555555558</v>
      </c>
      <c r="F905" s="68" t="s">
        <v>171</v>
      </c>
      <c r="G905" s="68" t="s">
        <v>2535</v>
      </c>
      <c r="H905" s="66" t="s">
        <v>339</v>
      </c>
      <c r="I905" s="66" t="s">
        <v>198</v>
      </c>
      <c r="J905" s="66" t="s">
        <v>37</v>
      </c>
      <c r="K905" s="66" t="s">
        <v>180</v>
      </c>
      <c r="L905" s="70" t="s">
        <v>206</v>
      </c>
      <c r="M905" s="68" t="s">
        <v>2530</v>
      </c>
      <c r="N905" s="68" t="s">
        <v>482</v>
      </c>
      <c r="O905" s="68" t="s">
        <v>2538</v>
      </c>
      <c r="P905" s="68">
        <v>1331426</v>
      </c>
      <c r="Q905" s="303">
        <f t="shared" si="86"/>
        <v>4</v>
      </c>
      <c r="R905" s="303">
        <f t="shared" si="87"/>
        <v>244</v>
      </c>
      <c r="S905" s="68">
        <v>0</v>
      </c>
      <c r="T905" s="68">
        <v>0</v>
      </c>
      <c r="U905" s="68">
        <v>4</v>
      </c>
      <c r="V905" s="68">
        <v>244</v>
      </c>
      <c r="W905" s="68">
        <v>216</v>
      </c>
      <c r="X905" s="68">
        <v>84</v>
      </c>
      <c r="Y905" s="68">
        <v>84</v>
      </c>
      <c r="Z905" s="68">
        <v>40</v>
      </c>
      <c r="AA905" s="68">
        <v>4</v>
      </c>
      <c r="AB905" s="300">
        <f t="shared" si="88"/>
        <v>188.16</v>
      </c>
      <c r="AC905" s="300">
        <f t="shared" si="89"/>
        <v>1.1334939759036144</v>
      </c>
      <c r="AD905" s="68">
        <v>3083.68</v>
      </c>
      <c r="AE905" s="68" t="s">
        <v>109</v>
      </c>
      <c r="AF905" s="68" t="s">
        <v>317</v>
      </c>
      <c r="AG905" s="68" t="s">
        <v>317</v>
      </c>
      <c r="AH905" s="68" t="s">
        <v>2539</v>
      </c>
      <c r="AI905" s="309"/>
      <c r="AJ905" s="309"/>
      <c r="AK905" s="68" t="s">
        <v>37</v>
      </c>
      <c r="AL905" s="68" t="s">
        <v>58</v>
      </c>
      <c r="AM905" s="299">
        <f t="shared" ca="1" si="85"/>
        <v>0.99652777777373558</v>
      </c>
      <c r="AN905" s="75"/>
      <c r="AO905" s="61" t="s">
        <v>53</v>
      </c>
      <c r="AP905" s="91" t="s">
        <v>2530</v>
      </c>
      <c r="AQ905" s="59" t="s">
        <v>2574</v>
      </c>
      <c r="AR905" s="64">
        <v>44894.447916666664</v>
      </c>
      <c r="AS905" s="61" t="s">
        <v>2575</v>
      </c>
      <c r="AT905" s="61" t="s">
        <v>225</v>
      </c>
      <c r="AU905" s="63">
        <v>0.44791666666666669</v>
      </c>
      <c r="AV905" s="61">
        <v>1</v>
      </c>
      <c r="AW905" s="61" t="s">
        <v>66</v>
      </c>
      <c r="AX905" s="76"/>
      <c r="AY905" s="76"/>
      <c r="AZ905" s="76"/>
      <c r="BA905" s="76"/>
      <c r="BB905" s="74"/>
    </row>
    <row r="906" spans="1:54" ht="15.75" thickBot="1" x14ac:dyDescent="0.3">
      <c r="A906" s="73">
        <v>546</v>
      </c>
      <c r="B906" s="72">
        <v>44893.461805555555</v>
      </c>
      <c r="C906" s="67">
        <v>0.46180555555555558</v>
      </c>
      <c r="D906" s="67">
        <v>0.46875</v>
      </c>
      <c r="E906" s="67">
        <v>0.49305555555555558</v>
      </c>
      <c r="F906" s="68" t="s">
        <v>171</v>
      </c>
      <c r="G906" s="68" t="s">
        <v>269</v>
      </c>
      <c r="H906" s="66" t="s">
        <v>339</v>
      </c>
      <c r="I906" s="66" t="s">
        <v>198</v>
      </c>
      <c r="J906" s="66" t="s">
        <v>37</v>
      </c>
      <c r="K906" s="66" t="s">
        <v>180</v>
      </c>
      <c r="L906" s="70" t="s">
        <v>206</v>
      </c>
      <c r="M906" s="68" t="s">
        <v>2530</v>
      </c>
      <c r="N906" s="68" t="s">
        <v>482</v>
      </c>
      <c r="O906" s="68" t="s">
        <v>2540</v>
      </c>
      <c r="P906" s="68">
        <v>50073402</v>
      </c>
      <c r="Q906" s="303">
        <f t="shared" si="86"/>
        <v>4</v>
      </c>
      <c r="R906" s="303">
        <f t="shared" si="87"/>
        <v>266</v>
      </c>
      <c r="S906" s="68">
        <v>0</v>
      </c>
      <c r="T906" s="68">
        <v>0</v>
      </c>
      <c r="U906" s="68">
        <v>4</v>
      </c>
      <c r="V906" s="68">
        <v>266</v>
      </c>
      <c r="W906" s="68">
        <v>216</v>
      </c>
      <c r="X906" s="68">
        <v>84</v>
      </c>
      <c r="Y906" s="68">
        <v>84</v>
      </c>
      <c r="Z906" s="68">
        <v>40</v>
      </c>
      <c r="AA906" s="68">
        <v>4</v>
      </c>
      <c r="AB906" s="300">
        <f t="shared" si="88"/>
        <v>188.16</v>
      </c>
      <c r="AC906" s="300">
        <f t="shared" si="89"/>
        <v>1.1334939759036144</v>
      </c>
      <c r="AD906" s="68">
        <v>4065.56</v>
      </c>
      <c r="AE906" s="68" t="s">
        <v>109</v>
      </c>
      <c r="AF906" s="68" t="s">
        <v>317</v>
      </c>
      <c r="AG906" s="68" t="s">
        <v>317</v>
      </c>
      <c r="AH906" s="68" t="s">
        <v>2541</v>
      </c>
      <c r="AI906" s="309"/>
      <c r="AJ906" s="309"/>
      <c r="AK906" s="68" t="s">
        <v>37</v>
      </c>
      <c r="AL906" s="68" t="s">
        <v>58</v>
      </c>
      <c r="AM906" s="299">
        <f t="shared" ca="1" si="85"/>
        <v>0.98611111110949423</v>
      </c>
      <c r="AN906" s="75"/>
      <c r="AO906" s="61" t="s">
        <v>53</v>
      </c>
      <c r="AP906" s="91" t="s">
        <v>2530</v>
      </c>
      <c r="AQ906" s="59" t="s">
        <v>2574</v>
      </c>
      <c r="AR906" s="64">
        <v>44894.447916666664</v>
      </c>
      <c r="AS906" s="61" t="s">
        <v>2575</v>
      </c>
      <c r="AT906" s="61" t="s">
        <v>225</v>
      </c>
      <c r="AU906" s="63">
        <v>0.44791666666666669</v>
      </c>
      <c r="AV906" s="61">
        <v>1</v>
      </c>
      <c r="AW906" s="61" t="s">
        <v>66</v>
      </c>
      <c r="AX906" s="76"/>
      <c r="AY906" s="76"/>
      <c r="AZ906" s="76"/>
      <c r="BA906" s="76"/>
      <c r="BB906" s="74"/>
    </row>
    <row r="907" spans="1:54" ht="15.75" thickBot="1" x14ac:dyDescent="0.3">
      <c r="A907" s="73">
        <v>547</v>
      </c>
      <c r="B907" s="72">
        <v>44893.461805555555</v>
      </c>
      <c r="C907" s="67">
        <v>0.46180555555555558</v>
      </c>
      <c r="D907" s="67">
        <v>0.46875</v>
      </c>
      <c r="E907" s="67">
        <v>0.49305555555555558</v>
      </c>
      <c r="F907" s="68" t="s">
        <v>171</v>
      </c>
      <c r="G907" s="68" t="s">
        <v>269</v>
      </c>
      <c r="H907" s="66" t="s">
        <v>339</v>
      </c>
      <c r="I907" s="66" t="s">
        <v>198</v>
      </c>
      <c r="J907" s="66" t="s">
        <v>37</v>
      </c>
      <c r="K907" s="66" t="s">
        <v>180</v>
      </c>
      <c r="L907" s="70" t="s">
        <v>206</v>
      </c>
      <c r="M907" s="68" t="s">
        <v>2530</v>
      </c>
      <c r="N907" s="68" t="s">
        <v>482</v>
      </c>
      <c r="O907" s="68" t="s">
        <v>2542</v>
      </c>
      <c r="P907" s="68">
        <v>1331426</v>
      </c>
      <c r="Q907" s="303">
        <f t="shared" si="86"/>
        <v>20</v>
      </c>
      <c r="R907" s="303">
        <f t="shared" si="87"/>
        <v>1207</v>
      </c>
      <c r="S907" s="68">
        <v>0</v>
      </c>
      <c r="T907" s="68">
        <v>0</v>
      </c>
      <c r="U907" s="68">
        <v>20</v>
      </c>
      <c r="V907" s="68">
        <v>1207</v>
      </c>
      <c r="W907" s="68">
        <v>1080</v>
      </c>
      <c r="X907" s="68">
        <v>84</v>
      </c>
      <c r="Y907" s="68">
        <v>84</v>
      </c>
      <c r="Z907" s="68">
        <v>40</v>
      </c>
      <c r="AA907" s="68">
        <v>20</v>
      </c>
      <c r="AB907" s="300">
        <f t="shared" si="88"/>
        <v>940.8</v>
      </c>
      <c r="AC907" s="300">
        <f t="shared" si="89"/>
        <v>5.6674698795180722</v>
      </c>
      <c r="AD907" s="68">
        <v>15418.4</v>
      </c>
      <c r="AE907" s="68" t="s">
        <v>109</v>
      </c>
      <c r="AF907" s="68" t="s">
        <v>317</v>
      </c>
      <c r="AG907" s="68" t="s">
        <v>317</v>
      </c>
      <c r="AH907" s="68" t="s">
        <v>2543</v>
      </c>
      <c r="AI907" s="309"/>
      <c r="AJ907" s="309"/>
      <c r="AK907" s="68" t="s">
        <v>37</v>
      </c>
      <c r="AL907" s="68" t="s">
        <v>58</v>
      </c>
      <c r="AM907" s="299">
        <f t="shared" ca="1" si="85"/>
        <v>0.98611111110949423</v>
      </c>
      <c r="AN907" s="75"/>
      <c r="AO907" s="61" t="s">
        <v>53</v>
      </c>
      <c r="AP907" s="91" t="s">
        <v>2530</v>
      </c>
      <c r="AQ907" s="59" t="s">
        <v>2574</v>
      </c>
      <c r="AR907" s="64">
        <v>44894.447916666664</v>
      </c>
      <c r="AS907" s="61" t="s">
        <v>2575</v>
      </c>
      <c r="AT907" s="61" t="s">
        <v>225</v>
      </c>
      <c r="AU907" s="63">
        <v>0.44791666666666669</v>
      </c>
      <c r="AV907" s="61">
        <v>1</v>
      </c>
      <c r="AW907" s="61" t="s">
        <v>66</v>
      </c>
      <c r="AX907" s="76"/>
      <c r="AY907" s="76"/>
      <c r="AZ907" s="76"/>
      <c r="BA907" s="76"/>
      <c r="BB907" s="74"/>
    </row>
    <row r="908" spans="1:54" ht="15.75" thickBot="1" x14ac:dyDescent="0.3">
      <c r="A908" s="73">
        <v>548</v>
      </c>
      <c r="B908" s="72">
        <v>44893.475694444445</v>
      </c>
      <c r="C908" s="67">
        <v>0.47569444444444442</v>
      </c>
      <c r="D908" s="67">
        <v>0.4826388888888889</v>
      </c>
      <c r="E908" s="67">
        <v>0.49305555555555558</v>
      </c>
      <c r="F908" s="68" t="s">
        <v>171</v>
      </c>
      <c r="G908" s="68" t="s">
        <v>2544</v>
      </c>
      <c r="H908" s="66" t="s">
        <v>339</v>
      </c>
      <c r="I908" s="66" t="s">
        <v>198</v>
      </c>
      <c r="J908" s="66" t="s">
        <v>37</v>
      </c>
      <c r="K908" s="66" t="s">
        <v>180</v>
      </c>
      <c r="L908" s="70" t="s">
        <v>206</v>
      </c>
      <c r="M908" s="68" t="s">
        <v>2530</v>
      </c>
      <c r="N908" s="68" t="s">
        <v>482</v>
      </c>
      <c r="O908" s="68" t="s">
        <v>2545</v>
      </c>
      <c r="P908" s="68">
        <v>1331426</v>
      </c>
      <c r="Q908" s="303">
        <f t="shared" si="86"/>
        <v>24</v>
      </c>
      <c r="R908" s="303">
        <f t="shared" si="87"/>
        <v>1458</v>
      </c>
      <c r="S908" s="68">
        <v>0</v>
      </c>
      <c r="T908" s="68">
        <v>0</v>
      </c>
      <c r="U908" s="68">
        <v>24</v>
      </c>
      <c r="V908" s="38">
        <v>1458</v>
      </c>
      <c r="W908" s="38">
        <v>1296</v>
      </c>
      <c r="X908" s="68">
        <v>84</v>
      </c>
      <c r="Y908" s="68">
        <v>84</v>
      </c>
      <c r="Z908" s="68">
        <v>40</v>
      </c>
      <c r="AA908" s="68">
        <v>24</v>
      </c>
      <c r="AB908" s="300">
        <f t="shared" si="88"/>
        <v>1128.96</v>
      </c>
      <c r="AC908" s="300">
        <f t="shared" si="89"/>
        <v>6.8009638554216867</v>
      </c>
      <c r="AD908" s="68">
        <v>18502.080000000002</v>
      </c>
      <c r="AE908" s="68" t="s">
        <v>109</v>
      </c>
      <c r="AF908" s="68" t="s">
        <v>317</v>
      </c>
      <c r="AG908" s="68" t="s">
        <v>317</v>
      </c>
      <c r="AH908" s="68" t="s">
        <v>2546</v>
      </c>
      <c r="AI908" s="309"/>
      <c r="AJ908" s="309"/>
      <c r="AK908" s="68" t="s">
        <v>37</v>
      </c>
      <c r="AL908" s="68" t="s">
        <v>58</v>
      </c>
      <c r="AM908" s="299">
        <f t="shared" ca="1" si="85"/>
        <v>0.97222222221898846</v>
      </c>
      <c r="AN908" s="75"/>
      <c r="AO908" s="61" t="s">
        <v>53</v>
      </c>
      <c r="AP908" s="91" t="s">
        <v>2530</v>
      </c>
      <c r="AQ908" s="59" t="s">
        <v>2574</v>
      </c>
      <c r="AR908" s="64">
        <v>44894.447916666664</v>
      </c>
      <c r="AS908" s="61" t="s">
        <v>2575</v>
      </c>
      <c r="AT908" s="61" t="s">
        <v>225</v>
      </c>
      <c r="AU908" s="63">
        <v>0.44791666666666669</v>
      </c>
      <c r="AV908" s="61">
        <v>1</v>
      </c>
      <c r="AW908" s="61" t="s">
        <v>66</v>
      </c>
      <c r="AX908" s="76"/>
      <c r="AY908" s="76"/>
      <c r="AZ908" s="76"/>
      <c r="BA908" s="76"/>
      <c r="BB908" s="74"/>
    </row>
    <row r="909" spans="1:54" ht="15.75" thickBot="1" x14ac:dyDescent="0.3">
      <c r="A909" s="73">
        <v>549</v>
      </c>
      <c r="B909" s="72">
        <v>44893.472222222219</v>
      </c>
      <c r="C909" s="67">
        <v>0.47569444444444442</v>
      </c>
      <c r="D909" s="67">
        <v>0.4826388888888889</v>
      </c>
      <c r="E909" s="67">
        <v>0.54166666666666663</v>
      </c>
      <c r="F909" s="68" t="s">
        <v>170</v>
      </c>
      <c r="G909" s="68" t="s">
        <v>235</v>
      </c>
      <c r="H909" s="66" t="s">
        <v>227</v>
      </c>
      <c r="I909" s="66" t="s">
        <v>189</v>
      </c>
      <c r="J909" s="66" t="s">
        <v>37</v>
      </c>
      <c r="K909" s="66" t="s">
        <v>63</v>
      </c>
      <c r="L909" s="66" t="s">
        <v>209</v>
      </c>
      <c r="M909" s="68" t="s">
        <v>2547</v>
      </c>
      <c r="N909" s="68" t="s">
        <v>42</v>
      </c>
      <c r="O909" s="77">
        <v>980982985</v>
      </c>
      <c r="P909" s="68">
        <v>3729</v>
      </c>
      <c r="Q909" s="303">
        <f t="shared" si="86"/>
        <v>9</v>
      </c>
      <c r="R909" s="303">
        <f t="shared" si="87"/>
        <v>1432</v>
      </c>
      <c r="S909" s="68">
        <v>3</v>
      </c>
      <c r="T909" s="68">
        <v>41</v>
      </c>
      <c r="U909" s="68">
        <v>6</v>
      </c>
      <c r="V909" s="68">
        <v>1391</v>
      </c>
      <c r="W909" s="68">
        <v>1578</v>
      </c>
      <c r="X909" s="68">
        <v>160</v>
      </c>
      <c r="Y909" s="68">
        <v>73</v>
      </c>
      <c r="Z909" s="68">
        <v>79</v>
      </c>
      <c r="AA909" s="68">
        <v>1</v>
      </c>
      <c r="AB909" s="300">
        <f t="shared" si="88"/>
        <v>153.78666666666666</v>
      </c>
      <c r="AC909" s="300">
        <f t="shared" si="89"/>
        <v>0.92642570281124492</v>
      </c>
      <c r="AD909" s="68" t="s">
        <v>48</v>
      </c>
      <c r="AE909" s="68" t="s">
        <v>48</v>
      </c>
      <c r="AF909" s="68" t="s">
        <v>317</v>
      </c>
      <c r="AG909" s="68" t="s">
        <v>317</v>
      </c>
      <c r="AH909" s="68" t="s">
        <v>2548</v>
      </c>
      <c r="AI909" s="309"/>
      <c r="AJ909" s="309"/>
      <c r="AK909" s="68" t="s">
        <v>37</v>
      </c>
      <c r="AL909" s="68" t="s">
        <v>39</v>
      </c>
      <c r="AM909" s="299">
        <f t="shared" ca="1" si="85"/>
        <v>0.19444444444525288</v>
      </c>
      <c r="AN909" s="75"/>
      <c r="AO909" s="61" t="s">
        <v>89</v>
      </c>
      <c r="AP909" s="63" t="s">
        <v>2568</v>
      </c>
      <c r="AQ909" s="59" t="s">
        <v>2569</v>
      </c>
      <c r="AR909" s="64">
        <v>44893.666666666664</v>
      </c>
      <c r="AS909" s="61" t="s">
        <v>2570</v>
      </c>
      <c r="AT909" s="61" t="s">
        <v>225</v>
      </c>
      <c r="AU909" s="63">
        <v>0.66666666666666663</v>
      </c>
      <c r="AV909" s="61">
        <v>1</v>
      </c>
      <c r="AW909" s="61" t="s">
        <v>66</v>
      </c>
      <c r="AX909" s="76"/>
      <c r="AY909" s="76"/>
      <c r="AZ909" s="76"/>
      <c r="BA909" s="76"/>
      <c r="BB909" s="74"/>
    </row>
    <row r="910" spans="1:54" ht="15.75" thickBot="1" x14ac:dyDescent="0.3">
      <c r="A910" s="73">
        <v>549</v>
      </c>
      <c r="B910" s="72">
        <v>44893.472222222219</v>
      </c>
      <c r="C910" s="67">
        <v>0.47569444444444442</v>
      </c>
      <c r="D910" s="67">
        <v>0.4826388888888889</v>
      </c>
      <c r="E910" s="67">
        <v>0.54166666666666663</v>
      </c>
      <c r="F910" s="68" t="s">
        <v>170</v>
      </c>
      <c r="G910" s="68" t="s">
        <v>235</v>
      </c>
      <c r="H910" s="66" t="s">
        <v>227</v>
      </c>
      <c r="I910" s="66" t="s">
        <v>189</v>
      </c>
      <c r="J910" s="66" t="s">
        <v>37</v>
      </c>
      <c r="K910" s="66" t="s">
        <v>63</v>
      </c>
      <c r="L910" s="66" t="s">
        <v>209</v>
      </c>
      <c r="M910" s="68" t="s">
        <v>2547</v>
      </c>
      <c r="N910" s="68" t="s">
        <v>42</v>
      </c>
      <c r="O910" s="77">
        <v>980982985</v>
      </c>
      <c r="P910" s="68">
        <v>3729</v>
      </c>
      <c r="Q910" s="303">
        <f t="shared" si="86"/>
        <v>0</v>
      </c>
      <c r="R910" s="303">
        <f t="shared" si="87"/>
        <v>0</v>
      </c>
      <c r="S910" s="68">
        <v>0</v>
      </c>
      <c r="T910" s="68">
        <v>0</v>
      </c>
      <c r="U910" s="68">
        <v>0</v>
      </c>
      <c r="V910" s="68">
        <v>0</v>
      </c>
      <c r="W910" s="68">
        <v>0</v>
      </c>
      <c r="X910" s="68">
        <v>160</v>
      </c>
      <c r="Y910" s="68">
        <v>138</v>
      </c>
      <c r="Z910" s="68">
        <v>79</v>
      </c>
      <c r="AA910" s="68">
        <v>5</v>
      </c>
      <c r="AB910" s="300">
        <f t="shared" si="88"/>
        <v>1453.6</v>
      </c>
      <c r="AC910" s="300">
        <f t="shared" si="89"/>
        <v>8.7566265060240962</v>
      </c>
      <c r="AD910" s="68">
        <v>0</v>
      </c>
      <c r="AE910" s="68">
        <v>0</v>
      </c>
      <c r="AF910" s="68" t="s">
        <v>317</v>
      </c>
      <c r="AG910" s="68" t="s">
        <v>317</v>
      </c>
      <c r="AH910" s="68" t="s">
        <v>2548</v>
      </c>
      <c r="AI910" s="309"/>
      <c r="AJ910" s="309"/>
      <c r="AK910" s="68" t="s">
        <v>37</v>
      </c>
      <c r="AL910" s="68" t="s">
        <v>39</v>
      </c>
      <c r="AM910" s="299">
        <f t="shared" ca="1" si="85"/>
        <v>0.19444444444525288</v>
      </c>
      <c r="AN910" s="75"/>
      <c r="AO910" s="61" t="s">
        <v>89</v>
      </c>
      <c r="AP910" s="63" t="s">
        <v>2568</v>
      </c>
      <c r="AQ910" s="59" t="s">
        <v>2569</v>
      </c>
      <c r="AR910" s="64">
        <v>44893.666666666664</v>
      </c>
      <c r="AS910" s="61" t="s">
        <v>2570</v>
      </c>
      <c r="AT910" s="61" t="s">
        <v>225</v>
      </c>
      <c r="AU910" s="63">
        <v>0.66666666666666663</v>
      </c>
      <c r="AV910" s="61">
        <v>1</v>
      </c>
      <c r="AW910" s="61" t="s">
        <v>66</v>
      </c>
      <c r="AX910" s="76"/>
      <c r="AY910" s="76"/>
      <c r="AZ910" s="76"/>
      <c r="BA910" s="76"/>
      <c r="BB910" s="74"/>
    </row>
    <row r="911" spans="1:54" ht="15.75" thickBot="1" x14ac:dyDescent="0.3">
      <c r="A911" s="73">
        <v>549</v>
      </c>
      <c r="B911" s="72">
        <v>44893.472222222219</v>
      </c>
      <c r="C911" s="67">
        <v>0.47569444444444442</v>
      </c>
      <c r="D911" s="67">
        <v>0.4826388888888889</v>
      </c>
      <c r="E911" s="67">
        <v>0.54166666666666663</v>
      </c>
      <c r="F911" s="68" t="s">
        <v>170</v>
      </c>
      <c r="G911" s="68" t="s">
        <v>235</v>
      </c>
      <c r="H911" s="66" t="s">
        <v>227</v>
      </c>
      <c r="I911" s="66" t="s">
        <v>189</v>
      </c>
      <c r="J911" s="66" t="s">
        <v>37</v>
      </c>
      <c r="K911" s="66" t="s">
        <v>63</v>
      </c>
      <c r="L911" s="66" t="s">
        <v>209</v>
      </c>
      <c r="M911" s="68" t="s">
        <v>2547</v>
      </c>
      <c r="N911" s="68" t="s">
        <v>42</v>
      </c>
      <c r="O911" s="77">
        <v>980982985</v>
      </c>
      <c r="P911" s="68">
        <v>3729</v>
      </c>
      <c r="Q911" s="303">
        <f t="shared" si="86"/>
        <v>0</v>
      </c>
      <c r="R911" s="303">
        <f t="shared" si="87"/>
        <v>0</v>
      </c>
      <c r="S911" s="68">
        <v>0</v>
      </c>
      <c r="T911" s="68">
        <v>0</v>
      </c>
      <c r="U911" s="68">
        <v>0</v>
      </c>
      <c r="V911" s="68">
        <v>0</v>
      </c>
      <c r="W911" s="68">
        <v>0</v>
      </c>
      <c r="X911" s="68">
        <v>90</v>
      </c>
      <c r="Y911" s="68">
        <v>37</v>
      </c>
      <c r="Z911" s="68">
        <v>52</v>
      </c>
      <c r="AA911" s="68">
        <v>2</v>
      </c>
      <c r="AB911" s="300">
        <f t="shared" si="88"/>
        <v>57.72</v>
      </c>
      <c r="AC911" s="300">
        <f t="shared" si="89"/>
        <v>0.34771084337349395</v>
      </c>
      <c r="AD911" s="68">
        <v>0</v>
      </c>
      <c r="AE911" s="68">
        <v>0</v>
      </c>
      <c r="AF911" s="68" t="s">
        <v>317</v>
      </c>
      <c r="AG911" s="68" t="s">
        <v>317</v>
      </c>
      <c r="AH911" s="68" t="s">
        <v>2548</v>
      </c>
      <c r="AI911" s="309"/>
      <c r="AJ911" s="309"/>
      <c r="AK911" s="68" t="s">
        <v>48</v>
      </c>
      <c r="AL911" s="68" t="s">
        <v>39</v>
      </c>
      <c r="AM911" s="299">
        <f t="shared" ca="1" si="85"/>
        <v>0.19444444444525288</v>
      </c>
      <c r="AN911" s="75"/>
      <c r="AO911" s="61" t="s">
        <v>89</v>
      </c>
      <c r="AP911" s="63" t="s">
        <v>2568</v>
      </c>
      <c r="AQ911" s="59" t="s">
        <v>2569</v>
      </c>
      <c r="AR911" s="64">
        <v>44893.666666666664</v>
      </c>
      <c r="AS911" s="61" t="s">
        <v>2570</v>
      </c>
      <c r="AT911" s="61" t="s">
        <v>225</v>
      </c>
      <c r="AU911" s="63">
        <v>0.66666666666666663</v>
      </c>
      <c r="AV911" s="61">
        <v>1</v>
      </c>
      <c r="AW911" s="61" t="s">
        <v>66</v>
      </c>
      <c r="AX911" s="76"/>
      <c r="AY911" s="76"/>
      <c r="AZ911" s="76"/>
      <c r="BA911" s="76"/>
      <c r="BB911" s="74"/>
    </row>
    <row r="912" spans="1:54" ht="15.75" thickBot="1" x14ac:dyDescent="0.3">
      <c r="A912" s="73">
        <v>549</v>
      </c>
      <c r="B912" s="72">
        <v>44893.472222222219</v>
      </c>
      <c r="C912" s="67">
        <v>0.47569444444444442</v>
      </c>
      <c r="D912" s="67">
        <v>0.4826388888888889</v>
      </c>
      <c r="E912" s="67">
        <v>0.54166666666666663</v>
      </c>
      <c r="F912" s="68" t="s">
        <v>170</v>
      </c>
      <c r="G912" s="68" t="s">
        <v>235</v>
      </c>
      <c r="H912" s="66" t="s">
        <v>227</v>
      </c>
      <c r="I912" s="66" t="s">
        <v>189</v>
      </c>
      <c r="J912" s="66" t="s">
        <v>37</v>
      </c>
      <c r="K912" s="66" t="s">
        <v>63</v>
      </c>
      <c r="L912" s="66" t="s">
        <v>209</v>
      </c>
      <c r="M912" s="68" t="s">
        <v>2547</v>
      </c>
      <c r="N912" s="68" t="s">
        <v>42</v>
      </c>
      <c r="O912" s="77">
        <v>980982985</v>
      </c>
      <c r="P912" s="68">
        <v>3729</v>
      </c>
      <c r="Q912" s="303">
        <f t="shared" si="86"/>
        <v>0</v>
      </c>
      <c r="R912" s="303">
        <f t="shared" si="87"/>
        <v>0</v>
      </c>
      <c r="S912" s="68">
        <v>0</v>
      </c>
      <c r="T912" s="68">
        <v>0</v>
      </c>
      <c r="U912" s="68">
        <v>0</v>
      </c>
      <c r="V912" s="68">
        <v>0</v>
      </c>
      <c r="W912" s="68">
        <v>0</v>
      </c>
      <c r="X912" s="68">
        <v>84</v>
      </c>
      <c r="Y912" s="68">
        <v>53</v>
      </c>
      <c r="Z912" s="68">
        <v>63</v>
      </c>
      <c r="AA912" s="68">
        <v>1</v>
      </c>
      <c r="AB912" s="300">
        <f t="shared" si="88"/>
        <v>46.746000000000002</v>
      </c>
      <c r="AC912" s="300">
        <f t="shared" si="89"/>
        <v>0.28160240963855421</v>
      </c>
      <c r="AD912" s="68">
        <v>0</v>
      </c>
      <c r="AE912" s="68">
        <v>0</v>
      </c>
      <c r="AF912" s="68" t="s">
        <v>317</v>
      </c>
      <c r="AG912" s="68" t="s">
        <v>317</v>
      </c>
      <c r="AH912" s="68" t="s">
        <v>2548</v>
      </c>
      <c r="AI912" s="309"/>
      <c r="AJ912" s="309"/>
      <c r="AK912" s="68" t="s">
        <v>48</v>
      </c>
      <c r="AL912" s="68" t="s">
        <v>39</v>
      </c>
      <c r="AM912" s="299">
        <f t="shared" ca="1" si="85"/>
        <v>0.19444444444525288</v>
      </c>
      <c r="AN912" s="75"/>
      <c r="AO912" s="61" t="s">
        <v>89</v>
      </c>
      <c r="AP912" s="63" t="s">
        <v>2568</v>
      </c>
      <c r="AQ912" s="59" t="s">
        <v>2569</v>
      </c>
      <c r="AR912" s="64">
        <v>44893.666666666664</v>
      </c>
      <c r="AS912" s="61" t="s">
        <v>2570</v>
      </c>
      <c r="AT912" s="61" t="s">
        <v>225</v>
      </c>
      <c r="AU912" s="63">
        <v>0.66666666666666663</v>
      </c>
      <c r="AV912" s="61">
        <v>1</v>
      </c>
      <c r="AW912" s="61" t="s">
        <v>66</v>
      </c>
      <c r="AX912" s="76"/>
      <c r="AY912" s="76"/>
      <c r="AZ912" s="76"/>
      <c r="BA912" s="76"/>
      <c r="BB912" s="74"/>
    </row>
    <row r="913" spans="1:54" ht="15.75" thickBot="1" x14ac:dyDescent="0.3">
      <c r="A913" s="73">
        <v>550</v>
      </c>
      <c r="B913" s="72">
        <v>44893.475694444445</v>
      </c>
      <c r="C913" s="67">
        <v>0.4826388888888889</v>
      </c>
      <c r="D913" s="67">
        <v>0.48958333333333331</v>
      </c>
      <c r="E913" s="67">
        <v>0.54166666666666663</v>
      </c>
      <c r="F913" s="68" t="s">
        <v>170</v>
      </c>
      <c r="G913" s="68" t="s">
        <v>435</v>
      </c>
      <c r="H913" s="66" t="s">
        <v>227</v>
      </c>
      <c r="I913" s="66" t="s">
        <v>189</v>
      </c>
      <c r="J913" s="66" t="s">
        <v>37</v>
      </c>
      <c r="K913" s="66" t="s">
        <v>63</v>
      </c>
      <c r="L913" s="66" t="s">
        <v>209</v>
      </c>
      <c r="M913" s="68" t="s">
        <v>2549</v>
      </c>
      <c r="N913" s="68" t="s">
        <v>42</v>
      </c>
      <c r="O913" s="68">
        <v>974</v>
      </c>
      <c r="P913" s="68">
        <v>3280</v>
      </c>
      <c r="Q913" s="303">
        <f t="shared" si="86"/>
        <v>7</v>
      </c>
      <c r="R913" s="303">
        <f t="shared" si="87"/>
        <v>2081</v>
      </c>
      <c r="S913" s="68">
        <v>0</v>
      </c>
      <c r="T913" s="68">
        <v>0</v>
      </c>
      <c r="U913" s="68">
        <v>7</v>
      </c>
      <c r="V913" s="68">
        <v>2081</v>
      </c>
      <c r="W913" s="68">
        <v>1960</v>
      </c>
      <c r="X913" s="68">
        <v>103</v>
      </c>
      <c r="Y913" s="68">
        <v>43</v>
      </c>
      <c r="Z913" s="68">
        <v>42</v>
      </c>
      <c r="AA913" s="68">
        <v>7</v>
      </c>
      <c r="AB913" s="300">
        <f t="shared" si="88"/>
        <v>217.02099999999999</v>
      </c>
      <c r="AC913" s="300">
        <f t="shared" si="89"/>
        <v>1.3073554216867469</v>
      </c>
      <c r="AD913" s="68">
        <v>10852.8</v>
      </c>
      <c r="AE913" s="68" t="s">
        <v>109</v>
      </c>
      <c r="AF913" s="68" t="s">
        <v>317</v>
      </c>
      <c r="AG913" s="68" t="s">
        <v>317</v>
      </c>
      <c r="AH913" s="68" t="s">
        <v>2550</v>
      </c>
      <c r="AI913" s="309"/>
      <c r="AJ913" s="309"/>
      <c r="AK913" s="68" t="s">
        <v>41</v>
      </c>
      <c r="AL913" s="68" t="s">
        <v>39</v>
      </c>
      <c r="AM913" s="299">
        <f t="shared" ca="1" si="85"/>
        <v>0.19097222221898846</v>
      </c>
      <c r="AN913" s="75"/>
      <c r="AO913" s="61" t="s">
        <v>89</v>
      </c>
      <c r="AP913" s="63" t="s">
        <v>2566</v>
      </c>
      <c r="AQ913" s="59" t="s">
        <v>2567</v>
      </c>
      <c r="AR913" s="64">
        <v>44893.666666666664</v>
      </c>
      <c r="AS913" s="61" t="s">
        <v>136</v>
      </c>
      <c r="AT913" s="61" t="s">
        <v>225</v>
      </c>
      <c r="AU913" s="63">
        <v>0.66666666666666663</v>
      </c>
      <c r="AV913" s="61">
        <v>1</v>
      </c>
      <c r="AW913" s="61" t="s">
        <v>66</v>
      </c>
      <c r="AX913" s="76"/>
      <c r="AY913" s="76"/>
      <c r="AZ913" s="76"/>
      <c r="BA913" s="76"/>
      <c r="BB913" s="74"/>
    </row>
    <row r="914" spans="1:54" ht="15.75" thickBot="1" x14ac:dyDescent="0.3">
      <c r="A914" s="73">
        <v>551</v>
      </c>
      <c r="B914" s="72">
        <v>44893.475694444445</v>
      </c>
      <c r="C914" s="67">
        <v>0.4826388888888889</v>
      </c>
      <c r="D914" s="67">
        <v>0.48958333333333331</v>
      </c>
      <c r="E914" s="67">
        <v>0.54166666666666663</v>
      </c>
      <c r="F914" s="68" t="s">
        <v>170</v>
      </c>
      <c r="G914" s="68" t="s">
        <v>435</v>
      </c>
      <c r="H914" s="66" t="s">
        <v>227</v>
      </c>
      <c r="I914" s="66" t="s">
        <v>189</v>
      </c>
      <c r="J914" s="66" t="s">
        <v>37</v>
      </c>
      <c r="K914" s="66" t="s">
        <v>63</v>
      </c>
      <c r="L914" s="66" t="s">
        <v>209</v>
      </c>
      <c r="M914" s="68" t="s">
        <v>2551</v>
      </c>
      <c r="N914" s="68" t="s">
        <v>43</v>
      </c>
      <c r="O914" s="77">
        <v>981983984986</v>
      </c>
      <c r="P914" s="68">
        <v>28993</v>
      </c>
      <c r="Q914" s="303">
        <f t="shared" si="86"/>
        <v>6</v>
      </c>
      <c r="R914" s="303">
        <f t="shared" si="87"/>
        <v>1154</v>
      </c>
      <c r="S914" s="68">
        <v>0</v>
      </c>
      <c r="T914" s="68">
        <v>0</v>
      </c>
      <c r="U914" s="68">
        <v>6</v>
      </c>
      <c r="V914" s="68">
        <v>1154</v>
      </c>
      <c r="W914" s="68">
        <v>1115</v>
      </c>
      <c r="X914" s="68">
        <v>93</v>
      </c>
      <c r="Y914" s="68">
        <v>89</v>
      </c>
      <c r="Z914" s="68">
        <v>62</v>
      </c>
      <c r="AA914" s="68">
        <v>1</v>
      </c>
      <c r="AB914" s="300">
        <f t="shared" si="88"/>
        <v>85.528999999999996</v>
      </c>
      <c r="AC914" s="300">
        <f t="shared" si="89"/>
        <v>0.51523493975903611</v>
      </c>
      <c r="AD914" s="68" t="s">
        <v>48</v>
      </c>
      <c r="AE914" s="68" t="s">
        <v>48</v>
      </c>
      <c r="AF914" s="68" t="s">
        <v>317</v>
      </c>
      <c r="AG914" s="68" t="s">
        <v>317</v>
      </c>
      <c r="AH914" s="68" t="s">
        <v>2552</v>
      </c>
      <c r="AI914" s="309"/>
      <c r="AJ914" s="309"/>
      <c r="AK914" s="68" t="s">
        <v>41</v>
      </c>
      <c r="AL914" s="68" t="s">
        <v>39</v>
      </c>
      <c r="AM914" s="299">
        <f t="shared" ca="1" si="85"/>
        <v>0.19791666666424135</v>
      </c>
      <c r="AN914" s="75"/>
      <c r="AO914" s="61" t="s">
        <v>179</v>
      </c>
      <c r="AP914" s="63" t="s">
        <v>2551</v>
      </c>
      <c r="AQ914" s="59" t="s">
        <v>2571</v>
      </c>
      <c r="AR914" s="64">
        <v>44893.673611111109</v>
      </c>
      <c r="AS914" s="61" t="s">
        <v>95</v>
      </c>
      <c r="AT914" s="61" t="s">
        <v>225</v>
      </c>
      <c r="AU914" s="59">
        <v>0.67361111111111116</v>
      </c>
      <c r="AV914" s="61">
        <v>1</v>
      </c>
      <c r="AW914" s="61" t="s">
        <v>66</v>
      </c>
      <c r="AX914" s="76"/>
      <c r="AY914" s="76"/>
      <c r="AZ914" s="76"/>
      <c r="BA914" s="76"/>
      <c r="BB914" s="74"/>
    </row>
    <row r="915" spans="1:54" ht="15.75" thickBot="1" x14ac:dyDescent="0.3">
      <c r="A915" s="73">
        <v>551</v>
      </c>
      <c r="B915" s="72">
        <v>44893.475694444445</v>
      </c>
      <c r="C915" s="67">
        <v>0.4826388888888889</v>
      </c>
      <c r="D915" s="67">
        <v>0.48958333333333331</v>
      </c>
      <c r="E915" s="67">
        <v>0.54166666666666663</v>
      </c>
      <c r="F915" s="68" t="s">
        <v>170</v>
      </c>
      <c r="G915" s="68" t="s">
        <v>435</v>
      </c>
      <c r="H915" s="66" t="s">
        <v>227</v>
      </c>
      <c r="I915" s="66" t="s">
        <v>189</v>
      </c>
      <c r="J915" s="66" t="s">
        <v>37</v>
      </c>
      <c r="K915" s="66" t="s">
        <v>63</v>
      </c>
      <c r="L915" s="66" t="s">
        <v>209</v>
      </c>
      <c r="M915" s="68" t="s">
        <v>2551</v>
      </c>
      <c r="N915" s="68" t="s">
        <v>43</v>
      </c>
      <c r="O915" s="77">
        <v>981983984986</v>
      </c>
      <c r="P915" s="68">
        <v>28993</v>
      </c>
      <c r="Q915" s="303">
        <f t="shared" si="86"/>
        <v>0</v>
      </c>
      <c r="R915" s="303">
        <f t="shared" si="87"/>
        <v>0</v>
      </c>
      <c r="S915" s="68">
        <v>0</v>
      </c>
      <c r="T915" s="68">
        <v>0</v>
      </c>
      <c r="U915" s="68">
        <v>0</v>
      </c>
      <c r="V915" s="68">
        <v>0</v>
      </c>
      <c r="W915" s="68">
        <v>0</v>
      </c>
      <c r="X915" s="68">
        <v>103</v>
      </c>
      <c r="Y915" s="68">
        <v>43</v>
      </c>
      <c r="Z915" s="68">
        <v>42</v>
      </c>
      <c r="AA915" s="68">
        <v>5</v>
      </c>
      <c r="AB915" s="300">
        <f t="shared" si="88"/>
        <v>155.01499999999999</v>
      </c>
      <c r="AC915" s="300">
        <f t="shared" si="89"/>
        <v>0.93382530120481921</v>
      </c>
      <c r="AD915" s="68">
        <v>0</v>
      </c>
      <c r="AE915" s="68">
        <v>0</v>
      </c>
      <c r="AF915" s="68" t="s">
        <v>317</v>
      </c>
      <c r="AG915" s="68" t="s">
        <v>317</v>
      </c>
      <c r="AH915" s="68" t="s">
        <v>2552</v>
      </c>
      <c r="AI915" s="309"/>
      <c r="AJ915" s="309"/>
      <c r="AK915" s="68" t="s">
        <v>41</v>
      </c>
      <c r="AL915" s="68" t="s">
        <v>39</v>
      </c>
      <c r="AM915" s="299">
        <f t="shared" ca="1" si="85"/>
        <v>0.19791666666424135</v>
      </c>
      <c r="AN915" s="75"/>
      <c r="AO915" s="61" t="s">
        <v>179</v>
      </c>
      <c r="AP915" s="63" t="s">
        <v>2551</v>
      </c>
      <c r="AQ915" s="59" t="s">
        <v>2571</v>
      </c>
      <c r="AR915" s="64">
        <v>44893.673611111109</v>
      </c>
      <c r="AS915" s="61" t="s">
        <v>95</v>
      </c>
      <c r="AT915" s="61" t="s">
        <v>225</v>
      </c>
      <c r="AU915" s="59">
        <v>0.67361111111111116</v>
      </c>
      <c r="AV915" s="61">
        <v>1</v>
      </c>
      <c r="AW915" s="61" t="s">
        <v>66</v>
      </c>
      <c r="AX915" s="76"/>
      <c r="AY915" s="76"/>
      <c r="AZ915" s="76"/>
      <c r="BA915" s="76"/>
      <c r="BB915" s="74"/>
    </row>
    <row r="916" spans="1:54" ht="15.75" thickBot="1" x14ac:dyDescent="0.3">
      <c r="A916" s="73">
        <v>552</v>
      </c>
      <c r="B916" s="72">
        <v>44893.597222222219</v>
      </c>
      <c r="C916" s="67">
        <v>0.60069444444444442</v>
      </c>
      <c r="D916" s="67">
        <v>0.60416666666666663</v>
      </c>
      <c r="E916" s="67">
        <v>0.68055555555555547</v>
      </c>
      <c r="F916" s="68" t="s">
        <v>169</v>
      </c>
      <c r="G916" s="68" t="s">
        <v>2553</v>
      </c>
      <c r="H916" s="68" t="s">
        <v>2554</v>
      </c>
      <c r="I916" s="66" t="s">
        <v>100</v>
      </c>
      <c r="J916" s="66" t="s">
        <v>37</v>
      </c>
      <c r="K916" s="66" t="s">
        <v>241</v>
      </c>
      <c r="L916" s="66" t="s">
        <v>206</v>
      </c>
      <c r="M916" s="68" t="s">
        <v>2555</v>
      </c>
      <c r="N916" s="68" t="s">
        <v>453</v>
      </c>
      <c r="O916" s="68" t="s">
        <v>2556</v>
      </c>
      <c r="P916" s="68">
        <v>1682428</v>
      </c>
      <c r="Q916" s="303">
        <f t="shared" si="86"/>
        <v>6</v>
      </c>
      <c r="R916" s="303">
        <f t="shared" si="87"/>
        <v>13</v>
      </c>
      <c r="S916" s="68">
        <v>6</v>
      </c>
      <c r="T916" s="68">
        <v>13</v>
      </c>
      <c r="U916" s="68">
        <v>0</v>
      </c>
      <c r="V916" s="68">
        <v>0</v>
      </c>
      <c r="W916" s="68">
        <v>13.29</v>
      </c>
      <c r="X916" s="68">
        <v>59</v>
      </c>
      <c r="Y916" s="68">
        <v>39</v>
      </c>
      <c r="Z916" s="68">
        <v>25</v>
      </c>
      <c r="AA916" s="68">
        <v>3</v>
      </c>
      <c r="AB916" s="300">
        <f t="shared" si="88"/>
        <v>28.762499999999999</v>
      </c>
      <c r="AC916" s="300">
        <f t="shared" si="89"/>
        <v>0.17326807228915661</v>
      </c>
      <c r="AD916" s="68">
        <v>800.28</v>
      </c>
      <c r="AE916" s="68" t="s">
        <v>109</v>
      </c>
      <c r="AF916" s="68" t="s">
        <v>317</v>
      </c>
      <c r="AG916" s="68" t="s">
        <v>317</v>
      </c>
      <c r="AH916" s="68" t="s">
        <v>2557</v>
      </c>
      <c r="AI916" s="309"/>
      <c r="AJ916" s="309"/>
      <c r="AK916" s="68" t="s">
        <v>48</v>
      </c>
      <c r="AL916" s="68" t="s">
        <v>47</v>
      </c>
      <c r="AM916" s="299">
        <f t="shared" ca="1" si="85"/>
        <v>2.1006944444452529</v>
      </c>
      <c r="AN916" s="75"/>
      <c r="AO916" s="57" t="s">
        <v>68</v>
      </c>
      <c r="AP916" s="57" t="s">
        <v>2555</v>
      </c>
      <c r="AQ916" s="57" t="s">
        <v>2736</v>
      </c>
      <c r="AR916" s="64">
        <v>44895.697916666664</v>
      </c>
      <c r="AS916" s="61" t="s">
        <v>240</v>
      </c>
      <c r="AT916" s="61" t="s">
        <v>65</v>
      </c>
      <c r="AU916" s="63">
        <v>0.69791666666666663</v>
      </c>
      <c r="AV916" s="61">
        <v>1</v>
      </c>
      <c r="AW916" s="61" t="s">
        <v>66</v>
      </c>
      <c r="AX916" s="76"/>
      <c r="AY916" s="76"/>
      <c r="AZ916" s="76"/>
      <c r="BA916" s="76"/>
      <c r="BB916" s="74"/>
    </row>
    <row r="917" spans="1:54" ht="15.75" thickBot="1" x14ac:dyDescent="0.3">
      <c r="A917" s="73">
        <v>552</v>
      </c>
      <c r="B917" s="72">
        <v>44893.597222222219</v>
      </c>
      <c r="C917" s="67">
        <v>0.60069444444444442</v>
      </c>
      <c r="D917" s="67">
        <v>0.60416666666666663</v>
      </c>
      <c r="E917" s="67">
        <v>0.68055555555555547</v>
      </c>
      <c r="F917" s="68" t="s">
        <v>169</v>
      </c>
      <c r="G917" s="68" t="s">
        <v>2553</v>
      </c>
      <c r="H917" s="68" t="s">
        <v>2554</v>
      </c>
      <c r="I917" s="66" t="s">
        <v>100</v>
      </c>
      <c r="J917" s="66" t="s">
        <v>37</v>
      </c>
      <c r="K917" s="66" t="s">
        <v>241</v>
      </c>
      <c r="L917" s="66" t="s">
        <v>206</v>
      </c>
      <c r="M917" s="68" t="s">
        <v>2555</v>
      </c>
      <c r="N917" s="68" t="s">
        <v>453</v>
      </c>
      <c r="O917" s="68" t="s">
        <v>2556</v>
      </c>
      <c r="P917" s="68">
        <v>1682428</v>
      </c>
      <c r="Q917" s="303">
        <f t="shared" si="86"/>
        <v>0</v>
      </c>
      <c r="R917" s="303">
        <f t="shared" si="87"/>
        <v>0</v>
      </c>
      <c r="S917" s="68">
        <v>0</v>
      </c>
      <c r="T917" s="68">
        <v>0</v>
      </c>
      <c r="U917" s="68">
        <v>0</v>
      </c>
      <c r="V917" s="68">
        <v>0</v>
      </c>
      <c r="W917" s="68">
        <v>0</v>
      </c>
      <c r="X917" s="68">
        <v>38</v>
      </c>
      <c r="Y917" s="68">
        <v>30</v>
      </c>
      <c r="Z917" s="68">
        <v>15</v>
      </c>
      <c r="AA917" s="68">
        <v>3</v>
      </c>
      <c r="AB917" s="300">
        <f t="shared" si="88"/>
        <v>8.5500000000000007</v>
      </c>
      <c r="AC917" s="300">
        <f t="shared" si="89"/>
        <v>5.150602409638555E-2</v>
      </c>
      <c r="AD917" s="68">
        <v>0</v>
      </c>
      <c r="AE917" s="68">
        <v>0</v>
      </c>
      <c r="AF917" s="68" t="s">
        <v>317</v>
      </c>
      <c r="AG917" s="68" t="s">
        <v>317</v>
      </c>
      <c r="AH917" s="68" t="s">
        <v>2557</v>
      </c>
      <c r="AI917" s="309"/>
      <c r="AJ917" s="309"/>
      <c r="AK917" s="68" t="s">
        <v>48</v>
      </c>
      <c r="AL917" s="68" t="s">
        <v>47</v>
      </c>
      <c r="AM917" s="299">
        <f t="shared" ca="1" si="85"/>
        <v>2.1006944444452529</v>
      </c>
      <c r="AN917" s="75"/>
      <c r="AO917" s="57" t="s">
        <v>68</v>
      </c>
      <c r="AP917" s="57" t="s">
        <v>2555</v>
      </c>
      <c r="AQ917" s="57" t="s">
        <v>2736</v>
      </c>
      <c r="AR917" s="64">
        <v>44895.697916666664</v>
      </c>
      <c r="AS917" s="61" t="s">
        <v>240</v>
      </c>
      <c r="AT917" s="61" t="s">
        <v>65</v>
      </c>
      <c r="AU917" s="63">
        <v>0.69791666666666663</v>
      </c>
      <c r="AV917" s="61">
        <v>1</v>
      </c>
      <c r="AW917" s="61" t="s">
        <v>66</v>
      </c>
      <c r="AX917" s="76"/>
      <c r="AY917" s="76"/>
      <c r="AZ917" s="76"/>
      <c r="BA917" s="76"/>
      <c r="BB917" s="74"/>
    </row>
    <row r="918" spans="1:54" ht="15.75" thickBot="1" x14ac:dyDescent="0.3">
      <c r="A918" s="73">
        <v>553</v>
      </c>
      <c r="B918" s="72">
        <v>44893.777777777781</v>
      </c>
      <c r="C918" s="67">
        <v>0.78125</v>
      </c>
      <c r="D918" s="67">
        <v>0.78472222222222221</v>
      </c>
      <c r="E918" s="67">
        <v>0.80208333333333337</v>
      </c>
      <c r="F918" s="68" t="s">
        <v>171</v>
      </c>
      <c r="G918" s="68" t="s">
        <v>117</v>
      </c>
      <c r="H918" s="66" t="s">
        <v>195</v>
      </c>
      <c r="I918" s="66" t="s">
        <v>195</v>
      </c>
      <c r="J918" s="66" t="s">
        <v>37</v>
      </c>
      <c r="K918" s="66" t="s">
        <v>180</v>
      </c>
      <c r="L918" s="66" t="s">
        <v>209</v>
      </c>
      <c r="M918" s="68" t="s">
        <v>2558</v>
      </c>
      <c r="N918" s="68" t="s">
        <v>42</v>
      </c>
      <c r="O918" s="68" t="s">
        <v>2559</v>
      </c>
      <c r="P918" s="68">
        <v>2101084956</v>
      </c>
      <c r="Q918" s="303">
        <f t="shared" si="86"/>
        <v>9</v>
      </c>
      <c r="R918" s="303">
        <f t="shared" si="87"/>
        <v>2153</v>
      </c>
      <c r="S918" s="68">
        <v>0</v>
      </c>
      <c r="T918" s="68">
        <v>0</v>
      </c>
      <c r="U918" s="68">
        <v>9</v>
      </c>
      <c r="V918" s="68">
        <v>2153</v>
      </c>
      <c r="W918" s="68">
        <v>2300</v>
      </c>
      <c r="X918" s="68">
        <v>114</v>
      </c>
      <c r="Y918" s="68">
        <v>80</v>
      </c>
      <c r="Z918" s="68">
        <v>99</v>
      </c>
      <c r="AA918" s="68">
        <v>1</v>
      </c>
      <c r="AB918" s="300">
        <f t="shared" si="88"/>
        <v>150.47999999999999</v>
      </c>
      <c r="AC918" s="300">
        <f t="shared" si="89"/>
        <v>0.90650602409638548</v>
      </c>
      <c r="AD918" s="68">
        <v>9109.92</v>
      </c>
      <c r="AE918" s="68" t="s">
        <v>109</v>
      </c>
      <c r="AF918" s="68" t="s">
        <v>317</v>
      </c>
      <c r="AG918" s="68" t="s">
        <v>317</v>
      </c>
      <c r="AH918" s="68" t="s">
        <v>2560</v>
      </c>
      <c r="AI918" s="309"/>
      <c r="AJ918" s="309"/>
      <c r="AK918" s="68" t="s">
        <v>41</v>
      </c>
      <c r="AL918" s="68" t="s">
        <v>39</v>
      </c>
      <c r="AM918" s="299">
        <f t="shared" ca="1" si="85"/>
        <v>0.69097222221898846</v>
      </c>
      <c r="AN918" s="75"/>
      <c r="AO918" s="61" t="s">
        <v>128</v>
      </c>
      <c r="AP918" s="91" t="s">
        <v>2558</v>
      </c>
      <c r="AQ918" s="59" t="s">
        <v>2578</v>
      </c>
      <c r="AR918" s="64">
        <v>44894.46875</v>
      </c>
      <c r="AS918" s="61" t="s">
        <v>430</v>
      </c>
      <c r="AT918" s="61" t="s">
        <v>225</v>
      </c>
      <c r="AU918" s="63">
        <v>0.46875</v>
      </c>
      <c r="AV918" s="61">
        <v>1</v>
      </c>
      <c r="AW918" s="61" t="s">
        <v>66</v>
      </c>
      <c r="AX918" s="76"/>
      <c r="AY918" s="76"/>
      <c r="AZ918" s="76"/>
      <c r="BA918" s="76"/>
      <c r="BB918" s="74"/>
    </row>
    <row r="919" spans="1:54" ht="15.75" thickBot="1" x14ac:dyDescent="0.3">
      <c r="A919" s="73">
        <v>553</v>
      </c>
      <c r="B919" s="72">
        <v>44893.777777777781</v>
      </c>
      <c r="C919" s="67">
        <v>0.78125</v>
      </c>
      <c r="D919" s="67">
        <v>0.78472222222222221</v>
      </c>
      <c r="E919" s="67">
        <v>0.80208333333333337</v>
      </c>
      <c r="F919" s="68" t="s">
        <v>171</v>
      </c>
      <c r="G919" s="68" t="s">
        <v>117</v>
      </c>
      <c r="H919" s="66" t="s">
        <v>195</v>
      </c>
      <c r="I919" s="66" t="s">
        <v>195</v>
      </c>
      <c r="J919" s="66" t="s">
        <v>37</v>
      </c>
      <c r="K919" s="66" t="s">
        <v>180</v>
      </c>
      <c r="L919" s="66" t="s">
        <v>209</v>
      </c>
      <c r="M919" s="68" t="s">
        <v>2558</v>
      </c>
      <c r="N919" s="68" t="s">
        <v>42</v>
      </c>
      <c r="O919" s="68" t="s">
        <v>2559</v>
      </c>
      <c r="P919" s="68">
        <v>2101084956</v>
      </c>
      <c r="Q919" s="303">
        <f t="shared" si="86"/>
        <v>0</v>
      </c>
      <c r="R919" s="303">
        <f t="shared" si="87"/>
        <v>0</v>
      </c>
      <c r="S919" s="68">
        <v>0</v>
      </c>
      <c r="T919" s="68">
        <v>0</v>
      </c>
      <c r="U919" s="68">
        <v>0</v>
      </c>
      <c r="V919" s="68">
        <v>0</v>
      </c>
      <c r="W919" s="68">
        <v>0</v>
      </c>
      <c r="X919" s="68">
        <v>114</v>
      </c>
      <c r="Y919" s="68">
        <v>80</v>
      </c>
      <c r="Z919" s="68">
        <v>118</v>
      </c>
      <c r="AA919" s="68">
        <v>1</v>
      </c>
      <c r="AB919" s="300">
        <f t="shared" si="88"/>
        <v>179.36</v>
      </c>
      <c r="AC919" s="300">
        <f t="shared" si="89"/>
        <v>1.0804819277108435</v>
      </c>
      <c r="AD919" s="68">
        <v>0</v>
      </c>
      <c r="AE919" s="68">
        <v>0</v>
      </c>
      <c r="AF919" s="68" t="s">
        <v>317</v>
      </c>
      <c r="AG919" s="68" t="s">
        <v>317</v>
      </c>
      <c r="AH919" s="68" t="s">
        <v>2560</v>
      </c>
      <c r="AI919" s="309"/>
      <c r="AJ919" s="309"/>
      <c r="AK919" s="68" t="s">
        <v>41</v>
      </c>
      <c r="AL919" s="68" t="s">
        <v>39</v>
      </c>
      <c r="AM919" s="299">
        <f t="shared" ca="1" si="85"/>
        <v>0.69097222221898846</v>
      </c>
      <c r="AN919" s="75"/>
      <c r="AO919" s="61" t="s">
        <v>128</v>
      </c>
      <c r="AP919" s="91" t="s">
        <v>2558</v>
      </c>
      <c r="AQ919" s="59" t="s">
        <v>2578</v>
      </c>
      <c r="AR919" s="64">
        <v>44894.46875</v>
      </c>
      <c r="AS919" s="61" t="s">
        <v>430</v>
      </c>
      <c r="AT919" s="61" t="s">
        <v>225</v>
      </c>
      <c r="AU919" s="63">
        <v>0.46875</v>
      </c>
      <c r="AV919" s="61">
        <v>1</v>
      </c>
      <c r="AW919" s="61" t="s">
        <v>66</v>
      </c>
      <c r="AX919" s="76"/>
      <c r="AY919" s="76"/>
      <c r="AZ919" s="76"/>
      <c r="BA919" s="76"/>
      <c r="BB919" s="74"/>
    </row>
    <row r="920" spans="1:54" ht="15.75" thickBot="1" x14ac:dyDescent="0.3">
      <c r="A920" s="73">
        <v>553</v>
      </c>
      <c r="B920" s="72">
        <v>44893.777777777781</v>
      </c>
      <c r="C920" s="67">
        <v>0.78125</v>
      </c>
      <c r="D920" s="67">
        <v>0.78472222222222221</v>
      </c>
      <c r="E920" s="67">
        <v>0.80208333333333337</v>
      </c>
      <c r="F920" s="68" t="s">
        <v>171</v>
      </c>
      <c r="G920" s="68" t="s">
        <v>117</v>
      </c>
      <c r="H920" s="66" t="s">
        <v>195</v>
      </c>
      <c r="I920" s="66" t="s">
        <v>195</v>
      </c>
      <c r="J920" s="66" t="s">
        <v>37</v>
      </c>
      <c r="K920" s="66" t="s">
        <v>180</v>
      </c>
      <c r="L920" s="66" t="s">
        <v>209</v>
      </c>
      <c r="M920" s="68" t="s">
        <v>2558</v>
      </c>
      <c r="N920" s="68" t="s">
        <v>42</v>
      </c>
      <c r="O920" s="68" t="s">
        <v>2559</v>
      </c>
      <c r="P920" s="68">
        <v>2101084956</v>
      </c>
      <c r="Q920" s="303">
        <f t="shared" si="86"/>
        <v>0</v>
      </c>
      <c r="R920" s="303">
        <f t="shared" si="87"/>
        <v>0</v>
      </c>
      <c r="S920" s="68">
        <v>0</v>
      </c>
      <c r="T920" s="68">
        <v>0</v>
      </c>
      <c r="U920" s="68">
        <v>0</v>
      </c>
      <c r="V920" s="68">
        <v>0</v>
      </c>
      <c r="W920" s="68">
        <v>0</v>
      </c>
      <c r="X920" s="68">
        <v>114</v>
      </c>
      <c r="Y920" s="68">
        <v>80</v>
      </c>
      <c r="Z920" s="68">
        <v>126</v>
      </c>
      <c r="AA920" s="68">
        <v>2</v>
      </c>
      <c r="AB920" s="300">
        <f t="shared" si="88"/>
        <v>383.04</v>
      </c>
      <c r="AC920" s="300">
        <f t="shared" si="89"/>
        <v>2.3074698795180724</v>
      </c>
      <c r="AD920" s="68">
        <v>0</v>
      </c>
      <c r="AE920" s="68">
        <v>0</v>
      </c>
      <c r="AF920" s="68" t="s">
        <v>317</v>
      </c>
      <c r="AG920" s="68" t="s">
        <v>317</v>
      </c>
      <c r="AH920" s="68" t="s">
        <v>2560</v>
      </c>
      <c r="AI920" s="309"/>
      <c r="AJ920" s="309"/>
      <c r="AK920" s="68" t="s">
        <v>41</v>
      </c>
      <c r="AL920" s="68" t="s">
        <v>39</v>
      </c>
      <c r="AM920" s="299">
        <f t="shared" ca="1" si="85"/>
        <v>0.69097222221898846</v>
      </c>
      <c r="AN920" s="75"/>
      <c r="AO920" s="61" t="s">
        <v>128</v>
      </c>
      <c r="AP920" s="91" t="s">
        <v>2558</v>
      </c>
      <c r="AQ920" s="59" t="s">
        <v>2578</v>
      </c>
      <c r="AR920" s="64">
        <v>44894.46875</v>
      </c>
      <c r="AS920" s="61" t="s">
        <v>430</v>
      </c>
      <c r="AT920" s="61" t="s">
        <v>225</v>
      </c>
      <c r="AU920" s="63">
        <v>0.46875</v>
      </c>
      <c r="AV920" s="61">
        <v>1</v>
      </c>
      <c r="AW920" s="61" t="s">
        <v>66</v>
      </c>
      <c r="AX920" s="76"/>
      <c r="AY920" s="76"/>
      <c r="AZ920" s="76"/>
      <c r="BA920" s="76"/>
      <c r="BB920" s="74"/>
    </row>
    <row r="921" spans="1:54" ht="15.75" thickBot="1" x14ac:dyDescent="0.3">
      <c r="A921" s="73">
        <v>553</v>
      </c>
      <c r="B921" s="72">
        <v>44893.777777777781</v>
      </c>
      <c r="C921" s="67">
        <v>0.78125</v>
      </c>
      <c r="D921" s="67">
        <v>0.78472222222222221</v>
      </c>
      <c r="E921" s="67">
        <v>0.80208333333333337</v>
      </c>
      <c r="F921" s="68" t="s">
        <v>171</v>
      </c>
      <c r="G921" s="68" t="s">
        <v>117</v>
      </c>
      <c r="H921" s="66" t="s">
        <v>195</v>
      </c>
      <c r="I921" s="66" t="s">
        <v>195</v>
      </c>
      <c r="J921" s="66" t="s">
        <v>37</v>
      </c>
      <c r="K921" s="66" t="s">
        <v>180</v>
      </c>
      <c r="L921" s="66" t="s">
        <v>209</v>
      </c>
      <c r="M921" s="68" t="s">
        <v>2558</v>
      </c>
      <c r="N921" s="68" t="s">
        <v>42</v>
      </c>
      <c r="O921" s="68" t="s">
        <v>2559</v>
      </c>
      <c r="P921" s="68">
        <v>2101084956</v>
      </c>
      <c r="Q921" s="303">
        <f t="shared" si="86"/>
        <v>0</v>
      </c>
      <c r="R921" s="303">
        <f t="shared" si="87"/>
        <v>0</v>
      </c>
      <c r="S921" s="68">
        <v>0</v>
      </c>
      <c r="T921" s="68">
        <v>0</v>
      </c>
      <c r="U921" s="68">
        <v>0</v>
      </c>
      <c r="V921" s="68">
        <v>0</v>
      </c>
      <c r="W921" s="68">
        <v>0</v>
      </c>
      <c r="X921" s="68">
        <v>114</v>
      </c>
      <c r="Y921" s="68">
        <v>80</v>
      </c>
      <c r="Z921" s="68">
        <v>110</v>
      </c>
      <c r="AA921" s="68">
        <v>1</v>
      </c>
      <c r="AB921" s="300">
        <f t="shared" si="88"/>
        <v>167.2</v>
      </c>
      <c r="AC921" s="300">
        <f t="shared" si="89"/>
        <v>1.0072289156626506</v>
      </c>
      <c r="AD921" s="68">
        <v>0</v>
      </c>
      <c r="AE921" s="68">
        <v>0</v>
      </c>
      <c r="AF921" s="68" t="s">
        <v>317</v>
      </c>
      <c r="AG921" s="68" t="s">
        <v>317</v>
      </c>
      <c r="AH921" s="68" t="s">
        <v>2560</v>
      </c>
      <c r="AI921" s="309"/>
      <c r="AJ921" s="309"/>
      <c r="AK921" s="68" t="s">
        <v>41</v>
      </c>
      <c r="AL921" s="68" t="s">
        <v>39</v>
      </c>
      <c r="AM921" s="299">
        <f t="shared" ca="1" si="85"/>
        <v>0.69097222221898846</v>
      </c>
      <c r="AN921" s="75"/>
      <c r="AO921" s="61" t="s">
        <v>128</v>
      </c>
      <c r="AP921" s="91" t="s">
        <v>2558</v>
      </c>
      <c r="AQ921" s="59" t="s">
        <v>2578</v>
      </c>
      <c r="AR921" s="64">
        <v>44894.46875</v>
      </c>
      <c r="AS921" s="61" t="s">
        <v>430</v>
      </c>
      <c r="AT921" s="61" t="s">
        <v>225</v>
      </c>
      <c r="AU921" s="63">
        <v>0.46875</v>
      </c>
      <c r="AV921" s="61">
        <v>1</v>
      </c>
      <c r="AW921" s="61" t="s">
        <v>66</v>
      </c>
      <c r="AX921" s="76"/>
      <c r="AY921" s="76"/>
      <c r="AZ921" s="76"/>
      <c r="BA921" s="76"/>
      <c r="BB921" s="74"/>
    </row>
    <row r="922" spans="1:54" ht="15.75" thickBot="1" x14ac:dyDescent="0.3">
      <c r="A922" s="73">
        <v>553</v>
      </c>
      <c r="B922" s="72">
        <v>44893.777777777781</v>
      </c>
      <c r="C922" s="67">
        <v>0.78125</v>
      </c>
      <c r="D922" s="67">
        <v>0.78472222222222221</v>
      </c>
      <c r="E922" s="67">
        <v>0.80208333333333337</v>
      </c>
      <c r="F922" s="68" t="s">
        <v>171</v>
      </c>
      <c r="G922" s="68" t="s">
        <v>117</v>
      </c>
      <c r="H922" s="66" t="s">
        <v>195</v>
      </c>
      <c r="I922" s="66" t="s">
        <v>195</v>
      </c>
      <c r="J922" s="66" t="s">
        <v>37</v>
      </c>
      <c r="K922" s="66" t="s">
        <v>180</v>
      </c>
      <c r="L922" s="66" t="s">
        <v>209</v>
      </c>
      <c r="M922" s="68" t="s">
        <v>2558</v>
      </c>
      <c r="N922" s="68" t="s">
        <v>42</v>
      </c>
      <c r="O922" s="68" t="s">
        <v>2559</v>
      </c>
      <c r="P922" s="68">
        <v>2101084956</v>
      </c>
      <c r="Q922" s="303">
        <f t="shared" si="86"/>
        <v>0</v>
      </c>
      <c r="R922" s="303">
        <f t="shared" si="87"/>
        <v>0</v>
      </c>
      <c r="S922" s="68">
        <v>0</v>
      </c>
      <c r="T922" s="68">
        <v>0</v>
      </c>
      <c r="U922" s="68">
        <v>0</v>
      </c>
      <c r="V922" s="68">
        <v>0</v>
      </c>
      <c r="W922" s="68">
        <v>0</v>
      </c>
      <c r="X922" s="68">
        <v>114</v>
      </c>
      <c r="Y922" s="68">
        <v>80</v>
      </c>
      <c r="Z922" s="68">
        <v>108</v>
      </c>
      <c r="AA922" s="68">
        <v>1</v>
      </c>
      <c r="AB922" s="300">
        <f t="shared" si="88"/>
        <v>164.16</v>
      </c>
      <c r="AC922" s="300">
        <f t="shared" si="89"/>
        <v>0.98891566265060238</v>
      </c>
      <c r="AD922" s="68">
        <v>0</v>
      </c>
      <c r="AE922" s="68">
        <v>0</v>
      </c>
      <c r="AF922" s="68" t="s">
        <v>317</v>
      </c>
      <c r="AG922" s="68" t="s">
        <v>317</v>
      </c>
      <c r="AH922" s="68" t="s">
        <v>2560</v>
      </c>
      <c r="AI922" s="309"/>
      <c r="AJ922" s="309"/>
      <c r="AK922" s="68" t="s">
        <v>41</v>
      </c>
      <c r="AL922" s="68" t="s">
        <v>39</v>
      </c>
      <c r="AM922" s="299">
        <f t="shared" ca="1" si="85"/>
        <v>0.69097222221898846</v>
      </c>
      <c r="AN922" s="75"/>
      <c r="AO922" s="61" t="s">
        <v>128</v>
      </c>
      <c r="AP922" s="91" t="s">
        <v>2558</v>
      </c>
      <c r="AQ922" s="59" t="s">
        <v>2578</v>
      </c>
      <c r="AR922" s="64">
        <v>44894.46875</v>
      </c>
      <c r="AS922" s="61" t="s">
        <v>430</v>
      </c>
      <c r="AT922" s="61" t="s">
        <v>225</v>
      </c>
      <c r="AU922" s="63">
        <v>0.46875</v>
      </c>
      <c r="AV922" s="61">
        <v>1</v>
      </c>
      <c r="AW922" s="61" t="s">
        <v>66</v>
      </c>
      <c r="AX922" s="76"/>
      <c r="AY922" s="76"/>
      <c r="AZ922" s="76"/>
      <c r="BA922" s="76"/>
      <c r="BB922" s="74"/>
    </row>
    <row r="923" spans="1:54" ht="15.75" thickBot="1" x14ac:dyDescent="0.3">
      <c r="A923" s="73">
        <v>553</v>
      </c>
      <c r="B923" s="72">
        <v>44893.777777777781</v>
      </c>
      <c r="C923" s="67">
        <v>0.78125</v>
      </c>
      <c r="D923" s="67">
        <v>0.78472222222222221</v>
      </c>
      <c r="E923" s="67">
        <v>0.80208333333333337</v>
      </c>
      <c r="F923" s="68" t="s">
        <v>171</v>
      </c>
      <c r="G923" s="68" t="s">
        <v>117</v>
      </c>
      <c r="H923" s="66" t="s">
        <v>195</v>
      </c>
      <c r="I923" s="66" t="s">
        <v>195</v>
      </c>
      <c r="J923" s="66" t="s">
        <v>37</v>
      </c>
      <c r="K923" s="66" t="s">
        <v>180</v>
      </c>
      <c r="L923" s="66" t="s">
        <v>209</v>
      </c>
      <c r="M923" s="68" t="s">
        <v>2558</v>
      </c>
      <c r="N923" s="68" t="s">
        <v>42</v>
      </c>
      <c r="O923" s="68" t="s">
        <v>2559</v>
      </c>
      <c r="P923" s="68">
        <v>2101084956</v>
      </c>
      <c r="Q923" s="303">
        <f t="shared" si="86"/>
        <v>0</v>
      </c>
      <c r="R923" s="303">
        <f t="shared" si="87"/>
        <v>0</v>
      </c>
      <c r="S923" s="68">
        <v>0</v>
      </c>
      <c r="T923" s="68">
        <v>0</v>
      </c>
      <c r="U923" s="68">
        <v>0</v>
      </c>
      <c r="V923" s="68">
        <v>0</v>
      </c>
      <c r="W923" s="68">
        <v>0</v>
      </c>
      <c r="X923" s="68">
        <v>114</v>
      </c>
      <c r="Y923" s="68">
        <v>80</v>
      </c>
      <c r="Z923" s="68">
        <v>130</v>
      </c>
      <c r="AA923" s="68">
        <v>3</v>
      </c>
      <c r="AB923" s="300">
        <f t="shared" si="88"/>
        <v>592.79999999999995</v>
      </c>
      <c r="AC923" s="300">
        <f t="shared" si="89"/>
        <v>3.5710843373493972</v>
      </c>
      <c r="AD923" s="68">
        <v>0</v>
      </c>
      <c r="AE923" s="68">
        <v>0</v>
      </c>
      <c r="AF923" s="68" t="s">
        <v>317</v>
      </c>
      <c r="AG923" s="68" t="s">
        <v>317</v>
      </c>
      <c r="AH923" s="68" t="s">
        <v>2560</v>
      </c>
      <c r="AI923" s="309"/>
      <c r="AJ923" s="309"/>
      <c r="AK923" s="68" t="s">
        <v>41</v>
      </c>
      <c r="AL923" s="68" t="s">
        <v>39</v>
      </c>
      <c r="AM923" s="299">
        <f t="shared" ca="1" si="85"/>
        <v>0.69097222221898846</v>
      </c>
      <c r="AN923" s="75"/>
      <c r="AO923" s="61" t="s">
        <v>128</v>
      </c>
      <c r="AP923" s="91" t="s">
        <v>2558</v>
      </c>
      <c r="AQ923" s="59" t="s">
        <v>2578</v>
      </c>
      <c r="AR923" s="64">
        <v>44894.46875</v>
      </c>
      <c r="AS923" s="61" t="s">
        <v>430</v>
      </c>
      <c r="AT923" s="61" t="s">
        <v>225</v>
      </c>
      <c r="AU923" s="63">
        <v>0.46875</v>
      </c>
      <c r="AV923" s="61">
        <v>1</v>
      </c>
      <c r="AW923" s="61" t="s">
        <v>66</v>
      </c>
      <c r="AX923" s="76"/>
      <c r="AY923" s="76"/>
      <c r="AZ923" s="76"/>
      <c r="BA923" s="76"/>
      <c r="BB923" s="74"/>
    </row>
    <row r="924" spans="1:54" ht="15.75" thickBot="1" x14ac:dyDescent="0.3">
      <c r="A924" s="73">
        <v>554</v>
      </c>
      <c r="B924" s="72">
        <v>44893.777777777781</v>
      </c>
      <c r="C924" s="67">
        <v>0.78125</v>
      </c>
      <c r="D924" s="67">
        <v>0.78472222222222221</v>
      </c>
      <c r="E924" s="67">
        <v>0.80208333333333337</v>
      </c>
      <c r="F924" s="68" t="s">
        <v>171</v>
      </c>
      <c r="G924" s="68" t="s">
        <v>117</v>
      </c>
      <c r="H924" s="66" t="s">
        <v>195</v>
      </c>
      <c r="I924" s="66" t="s">
        <v>195</v>
      </c>
      <c r="J924" s="66" t="s">
        <v>37</v>
      </c>
      <c r="K924" s="66" t="s">
        <v>180</v>
      </c>
      <c r="L924" s="66" t="s">
        <v>209</v>
      </c>
      <c r="M924" s="68" t="s">
        <v>2558</v>
      </c>
      <c r="N924" s="68" t="s">
        <v>42</v>
      </c>
      <c r="O924" s="68" t="s">
        <v>2561</v>
      </c>
      <c r="P924" s="68">
        <v>2101084955</v>
      </c>
      <c r="Q924" s="303">
        <f t="shared" si="86"/>
        <v>1</v>
      </c>
      <c r="R924" s="303">
        <f t="shared" si="87"/>
        <v>181</v>
      </c>
      <c r="S924" s="68">
        <v>0</v>
      </c>
      <c r="T924" s="68">
        <v>0</v>
      </c>
      <c r="U924" s="68">
        <v>1</v>
      </c>
      <c r="V924" s="68">
        <v>181</v>
      </c>
      <c r="W924" s="68">
        <v>190</v>
      </c>
      <c r="X924" s="68">
        <v>114</v>
      </c>
      <c r="Y924" s="68">
        <v>80</v>
      </c>
      <c r="Z924" s="68">
        <v>88</v>
      </c>
      <c r="AA924" s="68">
        <v>1</v>
      </c>
      <c r="AB924" s="300">
        <f t="shared" si="88"/>
        <v>133.76</v>
      </c>
      <c r="AC924" s="300">
        <f t="shared" si="89"/>
        <v>0.80578313253012046</v>
      </c>
      <c r="AD924" s="68">
        <v>8326.7999999999993</v>
      </c>
      <c r="AE924" s="68" t="s">
        <v>109</v>
      </c>
      <c r="AF924" s="68" t="s">
        <v>317</v>
      </c>
      <c r="AG924" s="68" t="s">
        <v>317</v>
      </c>
      <c r="AH924" s="68" t="s">
        <v>2562</v>
      </c>
      <c r="AI924" s="309"/>
      <c r="AJ924" s="309"/>
      <c r="AK924" s="68" t="s">
        <v>41</v>
      </c>
      <c r="AL924" s="68" t="s">
        <v>39</v>
      </c>
      <c r="AM924" s="299">
        <f t="shared" ca="1" si="85"/>
        <v>0.69097222221898846</v>
      </c>
      <c r="AN924" s="75"/>
      <c r="AO924" s="61" t="s">
        <v>128</v>
      </c>
      <c r="AP924" s="91" t="s">
        <v>2558</v>
      </c>
      <c r="AQ924" s="59" t="s">
        <v>2578</v>
      </c>
      <c r="AR924" s="64">
        <v>44894.46875</v>
      </c>
      <c r="AS924" s="61" t="s">
        <v>430</v>
      </c>
      <c r="AT924" s="61" t="s">
        <v>225</v>
      </c>
      <c r="AU924" s="63">
        <v>0.46875</v>
      </c>
      <c r="AV924" s="61">
        <v>1</v>
      </c>
      <c r="AW924" s="61" t="s">
        <v>66</v>
      </c>
      <c r="AX924" s="76"/>
      <c r="AY924" s="76"/>
      <c r="AZ924" s="76"/>
      <c r="BA924" s="76"/>
      <c r="BB924" s="74"/>
    </row>
    <row r="925" spans="1:54" ht="15.75" thickBot="1" x14ac:dyDescent="0.3">
      <c r="A925" s="48">
        <v>555</v>
      </c>
      <c r="B925" s="72">
        <v>44893.8125</v>
      </c>
      <c r="C925" s="67">
        <v>0.8125</v>
      </c>
      <c r="D925" s="67">
        <v>0.81597222222222221</v>
      </c>
      <c r="E925" s="67">
        <v>0.81597222222222221</v>
      </c>
      <c r="F925" s="68" t="s">
        <v>171</v>
      </c>
      <c r="G925" s="68" t="s">
        <v>327</v>
      </c>
      <c r="H925" s="66" t="s">
        <v>431</v>
      </c>
      <c r="I925" s="66" t="s">
        <v>172</v>
      </c>
      <c r="J925" s="68" t="s">
        <v>41</v>
      </c>
      <c r="K925" s="68" t="s">
        <v>82</v>
      </c>
      <c r="L925" s="69" t="s">
        <v>209</v>
      </c>
      <c r="M925" s="68" t="s">
        <v>2572</v>
      </c>
      <c r="N925" s="68" t="s">
        <v>59</v>
      </c>
      <c r="O925" s="68">
        <v>180000521</v>
      </c>
      <c r="P925" s="68">
        <v>810407</v>
      </c>
      <c r="Q925" s="303">
        <f t="shared" si="86"/>
        <v>2</v>
      </c>
      <c r="R925" s="303">
        <f t="shared" si="87"/>
        <v>86</v>
      </c>
      <c r="S925" s="68">
        <v>2</v>
      </c>
      <c r="T925" s="68">
        <v>86</v>
      </c>
      <c r="U925" s="68">
        <v>0</v>
      </c>
      <c r="V925" s="68">
        <v>0</v>
      </c>
      <c r="W925" s="68">
        <v>80</v>
      </c>
      <c r="X925" s="68">
        <v>62</v>
      </c>
      <c r="Y925" s="68">
        <v>34</v>
      </c>
      <c r="Z925" s="68">
        <v>40</v>
      </c>
      <c r="AA925" s="68">
        <v>2</v>
      </c>
      <c r="AB925" s="300">
        <f t="shared" si="88"/>
        <v>28.106666666666666</v>
      </c>
      <c r="AC925" s="300">
        <f t="shared" si="89"/>
        <v>0.1693172690763052</v>
      </c>
      <c r="AD925" s="68">
        <v>567</v>
      </c>
      <c r="AE925" s="68" t="s">
        <v>111</v>
      </c>
      <c r="AF925" s="68" t="s">
        <v>317</v>
      </c>
      <c r="AG925" s="68" t="s">
        <v>317</v>
      </c>
      <c r="AH925" s="68" t="s">
        <v>2573</v>
      </c>
      <c r="AI925" s="309"/>
      <c r="AJ925" s="309"/>
      <c r="AK925" s="68" t="s">
        <v>48</v>
      </c>
      <c r="AL925" s="68" t="s">
        <v>47</v>
      </c>
      <c r="AM925" s="299">
        <f t="shared" ca="1" si="85"/>
        <v>0.64236111110949423</v>
      </c>
      <c r="AN925" s="75"/>
      <c r="AO925" s="61" t="s">
        <v>70</v>
      </c>
      <c r="AP925" s="91" t="s">
        <v>2577</v>
      </c>
      <c r="AQ925" s="59" t="s">
        <v>2576</v>
      </c>
      <c r="AR925" s="64">
        <v>44894.454861111109</v>
      </c>
      <c r="AS925" s="61" t="s">
        <v>136</v>
      </c>
      <c r="AT925" s="61" t="s">
        <v>225</v>
      </c>
      <c r="AU925" s="63">
        <v>0.4548611111111111</v>
      </c>
      <c r="AV925" s="61">
        <v>1</v>
      </c>
      <c r="AW925" s="61" t="s">
        <v>66</v>
      </c>
      <c r="AX925" s="52"/>
      <c r="AY925" s="52"/>
      <c r="AZ925" s="52"/>
      <c r="BA925" s="52"/>
    </row>
    <row r="926" spans="1:54" ht="15.75" thickBot="1" x14ac:dyDescent="0.3">
      <c r="A926" s="73">
        <v>556</v>
      </c>
      <c r="B926" s="72">
        <v>44894.479166666664</v>
      </c>
      <c r="C926" s="67">
        <v>0.4826388888888889</v>
      </c>
      <c r="D926" s="67">
        <v>0.4861111111111111</v>
      </c>
      <c r="E926" s="67">
        <v>0.49305555555555558</v>
      </c>
      <c r="F926" s="68" t="s">
        <v>171</v>
      </c>
      <c r="G926" s="68" t="s">
        <v>280</v>
      </c>
      <c r="H926" s="71" t="s">
        <v>2313</v>
      </c>
      <c r="I926" s="71" t="s">
        <v>2313</v>
      </c>
      <c r="J926" s="71" t="s">
        <v>37</v>
      </c>
      <c r="K926" s="66" t="s">
        <v>180</v>
      </c>
      <c r="L926" s="66" t="s">
        <v>206</v>
      </c>
      <c r="M926" s="68" t="s">
        <v>2580</v>
      </c>
      <c r="N926" s="68" t="s">
        <v>64</v>
      </c>
      <c r="O926" s="68" t="s">
        <v>2581</v>
      </c>
      <c r="P926" s="68" t="s">
        <v>2582</v>
      </c>
      <c r="Q926" s="303">
        <f t="shared" si="86"/>
        <v>6</v>
      </c>
      <c r="R926" s="303">
        <f t="shared" si="87"/>
        <v>47</v>
      </c>
      <c r="S926" s="68">
        <v>6</v>
      </c>
      <c r="T926" s="68">
        <v>47</v>
      </c>
      <c r="U926" s="68">
        <v>0</v>
      </c>
      <c r="V926" s="68">
        <v>0</v>
      </c>
      <c r="W926" s="68">
        <v>47.1</v>
      </c>
      <c r="X926" s="68">
        <v>107</v>
      </c>
      <c r="Y926" s="68">
        <v>37</v>
      </c>
      <c r="Z926" s="68">
        <v>15</v>
      </c>
      <c r="AA926" s="68">
        <v>3</v>
      </c>
      <c r="AB926" s="300">
        <f t="shared" si="88"/>
        <v>29.692499999999999</v>
      </c>
      <c r="AC926" s="300">
        <f t="shared" si="89"/>
        <v>0.17887048192771085</v>
      </c>
      <c r="AD926" s="68" t="s">
        <v>48</v>
      </c>
      <c r="AE926" s="68" t="s">
        <v>48</v>
      </c>
      <c r="AF926" s="68" t="s">
        <v>317</v>
      </c>
      <c r="AG926" s="68" t="s">
        <v>317</v>
      </c>
      <c r="AH926" s="68" t="s">
        <v>2583</v>
      </c>
      <c r="AI926" s="309"/>
      <c r="AJ926" s="309"/>
      <c r="AK926" s="68" t="s">
        <v>48</v>
      </c>
      <c r="AL926" s="68" t="s">
        <v>47</v>
      </c>
      <c r="AM926" s="299">
        <f t="shared" ca="1" si="85"/>
        <v>0.14930555555474712</v>
      </c>
      <c r="AN926" s="75"/>
      <c r="AO926" s="61" t="s">
        <v>2333</v>
      </c>
      <c r="AP926" s="91" t="s">
        <v>2580</v>
      </c>
      <c r="AQ926" s="59" t="s">
        <v>2620</v>
      </c>
      <c r="AR926" s="64">
        <v>44894.628472222219</v>
      </c>
      <c r="AS926" s="61" t="s">
        <v>483</v>
      </c>
      <c r="AT926" s="61" t="s">
        <v>225</v>
      </c>
      <c r="AU926" s="63">
        <v>0.62847222222222221</v>
      </c>
      <c r="AV926" s="61">
        <v>2</v>
      </c>
      <c r="AW926" s="61" t="s">
        <v>66</v>
      </c>
      <c r="AX926" s="76"/>
      <c r="AY926" s="76"/>
      <c r="AZ926" s="76"/>
      <c r="BA926" s="76"/>
      <c r="BB926" s="74"/>
    </row>
    <row r="927" spans="1:54" ht="15.75" thickBot="1" x14ac:dyDescent="0.3">
      <c r="A927" s="73">
        <v>556</v>
      </c>
      <c r="B927" s="72">
        <v>44894.479166666664</v>
      </c>
      <c r="C927" s="67">
        <v>0.4826388888888889</v>
      </c>
      <c r="D927" s="67">
        <v>0.4861111111111111</v>
      </c>
      <c r="E927" s="67">
        <v>0.49305555555555558</v>
      </c>
      <c r="F927" s="68" t="s">
        <v>171</v>
      </c>
      <c r="G927" s="68" t="s">
        <v>280</v>
      </c>
      <c r="H927" s="66" t="s">
        <v>2313</v>
      </c>
      <c r="I927" s="66" t="s">
        <v>2313</v>
      </c>
      <c r="J927" s="66" t="s">
        <v>37</v>
      </c>
      <c r="K927" s="66" t="s">
        <v>180</v>
      </c>
      <c r="L927" s="66" t="s">
        <v>206</v>
      </c>
      <c r="M927" s="68" t="s">
        <v>2580</v>
      </c>
      <c r="N927" s="68" t="s">
        <v>64</v>
      </c>
      <c r="O927" s="68" t="s">
        <v>2581</v>
      </c>
      <c r="P927" s="68" t="s">
        <v>2582</v>
      </c>
      <c r="Q927" s="303">
        <f t="shared" si="86"/>
        <v>0</v>
      </c>
      <c r="R927" s="303">
        <f t="shared" si="87"/>
        <v>0</v>
      </c>
      <c r="S927" s="68">
        <v>0</v>
      </c>
      <c r="T927" s="68">
        <v>0</v>
      </c>
      <c r="U927" s="68">
        <v>0</v>
      </c>
      <c r="V927" s="68">
        <v>0</v>
      </c>
      <c r="W927" s="68">
        <v>0</v>
      </c>
      <c r="X927" s="68">
        <v>54</v>
      </c>
      <c r="Y927" s="68">
        <v>36</v>
      </c>
      <c r="Z927" s="68">
        <v>15</v>
      </c>
      <c r="AA927" s="68">
        <v>2</v>
      </c>
      <c r="AB927" s="300">
        <f t="shared" si="88"/>
        <v>9.7200000000000006</v>
      </c>
      <c r="AC927" s="300">
        <f t="shared" si="89"/>
        <v>5.8554216867469887E-2</v>
      </c>
      <c r="AD927" s="68">
        <v>0</v>
      </c>
      <c r="AE927" s="68">
        <v>0</v>
      </c>
      <c r="AF927" s="68" t="s">
        <v>317</v>
      </c>
      <c r="AG927" s="68" t="s">
        <v>317</v>
      </c>
      <c r="AH927" s="68" t="s">
        <v>2583</v>
      </c>
      <c r="AI927" s="309"/>
      <c r="AJ927" s="309"/>
      <c r="AK927" s="68" t="s">
        <v>48</v>
      </c>
      <c r="AL927" s="68" t="s">
        <v>47</v>
      </c>
      <c r="AM927" s="299">
        <f t="shared" ca="1" si="85"/>
        <v>0.14930555555474712</v>
      </c>
      <c r="AN927" s="75"/>
      <c r="AO927" s="61" t="s">
        <v>2333</v>
      </c>
      <c r="AP927" s="91" t="s">
        <v>2580</v>
      </c>
      <c r="AQ927" s="59" t="s">
        <v>2620</v>
      </c>
      <c r="AR927" s="64">
        <v>44894.628472222219</v>
      </c>
      <c r="AS927" s="61" t="s">
        <v>483</v>
      </c>
      <c r="AT927" s="61" t="s">
        <v>225</v>
      </c>
      <c r="AU927" s="63">
        <v>0.62847222222222221</v>
      </c>
      <c r="AV927" s="61">
        <v>2</v>
      </c>
      <c r="AW927" s="61" t="s">
        <v>66</v>
      </c>
      <c r="AX927" s="76"/>
      <c r="AY927" s="76"/>
      <c r="AZ927" s="76"/>
      <c r="BA927" s="76"/>
      <c r="BB927" s="74"/>
    </row>
    <row r="928" spans="1:54" ht="15.75" thickBot="1" x14ac:dyDescent="0.3">
      <c r="A928" s="73">
        <v>556</v>
      </c>
      <c r="B928" s="72">
        <v>44894.479166666664</v>
      </c>
      <c r="C928" s="67">
        <v>0.4826388888888889</v>
      </c>
      <c r="D928" s="67">
        <v>0.4861111111111111</v>
      </c>
      <c r="E928" s="67">
        <v>0.49305555555555558</v>
      </c>
      <c r="F928" s="68" t="s">
        <v>171</v>
      </c>
      <c r="G928" s="68" t="s">
        <v>280</v>
      </c>
      <c r="H928" s="66" t="s">
        <v>2313</v>
      </c>
      <c r="I928" s="66" t="s">
        <v>2313</v>
      </c>
      <c r="J928" s="66" t="s">
        <v>37</v>
      </c>
      <c r="K928" s="66" t="s">
        <v>180</v>
      </c>
      <c r="L928" s="66" t="s">
        <v>206</v>
      </c>
      <c r="M928" s="68" t="s">
        <v>2580</v>
      </c>
      <c r="N928" s="68" t="s">
        <v>64</v>
      </c>
      <c r="O928" s="68" t="s">
        <v>2581</v>
      </c>
      <c r="P928" s="68" t="s">
        <v>2582</v>
      </c>
      <c r="Q928" s="303">
        <f t="shared" si="86"/>
        <v>0</v>
      </c>
      <c r="R928" s="303">
        <f t="shared" si="87"/>
        <v>0</v>
      </c>
      <c r="S928" s="68">
        <v>0</v>
      </c>
      <c r="T928" s="68">
        <v>0</v>
      </c>
      <c r="U928" s="68">
        <v>0</v>
      </c>
      <c r="V928" s="68">
        <v>0</v>
      </c>
      <c r="W928" s="68">
        <v>0</v>
      </c>
      <c r="X928" s="68">
        <v>36</v>
      </c>
      <c r="Y928" s="68">
        <v>27</v>
      </c>
      <c r="Z928" s="68">
        <v>16</v>
      </c>
      <c r="AA928" s="68">
        <v>1</v>
      </c>
      <c r="AB928" s="300">
        <f t="shared" si="88"/>
        <v>2.5920000000000001</v>
      </c>
      <c r="AC928" s="300">
        <f t="shared" si="89"/>
        <v>1.5614457831325302E-2</v>
      </c>
      <c r="AD928" s="68">
        <v>0</v>
      </c>
      <c r="AE928" s="68">
        <v>0</v>
      </c>
      <c r="AF928" s="68" t="s">
        <v>317</v>
      </c>
      <c r="AG928" s="68" t="s">
        <v>317</v>
      </c>
      <c r="AH928" s="68" t="s">
        <v>2583</v>
      </c>
      <c r="AI928" s="309"/>
      <c r="AJ928" s="309"/>
      <c r="AK928" s="68" t="s">
        <v>48</v>
      </c>
      <c r="AL928" s="68" t="s">
        <v>47</v>
      </c>
      <c r="AM928" s="299">
        <f t="shared" ca="1" si="85"/>
        <v>0.14930555555474712</v>
      </c>
      <c r="AN928" s="75"/>
      <c r="AO928" s="61" t="s">
        <v>2333</v>
      </c>
      <c r="AP928" s="91" t="s">
        <v>2580</v>
      </c>
      <c r="AQ928" s="59" t="s">
        <v>2620</v>
      </c>
      <c r="AR928" s="64">
        <v>44894.628472222219</v>
      </c>
      <c r="AS928" s="61" t="s">
        <v>483</v>
      </c>
      <c r="AT928" s="61" t="s">
        <v>225</v>
      </c>
      <c r="AU928" s="63">
        <v>0.62847222222222221</v>
      </c>
      <c r="AV928" s="61">
        <v>2</v>
      </c>
      <c r="AW928" s="61" t="s">
        <v>66</v>
      </c>
      <c r="AX928" s="76"/>
      <c r="AY928" s="76"/>
      <c r="AZ928" s="76"/>
      <c r="BA928" s="76"/>
      <c r="BB928" s="74"/>
    </row>
    <row r="929" spans="1:54" ht="15.75" thickBot="1" x14ac:dyDescent="0.3">
      <c r="A929" s="73">
        <v>557</v>
      </c>
      <c r="B929" s="72">
        <v>44894.479166666664</v>
      </c>
      <c r="C929" s="67">
        <v>0.4826388888888889</v>
      </c>
      <c r="D929" s="67">
        <v>0.4861111111111111</v>
      </c>
      <c r="E929" s="67">
        <v>0.49305555555555558</v>
      </c>
      <c r="F929" s="68" t="s">
        <v>171</v>
      </c>
      <c r="G929" s="68" t="s">
        <v>280</v>
      </c>
      <c r="H929" s="66" t="s">
        <v>2313</v>
      </c>
      <c r="I929" s="66" t="s">
        <v>2313</v>
      </c>
      <c r="J929" s="66" t="s">
        <v>37</v>
      </c>
      <c r="K929" s="66" t="s">
        <v>180</v>
      </c>
      <c r="L929" s="66" t="s">
        <v>206</v>
      </c>
      <c r="M929" s="68" t="s">
        <v>2584</v>
      </c>
      <c r="N929" s="68" t="s">
        <v>64</v>
      </c>
      <c r="O929" s="68" t="s">
        <v>2585</v>
      </c>
      <c r="P929" s="68" t="s">
        <v>2586</v>
      </c>
      <c r="Q929" s="303">
        <f t="shared" si="86"/>
        <v>27</v>
      </c>
      <c r="R929" s="303">
        <f t="shared" si="87"/>
        <v>301</v>
      </c>
      <c r="S929" s="68">
        <v>26</v>
      </c>
      <c r="T929" s="68">
        <v>166</v>
      </c>
      <c r="U929" s="68">
        <v>1</v>
      </c>
      <c r="V929" s="68">
        <v>135</v>
      </c>
      <c r="W929" s="68">
        <v>355.74</v>
      </c>
      <c r="X929" s="68">
        <v>54</v>
      </c>
      <c r="Y929" s="68">
        <v>36</v>
      </c>
      <c r="Z929" s="68">
        <v>25</v>
      </c>
      <c r="AA929" s="68">
        <v>6</v>
      </c>
      <c r="AB929" s="300">
        <f t="shared" si="88"/>
        <v>48.6</v>
      </c>
      <c r="AC929" s="300">
        <f t="shared" si="89"/>
        <v>0.29277108433734939</v>
      </c>
      <c r="AD929" s="68" t="s">
        <v>48</v>
      </c>
      <c r="AE929" s="68" t="s">
        <v>48</v>
      </c>
      <c r="AF929" s="68" t="s">
        <v>317</v>
      </c>
      <c r="AG929" s="68" t="s">
        <v>317</v>
      </c>
      <c r="AH929" s="68" t="s">
        <v>2587</v>
      </c>
      <c r="AI929" s="309"/>
      <c r="AJ929" s="309"/>
      <c r="AK929" s="68" t="s">
        <v>48</v>
      </c>
      <c r="AL929" s="68" t="s">
        <v>47</v>
      </c>
      <c r="AM929" s="299">
        <f t="shared" ca="1" si="85"/>
        <v>0.14930555555474712</v>
      </c>
      <c r="AN929" s="75"/>
      <c r="AO929" s="61" t="s">
        <v>2333</v>
      </c>
      <c r="AP929" s="91" t="s">
        <v>2584</v>
      </c>
      <c r="AQ929" s="59" t="s">
        <v>2620</v>
      </c>
      <c r="AR929" s="64">
        <v>44894.628472222219</v>
      </c>
      <c r="AS929" s="61" t="s">
        <v>483</v>
      </c>
      <c r="AT929" s="61" t="s">
        <v>225</v>
      </c>
      <c r="AU929" s="63">
        <v>0.62847222222222221</v>
      </c>
      <c r="AV929" s="61">
        <v>2</v>
      </c>
      <c r="AW929" s="61" t="s">
        <v>66</v>
      </c>
      <c r="AX929" s="76"/>
      <c r="AY929" s="76"/>
      <c r="AZ929" s="76"/>
      <c r="BA929" s="76"/>
      <c r="BB929" s="74"/>
    </row>
    <row r="930" spans="1:54" ht="15.75" thickBot="1" x14ac:dyDescent="0.3">
      <c r="A930" s="73">
        <v>557</v>
      </c>
      <c r="B930" s="72">
        <v>44894.479166666664</v>
      </c>
      <c r="C930" s="67">
        <v>0.4826388888888889</v>
      </c>
      <c r="D930" s="67">
        <v>0.4861111111111111</v>
      </c>
      <c r="E930" s="67">
        <v>0.49305555555555558</v>
      </c>
      <c r="F930" s="68" t="s">
        <v>171</v>
      </c>
      <c r="G930" s="68" t="s">
        <v>280</v>
      </c>
      <c r="H930" s="66" t="s">
        <v>2313</v>
      </c>
      <c r="I930" s="66" t="s">
        <v>2313</v>
      </c>
      <c r="J930" s="66" t="s">
        <v>37</v>
      </c>
      <c r="K930" s="66" t="s">
        <v>180</v>
      </c>
      <c r="L930" s="66" t="s">
        <v>206</v>
      </c>
      <c r="M930" s="68" t="s">
        <v>2584</v>
      </c>
      <c r="N930" s="68" t="s">
        <v>64</v>
      </c>
      <c r="O930" s="68" t="s">
        <v>2585</v>
      </c>
      <c r="P930" s="68" t="s">
        <v>2586</v>
      </c>
      <c r="Q930" s="303">
        <f t="shared" si="86"/>
        <v>0</v>
      </c>
      <c r="R930" s="303">
        <f t="shared" si="87"/>
        <v>0</v>
      </c>
      <c r="S930" s="68">
        <v>0</v>
      </c>
      <c r="T930" s="68">
        <v>0</v>
      </c>
      <c r="U930" s="68">
        <v>0</v>
      </c>
      <c r="V930" s="68">
        <v>0</v>
      </c>
      <c r="W930" s="68">
        <v>0</v>
      </c>
      <c r="X930" s="68">
        <v>107</v>
      </c>
      <c r="Y930" s="68">
        <v>37</v>
      </c>
      <c r="Z930" s="68">
        <v>16</v>
      </c>
      <c r="AA930" s="68">
        <v>20</v>
      </c>
      <c r="AB930" s="300">
        <f t="shared" si="88"/>
        <v>211.14666666666668</v>
      </c>
      <c r="AC930" s="300">
        <f t="shared" si="89"/>
        <v>1.2719678714859439</v>
      </c>
      <c r="AD930" s="68">
        <v>0</v>
      </c>
      <c r="AE930" s="68">
        <v>0</v>
      </c>
      <c r="AF930" s="68" t="s">
        <v>317</v>
      </c>
      <c r="AG930" s="68" t="s">
        <v>317</v>
      </c>
      <c r="AH930" s="68" t="s">
        <v>2587</v>
      </c>
      <c r="AI930" s="309"/>
      <c r="AJ930" s="309"/>
      <c r="AK930" s="68" t="s">
        <v>48</v>
      </c>
      <c r="AL930" s="68" t="s">
        <v>47</v>
      </c>
      <c r="AM930" s="299">
        <f t="shared" ca="1" si="85"/>
        <v>0.14930555555474712</v>
      </c>
      <c r="AN930" s="75"/>
      <c r="AO930" s="61" t="s">
        <v>2333</v>
      </c>
      <c r="AP930" s="91" t="s">
        <v>2584</v>
      </c>
      <c r="AQ930" s="59" t="s">
        <v>2620</v>
      </c>
      <c r="AR930" s="64">
        <v>44894.628472222219</v>
      </c>
      <c r="AS930" s="61" t="s">
        <v>483</v>
      </c>
      <c r="AT930" s="61" t="s">
        <v>225</v>
      </c>
      <c r="AU930" s="63">
        <v>0.62847222222222221</v>
      </c>
      <c r="AV930" s="61">
        <v>2</v>
      </c>
      <c r="AW930" s="61" t="s">
        <v>66</v>
      </c>
      <c r="AX930" s="76"/>
      <c r="AY930" s="76"/>
      <c r="AZ930" s="76"/>
      <c r="BA930" s="76"/>
      <c r="BB930" s="74"/>
    </row>
    <row r="931" spans="1:54" ht="15.75" thickBot="1" x14ac:dyDescent="0.3">
      <c r="A931" s="73">
        <v>557</v>
      </c>
      <c r="B931" s="72">
        <v>44894.479166666664</v>
      </c>
      <c r="C931" s="67">
        <v>0.4826388888888889</v>
      </c>
      <c r="D931" s="67">
        <v>0.4861111111111111</v>
      </c>
      <c r="E931" s="67">
        <v>0.49305555555555558</v>
      </c>
      <c r="F931" s="68" t="s">
        <v>171</v>
      </c>
      <c r="G931" s="68" t="s">
        <v>280</v>
      </c>
      <c r="H931" s="66" t="s">
        <v>2313</v>
      </c>
      <c r="I931" s="66" t="s">
        <v>2313</v>
      </c>
      <c r="J931" s="66" t="s">
        <v>37</v>
      </c>
      <c r="K931" s="66" t="s">
        <v>180</v>
      </c>
      <c r="L931" s="66" t="s">
        <v>206</v>
      </c>
      <c r="M931" s="68" t="s">
        <v>2584</v>
      </c>
      <c r="N931" s="68" t="s">
        <v>64</v>
      </c>
      <c r="O931" s="68" t="s">
        <v>2585</v>
      </c>
      <c r="P931" s="68" t="s">
        <v>2586</v>
      </c>
      <c r="Q931" s="303">
        <f t="shared" si="86"/>
        <v>0</v>
      </c>
      <c r="R931" s="303">
        <f t="shared" si="87"/>
        <v>0</v>
      </c>
      <c r="S931" s="68">
        <v>0</v>
      </c>
      <c r="T931" s="68">
        <v>0</v>
      </c>
      <c r="U931" s="68">
        <v>0</v>
      </c>
      <c r="V931" s="68">
        <v>0</v>
      </c>
      <c r="W931" s="68">
        <v>0</v>
      </c>
      <c r="X931" s="68">
        <v>120</v>
      </c>
      <c r="Y931" s="68">
        <v>80</v>
      </c>
      <c r="Z931" s="68">
        <v>84</v>
      </c>
      <c r="AA931" s="68">
        <v>1</v>
      </c>
      <c r="AB931" s="300">
        <f t="shared" si="88"/>
        <v>134.4</v>
      </c>
      <c r="AC931" s="300">
        <f t="shared" si="89"/>
        <v>0.80963855421686748</v>
      </c>
      <c r="AD931" s="68">
        <v>0</v>
      </c>
      <c r="AE931" s="68">
        <v>0</v>
      </c>
      <c r="AF931" s="68" t="s">
        <v>317</v>
      </c>
      <c r="AG931" s="68" t="s">
        <v>317</v>
      </c>
      <c r="AH931" s="68" t="s">
        <v>2587</v>
      </c>
      <c r="AI931" s="309"/>
      <c r="AJ931" s="309"/>
      <c r="AK931" s="68" t="s">
        <v>37</v>
      </c>
      <c r="AL931" s="68" t="s">
        <v>49</v>
      </c>
      <c r="AM931" s="299">
        <f t="shared" ca="1" si="85"/>
        <v>0.14930555555474712</v>
      </c>
      <c r="AN931" s="75"/>
      <c r="AO931" s="61" t="s">
        <v>2333</v>
      </c>
      <c r="AP931" s="91" t="s">
        <v>2584</v>
      </c>
      <c r="AQ931" s="59" t="s">
        <v>2620</v>
      </c>
      <c r="AR931" s="64">
        <v>44894.628472222219</v>
      </c>
      <c r="AS931" s="61" t="s">
        <v>483</v>
      </c>
      <c r="AT931" s="61" t="s">
        <v>225</v>
      </c>
      <c r="AU931" s="63">
        <v>0.62847222222222221</v>
      </c>
      <c r="AV931" s="61">
        <v>2</v>
      </c>
      <c r="AW931" s="61" t="s">
        <v>66</v>
      </c>
      <c r="AX931" s="76"/>
      <c r="AY931" s="76"/>
      <c r="AZ931" s="76"/>
      <c r="BA931" s="76"/>
      <c r="BB931" s="74"/>
    </row>
    <row r="932" spans="1:54" ht="15.75" thickBot="1" x14ac:dyDescent="0.3">
      <c r="A932" s="73">
        <v>558</v>
      </c>
      <c r="B932" s="72">
        <v>44894.493055555555</v>
      </c>
      <c r="C932" s="67">
        <v>0.49652777777777773</v>
      </c>
      <c r="D932" s="67">
        <v>0.5</v>
      </c>
      <c r="E932" s="67">
        <v>0.52083333333333337</v>
      </c>
      <c r="F932" s="68" t="s">
        <v>170</v>
      </c>
      <c r="G932" s="68" t="s">
        <v>276</v>
      </c>
      <c r="H932" s="66" t="s">
        <v>57</v>
      </c>
      <c r="I932" s="66" t="s">
        <v>110</v>
      </c>
      <c r="J932" s="66" t="s">
        <v>37</v>
      </c>
      <c r="K932" s="66" t="s">
        <v>63</v>
      </c>
      <c r="L932" s="66" t="s">
        <v>209</v>
      </c>
      <c r="M932" s="68" t="s">
        <v>2588</v>
      </c>
      <c r="N932" s="68" t="s">
        <v>186</v>
      </c>
      <c r="O932" s="68" t="s">
        <v>2589</v>
      </c>
      <c r="P932" s="68">
        <v>81962305</v>
      </c>
      <c r="Q932" s="303">
        <f t="shared" si="86"/>
        <v>1</v>
      </c>
      <c r="R932" s="303">
        <f t="shared" si="87"/>
        <v>90</v>
      </c>
      <c r="S932" s="68">
        <v>0</v>
      </c>
      <c r="T932" s="68">
        <v>0</v>
      </c>
      <c r="U932" s="68">
        <v>1</v>
      </c>
      <c r="V932" s="68">
        <v>90</v>
      </c>
      <c r="W932" s="68">
        <v>88</v>
      </c>
      <c r="X932" s="68">
        <v>80</v>
      </c>
      <c r="Y932" s="68">
        <v>60</v>
      </c>
      <c r="Z932" s="68">
        <v>69</v>
      </c>
      <c r="AA932" s="68">
        <v>1</v>
      </c>
      <c r="AB932" s="300">
        <f t="shared" si="88"/>
        <v>55.2</v>
      </c>
      <c r="AC932" s="300">
        <f t="shared" si="89"/>
        <v>0.3325301204819277</v>
      </c>
      <c r="AD932" s="68">
        <v>533.5</v>
      </c>
      <c r="AE932" s="68" t="s">
        <v>109</v>
      </c>
      <c r="AF932" s="68" t="s">
        <v>317</v>
      </c>
      <c r="AG932" s="68" t="s">
        <v>317</v>
      </c>
      <c r="AH932" s="68" t="s">
        <v>2590</v>
      </c>
      <c r="AI932" s="309"/>
      <c r="AJ932" s="309"/>
      <c r="AK932" s="68" t="s">
        <v>37</v>
      </c>
      <c r="AL932" s="68" t="s">
        <v>49</v>
      </c>
      <c r="AM932" s="299">
        <f t="shared" ca="1" si="85"/>
        <v>2.2673611111094942</v>
      </c>
      <c r="AN932" s="75"/>
      <c r="AO932" s="57" t="s">
        <v>131</v>
      </c>
      <c r="AP932" s="24" t="s">
        <v>2588</v>
      </c>
      <c r="AQ932" s="57" t="s">
        <v>2822</v>
      </c>
      <c r="AR932" s="29">
        <v>44896.760416666664</v>
      </c>
      <c r="AS932" s="57" t="s">
        <v>173</v>
      </c>
      <c r="AT932" s="61" t="s">
        <v>225</v>
      </c>
      <c r="AU932" s="63">
        <v>0.76041666666666663</v>
      </c>
      <c r="AV932" s="57">
        <v>2</v>
      </c>
      <c r="AW932" s="61" t="s">
        <v>66</v>
      </c>
      <c r="AX932" s="76"/>
      <c r="AY932" s="76"/>
      <c r="AZ932" s="76"/>
      <c r="BA932" s="76"/>
      <c r="BB932" s="74"/>
    </row>
    <row r="933" spans="1:54" ht="15.75" thickBot="1" x14ac:dyDescent="0.3">
      <c r="A933" s="73">
        <v>559</v>
      </c>
      <c r="B933" s="72">
        <v>44894.493055555555</v>
      </c>
      <c r="C933" s="67">
        <v>0.49652777777777773</v>
      </c>
      <c r="D933" s="67">
        <v>0.5</v>
      </c>
      <c r="E933" s="67">
        <v>0.52083333333333337</v>
      </c>
      <c r="F933" s="68" t="s">
        <v>170</v>
      </c>
      <c r="G933" s="68" t="s">
        <v>276</v>
      </c>
      <c r="H933" s="66" t="s">
        <v>228</v>
      </c>
      <c r="I933" s="66" t="s">
        <v>92</v>
      </c>
      <c r="J933" s="66" t="s">
        <v>37</v>
      </c>
      <c r="K933" s="66" t="s">
        <v>63</v>
      </c>
      <c r="L933" s="66" t="s">
        <v>212</v>
      </c>
      <c r="M933" s="68" t="s">
        <v>2591</v>
      </c>
      <c r="N933" s="68" t="s">
        <v>42</v>
      </c>
      <c r="O933" s="68" t="s">
        <v>2592</v>
      </c>
      <c r="P933" s="68">
        <v>5051965210</v>
      </c>
      <c r="Q933" s="303">
        <f t="shared" si="86"/>
        <v>1</v>
      </c>
      <c r="R933" s="303">
        <f t="shared" si="87"/>
        <v>151</v>
      </c>
      <c r="S933" s="68">
        <v>0</v>
      </c>
      <c r="T933" s="68">
        <v>0</v>
      </c>
      <c r="U933" s="68">
        <v>1</v>
      </c>
      <c r="V933" s="68">
        <v>151</v>
      </c>
      <c r="W933" s="68">
        <v>151</v>
      </c>
      <c r="X933" s="68">
        <v>65</v>
      </c>
      <c r="Y933" s="68">
        <v>65</v>
      </c>
      <c r="Z933" s="68">
        <v>45</v>
      </c>
      <c r="AA933" s="68">
        <v>1</v>
      </c>
      <c r="AB933" s="300">
        <f t="shared" si="88"/>
        <v>31.6875</v>
      </c>
      <c r="AC933" s="300">
        <f t="shared" si="89"/>
        <v>0.19088855421686746</v>
      </c>
      <c r="AD933" s="68">
        <v>3364.56</v>
      </c>
      <c r="AE933" s="68" t="s">
        <v>109</v>
      </c>
      <c r="AF933" s="68" t="s">
        <v>317</v>
      </c>
      <c r="AG933" s="68" t="s">
        <v>317</v>
      </c>
      <c r="AH933" s="68" t="s">
        <v>2593</v>
      </c>
      <c r="AI933" s="309"/>
      <c r="AJ933" s="309"/>
      <c r="AK933" s="68" t="s">
        <v>37</v>
      </c>
      <c r="AL933" s="68" t="s">
        <v>49</v>
      </c>
      <c r="AM933" s="299">
        <f t="shared" ca="1" si="85"/>
        <v>0.13541666666424135</v>
      </c>
      <c r="AN933" s="75"/>
      <c r="AO933" s="61" t="s">
        <v>120</v>
      </c>
      <c r="AP933" s="91" t="s">
        <v>2591</v>
      </c>
      <c r="AQ933" s="59" t="s">
        <v>2621</v>
      </c>
      <c r="AR933" s="64">
        <v>44894.628472222219</v>
      </c>
      <c r="AS933" s="61" t="s">
        <v>483</v>
      </c>
      <c r="AT933" s="61" t="s">
        <v>225</v>
      </c>
      <c r="AU933" s="63">
        <v>0.62847222222222221</v>
      </c>
      <c r="AV933" s="61">
        <v>2</v>
      </c>
      <c r="AW933" s="61" t="s">
        <v>66</v>
      </c>
      <c r="AX933" s="76"/>
      <c r="AY933" s="76"/>
      <c r="AZ933" s="76"/>
      <c r="BA933" s="76"/>
      <c r="BB933" s="74"/>
    </row>
    <row r="934" spans="1:54" ht="15.75" thickBot="1" x14ac:dyDescent="0.3">
      <c r="A934" s="73">
        <v>560</v>
      </c>
      <c r="B934" s="72">
        <v>44894.493055555555</v>
      </c>
      <c r="C934" s="67">
        <v>0.49652777777777773</v>
      </c>
      <c r="D934" s="67">
        <v>0.5</v>
      </c>
      <c r="E934" s="67">
        <v>0.52083333333333337</v>
      </c>
      <c r="F934" s="68" t="s">
        <v>170</v>
      </c>
      <c r="G934" s="68" t="s">
        <v>276</v>
      </c>
      <c r="H934" s="66" t="s">
        <v>228</v>
      </c>
      <c r="I934" s="66" t="s">
        <v>925</v>
      </c>
      <c r="J934" s="66" t="s">
        <v>37</v>
      </c>
      <c r="K934" s="66" t="s">
        <v>63</v>
      </c>
      <c r="L934" s="66" t="s">
        <v>212</v>
      </c>
      <c r="M934" s="68" t="s">
        <v>2594</v>
      </c>
      <c r="N934" s="68" t="s">
        <v>44</v>
      </c>
      <c r="O934" s="68" t="s">
        <v>2595</v>
      </c>
      <c r="P934" s="68">
        <v>4513613633</v>
      </c>
      <c r="Q934" s="303">
        <f t="shared" si="86"/>
        <v>1</v>
      </c>
      <c r="R934" s="303">
        <f t="shared" si="87"/>
        <v>316</v>
      </c>
      <c r="S934" s="68">
        <v>0</v>
      </c>
      <c r="T934" s="68">
        <v>0</v>
      </c>
      <c r="U934" s="68">
        <v>1</v>
      </c>
      <c r="V934" s="68">
        <v>316</v>
      </c>
      <c r="W934" s="68">
        <v>312</v>
      </c>
      <c r="X934" s="68">
        <v>122</v>
      </c>
      <c r="Y934" s="68">
        <v>78</v>
      </c>
      <c r="Z934" s="68">
        <v>55</v>
      </c>
      <c r="AA934" s="68">
        <v>1</v>
      </c>
      <c r="AB934" s="300">
        <f t="shared" si="88"/>
        <v>87.23</v>
      </c>
      <c r="AC934" s="300">
        <f t="shared" si="89"/>
        <v>0.52548192771084334</v>
      </c>
      <c r="AD934" s="68">
        <v>1838.7</v>
      </c>
      <c r="AE934" s="68" t="s">
        <v>109</v>
      </c>
      <c r="AF934" s="68" t="s">
        <v>317</v>
      </c>
      <c r="AG934" s="68" t="s">
        <v>317</v>
      </c>
      <c r="AH934" s="68" t="s">
        <v>2596</v>
      </c>
      <c r="AI934" s="309"/>
      <c r="AJ934" s="309"/>
      <c r="AK934" s="68" t="s">
        <v>37</v>
      </c>
      <c r="AL934" s="68" t="s">
        <v>49</v>
      </c>
      <c r="AM934" s="299">
        <f t="shared" ca="1" si="85"/>
        <v>0.97222222222626442</v>
      </c>
      <c r="AN934" s="75"/>
      <c r="AO934" s="61" t="s">
        <v>272</v>
      </c>
      <c r="AP934" s="63" t="s">
        <v>2594</v>
      </c>
      <c r="AQ934" s="59" t="s">
        <v>2730</v>
      </c>
      <c r="AR934" s="64">
        <v>44895.465277777781</v>
      </c>
      <c r="AS934" s="57" t="s">
        <v>173</v>
      </c>
      <c r="AT934" s="61" t="s">
        <v>225</v>
      </c>
      <c r="AU934" s="63">
        <v>0.46527777777777773</v>
      </c>
      <c r="AV934" s="61">
        <v>1</v>
      </c>
      <c r="AW934" s="61" t="s">
        <v>66</v>
      </c>
      <c r="AX934" s="76"/>
      <c r="AY934" s="76"/>
      <c r="AZ934" s="76"/>
      <c r="BA934" s="76"/>
      <c r="BB934" s="74"/>
    </row>
    <row r="935" spans="1:54" ht="15.75" thickBot="1" x14ac:dyDescent="0.3">
      <c r="A935" s="73">
        <v>561</v>
      </c>
      <c r="B935" s="72">
        <v>44894.510416666664</v>
      </c>
      <c r="C935" s="67">
        <v>0.51388888888888895</v>
      </c>
      <c r="D935" s="67">
        <v>0.60069444444444442</v>
      </c>
      <c r="E935" s="67">
        <v>0.63888888888888895</v>
      </c>
      <c r="F935" s="68" t="s">
        <v>170</v>
      </c>
      <c r="G935" s="68" t="s">
        <v>2597</v>
      </c>
      <c r="H935" s="66" t="s">
        <v>227</v>
      </c>
      <c r="I935" s="66" t="s">
        <v>189</v>
      </c>
      <c r="J935" s="66" t="s">
        <v>37</v>
      </c>
      <c r="K935" s="66" t="s">
        <v>63</v>
      </c>
      <c r="L935" s="66" t="s">
        <v>209</v>
      </c>
      <c r="M935" s="68" t="s">
        <v>2598</v>
      </c>
      <c r="N935" s="68" t="s">
        <v>42</v>
      </c>
      <c r="O935" s="68">
        <v>987</v>
      </c>
      <c r="P935" s="68">
        <v>3729</v>
      </c>
      <c r="Q935" s="303">
        <f t="shared" si="86"/>
        <v>10</v>
      </c>
      <c r="R935" s="303">
        <f t="shared" si="87"/>
        <v>1850</v>
      </c>
      <c r="S935" s="68">
        <v>0</v>
      </c>
      <c r="T935" s="68">
        <v>0</v>
      </c>
      <c r="U935" s="68">
        <v>10</v>
      </c>
      <c r="V935" s="68">
        <v>1850</v>
      </c>
      <c r="W935" s="68">
        <v>1924.67</v>
      </c>
      <c r="X935" s="68">
        <v>170</v>
      </c>
      <c r="Y935" s="68">
        <v>97</v>
      </c>
      <c r="Z935" s="68">
        <v>94</v>
      </c>
      <c r="AA935" s="68">
        <v>5</v>
      </c>
      <c r="AB935" s="300">
        <f t="shared" si="88"/>
        <v>1291.7166666666667</v>
      </c>
      <c r="AC935" s="300">
        <f t="shared" si="89"/>
        <v>7.7814257028112452</v>
      </c>
      <c r="AD935" s="68">
        <v>20350</v>
      </c>
      <c r="AE935" s="68" t="s">
        <v>109</v>
      </c>
      <c r="AF935" s="68" t="s">
        <v>317</v>
      </c>
      <c r="AG935" s="68" t="s">
        <v>317</v>
      </c>
      <c r="AH935" s="68" t="s">
        <v>2599</v>
      </c>
      <c r="AI935" s="309"/>
      <c r="AJ935" s="309"/>
      <c r="AK935" s="68" t="s">
        <v>37</v>
      </c>
      <c r="AL935" s="68" t="s">
        <v>39</v>
      </c>
      <c r="AM935" s="299">
        <f t="shared" ca="1" si="85"/>
        <v>0.19791666667151731</v>
      </c>
      <c r="AN935" s="75"/>
      <c r="AO935" s="61" t="s">
        <v>89</v>
      </c>
      <c r="AP935" s="91" t="s">
        <v>2625</v>
      </c>
      <c r="AQ935" s="59" t="s">
        <v>2626</v>
      </c>
      <c r="AR935" s="64">
        <v>44894.708333333336</v>
      </c>
      <c r="AS935" s="61" t="s">
        <v>2627</v>
      </c>
      <c r="AT935" s="61" t="s">
        <v>225</v>
      </c>
      <c r="AU935" s="63">
        <v>0.70833333333333337</v>
      </c>
      <c r="AV935" s="61">
        <v>2</v>
      </c>
      <c r="AW935" s="61" t="s">
        <v>66</v>
      </c>
      <c r="AX935" s="76"/>
      <c r="AY935" s="76"/>
      <c r="AZ935" s="76"/>
      <c r="BA935" s="76"/>
      <c r="BB935" s="74"/>
    </row>
    <row r="936" spans="1:54" ht="15.75" thickBot="1" x14ac:dyDescent="0.3">
      <c r="A936" s="73">
        <v>561</v>
      </c>
      <c r="B936" s="72">
        <v>44894.510416666664</v>
      </c>
      <c r="C936" s="67">
        <v>0.51388888888888895</v>
      </c>
      <c r="D936" s="67">
        <v>0.60069444444444442</v>
      </c>
      <c r="E936" s="67">
        <v>0.63888888888888895</v>
      </c>
      <c r="F936" s="68" t="s">
        <v>170</v>
      </c>
      <c r="G936" s="68" t="s">
        <v>2597</v>
      </c>
      <c r="H936" s="66" t="s">
        <v>227</v>
      </c>
      <c r="I936" s="66" t="s">
        <v>189</v>
      </c>
      <c r="J936" s="66" t="s">
        <v>37</v>
      </c>
      <c r="K936" s="66" t="s">
        <v>63</v>
      </c>
      <c r="L936" s="66" t="s">
        <v>209</v>
      </c>
      <c r="M936" s="68" t="s">
        <v>2598</v>
      </c>
      <c r="N936" s="68" t="s">
        <v>42</v>
      </c>
      <c r="O936" s="68">
        <v>987</v>
      </c>
      <c r="P936" s="68">
        <v>3729</v>
      </c>
      <c r="Q936" s="303">
        <f t="shared" si="86"/>
        <v>0</v>
      </c>
      <c r="R936" s="303">
        <f t="shared" si="87"/>
        <v>0</v>
      </c>
      <c r="S936" s="68">
        <v>0</v>
      </c>
      <c r="T936" s="68">
        <v>0</v>
      </c>
      <c r="U936" s="68">
        <v>0</v>
      </c>
      <c r="V936" s="68">
        <v>0</v>
      </c>
      <c r="W936" s="68">
        <v>0</v>
      </c>
      <c r="X936" s="68">
        <v>160</v>
      </c>
      <c r="Y936" s="68">
        <v>138</v>
      </c>
      <c r="Z936" s="68">
        <v>79</v>
      </c>
      <c r="AA936" s="68">
        <v>5</v>
      </c>
      <c r="AB936" s="300">
        <f t="shared" si="88"/>
        <v>1453.6</v>
      </c>
      <c r="AC936" s="300">
        <f t="shared" si="89"/>
        <v>8.7566265060240962</v>
      </c>
      <c r="AD936" s="68">
        <v>0</v>
      </c>
      <c r="AE936" s="68">
        <v>0</v>
      </c>
      <c r="AF936" s="68" t="s">
        <v>317</v>
      </c>
      <c r="AG936" s="68" t="s">
        <v>317</v>
      </c>
      <c r="AH936" s="68" t="s">
        <v>2599</v>
      </c>
      <c r="AI936" s="309"/>
      <c r="AJ936" s="309"/>
      <c r="AK936" s="68" t="s">
        <v>37</v>
      </c>
      <c r="AL936" s="68" t="s">
        <v>39</v>
      </c>
      <c r="AM936" s="299">
        <f t="shared" ref="AM936:AM999" ca="1" si="90">IF(AP936="",NOW()-B936,AR936-B936)</f>
        <v>0.19791666667151731</v>
      </c>
      <c r="AN936" s="75"/>
      <c r="AO936" s="61" t="s">
        <v>89</v>
      </c>
      <c r="AP936" s="91" t="s">
        <v>2625</v>
      </c>
      <c r="AQ936" s="59" t="s">
        <v>2626</v>
      </c>
      <c r="AR936" s="64">
        <v>44894.708333333336</v>
      </c>
      <c r="AS936" s="61" t="s">
        <v>2627</v>
      </c>
      <c r="AT936" s="61" t="s">
        <v>225</v>
      </c>
      <c r="AU936" s="63">
        <v>0.70833333333333337</v>
      </c>
      <c r="AV936" s="61">
        <v>2</v>
      </c>
      <c r="AW936" s="61" t="s">
        <v>66</v>
      </c>
      <c r="AX936" s="76"/>
      <c r="AY936" s="76"/>
      <c r="AZ936" s="76"/>
      <c r="BA936" s="76"/>
      <c r="BB936" s="74"/>
    </row>
    <row r="937" spans="1:54" ht="15.75" thickBot="1" x14ac:dyDescent="0.3">
      <c r="A937" s="73">
        <v>562</v>
      </c>
      <c r="B937" s="72">
        <v>44894.586805555555</v>
      </c>
      <c r="C937" s="67">
        <v>0.59027777777777779</v>
      </c>
      <c r="D937" s="67">
        <v>0.60069444444444442</v>
      </c>
      <c r="E937" s="67">
        <v>0.63888888888888895</v>
      </c>
      <c r="F937" s="68" t="s">
        <v>170</v>
      </c>
      <c r="G937" s="68" t="s">
        <v>2600</v>
      </c>
      <c r="H937" s="66" t="s">
        <v>227</v>
      </c>
      <c r="I937" s="66" t="s">
        <v>189</v>
      </c>
      <c r="J937" s="66" t="s">
        <v>37</v>
      </c>
      <c r="K937" s="66" t="s">
        <v>63</v>
      </c>
      <c r="L937" s="66" t="s">
        <v>209</v>
      </c>
      <c r="M937" s="68" t="s">
        <v>2598</v>
      </c>
      <c r="N937" s="68" t="s">
        <v>42</v>
      </c>
      <c r="O937" s="68">
        <v>989</v>
      </c>
      <c r="P937" s="68">
        <v>3719</v>
      </c>
      <c r="Q937" s="303">
        <f t="shared" ref="Q937:Q1000" si="91">S937+U937</f>
        <v>9</v>
      </c>
      <c r="R937" s="303">
        <f t="shared" ref="R937:R1000" si="92">T937+V937</f>
        <v>121</v>
      </c>
      <c r="S937" s="68">
        <v>9</v>
      </c>
      <c r="T937" s="68">
        <v>121</v>
      </c>
      <c r="U937" s="68">
        <v>0</v>
      </c>
      <c r="V937" s="68">
        <v>0</v>
      </c>
      <c r="W937" s="68">
        <v>138</v>
      </c>
      <c r="X937" s="68">
        <v>83</v>
      </c>
      <c r="Y937" s="68">
        <v>53</v>
      </c>
      <c r="Z937" s="68">
        <v>62</v>
      </c>
      <c r="AA937" s="68">
        <v>5</v>
      </c>
      <c r="AB937" s="300">
        <f t="shared" ref="AB937:AB1000" si="93">X937*Y937*Z937*AA937/6000</f>
        <v>227.28166666666667</v>
      </c>
      <c r="AC937" s="300">
        <f t="shared" ref="AC937:AC1000" si="94">AB937/166</f>
        <v>1.3691666666666666</v>
      </c>
      <c r="AD937" s="68">
        <v>4634</v>
      </c>
      <c r="AE937" s="68" t="s">
        <v>109</v>
      </c>
      <c r="AF937" s="68" t="s">
        <v>317</v>
      </c>
      <c r="AG937" s="68" t="s">
        <v>317</v>
      </c>
      <c r="AH937" s="68" t="s">
        <v>2601</v>
      </c>
      <c r="AI937" s="309"/>
      <c r="AJ937" s="309"/>
      <c r="AK937" s="68" t="s">
        <v>48</v>
      </c>
      <c r="AL937" s="68" t="s">
        <v>47</v>
      </c>
      <c r="AM937" s="299">
        <f t="shared" ca="1" si="90"/>
        <v>0.12152777778101154</v>
      </c>
      <c r="AN937" s="75"/>
      <c r="AO937" s="61" t="s">
        <v>89</v>
      </c>
      <c r="AP937" s="91" t="s">
        <v>2625</v>
      </c>
      <c r="AQ937" s="59" t="s">
        <v>2626</v>
      </c>
      <c r="AR937" s="64">
        <v>44894.708333333336</v>
      </c>
      <c r="AS937" s="61" t="s">
        <v>2627</v>
      </c>
      <c r="AT937" s="61" t="s">
        <v>225</v>
      </c>
      <c r="AU937" s="63">
        <v>0.70833333333333337</v>
      </c>
      <c r="AV937" s="61">
        <v>2</v>
      </c>
      <c r="AW937" s="61" t="s">
        <v>66</v>
      </c>
      <c r="AX937" s="76"/>
      <c r="AY937" s="76"/>
      <c r="AZ937" s="76"/>
      <c r="BA937" s="76"/>
      <c r="BB937" s="74"/>
    </row>
    <row r="938" spans="1:54" ht="15.75" thickBot="1" x14ac:dyDescent="0.3">
      <c r="A938" s="73">
        <v>562</v>
      </c>
      <c r="B938" s="72">
        <v>44894.586805555555</v>
      </c>
      <c r="C938" s="67">
        <v>0.59027777777777779</v>
      </c>
      <c r="D938" s="67">
        <v>0.60069444444444442</v>
      </c>
      <c r="E938" s="67">
        <v>0.63888888888888895</v>
      </c>
      <c r="F938" s="68" t="s">
        <v>170</v>
      </c>
      <c r="G938" s="68" t="s">
        <v>2600</v>
      </c>
      <c r="H938" s="66" t="s">
        <v>227</v>
      </c>
      <c r="I938" s="66" t="s">
        <v>189</v>
      </c>
      <c r="J938" s="66" t="s">
        <v>37</v>
      </c>
      <c r="K938" s="66" t="s">
        <v>63</v>
      </c>
      <c r="L938" s="66" t="s">
        <v>209</v>
      </c>
      <c r="M938" s="68" t="s">
        <v>2598</v>
      </c>
      <c r="N938" s="68" t="s">
        <v>42</v>
      </c>
      <c r="O938" s="68">
        <v>989</v>
      </c>
      <c r="P938" s="68">
        <v>3719</v>
      </c>
      <c r="Q938" s="303">
        <f t="shared" si="91"/>
        <v>0</v>
      </c>
      <c r="R938" s="303">
        <f t="shared" si="92"/>
        <v>0</v>
      </c>
      <c r="S938" s="68">
        <v>0</v>
      </c>
      <c r="T938" s="68">
        <v>0</v>
      </c>
      <c r="U938" s="68">
        <v>0</v>
      </c>
      <c r="V938" s="68">
        <v>0</v>
      </c>
      <c r="W938" s="68">
        <v>0</v>
      </c>
      <c r="X938" s="68">
        <v>55</v>
      </c>
      <c r="Y938" s="68">
        <v>42</v>
      </c>
      <c r="Z938" s="68">
        <v>18</v>
      </c>
      <c r="AA938" s="68">
        <v>2</v>
      </c>
      <c r="AB938" s="300">
        <f t="shared" si="93"/>
        <v>13.86</v>
      </c>
      <c r="AC938" s="300">
        <f t="shared" si="94"/>
        <v>8.3493975903614459E-2</v>
      </c>
      <c r="AD938" s="68">
        <v>0</v>
      </c>
      <c r="AE938" s="68">
        <v>0</v>
      </c>
      <c r="AF938" s="68" t="s">
        <v>317</v>
      </c>
      <c r="AG938" s="68" t="s">
        <v>317</v>
      </c>
      <c r="AH938" s="68" t="s">
        <v>2601</v>
      </c>
      <c r="AI938" s="309"/>
      <c r="AJ938" s="309"/>
      <c r="AK938" s="68" t="s">
        <v>48</v>
      </c>
      <c r="AL938" s="68" t="s">
        <v>47</v>
      </c>
      <c r="AM938" s="299">
        <f t="shared" ca="1" si="90"/>
        <v>0.12152777778101154</v>
      </c>
      <c r="AN938" s="75"/>
      <c r="AO938" s="61" t="s">
        <v>89</v>
      </c>
      <c r="AP938" s="91" t="s">
        <v>2625</v>
      </c>
      <c r="AQ938" s="59" t="s">
        <v>2626</v>
      </c>
      <c r="AR938" s="64">
        <v>44894.708333333336</v>
      </c>
      <c r="AS938" s="61" t="s">
        <v>2627</v>
      </c>
      <c r="AT938" s="61" t="s">
        <v>225</v>
      </c>
      <c r="AU938" s="63">
        <v>0.70833333333333337</v>
      </c>
      <c r="AV938" s="61">
        <v>2</v>
      </c>
      <c r="AW938" s="61" t="s">
        <v>66</v>
      </c>
      <c r="AX938" s="76"/>
      <c r="AY938" s="76"/>
      <c r="AZ938" s="76"/>
      <c r="BA938" s="76"/>
      <c r="BB938" s="74"/>
    </row>
    <row r="939" spans="1:54" ht="15.75" thickBot="1" x14ac:dyDescent="0.3">
      <c r="A939" s="73">
        <v>562</v>
      </c>
      <c r="B939" s="72">
        <v>44894.586805555555</v>
      </c>
      <c r="C939" s="67">
        <v>0.59027777777777779</v>
      </c>
      <c r="D939" s="67">
        <v>0.60069444444444442</v>
      </c>
      <c r="E939" s="67">
        <v>0.63888888888888895</v>
      </c>
      <c r="F939" s="68" t="s">
        <v>170</v>
      </c>
      <c r="G939" s="68" t="s">
        <v>2600</v>
      </c>
      <c r="H939" s="66" t="s">
        <v>227</v>
      </c>
      <c r="I939" s="66" t="s">
        <v>189</v>
      </c>
      <c r="J939" s="66" t="s">
        <v>37</v>
      </c>
      <c r="K939" s="66" t="s">
        <v>63</v>
      </c>
      <c r="L939" s="66" t="s">
        <v>209</v>
      </c>
      <c r="M939" s="68" t="s">
        <v>2598</v>
      </c>
      <c r="N939" s="68" t="s">
        <v>42</v>
      </c>
      <c r="O939" s="68">
        <v>989</v>
      </c>
      <c r="P939" s="68">
        <v>3719</v>
      </c>
      <c r="Q939" s="303">
        <f t="shared" si="91"/>
        <v>0</v>
      </c>
      <c r="R939" s="303">
        <f t="shared" si="92"/>
        <v>0</v>
      </c>
      <c r="S939" s="68">
        <v>0</v>
      </c>
      <c r="T939" s="68">
        <v>0</v>
      </c>
      <c r="U939" s="68">
        <v>0</v>
      </c>
      <c r="V939" s="68">
        <v>0</v>
      </c>
      <c r="W939" s="68">
        <v>0</v>
      </c>
      <c r="X939" s="68">
        <v>90</v>
      </c>
      <c r="Y939" s="68">
        <v>36</v>
      </c>
      <c r="Z939" s="68">
        <v>50</v>
      </c>
      <c r="AA939" s="68">
        <v>2</v>
      </c>
      <c r="AB939" s="300">
        <f t="shared" si="93"/>
        <v>54</v>
      </c>
      <c r="AC939" s="300">
        <f t="shared" si="94"/>
        <v>0.3253012048192771</v>
      </c>
      <c r="AD939" s="68">
        <v>0</v>
      </c>
      <c r="AE939" s="68">
        <v>0</v>
      </c>
      <c r="AF939" s="68" t="s">
        <v>317</v>
      </c>
      <c r="AG939" s="68" t="s">
        <v>317</v>
      </c>
      <c r="AH939" s="68" t="s">
        <v>2601</v>
      </c>
      <c r="AI939" s="309"/>
      <c r="AJ939" s="309"/>
      <c r="AK939" s="68" t="s">
        <v>48</v>
      </c>
      <c r="AL939" s="68" t="s">
        <v>47</v>
      </c>
      <c r="AM939" s="299">
        <f t="shared" ca="1" si="90"/>
        <v>0.12152777778101154</v>
      </c>
      <c r="AN939" s="75"/>
      <c r="AO939" s="61" t="s">
        <v>89</v>
      </c>
      <c r="AP939" s="91" t="s">
        <v>2625</v>
      </c>
      <c r="AQ939" s="59" t="s">
        <v>2626</v>
      </c>
      <c r="AR939" s="64">
        <v>44894.708333333336</v>
      </c>
      <c r="AS939" s="61" t="s">
        <v>2627</v>
      </c>
      <c r="AT939" s="61" t="s">
        <v>225</v>
      </c>
      <c r="AU939" s="63">
        <v>0.70833333333333337</v>
      </c>
      <c r="AV939" s="61">
        <v>2</v>
      </c>
      <c r="AW939" s="61" t="s">
        <v>66</v>
      </c>
      <c r="AX939" s="76"/>
      <c r="AY939" s="76"/>
      <c r="AZ939" s="76"/>
      <c r="BA939" s="76"/>
      <c r="BB939" s="74"/>
    </row>
    <row r="940" spans="1:54" ht="15.75" thickBot="1" x14ac:dyDescent="0.3">
      <c r="A940" s="73">
        <v>563</v>
      </c>
      <c r="B940" s="72">
        <v>44894.586805555555</v>
      </c>
      <c r="C940" s="67">
        <v>0.59027777777777779</v>
      </c>
      <c r="D940" s="67">
        <v>0.60069444444444442</v>
      </c>
      <c r="E940" s="67">
        <v>0.63888888888888895</v>
      </c>
      <c r="F940" s="68" t="s">
        <v>170</v>
      </c>
      <c r="G940" s="68" t="s">
        <v>2600</v>
      </c>
      <c r="H940" s="66" t="s">
        <v>227</v>
      </c>
      <c r="I940" s="66" t="s">
        <v>189</v>
      </c>
      <c r="J940" s="66" t="s">
        <v>37</v>
      </c>
      <c r="K940" s="66" t="s">
        <v>63</v>
      </c>
      <c r="L940" s="66" t="s">
        <v>209</v>
      </c>
      <c r="M940" s="68" t="s">
        <v>2579</v>
      </c>
      <c r="N940" s="68" t="s">
        <v>43</v>
      </c>
      <c r="O940" s="68">
        <v>990</v>
      </c>
      <c r="P940" s="68">
        <v>29017</v>
      </c>
      <c r="Q940" s="303">
        <f t="shared" si="91"/>
        <v>9</v>
      </c>
      <c r="R940" s="303">
        <f t="shared" si="92"/>
        <v>169</v>
      </c>
      <c r="S940" s="68">
        <v>9</v>
      </c>
      <c r="T940" s="68">
        <v>169</v>
      </c>
      <c r="U940" s="68">
        <v>0</v>
      </c>
      <c r="V940" s="68">
        <v>0</v>
      </c>
      <c r="W940" s="68">
        <v>162</v>
      </c>
      <c r="X940" s="68">
        <v>93</v>
      </c>
      <c r="Y940" s="68">
        <v>54</v>
      </c>
      <c r="Z940" s="68">
        <v>62</v>
      </c>
      <c r="AA940" s="68">
        <v>9</v>
      </c>
      <c r="AB940" s="300">
        <f t="shared" si="93"/>
        <v>467.04599999999999</v>
      </c>
      <c r="AC940" s="300">
        <f t="shared" si="94"/>
        <v>2.8135301204819276</v>
      </c>
      <c r="AD940" s="68">
        <v>7290</v>
      </c>
      <c r="AE940" s="68" t="s">
        <v>109</v>
      </c>
      <c r="AF940" s="68" t="s">
        <v>317</v>
      </c>
      <c r="AG940" s="68" t="s">
        <v>317</v>
      </c>
      <c r="AH940" s="68" t="s">
        <v>2602</v>
      </c>
      <c r="AI940" s="309"/>
      <c r="AJ940" s="309"/>
      <c r="AK940" s="68" t="s">
        <v>48</v>
      </c>
      <c r="AL940" s="68" t="s">
        <v>47</v>
      </c>
      <c r="AM940" s="299">
        <f t="shared" ca="1" si="90"/>
        <v>0.12152777778101154</v>
      </c>
      <c r="AN940" s="75"/>
      <c r="AO940" s="61" t="s">
        <v>179</v>
      </c>
      <c r="AP940" s="91" t="s">
        <v>2579</v>
      </c>
      <c r="AQ940" s="59" t="s">
        <v>2623</v>
      </c>
      <c r="AR940" s="64">
        <v>44894.708333333336</v>
      </c>
      <c r="AS940" s="61" t="s">
        <v>430</v>
      </c>
      <c r="AT940" s="61" t="s">
        <v>225</v>
      </c>
      <c r="AU940" s="63">
        <v>0.70833333333333337</v>
      </c>
      <c r="AV940" s="61">
        <v>2</v>
      </c>
      <c r="AW940" s="61" t="s">
        <v>66</v>
      </c>
      <c r="AX940" s="76"/>
      <c r="AY940" s="76"/>
      <c r="AZ940" s="76"/>
      <c r="BA940" s="76"/>
      <c r="BB940" s="74"/>
    </row>
    <row r="941" spans="1:54" ht="15.75" thickBot="1" x14ac:dyDescent="0.3">
      <c r="A941" s="73">
        <v>564</v>
      </c>
      <c r="B941" s="72">
        <v>44894.586805555555</v>
      </c>
      <c r="C941" s="67">
        <v>0.59027777777777779</v>
      </c>
      <c r="D941" s="67">
        <v>0.60069444444444442</v>
      </c>
      <c r="E941" s="67">
        <v>0.63888888888888895</v>
      </c>
      <c r="F941" s="68" t="s">
        <v>170</v>
      </c>
      <c r="G941" s="68" t="s">
        <v>2600</v>
      </c>
      <c r="H941" s="66" t="s">
        <v>227</v>
      </c>
      <c r="I941" s="66" t="s">
        <v>189</v>
      </c>
      <c r="J941" s="66" t="s">
        <v>37</v>
      </c>
      <c r="K941" s="66" t="s">
        <v>63</v>
      </c>
      <c r="L941" s="66" t="s">
        <v>209</v>
      </c>
      <c r="M941" s="68" t="s">
        <v>2598</v>
      </c>
      <c r="N941" s="68" t="s">
        <v>42</v>
      </c>
      <c r="O941" s="68">
        <v>988</v>
      </c>
      <c r="P941" s="68">
        <v>3280</v>
      </c>
      <c r="Q941" s="303">
        <f t="shared" si="91"/>
        <v>5</v>
      </c>
      <c r="R941" s="303">
        <f t="shared" si="92"/>
        <v>1475</v>
      </c>
      <c r="S941" s="68">
        <v>0</v>
      </c>
      <c r="T941" s="68">
        <v>0</v>
      </c>
      <c r="U941" s="68">
        <v>5</v>
      </c>
      <c r="V941" s="68">
        <v>1475</v>
      </c>
      <c r="W941" s="68">
        <v>1400</v>
      </c>
      <c r="X941" s="68">
        <v>103</v>
      </c>
      <c r="Y941" s="68">
        <v>43</v>
      </c>
      <c r="Z941" s="68">
        <v>40</v>
      </c>
      <c r="AA941" s="68">
        <v>5</v>
      </c>
      <c r="AB941" s="300">
        <f t="shared" si="93"/>
        <v>147.63333333333333</v>
      </c>
      <c r="AC941" s="300">
        <f t="shared" si="94"/>
        <v>0.88935742971887544</v>
      </c>
      <c r="AD941" s="68">
        <v>7754</v>
      </c>
      <c r="AE941" s="68" t="s">
        <v>109</v>
      </c>
      <c r="AF941" s="68" t="s">
        <v>317</v>
      </c>
      <c r="AG941" s="68" t="s">
        <v>317</v>
      </c>
      <c r="AH941" s="68" t="s">
        <v>2603</v>
      </c>
      <c r="AI941" s="309"/>
      <c r="AJ941" s="309"/>
      <c r="AK941" s="68" t="s">
        <v>41</v>
      </c>
      <c r="AL941" s="68" t="s">
        <v>47</v>
      </c>
      <c r="AM941" s="299">
        <f t="shared" ca="1" si="90"/>
        <v>0.12152777778101154</v>
      </c>
      <c r="AN941" s="75"/>
      <c r="AO941" s="61" t="s">
        <v>89</v>
      </c>
      <c r="AP941" s="91" t="s">
        <v>2625</v>
      </c>
      <c r="AQ941" s="59" t="s">
        <v>2626</v>
      </c>
      <c r="AR941" s="64">
        <v>44894.708333333336</v>
      </c>
      <c r="AS941" s="61" t="s">
        <v>2627</v>
      </c>
      <c r="AT941" s="61" t="s">
        <v>225</v>
      </c>
      <c r="AU941" s="63">
        <v>0.70833333333333337</v>
      </c>
      <c r="AV941" s="61">
        <v>2</v>
      </c>
      <c r="AW941" s="61" t="s">
        <v>66</v>
      </c>
      <c r="AX941" s="76"/>
      <c r="AY941" s="76"/>
      <c r="AZ941" s="76"/>
      <c r="BA941" s="76"/>
      <c r="BB941" s="74"/>
    </row>
    <row r="942" spans="1:54" ht="15.75" thickBot="1" x14ac:dyDescent="0.3">
      <c r="A942" s="73">
        <v>565</v>
      </c>
      <c r="B942" s="72">
        <v>44894.680555555555</v>
      </c>
      <c r="C942" s="67">
        <v>0.68402777777777779</v>
      </c>
      <c r="D942" s="67">
        <v>0.6875</v>
      </c>
      <c r="E942" s="67">
        <v>0.69097222222222221</v>
      </c>
      <c r="F942" s="68" t="s">
        <v>169</v>
      </c>
      <c r="G942" s="68" t="s">
        <v>2604</v>
      </c>
      <c r="H942" s="66" t="s">
        <v>248</v>
      </c>
      <c r="I942" s="66" t="s">
        <v>444</v>
      </c>
      <c r="J942" s="66" t="s">
        <v>41</v>
      </c>
      <c r="K942" s="66" t="s">
        <v>241</v>
      </c>
      <c r="L942" s="66" t="s">
        <v>249</v>
      </c>
      <c r="M942" s="68" t="s">
        <v>2605</v>
      </c>
      <c r="N942" s="68" t="s">
        <v>42</v>
      </c>
      <c r="O942" s="68" t="s">
        <v>2606</v>
      </c>
      <c r="P942" s="68">
        <v>64268202</v>
      </c>
      <c r="Q942" s="303">
        <f t="shared" si="91"/>
        <v>9</v>
      </c>
      <c r="R942" s="303">
        <f t="shared" si="92"/>
        <v>140</v>
      </c>
      <c r="S942" s="68">
        <v>9</v>
      </c>
      <c r="T942" s="68">
        <v>140</v>
      </c>
      <c r="U942" s="68">
        <v>0</v>
      </c>
      <c r="V942" s="68">
        <v>0</v>
      </c>
      <c r="W942" s="68">
        <v>131.82</v>
      </c>
      <c r="X942" s="68">
        <v>60</v>
      </c>
      <c r="Y942" s="68">
        <v>41</v>
      </c>
      <c r="Z942" s="68">
        <v>41</v>
      </c>
      <c r="AA942" s="68">
        <v>9</v>
      </c>
      <c r="AB942" s="300">
        <f t="shared" si="93"/>
        <v>151.29</v>
      </c>
      <c r="AC942" s="300">
        <f t="shared" si="94"/>
        <v>0.91138554216867462</v>
      </c>
      <c r="AD942" s="68">
        <v>3408</v>
      </c>
      <c r="AE942" s="68" t="s">
        <v>109</v>
      </c>
      <c r="AF942" s="68" t="s">
        <v>2607</v>
      </c>
      <c r="AG942" s="68" t="s">
        <v>2608</v>
      </c>
      <c r="AH942" s="68" t="s">
        <v>2609</v>
      </c>
      <c r="AI942" s="309"/>
      <c r="AJ942" s="309"/>
      <c r="AK942" s="68" t="s">
        <v>48</v>
      </c>
      <c r="AL942" s="68" t="s">
        <v>47</v>
      </c>
      <c r="AM942" s="299">
        <f t="shared" ca="1" si="90"/>
        <v>1.8298611111094942</v>
      </c>
      <c r="AN942" s="75"/>
      <c r="AO942" s="57" t="s">
        <v>135</v>
      </c>
      <c r="AP942" s="57" t="s">
        <v>2605</v>
      </c>
      <c r="AQ942" s="57" t="s">
        <v>2812</v>
      </c>
      <c r="AR942" s="29">
        <v>44896.510416666664</v>
      </c>
      <c r="AS942" s="57" t="s">
        <v>117</v>
      </c>
      <c r="AT942" s="61" t="s">
        <v>225</v>
      </c>
      <c r="AU942" s="63">
        <v>0.51041666666666663</v>
      </c>
      <c r="AV942" s="61">
        <v>1</v>
      </c>
      <c r="AW942" s="61" t="s">
        <v>66</v>
      </c>
      <c r="AX942" s="76"/>
      <c r="AY942" s="76"/>
      <c r="AZ942" s="76"/>
      <c r="BA942" s="76"/>
      <c r="BB942" s="74"/>
    </row>
    <row r="943" spans="1:54" ht="15.75" thickBot="1" x14ac:dyDescent="0.3">
      <c r="A943" s="73">
        <v>566</v>
      </c>
      <c r="B943" s="72">
        <v>44894.732638888891</v>
      </c>
      <c r="C943" s="67">
        <v>0.73611111111111116</v>
      </c>
      <c r="D943" s="67">
        <v>0.73958333333333337</v>
      </c>
      <c r="E943" s="67">
        <v>0.75347222222222221</v>
      </c>
      <c r="F943" s="68" t="s">
        <v>171</v>
      </c>
      <c r="G943" s="68" t="s">
        <v>385</v>
      </c>
      <c r="H943" s="66" t="s">
        <v>400</v>
      </c>
      <c r="I943" s="66" t="s">
        <v>401</v>
      </c>
      <c r="J943" s="66" t="s">
        <v>37</v>
      </c>
      <c r="K943" s="66" t="s">
        <v>180</v>
      </c>
      <c r="L943" s="70" t="s">
        <v>206</v>
      </c>
      <c r="M943" s="68" t="s">
        <v>2610</v>
      </c>
      <c r="N943" s="68" t="s">
        <v>160</v>
      </c>
      <c r="O943" s="68" t="s">
        <v>2611</v>
      </c>
      <c r="P943" s="68" t="s">
        <v>2612</v>
      </c>
      <c r="Q943" s="303">
        <f t="shared" si="91"/>
        <v>7</v>
      </c>
      <c r="R943" s="303">
        <f t="shared" si="92"/>
        <v>53</v>
      </c>
      <c r="S943" s="68">
        <v>7</v>
      </c>
      <c r="T943" s="68">
        <v>53</v>
      </c>
      <c r="U943" s="68">
        <v>0</v>
      </c>
      <c r="V943" s="68">
        <v>0</v>
      </c>
      <c r="W943" s="68">
        <v>60</v>
      </c>
      <c r="X943" s="68">
        <v>36</v>
      </c>
      <c r="Y943" s="68">
        <v>29</v>
      </c>
      <c r="Z943" s="68">
        <v>28</v>
      </c>
      <c r="AA943" s="68">
        <v>7</v>
      </c>
      <c r="AB943" s="300">
        <f t="shared" si="93"/>
        <v>34.103999999999999</v>
      </c>
      <c r="AC943" s="300">
        <f t="shared" si="94"/>
        <v>0.20544578313253012</v>
      </c>
      <c r="AD943" s="68">
        <v>4502.32</v>
      </c>
      <c r="AE943" s="68" t="s">
        <v>109</v>
      </c>
      <c r="AF943" s="68" t="s">
        <v>317</v>
      </c>
      <c r="AG943" s="68" t="s">
        <v>317</v>
      </c>
      <c r="AH943" s="68" t="s">
        <v>2613</v>
      </c>
      <c r="AI943" s="309"/>
      <c r="AJ943" s="309"/>
      <c r="AK943" s="68" t="s">
        <v>48</v>
      </c>
      <c r="AL943" s="68" t="s">
        <v>47</v>
      </c>
      <c r="AM943" s="299">
        <f t="shared" ca="1" si="90"/>
        <v>0.73263888889050577</v>
      </c>
      <c r="AN943" s="75"/>
      <c r="AO943" s="61" t="s">
        <v>229</v>
      </c>
      <c r="AP943" s="63" t="s">
        <v>2610</v>
      </c>
      <c r="AQ943" s="59" t="s">
        <v>2729</v>
      </c>
      <c r="AR943" s="64">
        <v>44895.465277777781</v>
      </c>
      <c r="AS943" s="57" t="s">
        <v>173</v>
      </c>
      <c r="AT943" s="61" t="s">
        <v>225</v>
      </c>
      <c r="AU943" s="63">
        <v>0.46527777777777773</v>
      </c>
      <c r="AV943" s="61">
        <v>1</v>
      </c>
      <c r="AW943" s="61" t="s">
        <v>66</v>
      </c>
      <c r="AX943" s="76"/>
      <c r="AY943" s="76"/>
      <c r="AZ943" s="76"/>
      <c r="BA943" s="76"/>
      <c r="BB943" s="74"/>
    </row>
    <row r="944" spans="1:54" ht="15.75" thickBot="1" x14ac:dyDescent="0.3">
      <c r="A944" s="73">
        <v>567</v>
      </c>
      <c r="B944" s="72">
        <v>44894.743055555555</v>
      </c>
      <c r="C944" s="67">
        <v>0.74652777777777779</v>
      </c>
      <c r="D944" s="67">
        <v>0.75</v>
      </c>
      <c r="E944" s="67">
        <v>0.75</v>
      </c>
      <c r="F944" s="68" t="s">
        <v>171</v>
      </c>
      <c r="G944" s="68" t="s">
        <v>327</v>
      </c>
      <c r="H944" s="66" t="s">
        <v>342</v>
      </c>
      <c r="I944" s="66" t="s">
        <v>342</v>
      </c>
      <c r="J944" s="66" t="s">
        <v>37</v>
      </c>
      <c r="K944" s="66" t="s">
        <v>180</v>
      </c>
      <c r="L944" s="70" t="s">
        <v>206</v>
      </c>
      <c r="M944" s="68" t="s">
        <v>2614</v>
      </c>
      <c r="N944" s="68" t="s">
        <v>42</v>
      </c>
      <c r="O944" s="68" t="s">
        <v>2615</v>
      </c>
      <c r="P944" s="68">
        <v>29525019</v>
      </c>
      <c r="Q944" s="303">
        <f t="shared" si="91"/>
        <v>1</v>
      </c>
      <c r="R944" s="303">
        <f t="shared" si="92"/>
        <v>208</v>
      </c>
      <c r="S944" s="68">
        <v>0</v>
      </c>
      <c r="T944" s="68">
        <v>0</v>
      </c>
      <c r="U944" s="68">
        <v>1</v>
      </c>
      <c r="V944" s="68">
        <v>208</v>
      </c>
      <c r="W944" s="68">
        <v>205</v>
      </c>
      <c r="X944" s="68">
        <v>81</v>
      </c>
      <c r="Y944" s="68">
        <v>77</v>
      </c>
      <c r="Z944" s="68">
        <v>63</v>
      </c>
      <c r="AA944" s="68">
        <v>1</v>
      </c>
      <c r="AB944" s="300">
        <f t="shared" si="93"/>
        <v>65.488500000000002</v>
      </c>
      <c r="AC944" s="300">
        <f t="shared" si="94"/>
        <v>0.39450903614457833</v>
      </c>
      <c r="AD944" s="68">
        <v>1106.2</v>
      </c>
      <c r="AE944" s="68" t="s">
        <v>109</v>
      </c>
      <c r="AF944" s="68" t="s">
        <v>317</v>
      </c>
      <c r="AG944" s="68" t="s">
        <v>317</v>
      </c>
      <c r="AH944" s="68" t="s">
        <v>2616</v>
      </c>
      <c r="AI944" s="309"/>
      <c r="AJ944" s="309"/>
      <c r="AK944" s="68" t="s">
        <v>41</v>
      </c>
      <c r="AL944" s="68" t="s">
        <v>39</v>
      </c>
      <c r="AM944" s="299">
        <f t="shared" ca="1" si="90"/>
        <v>0.95486111110949423</v>
      </c>
      <c r="AN944" s="75"/>
      <c r="AO944" s="57" t="s">
        <v>107</v>
      </c>
      <c r="AP944" s="24" t="s">
        <v>2614</v>
      </c>
      <c r="AQ944" s="57" t="s">
        <v>2735</v>
      </c>
      <c r="AR944" s="64">
        <v>44895.697916666664</v>
      </c>
      <c r="AS944" s="61" t="s">
        <v>240</v>
      </c>
      <c r="AT944" s="61" t="s">
        <v>65</v>
      </c>
      <c r="AU944" s="63">
        <v>0.69791666666666663</v>
      </c>
      <c r="AV944" s="61">
        <v>1</v>
      </c>
      <c r="AW944" s="61" t="s">
        <v>66</v>
      </c>
      <c r="AX944" s="76"/>
      <c r="AY944" s="76"/>
      <c r="AZ944" s="76"/>
      <c r="BA944" s="76"/>
      <c r="BB944" s="74"/>
    </row>
    <row r="945" spans="1:53" x14ac:dyDescent="0.25">
      <c r="A945" s="73">
        <v>568</v>
      </c>
      <c r="B945" s="72">
        <v>44894.75</v>
      </c>
      <c r="C945" s="67">
        <v>0.75347222222222221</v>
      </c>
      <c r="D945" s="67">
        <v>0.75694444444444453</v>
      </c>
      <c r="E945" s="67">
        <v>0.76041666666666663</v>
      </c>
      <c r="F945" s="68" t="s">
        <v>171</v>
      </c>
      <c r="G945" s="68" t="s">
        <v>811</v>
      </c>
      <c r="H945" s="71" t="s">
        <v>195</v>
      </c>
      <c r="I945" s="71" t="s">
        <v>195</v>
      </c>
      <c r="J945" s="71" t="s">
        <v>37</v>
      </c>
      <c r="K945" s="66" t="s">
        <v>180</v>
      </c>
      <c r="L945" s="66" t="s">
        <v>209</v>
      </c>
      <c r="M945" s="68" t="s">
        <v>2617</v>
      </c>
      <c r="N945" s="68" t="s">
        <v>186</v>
      </c>
      <c r="O945" s="68" t="s">
        <v>2618</v>
      </c>
      <c r="P945" s="68">
        <v>2101079490</v>
      </c>
      <c r="Q945" s="303">
        <f t="shared" si="91"/>
        <v>3</v>
      </c>
      <c r="R945" s="303">
        <f t="shared" si="92"/>
        <v>138</v>
      </c>
      <c r="S945" s="68">
        <v>3</v>
      </c>
      <c r="T945" s="68">
        <v>138</v>
      </c>
      <c r="U945" s="68">
        <v>0</v>
      </c>
      <c r="V945" s="68">
        <v>0</v>
      </c>
      <c r="W945" s="68">
        <v>136.5</v>
      </c>
      <c r="X945" s="68">
        <v>83</v>
      </c>
      <c r="Y945" s="68">
        <v>43</v>
      </c>
      <c r="Z945" s="68">
        <v>45</v>
      </c>
      <c r="AA945" s="68">
        <v>3</v>
      </c>
      <c r="AB945" s="300">
        <f t="shared" si="93"/>
        <v>80.302499999999995</v>
      </c>
      <c r="AC945" s="300">
        <f t="shared" si="94"/>
        <v>0.48374999999999996</v>
      </c>
      <c r="AD945" s="68">
        <v>4658.88</v>
      </c>
      <c r="AE945" s="68" t="s">
        <v>109</v>
      </c>
      <c r="AF945" s="68" t="s">
        <v>317</v>
      </c>
      <c r="AG945" s="68" t="s">
        <v>317</v>
      </c>
      <c r="AH945" s="68" t="s">
        <v>2619</v>
      </c>
      <c r="AI945" s="309"/>
      <c r="AJ945" s="309"/>
      <c r="AK945" s="68" t="s">
        <v>48</v>
      </c>
      <c r="AL945" s="68" t="s">
        <v>47</v>
      </c>
      <c r="AM945" s="299">
        <f t="shared" ca="1" si="90"/>
        <v>2.0104166666642413</v>
      </c>
      <c r="AN945" s="51"/>
      <c r="AO945" s="57" t="s">
        <v>131</v>
      </c>
      <c r="AP945" s="24" t="s">
        <v>2617</v>
      </c>
      <c r="AQ945" s="57" t="s">
        <v>2822</v>
      </c>
      <c r="AR945" s="29">
        <v>44896.760416666664</v>
      </c>
      <c r="AS945" s="57" t="s">
        <v>173</v>
      </c>
      <c r="AT945" s="61" t="s">
        <v>225</v>
      </c>
      <c r="AU945" s="63">
        <v>0.76041666666666663</v>
      </c>
      <c r="AV945" s="57">
        <v>2</v>
      </c>
      <c r="AW945" s="61" t="s">
        <v>66</v>
      </c>
      <c r="AX945" s="52"/>
      <c r="AY945" s="52"/>
      <c r="AZ945" s="52"/>
      <c r="BA945" s="52"/>
    </row>
    <row r="946" spans="1:53" x14ac:dyDescent="0.25">
      <c r="A946" s="48">
        <v>569</v>
      </c>
      <c r="B946" s="72">
        <v>44894.826388888891</v>
      </c>
      <c r="C946" s="36">
        <v>0.82638888888888884</v>
      </c>
      <c r="D946" s="36">
        <v>0.83333333333333337</v>
      </c>
      <c r="E946" s="36">
        <v>0.83680555555555547</v>
      </c>
      <c r="F946" s="37" t="s">
        <v>171</v>
      </c>
      <c r="G946" s="37" t="s">
        <v>289</v>
      </c>
      <c r="H946" s="26" t="s">
        <v>1357</v>
      </c>
      <c r="I946" s="60" t="s">
        <v>1357</v>
      </c>
      <c r="J946" s="60" t="s">
        <v>37</v>
      </c>
      <c r="K946" s="60" t="s">
        <v>63</v>
      </c>
      <c r="L946" s="60" t="s">
        <v>206</v>
      </c>
      <c r="M946" s="37" t="s">
        <v>2981</v>
      </c>
      <c r="N946" s="37" t="s">
        <v>44</v>
      </c>
      <c r="O946" s="37">
        <v>6200021215</v>
      </c>
      <c r="P946" s="37">
        <v>22845205</v>
      </c>
      <c r="Q946" s="303">
        <f t="shared" si="91"/>
        <v>1</v>
      </c>
      <c r="R946" s="303">
        <f t="shared" si="92"/>
        <v>31</v>
      </c>
      <c r="S946" s="37">
        <v>1</v>
      </c>
      <c r="T946" s="37">
        <v>31</v>
      </c>
      <c r="U946" s="37">
        <v>0</v>
      </c>
      <c r="V946" s="37">
        <v>0</v>
      </c>
      <c r="W946" s="37">
        <v>32</v>
      </c>
      <c r="X946" s="37">
        <v>40</v>
      </c>
      <c r="Y946" s="37">
        <v>40</v>
      </c>
      <c r="Z946" s="37">
        <v>32</v>
      </c>
      <c r="AA946" s="37">
        <v>1</v>
      </c>
      <c r="AB946" s="300">
        <f t="shared" si="93"/>
        <v>8.5333333333333332</v>
      </c>
      <c r="AC946" s="300">
        <f t="shared" si="94"/>
        <v>5.1405622489959842E-2</v>
      </c>
      <c r="AD946" s="37">
        <v>1430</v>
      </c>
      <c r="AE946" s="68" t="s">
        <v>109</v>
      </c>
      <c r="AF946" s="68" t="s">
        <v>317</v>
      </c>
      <c r="AG946" s="68" t="s">
        <v>317</v>
      </c>
      <c r="AH946" s="37" t="s">
        <v>2628</v>
      </c>
      <c r="AI946" s="309"/>
      <c r="AJ946" s="309"/>
      <c r="AK946" s="68" t="s">
        <v>48</v>
      </c>
      <c r="AL946" s="68" t="s">
        <v>47</v>
      </c>
      <c r="AM946" s="299">
        <f t="shared" ca="1" si="90"/>
        <v>3.8888888888905058</v>
      </c>
      <c r="AN946" s="51"/>
      <c r="AO946" s="104" t="s">
        <v>53</v>
      </c>
      <c r="AP946" s="106" t="s">
        <v>2981</v>
      </c>
      <c r="AQ946" s="104" t="s">
        <v>2994</v>
      </c>
      <c r="AR946" s="111">
        <v>44898.715277777781</v>
      </c>
      <c r="AS946" s="104" t="s">
        <v>1203</v>
      </c>
      <c r="AT946" s="109" t="s">
        <v>65</v>
      </c>
      <c r="AU946" s="110">
        <v>0.71527777777777779</v>
      </c>
      <c r="AV946" s="104">
        <v>1</v>
      </c>
      <c r="AW946" s="109" t="s">
        <v>66</v>
      </c>
      <c r="AX946" s="52"/>
      <c r="AY946" s="52"/>
      <c r="AZ946" s="52"/>
      <c r="BA946" s="52"/>
    </row>
    <row r="947" spans="1:53" x14ac:dyDescent="0.25">
      <c r="A947" s="48">
        <v>570</v>
      </c>
      <c r="B947" s="72">
        <v>44894.826388888891</v>
      </c>
      <c r="C947" s="67">
        <v>0.82638888888888884</v>
      </c>
      <c r="D947" s="67">
        <v>0.83333333333333337</v>
      </c>
      <c r="E947" s="67">
        <v>0.83680555555555547</v>
      </c>
      <c r="F947" s="68" t="s">
        <v>171</v>
      </c>
      <c r="G947" s="68" t="s">
        <v>289</v>
      </c>
      <c r="H947" s="60" t="s">
        <v>1357</v>
      </c>
      <c r="I947" s="60" t="s">
        <v>1357</v>
      </c>
      <c r="J947" s="60" t="s">
        <v>37</v>
      </c>
      <c r="K947" s="60" t="s">
        <v>63</v>
      </c>
      <c r="L947" s="60" t="s">
        <v>206</v>
      </c>
      <c r="M947" s="115" t="s">
        <v>2981</v>
      </c>
      <c r="N947" s="68" t="s">
        <v>44</v>
      </c>
      <c r="O947" s="37">
        <v>6200021216</v>
      </c>
      <c r="P947" s="37">
        <v>22845259</v>
      </c>
      <c r="Q947" s="303">
        <f t="shared" si="91"/>
        <v>1</v>
      </c>
      <c r="R947" s="303">
        <f t="shared" si="92"/>
        <v>15</v>
      </c>
      <c r="S947" s="37">
        <v>1</v>
      </c>
      <c r="T947" s="37">
        <v>15</v>
      </c>
      <c r="U947" s="37">
        <v>0</v>
      </c>
      <c r="V947" s="37">
        <v>0</v>
      </c>
      <c r="W947" s="37">
        <v>15</v>
      </c>
      <c r="X947" s="68">
        <v>40</v>
      </c>
      <c r="Y947" s="68">
        <v>40</v>
      </c>
      <c r="Z947" s="68">
        <v>32</v>
      </c>
      <c r="AA947" s="68">
        <v>1</v>
      </c>
      <c r="AB947" s="300">
        <f t="shared" si="93"/>
        <v>8.5333333333333332</v>
      </c>
      <c r="AC947" s="300">
        <f t="shared" si="94"/>
        <v>5.1405622489959842E-2</v>
      </c>
      <c r="AD947" s="37">
        <v>903</v>
      </c>
      <c r="AE947" s="68" t="s">
        <v>109</v>
      </c>
      <c r="AF947" s="68" t="s">
        <v>317</v>
      </c>
      <c r="AG947" s="68" t="s">
        <v>317</v>
      </c>
      <c r="AH947" s="37" t="s">
        <v>2629</v>
      </c>
      <c r="AI947" s="309"/>
      <c r="AJ947" s="309"/>
      <c r="AK947" s="68" t="s">
        <v>48</v>
      </c>
      <c r="AL947" s="68" t="s">
        <v>47</v>
      </c>
      <c r="AM947" s="299">
        <f t="shared" ca="1" si="90"/>
        <v>3.8888888888905058</v>
      </c>
      <c r="AN947" s="51"/>
      <c r="AO947" s="104" t="s">
        <v>53</v>
      </c>
      <c r="AP947" s="106" t="s">
        <v>2981</v>
      </c>
      <c r="AQ947" s="104" t="s">
        <v>2994</v>
      </c>
      <c r="AR947" s="111">
        <v>44898.715277777781</v>
      </c>
      <c r="AS947" s="104" t="s">
        <v>1203</v>
      </c>
      <c r="AT947" s="109" t="s">
        <v>65</v>
      </c>
      <c r="AU947" s="110">
        <v>0.71527777777777779</v>
      </c>
      <c r="AV947" s="104">
        <v>1</v>
      </c>
      <c r="AW947" s="109" t="s">
        <v>66</v>
      </c>
      <c r="AX947" s="52"/>
      <c r="AY947" s="52"/>
      <c r="AZ947" s="52"/>
      <c r="BA947" s="52"/>
    </row>
    <row r="948" spans="1:53" x14ac:dyDescent="0.25">
      <c r="A948" s="48">
        <v>571</v>
      </c>
      <c r="B948" s="72">
        <v>44894.826388888891</v>
      </c>
      <c r="C948" s="67">
        <v>0.82638888888888884</v>
      </c>
      <c r="D948" s="67">
        <v>0.83333333333333337</v>
      </c>
      <c r="E948" s="67">
        <v>0.83680555555555547</v>
      </c>
      <c r="F948" s="68" t="s">
        <v>171</v>
      </c>
      <c r="G948" s="68" t="s">
        <v>289</v>
      </c>
      <c r="H948" s="60" t="s">
        <v>1357</v>
      </c>
      <c r="I948" s="60" t="s">
        <v>1357</v>
      </c>
      <c r="J948" s="60" t="s">
        <v>37</v>
      </c>
      <c r="K948" s="60" t="s">
        <v>63</v>
      </c>
      <c r="L948" s="60" t="s">
        <v>206</v>
      </c>
      <c r="M948" s="115" t="s">
        <v>2981</v>
      </c>
      <c r="N948" s="68" t="s">
        <v>44</v>
      </c>
      <c r="O948" s="37">
        <v>6200021214</v>
      </c>
      <c r="P948" s="37">
        <v>22845237</v>
      </c>
      <c r="Q948" s="303">
        <f t="shared" si="91"/>
        <v>1</v>
      </c>
      <c r="R948" s="303">
        <f t="shared" si="92"/>
        <v>6</v>
      </c>
      <c r="S948" s="37">
        <v>1</v>
      </c>
      <c r="T948" s="37">
        <v>6</v>
      </c>
      <c r="U948" s="37">
        <v>0</v>
      </c>
      <c r="V948" s="37">
        <v>0</v>
      </c>
      <c r="W948" s="37">
        <v>6</v>
      </c>
      <c r="X948" s="68">
        <v>40</v>
      </c>
      <c r="Y948" s="68">
        <v>40</v>
      </c>
      <c r="Z948" s="68">
        <v>32</v>
      </c>
      <c r="AA948" s="68">
        <v>1</v>
      </c>
      <c r="AB948" s="300">
        <f t="shared" si="93"/>
        <v>8.5333333333333332</v>
      </c>
      <c r="AC948" s="300">
        <f t="shared" si="94"/>
        <v>5.1405622489959842E-2</v>
      </c>
      <c r="AD948" s="37">
        <v>707.25</v>
      </c>
      <c r="AE948" s="68" t="s">
        <v>109</v>
      </c>
      <c r="AF948" s="68" t="s">
        <v>317</v>
      </c>
      <c r="AG948" s="68" t="s">
        <v>317</v>
      </c>
      <c r="AH948" s="37" t="s">
        <v>2630</v>
      </c>
      <c r="AI948" s="309"/>
      <c r="AJ948" s="309"/>
      <c r="AK948" s="68" t="s">
        <v>48</v>
      </c>
      <c r="AL948" s="68" t="s">
        <v>47</v>
      </c>
      <c r="AM948" s="299">
        <f t="shared" ca="1" si="90"/>
        <v>3.8888888888905058</v>
      </c>
      <c r="AN948" s="51"/>
      <c r="AO948" s="104" t="s">
        <v>53</v>
      </c>
      <c r="AP948" s="106" t="s">
        <v>2981</v>
      </c>
      <c r="AQ948" s="104" t="s">
        <v>2994</v>
      </c>
      <c r="AR948" s="111">
        <v>44898.715277777781</v>
      </c>
      <c r="AS948" s="104" t="s">
        <v>1203</v>
      </c>
      <c r="AT948" s="109" t="s">
        <v>65</v>
      </c>
      <c r="AU948" s="110">
        <v>0.71527777777777779</v>
      </c>
      <c r="AV948" s="104">
        <v>1</v>
      </c>
      <c r="AW948" s="109" t="s">
        <v>66</v>
      </c>
      <c r="AX948" s="52"/>
      <c r="AY948" s="52"/>
      <c r="AZ948" s="52"/>
      <c r="BA948" s="52"/>
    </row>
    <row r="949" spans="1:53" x14ac:dyDescent="0.25">
      <c r="A949" s="73">
        <v>572</v>
      </c>
      <c r="B949" s="72">
        <v>44895.381944444445</v>
      </c>
      <c r="C949" s="67">
        <v>0.38541666666666669</v>
      </c>
      <c r="D949" s="67">
        <v>0.39583333333333331</v>
      </c>
      <c r="E949" s="67">
        <v>0.40277777777777773</v>
      </c>
      <c r="F949" s="68" t="s">
        <v>171</v>
      </c>
      <c r="G949" s="68" t="s">
        <v>1247</v>
      </c>
      <c r="H949" s="60" t="s">
        <v>342</v>
      </c>
      <c r="I949" s="60" t="s">
        <v>342</v>
      </c>
      <c r="J949" s="60" t="s">
        <v>37</v>
      </c>
      <c r="K949" s="60" t="s">
        <v>180</v>
      </c>
      <c r="L949" s="65" t="s">
        <v>206</v>
      </c>
      <c r="M949" s="68" t="s">
        <v>2631</v>
      </c>
      <c r="N949" s="68" t="s">
        <v>42</v>
      </c>
      <c r="O949" s="68" t="s">
        <v>2632</v>
      </c>
      <c r="P949" s="68" t="s">
        <v>2633</v>
      </c>
      <c r="Q949" s="303">
        <f t="shared" si="91"/>
        <v>16</v>
      </c>
      <c r="R949" s="303">
        <f t="shared" si="92"/>
        <v>7852</v>
      </c>
      <c r="S949" s="68">
        <v>0</v>
      </c>
      <c r="T949" s="68">
        <v>0</v>
      </c>
      <c r="U949" s="68">
        <v>16</v>
      </c>
      <c r="V949" s="68">
        <f>658+653+350+377+371+369+370+346+552+349+376+548+662+554+660+657</f>
        <v>7852</v>
      </c>
      <c r="W949" s="68">
        <v>8000</v>
      </c>
      <c r="X949" s="68">
        <v>99</v>
      </c>
      <c r="Y949" s="68">
        <v>99</v>
      </c>
      <c r="Z949" s="68">
        <v>75</v>
      </c>
      <c r="AA949" s="68">
        <v>16</v>
      </c>
      <c r="AB949" s="300">
        <f t="shared" si="93"/>
        <v>1960.2</v>
      </c>
      <c r="AC949" s="300">
        <f t="shared" si="94"/>
        <v>11.80843373493976</v>
      </c>
      <c r="AD949" s="68">
        <v>72909.119999999995</v>
      </c>
      <c r="AE949" s="68" t="s">
        <v>109</v>
      </c>
      <c r="AF949" s="68" t="s">
        <v>317</v>
      </c>
      <c r="AG949" s="68" t="s">
        <v>317</v>
      </c>
      <c r="AH949" s="68" t="s">
        <v>2634</v>
      </c>
      <c r="AI949" s="309"/>
      <c r="AJ949" s="309"/>
      <c r="AK949" s="68" t="s">
        <v>37</v>
      </c>
      <c r="AL949" s="68" t="s">
        <v>49</v>
      </c>
      <c r="AM949" s="299">
        <f t="shared" ca="1" si="90"/>
        <v>0.16666666666424135</v>
      </c>
      <c r="AN949" s="75"/>
      <c r="AO949" s="61" t="s">
        <v>107</v>
      </c>
      <c r="AP949" s="62" t="s">
        <v>2631</v>
      </c>
      <c r="AQ949" s="61" t="s">
        <v>2732</v>
      </c>
      <c r="AR949" s="64">
        <v>44895.548611111109</v>
      </c>
      <c r="AS949" s="61" t="s">
        <v>2733</v>
      </c>
      <c r="AT949" s="61" t="s">
        <v>225</v>
      </c>
      <c r="AU949" s="63">
        <v>0.54861111111111105</v>
      </c>
      <c r="AV949" s="61">
        <v>1</v>
      </c>
      <c r="AW949" s="61" t="s">
        <v>66</v>
      </c>
      <c r="AX949" s="76"/>
      <c r="AY949" s="76"/>
      <c r="AZ949" s="76"/>
      <c r="BA949" s="76"/>
    </row>
    <row r="950" spans="1:53" x14ac:dyDescent="0.25">
      <c r="A950" s="73">
        <v>573</v>
      </c>
      <c r="B950" s="72">
        <v>44895.381944444445</v>
      </c>
      <c r="C950" s="67">
        <v>0.38541666666666669</v>
      </c>
      <c r="D950" s="67">
        <v>0.39583333333333331</v>
      </c>
      <c r="E950" s="67">
        <v>0.40277777777777773</v>
      </c>
      <c r="F950" s="68" t="s">
        <v>171</v>
      </c>
      <c r="G950" s="68" t="s">
        <v>136</v>
      </c>
      <c r="H950" s="60" t="s">
        <v>342</v>
      </c>
      <c r="I950" s="60" t="s">
        <v>342</v>
      </c>
      <c r="J950" s="60" t="s">
        <v>37</v>
      </c>
      <c r="K950" s="60" t="s">
        <v>180</v>
      </c>
      <c r="L950" s="65" t="s">
        <v>206</v>
      </c>
      <c r="M950" s="68" t="s">
        <v>2635</v>
      </c>
      <c r="N950" s="68" t="s">
        <v>44</v>
      </c>
      <c r="O950" s="68" t="s">
        <v>2636</v>
      </c>
      <c r="P950" s="68" t="s">
        <v>2637</v>
      </c>
      <c r="Q950" s="303">
        <f t="shared" si="91"/>
        <v>5</v>
      </c>
      <c r="R950" s="303">
        <f t="shared" si="92"/>
        <v>2535</v>
      </c>
      <c r="S950" s="68">
        <v>0</v>
      </c>
      <c r="T950" s="68">
        <v>0</v>
      </c>
      <c r="U950" s="68">
        <v>5</v>
      </c>
      <c r="V950" s="68">
        <f>427+436+555+556+561</f>
        <v>2535</v>
      </c>
      <c r="W950" s="68">
        <v>2700</v>
      </c>
      <c r="X950" s="68">
        <v>84</v>
      </c>
      <c r="Y950" s="68">
        <v>84</v>
      </c>
      <c r="Z950" s="68">
        <v>78</v>
      </c>
      <c r="AA950" s="68">
        <v>2</v>
      </c>
      <c r="AB950" s="300">
        <f t="shared" si="93"/>
        <v>183.45599999999999</v>
      </c>
      <c r="AC950" s="300">
        <f t="shared" si="94"/>
        <v>1.105156626506024</v>
      </c>
      <c r="AD950" s="68">
        <v>24595.68</v>
      </c>
      <c r="AE950" s="68" t="s">
        <v>109</v>
      </c>
      <c r="AF950" s="68" t="s">
        <v>317</v>
      </c>
      <c r="AG950" s="68" t="s">
        <v>317</v>
      </c>
      <c r="AH950" s="68" t="s">
        <v>2638</v>
      </c>
      <c r="AI950" s="309"/>
      <c r="AJ950" s="309"/>
      <c r="AK950" s="68" t="s">
        <v>37</v>
      </c>
      <c r="AL950" s="68" t="s">
        <v>49</v>
      </c>
      <c r="AM950" s="299">
        <f t="shared" ca="1" si="90"/>
        <v>0.31597222221898846</v>
      </c>
      <c r="AN950" s="75"/>
      <c r="AO950" s="61" t="s">
        <v>53</v>
      </c>
      <c r="AP950" s="61" t="s">
        <v>2635</v>
      </c>
      <c r="AQ950" s="61" t="s">
        <v>2734</v>
      </c>
      <c r="AR950" s="64">
        <v>44895.697916666664</v>
      </c>
      <c r="AS950" s="61" t="s">
        <v>240</v>
      </c>
      <c r="AT950" s="61" t="s">
        <v>65</v>
      </c>
      <c r="AU950" s="63">
        <v>0.69791666666666663</v>
      </c>
      <c r="AV950" s="61">
        <v>1</v>
      </c>
      <c r="AW950" s="61" t="s">
        <v>66</v>
      </c>
      <c r="AX950" s="76"/>
      <c r="AY950" s="76"/>
      <c r="AZ950" s="76"/>
      <c r="BA950" s="76"/>
    </row>
    <row r="951" spans="1:53" x14ac:dyDescent="0.25">
      <c r="A951" s="73">
        <v>573</v>
      </c>
      <c r="B951" s="72">
        <v>44895.381944444445</v>
      </c>
      <c r="C951" s="67">
        <v>0.38541666666666669</v>
      </c>
      <c r="D951" s="67">
        <v>0.39583333333333331</v>
      </c>
      <c r="E951" s="67">
        <v>0.40277777777777773</v>
      </c>
      <c r="F951" s="68" t="s">
        <v>171</v>
      </c>
      <c r="G951" s="68" t="s">
        <v>136</v>
      </c>
      <c r="H951" s="60" t="s">
        <v>342</v>
      </c>
      <c r="I951" s="60" t="s">
        <v>342</v>
      </c>
      <c r="J951" s="60" t="s">
        <v>37</v>
      </c>
      <c r="K951" s="60" t="s">
        <v>180</v>
      </c>
      <c r="L951" s="65" t="s">
        <v>206</v>
      </c>
      <c r="M951" s="68" t="s">
        <v>2635</v>
      </c>
      <c r="N951" s="68" t="s">
        <v>44</v>
      </c>
      <c r="O951" s="68" t="s">
        <v>2636</v>
      </c>
      <c r="P951" s="68" t="s">
        <v>2637</v>
      </c>
      <c r="Q951" s="303">
        <f t="shared" si="91"/>
        <v>0</v>
      </c>
      <c r="R951" s="303">
        <f t="shared" si="92"/>
        <v>0</v>
      </c>
      <c r="S951" s="68">
        <v>0</v>
      </c>
      <c r="T951" s="68">
        <v>0</v>
      </c>
      <c r="U951" s="68">
        <v>0</v>
      </c>
      <c r="V951" s="68">
        <v>0</v>
      </c>
      <c r="W951" s="68">
        <v>0</v>
      </c>
      <c r="X951" s="68">
        <v>99</v>
      </c>
      <c r="Y951" s="68">
        <v>99</v>
      </c>
      <c r="Z951" s="68">
        <v>75</v>
      </c>
      <c r="AA951" s="68">
        <v>3</v>
      </c>
      <c r="AB951" s="300">
        <f t="shared" si="93"/>
        <v>367.53750000000002</v>
      </c>
      <c r="AC951" s="300">
        <f t="shared" si="94"/>
        <v>2.2140813253012048</v>
      </c>
      <c r="AD951" s="68">
        <v>0</v>
      </c>
      <c r="AE951" s="68">
        <v>0</v>
      </c>
      <c r="AF951" s="68" t="s">
        <v>317</v>
      </c>
      <c r="AG951" s="68" t="s">
        <v>317</v>
      </c>
      <c r="AH951" s="68" t="s">
        <v>2638</v>
      </c>
      <c r="AI951" s="309"/>
      <c r="AJ951" s="309"/>
      <c r="AK951" s="68" t="s">
        <v>37</v>
      </c>
      <c r="AL951" s="68" t="s">
        <v>54</v>
      </c>
      <c r="AM951" s="299">
        <f t="shared" ca="1" si="90"/>
        <v>0.31597222221898846</v>
      </c>
      <c r="AN951" s="75"/>
      <c r="AO951" s="61" t="s">
        <v>53</v>
      </c>
      <c r="AP951" s="61" t="s">
        <v>2635</v>
      </c>
      <c r="AQ951" s="61" t="s">
        <v>2734</v>
      </c>
      <c r="AR951" s="64">
        <v>44895.697916666664</v>
      </c>
      <c r="AS951" s="61" t="s">
        <v>240</v>
      </c>
      <c r="AT951" s="61" t="s">
        <v>65</v>
      </c>
      <c r="AU951" s="63">
        <v>0.69791666666666663</v>
      </c>
      <c r="AV951" s="61">
        <v>1</v>
      </c>
      <c r="AW951" s="61" t="s">
        <v>66</v>
      </c>
      <c r="AX951" s="76"/>
      <c r="AY951" s="76"/>
      <c r="AZ951" s="76"/>
      <c r="BA951" s="76"/>
    </row>
    <row r="952" spans="1:53" x14ac:dyDescent="0.25">
      <c r="A952" s="48">
        <v>574</v>
      </c>
      <c r="B952" s="72">
        <v>44895.430555555555</v>
      </c>
      <c r="C952" s="36">
        <v>0.43402777777777773</v>
      </c>
      <c r="D952" s="36">
        <v>0.4375</v>
      </c>
      <c r="E952" s="36">
        <v>0.4375</v>
      </c>
      <c r="F952" s="37" t="s">
        <v>171</v>
      </c>
      <c r="G952" s="37" t="s">
        <v>245</v>
      </c>
      <c r="H952" s="26" t="s">
        <v>85</v>
      </c>
      <c r="I952" s="26" t="s">
        <v>86</v>
      </c>
      <c r="J952" s="26" t="s">
        <v>37</v>
      </c>
      <c r="K952" s="26" t="s">
        <v>180</v>
      </c>
      <c r="L952" s="26" t="s">
        <v>206</v>
      </c>
      <c r="M952" s="37" t="s">
        <v>2641</v>
      </c>
      <c r="N952" s="37" t="s">
        <v>42</v>
      </c>
      <c r="O952" s="37">
        <v>6241</v>
      </c>
      <c r="P952" s="37" t="s">
        <v>2639</v>
      </c>
      <c r="Q952" s="303">
        <f t="shared" si="91"/>
        <v>5</v>
      </c>
      <c r="R952" s="303">
        <f t="shared" si="92"/>
        <v>1742</v>
      </c>
      <c r="S952" s="37">
        <v>0</v>
      </c>
      <c r="T952" s="37">
        <v>0</v>
      </c>
      <c r="U952" s="37">
        <v>5</v>
      </c>
      <c r="V952" s="37">
        <f>399+413+327+317+286</f>
        <v>1742</v>
      </c>
      <c r="W952" s="37">
        <v>1706</v>
      </c>
      <c r="X952" s="37">
        <v>120</v>
      </c>
      <c r="Y952" s="37">
        <v>80</v>
      </c>
      <c r="Z952" s="37">
        <v>67</v>
      </c>
      <c r="AA952" s="37">
        <v>1</v>
      </c>
      <c r="AB952" s="300">
        <f t="shared" si="93"/>
        <v>107.2</v>
      </c>
      <c r="AC952" s="300">
        <f t="shared" si="94"/>
        <v>0.64578313253012054</v>
      </c>
      <c r="AD952" s="37">
        <v>4402</v>
      </c>
      <c r="AE952" s="37" t="s">
        <v>109</v>
      </c>
      <c r="AF952" s="37" t="s">
        <v>317</v>
      </c>
      <c r="AG952" s="37" t="s">
        <v>317</v>
      </c>
      <c r="AH952" s="37" t="s">
        <v>2640</v>
      </c>
      <c r="AI952" s="309"/>
      <c r="AJ952" s="309"/>
      <c r="AK952" s="37" t="s">
        <v>37</v>
      </c>
      <c r="AL952" s="37" t="s">
        <v>54</v>
      </c>
      <c r="AM952" s="299">
        <f t="shared" ca="1" si="90"/>
        <v>2.0694444444452529</v>
      </c>
      <c r="AN952" s="51"/>
      <c r="AO952" s="57" t="s">
        <v>87</v>
      </c>
      <c r="AP952" s="24" t="s">
        <v>2641</v>
      </c>
      <c r="AQ952" s="57" t="s">
        <v>2844</v>
      </c>
      <c r="AR952" s="29">
        <v>44897.5</v>
      </c>
      <c r="AS952" s="61" t="s">
        <v>136</v>
      </c>
      <c r="AT952" s="61" t="s">
        <v>225</v>
      </c>
      <c r="AU952" s="63">
        <v>0.5</v>
      </c>
      <c r="AV952" s="57">
        <v>1</v>
      </c>
      <c r="AW952" s="61" t="s">
        <v>66</v>
      </c>
      <c r="AX952" s="52"/>
      <c r="AY952" s="52"/>
      <c r="AZ952" s="52"/>
      <c r="BA952" s="52"/>
    </row>
    <row r="953" spans="1:53" x14ac:dyDescent="0.25">
      <c r="A953" s="73">
        <v>574</v>
      </c>
      <c r="B953" s="72">
        <v>44895.430555555555</v>
      </c>
      <c r="C953" s="67">
        <v>0.43402777777777773</v>
      </c>
      <c r="D953" s="67">
        <v>0.4375</v>
      </c>
      <c r="E953" s="67">
        <v>0.4375</v>
      </c>
      <c r="F953" s="68" t="s">
        <v>171</v>
      </c>
      <c r="G953" s="68" t="s">
        <v>245</v>
      </c>
      <c r="H953" s="60" t="s">
        <v>85</v>
      </c>
      <c r="I953" s="60" t="s">
        <v>86</v>
      </c>
      <c r="J953" s="60" t="s">
        <v>37</v>
      </c>
      <c r="K953" s="60" t="s">
        <v>180</v>
      </c>
      <c r="L953" s="60" t="s">
        <v>206</v>
      </c>
      <c r="M953" s="68" t="s">
        <v>2641</v>
      </c>
      <c r="N953" s="68" t="s">
        <v>42</v>
      </c>
      <c r="O953" s="68">
        <v>6241</v>
      </c>
      <c r="P953" s="68" t="s">
        <v>2639</v>
      </c>
      <c r="Q953" s="303">
        <f t="shared" si="91"/>
        <v>0</v>
      </c>
      <c r="R953" s="303">
        <f t="shared" si="92"/>
        <v>0</v>
      </c>
      <c r="S953" s="68">
        <v>0</v>
      </c>
      <c r="T953" s="68">
        <v>0</v>
      </c>
      <c r="U953" s="68">
        <v>0</v>
      </c>
      <c r="V953" s="68">
        <v>0</v>
      </c>
      <c r="W953" s="68">
        <v>0</v>
      </c>
      <c r="X953" s="37">
        <v>120</v>
      </c>
      <c r="Y953" s="37">
        <v>80</v>
      </c>
      <c r="Z953" s="37">
        <v>93</v>
      </c>
      <c r="AA953" s="37">
        <v>1</v>
      </c>
      <c r="AB953" s="300">
        <f t="shared" si="93"/>
        <v>148.80000000000001</v>
      </c>
      <c r="AC953" s="300">
        <f t="shared" si="94"/>
        <v>0.89638554216867472</v>
      </c>
      <c r="AD953" s="68">
        <v>0</v>
      </c>
      <c r="AE953" s="68">
        <v>0</v>
      </c>
      <c r="AF953" s="68">
        <v>0</v>
      </c>
      <c r="AG953" s="68">
        <v>0</v>
      </c>
      <c r="AH953" s="37">
        <v>0</v>
      </c>
      <c r="AI953" s="309"/>
      <c r="AJ953" s="309"/>
      <c r="AK953" s="68" t="s">
        <v>37</v>
      </c>
      <c r="AL953" s="68" t="s">
        <v>54</v>
      </c>
      <c r="AM953" s="299">
        <f t="shared" ca="1" si="90"/>
        <v>2.0694444444452529</v>
      </c>
      <c r="AN953" s="51"/>
      <c r="AO953" s="57" t="s">
        <v>87</v>
      </c>
      <c r="AP953" s="24" t="s">
        <v>2641</v>
      </c>
      <c r="AQ953" s="57" t="s">
        <v>2844</v>
      </c>
      <c r="AR953" s="29">
        <v>44897.5</v>
      </c>
      <c r="AS953" s="61" t="s">
        <v>136</v>
      </c>
      <c r="AT953" s="61" t="s">
        <v>225</v>
      </c>
      <c r="AU953" s="63">
        <v>0.5</v>
      </c>
      <c r="AV953" s="57">
        <v>1</v>
      </c>
      <c r="AW953" s="61" t="s">
        <v>66</v>
      </c>
      <c r="AX953" s="52"/>
      <c r="AY953" s="52"/>
      <c r="AZ953" s="52"/>
      <c r="BA953" s="52"/>
    </row>
    <row r="954" spans="1:53" x14ac:dyDescent="0.25">
      <c r="A954" s="73">
        <v>574</v>
      </c>
      <c r="B954" s="72">
        <v>44895.430555555555</v>
      </c>
      <c r="C954" s="67">
        <v>0.43402777777777773</v>
      </c>
      <c r="D954" s="67">
        <v>0.4375</v>
      </c>
      <c r="E954" s="67">
        <v>0.4375</v>
      </c>
      <c r="F954" s="68" t="s">
        <v>171</v>
      </c>
      <c r="G954" s="68" t="s">
        <v>245</v>
      </c>
      <c r="H954" s="60" t="s">
        <v>85</v>
      </c>
      <c r="I954" s="60" t="s">
        <v>86</v>
      </c>
      <c r="J954" s="60" t="s">
        <v>37</v>
      </c>
      <c r="K954" s="60" t="s">
        <v>180</v>
      </c>
      <c r="L954" s="60" t="s">
        <v>206</v>
      </c>
      <c r="M954" s="68" t="s">
        <v>2641</v>
      </c>
      <c r="N954" s="68" t="s">
        <v>42</v>
      </c>
      <c r="O954" s="68">
        <v>6241</v>
      </c>
      <c r="P954" s="68" t="s">
        <v>2639</v>
      </c>
      <c r="Q954" s="303">
        <f t="shared" si="91"/>
        <v>0</v>
      </c>
      <c r="R954" s="303">
        <f t="shared" si="92"/>
        <v>0</v>
      </c>
      <c r="S954" s="68">
        <v>0</v>
      </c>
      <c r="T954" s="68">
        <v>0</v>
      </c>
      <c r="U954" s="68">
        <v>0</v>
      </c>
      <c r="V954" s="68">
        <v>0</v>
      </c>
      <c r="W954" s="68">
        <v>0</v>
      </c>
      <c r="X954" s="37">
        <v>120</v>
      </c>
      <c r="Y954" s="37">
        <v>80</v>
      </c>
      <c r="Z954" s="37">
        <v>48</v>
      </c>
      <c r="AA954" s="37">
        <v>1</v>
      </c>
      <c r="AB954" s="300">
        <f t="shared" si="93"/>
        <v>76.8</v>
      </c>
      <c r="AC954" s="300">
        <f t="shared" si="94"/>
        <v>0.46265060240963851</v>
      </c>
      <c r="AD954" s="68">
        <v>0</v>
      </c>
      <c r="AE954" s="68">
        <v>0</v>
      </c>
      <c r="AF954" s="68">
        <v>0</v>
      </c>
      <c r="AG954" s="68">
        <v>0</v>
      </c>
      <c r="AH954" s="68">
        <v>0</v>
      </c>
      <c r="AI954" s="309"/>
      <c r="AJ954" s="309"/>
      <c r="AK954" s="68" t="s">
        <v>37</v>
      </c>
      <c r="AL954" s="68" t="s">
        <v>54</v>
      </c>
      <c r="AM954" s="299">
        <f t="shared" ca="1" si="90"/>
        <v>2.0694444444452529</v>
      </c>
      <c r="AN954" s="51"/>
      <c r="AO954" s="57" t="s">
        <v>87</v>
      </c>
      <c r="AP954" s="24" t="s">
        <v>2641</v>
      </c>
      <c r="AQ954" s="57" t="s">
        <v>2844</v>
      </c>
      <c r="AR954" s="29">
        <v>44897.5</v>
      </c>
      <c r="AS954" s="61" t="s">
        <v>136</v>
      </c>
      <c r="AT954" s="61" t="s">
        <v>225</v>
      </c>
      <c r="AU954" s="63">
        <v>0.5</v>
      </c>
      <c r="AV954" s="57">
        <v>1</v>
      </c>
      <c r="AW954" s="61" t="s">
        <v>66</v>
      </c>
      <c r="AX954" s="52"/>
      <c r="AY954" s="52"/>
      <c r="AZ954" s="52"/>
      <c r="BA954" s="52"/>
    </row>
    <row r="955" spans="1:53" x14ac:dyDescent="0.25">
      <c r="A955" s="73">
        <v>574</v>
      </c>
      <c r="B955" s="72">
        <v>44895.430555555555</v>
      </c>
      <c r="C955" s="67">
        <v>0.43402777777777773</v>
      </c>
      <c r="D955" s="67">
        <v>0.4375</v>
      </c>
      <c r="E955" s="67">
        <v>0.4375</v>
      </c>
      <c r="F955" s="68" t="s">
        <v>171</v>
      </c>
      <c r="G955" s="68" t="s">
        <v>245</v>
      </c>
      <c r="H955" s="60" t="s">
        <v>85</v>
      </c>
      <c r="I955" s="60" t="s">
        <v>86</v>
      </c>
      <c r="J955" s="60" t="s">
        <v>37</v>
      </c>
      <c r="K955" s="60" t="s">
        <v>180</v>
      </c>
      <c r="L955" s="60" t="s">
        <v>206</v>
      </c>
      <c r="M955" s="68" t="s">
        <v>2641</v>
      </c>
      <c r="N955" s="68" t="s">
        <v>42</v>
      </c>
      <c r="O955" s="68">
        <v>6241</v>
      </c>
      <c r="P955" s="68" t="s">
        <v>2639</v>
      </c>
      <c r="Q955" s="303">
        <f t="shared" si="91"/>
        <v>0</v>
      </c>
      <c r="R955" s="303">
        <f t="shared" si="92"/>
        <v>0</v>
      </c>
      <c r="S955" s="68">
        <v>0</v>
      </c>
      <c r="T955" s="68">
        <v>0</v>
      </c>
      <c r="U955" s="68">
        <v>0</v>
      </c>
      <c r="V955" s="68">
        <v>0</v>
      </c>
      <c r="W955" s="68">
        <v>0</v>
      </c>
      <c r="X955" s="37">
        <v>120</v>
      </c>
      <c r="Y955" s="37">
        <v>80</v>
      </c>
      <c r="Z955" s="37">
        <v>88</v>
      </c>
      <c r="AA955" s="37">
        <v>2</v>
      </c>
      <c r="AB955" s="300">
        <f t="shared" si="93"/>
        <v>281.60000000000002</v>
      </c>
      <c r="AC955" s="300">
        <f t="shared" si="94"/>
        <v>1.6963855421686749</v>
      </c>
      <c r="AD955" s="68">
        <v>0</v>
      </c>
      <c r="AE955" s="68">
        <v>0</v>
      </c>
      <c r="AF955" s="68">
        <v>0</v>
      </c>
      <c r="AG955" s="68">
        <v>0</v>
      </c>
      <c r="AH955" s="68">
        <v>0</v>
      </c>
      <c r="AI955" s="309"/>
      <c r="AJ955" s="309"/>
      <c r="AK955" s="68" t="s">
        <v>37</v>
      </c>
      <c r="AL955" s="68" t="s">
        <v>54</v>
      </c>
      <c r="AM955" s="299">
        <f t="shared" ca="1" si="90"/>
        <v>2.0694444444452529</v>
      </c>
      <c r="AN955" s="51"/>
      <c r="AO955" s="57" t="s">
        <v>87</v>
      </c>
      <c r="AP955" s="24" t="s">
        <v>2641</v>
      </c>
      <c r="AQ955" s="57" t="s">
        <v>2844</v>
      </c>
      <c r="AR955" s="29">
        <v>44897.5</v>
      </c>
      <c r="AS955" s="61" t="s">
        <v>136</v>
      </c>
      <c r="AT955" s="61" t="s">
        <v>225</v>
      </c>
      <c r="AU955" s="63">
        <v>0.5</v>
      </c>
      <c r="AV955" s="57">
        <v>1</v>
      </c>
      <c r="AW955" s="61" t="s">
        <v>66</v>
      </c>
      <c r="AX955" s="52"/>
      <c r="AY955" s="52"/>
      <c r="AZ955" s="52"/>
      <c r="BA955" s="52"/>
    </row>
    <row r="956" spans="1:53" x14ac:dyDescent="0.25">
      <c r="A956" s="48">
        <v>575</v>
      </c>
      <c r="B956" s="72">
        <v>44895.430555555555</v>
      </c>
      <c r="C956" s="67">
        <v>0.44444444444444442</v>
      </c>
      <c r="D956" s="36">
        <v>0.4513888888888889</v>
      </c>
      <c r="E956" s="36">
        <v>0.46527777777777773</v>
      </c>
      <c r="F956" s="37" t="s">
        <v>171</v>
      </c>
      <c r="G956" s="37" t="s">
        <v>2642</v>
      </c>
      <c r="H956" s="26" t="s">
        <v>2643</v>
      </c>
      <c r="I956" s="26" t="s">
        <v>201</v>
      </c>
      <c r="J956" s="26" t="s">
        <v>37</v>
      </c>
      <c r="K956" s="26" t="s">
        <v>180</v>
      </c>
      <c r="L956" s="60" t="s">
        <v>206</v>
      </c>
      <c r="M956" s="37" t="s">
        <v>2649</v>
      </c>
      <c r="N956" s="37" t="s">
        <v>125</v>
      </c>
      <c r="O956" s="37" t="s">
        <v>2647</v>
      </c>
      <c r="P956" s="37">
        <v>30124173</v>
      </c>
      <c r="Q956" s="303">
        <f t="shared" si="91"/>
        <v>1</v>
      </c>
      <c r="R956" s="303">
        <f t="shared" si="92"/>
        <v>445</v>
      </c>
      <c r="S956" s="37">
        <v>0</v>
      </c>
      <c r="T956" s="37">
        <v>0</v>
      </c>
      <c r="U956" s="37">
        <v>1</v>
      </c>
      <c r="V956" s="37">
        <v>445</v>
      </c>
      <c r="W956" s="37">
        <v>425</v>
      </c>
      <c r="X956" s="37">
        <v>165</v>
      </c>
      <c r="Y956" s="37">
        <v>102</v>
      </c>
      <c r="Z956" s="37">
        <v>74</v>
      </c>
      <c r="AA956" s="37">
        <v>1</v>
      </c>
      <c r="AB956" s="300">
        <f t="shared" si="93"/>
        <v>207.57</v>
      </c>
      <c r="AC956" s="300">
        <f t="shared" si="94"/>
        <v>1.2504216867469879</v>
      </c>
      <c r="AD956" s="37">
        <v>108</v>
      </c>
      <c r="AE956" s="37" t="s">
        <v>109</v>
      </c>
      <c r="AF956" s="37" t="s">
        <v>317</v>
      </c>
      <c r="AG956" s="37" t="s">
        <v>317</v>
      </c>
      <c r="AH956" s="37" t="s">
        <v>2644</v>
      </c>
      <c r="AI956" s="309"/>
      <c r="AJ956" s="309"/>
      <c r="AK956" s="37" t="s">
        <v>41</v>
      </c>
      <c r="AL956" s="37" t="s">
        <v>39</v>
      </c>
      <c r="AM956" s="299">
        <f t="shared" ca="1" si="90"/>
        <v>6.2916666666642413</v>
      </c>
      <c r="AN956" s="51"/>
      <c r="AO956" s="104" t="s">
        <v>142</v>
      </c>
      <c r="AP956" s="106" t="s">
        <v>2649</v>
      </c>
      <c r="AQ956" s="104" t="s">
        <v>3138</v>
      </c>
      <c r="AR956" s="64">
        <v>44901.722222222219</v>
      </c>
      <c r="AS956" s="104" t="s">
        <v>117</v>
      </c>
      <c r="AT956" s="109" t="s">
        <v>225</v>
      </c>
      <c r="AU956" s="110">
        <v>0.72222222222222221</v>
      </c>
      <c r="AV956" s="109">
        <v>2</v>
      </c>
      <c r="AW956" s="109" t="s">
        <v>66</v>
      </c>
      <c r="AX956" s="52"/>
      <c r="AY956" s="52"/>
      <c r="AZ956" s="52"/>
      <c r="BA956" s="52"/>
    </row>
    <row r="957" spans="1:53" x14ac:dyDescent="0.25">
      <c r="A957" s="48">
        <v>576</v>
      </c>
      <c r="B957" s="72">
        <v>44895.430555555555</v>
      </c>
      <c r="C957" s="67">
        <v>0.44444444444444442</v>
      </c>
      <c r="D957" s="67">
        <v>0.4513888888888889</v>
      </c>
      <c r="E957" s="67">
        <v>0.46527777777777773</v>
      </c>
      <c r="F957" s="68" t="s">
        <v>171</v>
      </c>
      <c r="G957" s="68" t="s">
        <v>2642</v>
      </c>
      <c r="H957" s="60" t="s">
        <v>2643</v>
      </c>
      <c r="I957" s="60" t="s">
        <v>253</v>
      </c>
      <c r="J957" s="60" t="s">
        <v>37</v>
      </c>
      <c r="K957" s="60" t="s">
        <v>180</v>
      </c>
      <c r="L957" s="60" t="s">
        <v>206</v>
      </c>
      <c r="M957" s="37" t="s">
        <v>2648</v>
      </c>
      <c r="N957" s="37" t="s">
        <v>186</v>
      </c>
      <c r="O957" s="37" t="s">
        <v>2646</v>
      </c>
      <c r="P957" s="37">
        <v>30011305</v>
      </c>
      <c r="Q957" s="303">
        <f t="shared" si="91"/>
        <v>1</v>
      </c>
      <c r="R957" s="303">
        <f t="shared" si="92"/>
        <v>274</v>
      </c>
      <c r="S957" s="37">
        <v>0</v>
      </c>
      <c r="T957" s="37">
        <v>0</v>
      </c>
      <c r="U957" s="37">
        <v>1</v>
      </c>
      <c r="V957" s="37">
        <v>274</v>
      </c>
      <c r="W957" s="37">
        <v>265</v>
      </c>
      <c r="X957" s="37">
        <v>145</v>
      </c>
      <c r="Y957" s="37">
        <v>110</v>
      </c>
      <c r="Z957" s="37">
        <v>62</v>
      </c>
      <c r="AA957" s="37">
        <v>1</v>
      </c>
      <c r="AB957" s="300">
        <f t="shared" si="93"/>
        <v>164.81666666666666</v>
      </c>
      <c r="AC957" s="300">
        <f t="shared" si="94"/>
        <v>0.99287148594377506</v>
      </c>
      <c r="AD957" s="37">
        <v>567</v>
      </c>
      <c r="AE957" s="37" t="s">
        <v>109</v>
      </c>
      <c r="AF957" s="68" t="s">
        <v>317</v>
      </c>
      <c r="AG957" s="68" t="s">
        <v>317</v>
      </c>
      <c r="AH957" s="37" t="s">
        <v>2645</v>
      </c>
      <c r="AI957" s="309"/>
      <c r="AJ957" s="309"/>
      <c r="AK957" s="68" t="s">
        <v>41</v>
      </c>
      <c r="AL957" s="68" t="s">
        <v>39</v>
      </c>
      <c r="AM957" s="299">
        <f t="shared" ca="1" si="90"/>
        <v>1.3298611111094942</v>
      </c>
      <c r="AN957" s="51"/>
      <c r="AO957" s="57" t="s">
        <v>131</v>
      </c>
      <c r="AP957" s="24" t="s">
        <v>2648</v>
      </c>
      <c r="AQ957" s="57" t="s">
        <v>2822</v>
      </c>
      <c r="AR957" s="29">
        <v>44896.760416666664</v>
      </c>
      <c r="AS957" s="57" t="s">
        <v>173</v>
      </c>
      <c r="AT957" s="61" t="s">
        <v>225</v>
      </c>
      <c r="AU957" s="63">
        <v>0.76041666666666663</v>
      </c>
      <c r="AV957" s="57">
        <v>2</v>
      </c>
      <c r="AW957" s="61" t="s">
        <v>66</v>
      </c>
      <c r="AX957" s="52"/>
      <c r="AY957" s="52"/>
      <c r="AZ957" s="52"/>
      <c r="BA957" s="52"/>
    </row>
    <row r="958" spans="1:53" x14ac:dyDescent="0.25">
      <c r="A958" s="48">
        <v>577</v>
      </c>
      <c r="B958" s="72">
        <v>44895.430555555555</v>
      </c>
      <c r="C958" s="36">
        <v>0.45833333333333331</v>
      </c>
      <c r="D958" s="36">
        <v>0.46180555555555558</v>
      </c>
      <c r="E958" s="36">
        <v>0.47222222222222227</v>
      </c>
      <c r="F958" s="68" t="s">
        <v>171</v>
      </c>
      <c r="G958" s="37" t="s">
        <v>475</v>
      </c>
      <c r="H958" s="26" t="s">
        <v>195</v>
      </c>
      <c r="I958" s="60" t="s">
        <v>195</v>
      </c>
      <c r="J958" s="60" t="s">
        <v>37</v>
      </c>
      <c r="K958" s="60" t="s">
        <v>180</v>
      </c>
      <c r="L958" s="26" t="s">
        <v>209</v>
      </c>
      <c r="M958" s="37" t="s">
        <v>2653</v>
      </c>
      <c r="N958" s="37" t="s">
        <v>53</v>
      </c>
      <c r="O958" s="37" t="s">
        <v>2650</v>
      </c>
      <c r="P958" s="37">
        <v>2101085436</v>
      </c>
      <c r="Q958" s="303">
        <f t="shared" si="91"/>
        <v>3</v>
      </c>
      <c r="R958" s="303">
        <f t="shared" si="92"/>
        <v>1271</v>
      </c>
      <c r="S958" s="37">
        <v>0</v>
      </c>
      <c r="T958" s="37">
        <v>0</v>
      </c>
      <c r="U958" s="37">
        <v>3</v>
      </c>
      <c r="V958" s="37">
        <v>1271</v>
      </c>
      <c r="W958" s="37">
        <v>1262</v>
      </c>
      <c r="X958" s="37">
        <v>116</v>
      </c>
      <c r="Y958" s="37">
        <v>81</v>
      </c>
      <c r="Z958" s="37">
        <v>96</v>
      </c>
      <c r="AA958" s="37">
        <v>3</v>
      </c>
      <c r="AB958" s="300">
        <f t="shared" si="93"/>
        <v>451.00799999999998</v>
      </c>
      <c r="AC958" s="300">
        <f t="shared" si="94"/>
        <v>2.7169156626506021</v>
      </c>
      <c r="AD958" s="37">
        <v>86630</v>
      </c>
      <c r="AE958" s="68" t="s">
        <v>109</v>
      </c>
      <c r="AF958" s="68" t="s">
        <v>317</v>
      </c>
      <c r="AG958" s="68" t="s">
        <v>317</v>
      </c>
      <c r="AH958" s="37" t="s">
        <v>2651</v>
      </c>
      <c r="AI958" s="309"/>
      <c r="AJ958" s="309"/>
      <c r="AK958" s="37" t="s">
        <v>2652</v>
      </c>
      <c r="AL958" s="68" t="s">
        <v>39</v>
      </c>
      <c r="AM958" s="299">
        <f t="shared" ca="1" si="90"/>
        <v>0.26736111110949423</v>
      </c>
      <c r="AN958" s="51"/>
      <c r="AO958" s="61" t="s">
        <v>53</v>
      </c>
      <c r="AP958" s="61" t="s">
        <v>2653</v>
      </c>
      <c r="AQ958" s="61" t="s">
        <v>2734</v>
      </c>
      <c r="AR958" s="64">
        <v>44895.697916666664</v>
      </c>
      <c r="AS958" s="61" t="s">
        <v>240</v>
      </c>
      <c r="AT958" s="61" t="s">
        <v>65</v>
      </c>
      <c r="AU958" s="63">
        <v>0.69791666666666663</v>
      </c>
      <c r="AV958" s="61">
        <v>1</v>
      </c>
      <c r="AW958" s="61" t="s">
        <v>66</v>
      </c>
      <c r="AX958" s="52"/>
      <c r="AY958" s="52"/>
      <c r="AZ958" s="52"/>
      <c r="BA958" s="52"/>
    </row>
    <row r="959" spans="1:53" x14ac:dyDescent="0.25">
      <c r="A959" s="48">
        <v>578</v>
      </c>
      <c r="B959" s="72">
        <v>44895.472222222219</v>
      </c>
      <c r="C959" s="36">
        <v>0.47569444444444442</v>
      </c>
      <c r="D959" s="36">
        <v>0.4826388888888889</v>
      </c>
      <c r="E959" s="36">
        <v>0.4861111111111111</v>
      </c>
      <c r="F959" s="37" t="s">
        <v>170</v>
      </c>
      <c r="G959" s="37" t="s">
        <v>330</v>
      </c>
      <c r="H959" s="26" t="s">
        <v>204</v>
      </c>
      <c r="I959" s="26" t="s">
        <v>162</v>
      </c>
      <c r="J959" s="60" t="s">
        <v>37</v>
      </c>
      <c r="K959" s="26" t="s">
        <v>63</v>
      </c>
      <c r="L959" s="26" t="s">
        <v>212</v>
      </c>
      <c r="M959" s="37" t="s">
        <v>2656</v>
      </c>
      <c r="N959" s="37" t="s">
        <v>159</v>
      </c>
      <c r="O959" s="37" t="s">
        <v>2654</v>
      </c>
      <c r="P959" s="37">
        <v>5051940194</v>
      </c>
      <c r="Q959" s="303">
        <f t="shared" si="91"/>
        <v>2</v>
      </c>
      <c r="R959" s="303">
        <f t="shared" si="92"/>
        <v>196</v>
      </c>
      <c r="S959" s="37">
        <v>0</v>
      </c>
      <c r="T959" s="37">
        <v>0</v>
      </c>
      <c r="U959" s="37">
        <v>2</v>
      </c>
      <c r="V959" s="37">
        <v>196</v>
      </c>
      <c r="W959" s="37">
        <v>224</v>
      </c>
      <c r="X959" s="37">
        <v>54</v>
      </c>
      <c r="Y959" s="37">
        <v>52</v>
      </c>
      <c r="Z959" s="37">
        <v>42</v>
      </c>
      <c r="AA959" s="37">
        <v>2</v>
      </c>
      <c r="AB959" s="300">
        <f t="shared" si="93"/>
        <v>39.311999999999998</v>
      </c>
      <c r="AC959" s="300">
        <f t="shared" si="94"/>
        <v>0.23681927710843373</v>
      </c>
      <c r="AD959" s="37">
        <v>2071</v>
      </c>
      <c r="AE959" s="37" t="s">
        <v>109</v>
      </c>
      <c r="AF959" s="37" t="s">
        <v>317</v>
      </c>
      <c r="AG959" s="37" t="s">
        <v>317</v>
      </c>
      <c r="AH959" s="37" t="s">
        <v>2655</v>
      </c>
      <c r="AI959" s="309"/>
      <c r="AJ959" s="309"/>
      <c r="AK959" s="37" t="s">
        <v>41</v>
      </c>
      <c r="AL959" s="37" t="s">
        <v>54</v>
      </c>
      <c r="AM959" s="299">
        <f t="shared" ca="1" si="90"/>
        <v>5.9826388888905058</v>
      </c>
      <c r="AN959" s="51"/>
      <c r="AO959" s="104" t="s">
        <v>159</v>
      </c>
      <c r="AP959" s="106" t="s">
        <v>2656</v>
      </c>
      <c r="AQ959" s="104" t="s">
        <v>3074</v>
      </c>
      <c r="AR959" s="111">
        <v>44901.454861111109</v>
      </c>
      <c r="AS959" s="104" t="s">
        <v>117</v>
      </c>
      <c r="AT959" s="109" t="s">
        <v>225</v>
      </c>
      <c r="AU959" s="110">
        <v>0.4548611111111111</v>
      </c>
      <c r="AV959" s="104">
        <v>1</v>
      </c>
      <c r="AW959" s="109" t="s">
        <v>66</v>
      </c>
      <c r="AX959" s="52"/>
      <c r="AY959" s="52"/>
      <c r="AZ959" s="52"/>
      <c r="BA959" s="52"/>
    </row>
    <row r="960" spans="1:53" x14ac:dyDescent="0.25">
      <c r="A960" s="48">
        <v>577</v>
      </c>
      <c r="B960" s="72">
        <v>44895.506944444445</v>
      </c>
      <c r="C960" s="36">
        <v>0.50694444444444442</v>
      </c>
      <c r="D960" s="36">
        <v>0.51041666666666663</v>
      </c>
      <c r="E960" s="36">
        <v>0.52430555555555558</v>
      </c>
      <c r="F960" s="37" t="s">
        <v>169</v>
      </c>
      <c r="G960" s="37" t="s">
        <v>2657</v>
      </c>
      <c r="H960" s="26" t="s">
        <v>312</v>
      </c>
      <c r="I960" s="26" t="s">
        <v>2658</v>
      </c>
      <c r="J960" s="26" t="s">
        <v>37</v>
      </c>
      <c r="K960" s="26" t="s">
        <v>233</v>
      </c>
      <c r="L960" s="60" t="s">
        <v>306</v>
      </c>
      <c r="M960" s="56" t="s">
        <v>4763</v>
      </c>
      <c r="N960" s="37" t="s">
        <v>76</v>
      </c>
      <c r="O960" s="37" t="s">
        <v>2659</v>
      </c>
      <c r="P960" s="37" t="s">
        <v>2660</v>
      </c>
      <c r="Q960" s="303">
        <f t="shared" si="91"/>
        <v>14</v>
      </c>
      <c r="R960" s="303">
        <f t="shared" si="92"/>
        <v>106</v>
      </c>
      <c r="S960" s="37">
        <v>14</v>
      </c>
      <c r="T960" s="37">
        <v>106</v>
      </c>
      <c r="U960" s="37">
        <v>0</v>
      </c>
      <c r="V960" s="37">
        <v>0</v>
      </c>
      <c r="W960" s="37">
        <v>109</v>
      </c>
      <c r="X960" s="37">
        <v>63</v>
      </c>
      <c r="Y960" s="37">
        <v>52</v>
      </c>
      <c r="Z960" s="37">
        <v>20</v>
      </c>
      <c r="AA960" s="37">
        <v>14</v>
      </c>
      <c r="AB960" s="300">
        <f t="shared" si="93"/>
        <v>152.88</v>
      </c>
      <c r="AC960" s="300">
        <f t="shared" si="94"/>
        <v>0.92096385542168668</v>
      </c>
      <c r="AD960" s="37" t="s">
        <v>48</v>
      </c>
      <c r="AE960" s="37" t="s">
        <v>48</v>
      </c>
      <c r="AF960" s="37">
        <v>5812516</v>
      </c>
      <c r="AG960" s="37" t="s">
        <v>2661</v>
      </c>
      <c r="AH960" s="37" t="s">
        <v>2662</v>
      </c>
      <c r="AI960" s="309"/>
      <c r="AJ960" s="309"/>
      <c r="AK960" s="37" t="s">
        <v>48</v>
      </c>
      <c r="AL960" s="37" t="s">
        <v>50</v>
      </c>
      <c r="AM960" s="299">
        <f t="shared" ca="1" si="90"/>
        <v>34.180555555554747</v>
      </c>
      <c r="AN960" s="51"/>
      <c r="AO960" s="288" t="s">
        <v>123</v>
      </c>
      <c r="AP960" s="275" t="s">
        <v>4763</v>
      </c>
      <c r="AQ960" s="288" t="s">
        <v>4823</v>
      </c>
      <c r="AR960" s="277">
        <v>44929.6875</v>
      </c>
      <c r="AS960" s="272" t="s">
        <v>811</v>
      </c>
      <c r="AT960" s="288" t="s">
        <v>310</v>
      </c>
      <c r="AU960" s="276">
        <v>0.6875</v>
      </c>
      <c r="AV960" s="288">
        <v>1</v>
      </c>
      <c r="AW960" s="288" t="s">
        <v>66</v>
      </c>
      <c r="AX960" s="52"/>
      <c r="AY960" s="52"/>
      <c r="AZ960" s="52"/>
      <c r="BA960" s="52"/>
    </row>
    <row r="961" spans="1:53" x14ac:dyDescent="0.25">
      <c r="A961" s="48">
        <v>578</v>
      </c>
      <c r="B961" s="72">
        <v>44895.430555555555</v>
      </c>
      <c r="C961" s="36">
        <v>0.44097222222222227</v>
      </c>
      <c r="D961" s="36">
        <v>0.44791666666666669</v>
      </c>
      <c r="E961" s="36">
        <v>0.55208333333333337</v>
      </c>
      <c r="F961" s="37" t="s">
        <v>171</v>
      </c>
      <c r="G961" s="37" t="s">
        <v>2663</v>
      </c>
      <c r="H961" s="26" t="s">
        <v>2664</v>
      </c>
      <c r="I961" s="26" t="s">
        <v>2665</v>
      </c>
      <c r="J961" s="26" t="s">
        <v>37</v>
      </c>
      <c r="K961" s="26" t="s">
        <v>180</v>
      </c>
      <c r="L961" s="26" t="s">
        <v>206</v>
      </c>
      <c r="M961" s="37" t="s">
        <v>2672</v>
      </c>
      <c r="N961" s="37" t="s">
        <v>159</v>
      </c>
      <c r="O961" s="37" t="s">
        <v>2666</v>
      </c>
      <c r="P961" s="37" t="s">
        <v>2667</v>
      </c>
      <c r="Q961" s="303">
        <f t="shared" si="91"/>
        <v>1</v>
      </c>
      <c r="R961" s="303">
        <f t="shared" si="92"/>
        <v>32</v>
      </c>
      <c r="S961" s="37">
        <v>0</v>
      </c>
      <c r="T961" s="37">
        <v>0</v>
      </c>
      <c r="U961" s="37">
        <v>1</v>
      </c>
      <c r="V961" s="37">
        <v>32</v>
      </c>
      <c r="W961" s="37">
        <v>32</v>
      </c>
      <c r="X961" s="37">
        <v>54</v>
      </c>
      <c r="Y961" s="37">
        <v>39</v>
      </c>
      <c r="Z961" s="37">
        <v>37</v>
      </c>
      <c r="AA961" s="37">
        <v>1</v>
      </c>
      <c r="AB961" s="300">
        <f t="shared" si="93"/>
        <v>12.987</v>
      </c>
      <c r="AC961" s="300">
        <f t="shared" si="94"/>
        <v>7.8234939759036143E-2</v>
      </c>
      <c r="AD961" s="37" t="s">
        <v>48</v>
      </c>
      <c r="AE961" s="37" t="s">
        <v>48</v>
      </c>
      <c r="AF961" s="37" t="s">
        <v>317</v>
      </c>
      <c r="AG961" s="37" t="s">
        <v>317</v>
      </c>
      <c r="AH961" s="37" t="s">
        <v>2668</v>
      </c>
      <c r="AI961" s="309"/>
      <c r="AJ961" s="309"/>
      <c r="AK961" s="37" t="s">
        <v>37</v>
      </c>
      <c r="AL961" s="37" t="s">
        <v>39</v>
      </c>
      <c r="AM961" s="299">
        <f t="shared" ca="1" si="90"/>
        <v>2.2048611111094942</v>
      </c>
      <c r="AN961" s="51"/>
      <c r="AO961" s="57" t="s">
        <v>509</v>
      </c>
      <c r="AP961" s="24" t="s">
        <v>2672</v>
      </c>
      <c r="AQ961" s="57" t="s">
        <v>2890</v>
      </c>
      <c r="AR961" s="29">
        <v>44897.635416666664</v>
      </c>
      <c r="AS961" s="57" t="s">
        <v>117</v>
      </c>
      <c r="AT961" s="61" t="s">
        <v>225</v>
      </c>
      <c r="AU961" s="63">
        <v>0.63541666666666663</v>
      </c>
      <c r="AV961" s="57">
        <v>2</v>
      </c>
      <c r="AW961" s="61" t="s">
        <v>66</v>
      </c>
      <c r="AX961" s="52"/>
      <c r="AY961" s="52"/>
      <c r="AZ961" s="52"/>
      <c r="BA961" s="52"/>
    </row>
    <row r="962" spans="1:53" x14ac:dyDescent="0.25">
      <c r="A962" s="48">
        <v>579</v>
      </c>
      <c r="B962" s="72">
        <v>44895.430555555555</v>
      </c>
      <c r="C962" s="67">
        <v>0.44097222222222227</v>
      </c>
      <c r="D962" s="67">
        <v>0.44791666666666669</v>
      </c>
      <c r="E962" s="67">
        <v>0.55208333333333337</v>
      </c>
      <c r="F962" s="68" t="s">
        <v>171</v>
      </c>
      <c r="G962" s="68" t="s">
        <v>2663</v>
      </c>
      <c r="H962" s="60" t="s">
        <v>2664</v>
      </c>
      <c r="I962" s="60" t="s">
        <v>2665</v>
      </c>
      <c r="J962" s="60" t="s">
        <v>37</v>
      </c>
      <c r="K962" s="60" t="s">
        <v>180</v>
      </c>
      <c r="L962" s="60" t="s">
        <v>206</v>
      </c>
      <c r="M962" s="68" t="s">
        <v>2673</v>
      </c>
      <c r="N962" s="68" t="s">
        <v>159</v>
      </c>
      <c r="O962" s="68" t="s">
        <v>2669</v>
      </c>
      <c r="P962" s="37" t="s">
        <v>2670</v>
      </c>
      <c r="Q962" s="303">
        <f t="shared" si="91"/>
        <v>1</v>
      </c>
      <c r="R962" s="303">
        <f t="shared" si="92"/>
        <v>25</v>
      </c>
      <c r="S962" s="37">
        <v>0</v>
      </c>
      <c r="T962" s="37">
        <v>0</v>
      </c>
      <c r="U962" s="37">
        <v>1</v>
      </c>
      <c r="V962" s="37">
        <v>25</v>
      </c>
      <c r="W962" s="37">
        <v>24</v>
      </c>
      <c r="X962" s="37">
        <v>60</v>
      </c>
      <c r="Y962" s="37">
        <v>36</v>
      </c>
      <c r="Z962" s="37">
        <v>26</v>
      </c>
      <c r="AA962" s="37">
        <v>1</v>
      </c>
      <c r="AB962" s="300">
        <f t="shared" si="93"/>
        <v>9.36</v>
      </c>
      <c r="AC962" s="300">
        <f t="shared" si="94"/>
        <v>5.6385542168674696E-2</v>
      </c>
      <c r="AD962" s="37" t="s">
        <v>48</v>
      </c>
      <c r="AE962" s="37" t="s">
        <v>48</v>
      </c>
      <c r="AF962" s="37" t="s">
        <v>317</v>
      </c>
      <c r="AG962" s="37" t="s">
        <v>317</v>
      </c>
      <c r="AH962" s="37" t="s">
        <v>2671</v>
      </c>
      <c r="AI962" s="309"/>
      <c r="AJ962" s="309"/>
      <c r="AK962" s="37" t="s">
        <v>41</v>
      </c>
      <c r="AL962" s="37" t="s">
        <v>39</v>
      </c>
      <c r="AM962" s="299">
        <f t="shared" ca="1" si="90"/>
        <v>2.2048611111094942</v>
      </c>
      <c r="AN962" s="51"/>
      <c r="AO962" s="57" t="s">
        <v>509</v>
      </c>
      <c r="AP962" s="24" t="s">
        <v>2673</v>
      </c>
      <c r="AQ962" s="57" t="s">
        <v>2890</v>
      </c>
      <c r="AR962" s="29">
        <v>44897.635416666664</v>
      </c>
      <c r="AS962" s="57" t="s">
        <v>117</v>
      </c>
      <c r="AT962" s="61" t="s">
        <v>225</v>
      </c>
      <c r="AU962" s="63">
        <v>0.63541666666666663</v>
      </c>
      <c r="AV962" s="57">
        <v>2</v>
      </c>
      <c r="AW962" s="61" t="s">
        <v>66</v>
      </c>
      <c r="AX962" s="52"/>
      <c r="AY962" s="52"/>
      <c r="AZ962" s="52"/>
      <c r="BA962" s="52"/>
    </row>
    <row r="963" spans="1:53" x14ac:dyDescent="0.25">
      <c r="A963" s="48">
        <v>580</v>
      </c>
      <c r="B963" s="72">
        <v>44895.583333333336</v>
      </c>
      <c r="C963" s="36">
        <v>0.58680555555555558</v>
      </c>
      <c r="D963" s="36">
        <v>0.59027777777777779</v>
      </c>
      <c r="E963" s="36">
        <v>0.59375</v>
      </c>
      <c r="F963" s="37" t="s">
        <v>169</v>
      </c>
      <c r="G963" s="37" t="s">
        <v>2674</v>
      </c>
      <c r="H963" s="26" t="s">
        <v>248</v>
      </c>
      <c r="I963" s="26" t="s">
        <v>444</v>
      </c>
      <c r="J963" s="26" t="s">
        <v>41</v>
      </c>
      <c r="K963" s="26" t="s">
        <v>241</v>
      </c>
      <c r="L963" s="66" t="s">
        <v>249</v>
      </c>
      <c r="M963" s="37" t="s">
        <v>2677</v>
      </c>
      <c r="N963" s="37" t="s">
        <v>42</v>
      </c>
      <c r="O963" s="37">
        <v>716</v>
      </c>
      <c r="P963" s="37">
        <v>64156002</v>
      </c>
      <c r="Q963" s="303">
        <f t="shared" si="91"/>
        <v>9</v>
      </c>
      <c r="R963" s="303">
        <f t="shared" si="92"/>
        <v>139</v>
      </c>
      <c r="S963" s="37">
        <v>9</v>
      </c>
      <c r="T963" s="37">
        <f>161-22</f>
        <v>139</v>
      </c>
      <c r="U963" s="37">
        <v>0</v>
      </c>
      <c r="V963" s="37">
        <v>0</v>
      </c>
      <c r="W963" s="37">
        <v>134</v>
      </c>
      <c r="X963" s="37">
        <v>60</v>
      </c>
      <c r="Y963" s="37">
        <v>41</v>
      </c>
      <c r="Z963" s="37">
        <v>40</v>
      </c>
      <c r="AA963" s="37">
        <v>9</v>
      </c>
      <c r="AB963" s="300">
        <f t="shared" si="93"/>
        <v>147.6</v>
      </c>
      <c r="AC963" s="300">
        <f t="shared" si="94"/>
        <v>0.88915662650602412</v>
      </c>
      <c r="AD963" s="37">
        <v>3696</v>
      </c>
      <c r="AE963" s="37" t="s">
        <v>109</v>
      </c>
      <c r="AF963" s="37">
        <v>5816516</v>
      </c>
      <c r="AG963" s="37" t="s">
        <v>2675</v>
      </c>
      <c r="AH963" s="37" t="s">
        <v>2676</v>
      </c>
      <c r="AI963" s="309"/>
      <c r="AJ963" s="309"/>
      <c r="AK963" s="37" t="s">
        <v>48</v>
      </c>
      <c r="AL963" s="37" t="s">
        <v>47</v>
      </c>
      <c r="AM963" s="299">
        <f t="shared" ca="1" si="90"/>
        <v>0.92708333332848269</v>
      </c>
      <c r="AN963" s="51"/>
      <c r="AO963" s="57" t="s">
        <v>135</v>
      </c>
      <c r="AP963" s="57" t="s">
        <v>2677</v>
      </c>
      <c r="AQ963" s="57" t="s">
        <v>2812</v>
      </c>
      <c r="AR963" s="29">
        <v>44896.510416666664</v>
      </c>
      <c r="AS963" s="57" t="s">
        <v>117</v>
      </c>
      <c r="AT963" s="61" t="s">
        <v>225</v>
      </c>
      <c r="AU963" s="63">
        <v>0.51041666666666663</v>
      </c>
      <c r="AV963" s="61">
        <v>1</v>
      </c>
      <c r="AW963" s="61" t="s">
        <v>66</v>
      </c>
      <c r="AX963" s="52"/>
      <c r="AY963" s="52"/>
      <c r="AZ963" s="52"/>
      <c r="BA963" s="52"/>
    </row>
    <row r="964" spans="1:53" x14ac:dyDescent="0.25">
      <c r="A964" s="48">
        <v>581</v>
      </c>
      <c r="B964" s="72">
        <v>44895.583333333336</v>
      </c>
      <c r="C964" s="36">
        <v>0.59375</v>
      </c>
      <c r="D964" s="36">
        <v>0.60069444444444442</v>
      </c>
      <c r="E964" s="36">
        <v>0.61111111111111105</v>
      </c>
      <c r="F964" s="68" t="s">
        <v>169</v>
      </c>
      <c r="G964" s="37" t="s">
        <v>2678</v>
      </c>
      <c r="H964" s="26" t="s">
        <v>2679</v>
      </c>
      <c r="I964" s="26" t="s">
        <v>2680</v>
      </c>
      <c r="J964" s="26" t="s">
        <v>37</v>
      </c>
      <c r="K964" s="26" t="s">
        <v>61</v>
      </c>
      <c r="L964" s="26" t="s">
        <v>206</v>
      </c>
      <c r="M964" s="37" t="s">
        <v>2684</v>
      </c>
      <c r="N964" s="37" t="s">
        <v>42</v>
      </c>
      <c r="O964" s="37" t="s">
        <v>2681</v>
      </c>
      <c r="P964" s="37" t="s">
        <v>2682</v>
      </c>
      <c r="Q964" s="303">
        <f t="shared" si="91"/>
        <v>45</v>
      </c>
      <c r="R964" s="303">
        <f t="shared" si="92"/>
        <v>473</v>
      </c>
      <c r="S964" s="37">
        <v>45</v>
      </c>
      <c r="T964" s="37">
        <v>473</v>
      </c>
      <c r="U964" s="37">
        <v>0</v>
      </c>
      <c r="V964" s="37">
        <v>0</v>
      </c>
      <c r="W964" s="37">
        <v>467</v>
      </c>
      <c r="X964" s="37">
        <v>61</v>
      </c>
      <c r="Y964" s="37">
        <v>40</v>
      </c>
      <c r="Z964" s="37">
        <v>26</v>
      </c>
      <c r="AA964" s="37">
        <v>36</v>
      </c>
      <c r="AB964" s="300">
        <f t="shared" si="93"/>
        <v>380.64</v>
      </c>
      <c r="AC964" s="300">
        <f t="shared" si="94"/>
        <v>2.2930120481927712</v>
      </c>
      <c r="AD964" s="37">
        <v>23740</v>
      </c>
      <c r="AE964" s="37" t="s">
        <v>109</v>
      </c>
      <c r="AF964" s="37">
        <v>5809492</v>
      </c>
      <c r="AG964" s="37" t="s">
        <v>2661</v>
      </c>
      <c r="AH964" s="37" t="s">
        <v>2683</v>
      </c>
      <c r="AI964" s="309"/>
      <c r="AJ964" s="309"/>
      <c r="AK964" s="37" t="s">
        <v>48</v>
      </c>
      <c r="AL964" s="37" t="s">
        <v>47</v>
      </c>
      <c r="AM964" s="299">
        <f t="shared" ca="1" si="90"/>
        <v>1.1770833333284827</v>
      </c>
      <c r="AN964" s="51"/>
      <c r="AO964" s="57" t="s">
        <v>2820</v>
      </c>
      <c r="AP964" s="24" t="s">
        <v>2684</v>
      </c>
      <c r="AQ964" s="57" t="s">
        <v>2821</v>
      </c>
      <c r="AR964" s="29">
        <v>44896.760416666664</v>
      </c>
      <c r="AS964" s="57" t="s">
        <v>173</v>
      </c>
      <c r="AT964" s="61" t="s">
        <v>225</v>
      </c>
      <c r="AU964" s="63">
        <v>0.76041666666666663</v>
      </c>
      <c r="AV964" s="57">
        <v>2</v>
      </c>
      <c r="AW964" s="61" t="s">
        <v>66</v>
      </c>
      <c r="AX964" s="52"/>
      <c r="AY964" s="52"/>
      <c r="AZ964" s="52"/>
      <c r="BA964" s="52"/>
    </row>
    <row r="965" spans="1:53" x14ac:dyDescent="0.25">
      <c r="A965" s="73">
        <v>581</v>
      </c>
      <c r="B965" s="72">
        <v>44895.583333333336</v>
      </c>
      <c r="C965" s="67">
        <v>0.59375</v>
      </c>
      <c r="D965" s="67">
        <v>0.60069444444444442</v>
      </c>
      <c r="E965" s="67">
        <v>0.61111111111111105</v>
      </c>
      <c r="F965" s="68" t="s">
        <v>169</v>
      </c>
      <c r="G965" s="68" t="s">
        <v>2678</v>
      </c>
      <c r="H965" s="60" t="s">
        <v>2679</v>
      </c>
      <c r="I965" s="60" t="s">
        <v>2680</v>
      </c>
      <c r="J965" s="60" t="s">
        <v>37</v>
      </c>
      <c r="K965" s="60" t="s">
        <v>61</v>
      </c>
      <c r="L965" s="60" t="s">
        <v>206</v>
      </c>
      <c r="M965" s="68" t="s">
        <v>2684</v>
      </c>
      <c r="N965" s="68" t="s">
        <v>42</v>
      </c>
      <c r="O965" s="68" t="s">
        <v>2681</v>
      </c>
      <c r="P965" s="68" t="s">
        <v>2682</v>
      </c>
      <c r="Q965" s="303">
        <f t="shared" si="91"/>
        <v>0</v>
      </c>
      <c r="R965" s="303">
        <f t="shared" si="92"/>
        <v>0</v>
      </c>
      <c r="S965" s="37">
        <v>0</v>
      </c>
      <c r="T965" s="37">
        <v>0</v>
      </c>
      <c r="U965" s="37">
        <v>0</v>
      </c>
      <c r="V965" s="37">
        <v>0</v>
      </c>
      <c r="W965" s="37">
        <v>0</v>
      </c>
      <c r="X965" s="37">
        <v>61</v>
      </c>
      <c r="Y965" s="37">
        <v>39</v>
      </c>
      <c r="Z965" s="37">
        <v>21</v>
      </c>
      <c r="AA965" s="37">
        <v>9</v>
      </c>
      <c r="AB965" s="300">
        <f t="shared" si="93"/>
        <v>74.938500000000005</v>
      </c>
      <c r="AC965" s="300">
        <f t="shared" si="94"/>
        <v>0.45143674698795183</v>
      </c>
      <c r="AD965" s="37">
        <v>0</v>
      </c>
      <c r="AE965" s="37">
        <v>0</v>
      </c>
      <c r="AF965" s="37">
        <v>0</v>
      </c>
      <c r="AG965" s="37">
        <v>0</v>
      </c>
      <c r="AH965" s="37">
        <v>0</v>
      </c>
      <c r="AI965" s="309"/>
      <c r="AJ965" s="309"/>
      <c r="AK965" s="68" t="s">
        <v>48</v>
      </c>
      <c r="AL965" s="68" t="s">
        <v>47</v>
      </c>
      <c r="AM965" s="299">
        <f t="shared" ca="1" si="90"/>
        <v>1.1770833333284827</v>
      </c>
      <c r="AN965" s="51"/>
      <c r="AO965" s="57" t="s">
        <v>2820</v>
      </c>
      <c r="AP965" s="24" t="s">
        <v>2684</v>
      </c>
      <c r="AQ965" s="57" t="s">
        <v>2821</v>
      </c>
      <c r="AR965" s="29">
        <v>44896.760416666664</v>
      </c>
      <c r="AS965" s="57" t="s">
        <v>173</v>
      </c>
      <c r="AT965" s="61" t="s">
        <v>225</v>
      </c>
      <c r="AU965" s="63">
        <v>0.76041666666666663</v>
      </c>
      <c r="AV965" s="57">
        <v>2</v>
      </c>
      <c r="AW965" s="61" t="s">
        <v>66</v>
      </c>
      <c r="AX965" s="52"/>
      <c r="AY965" s="52"/>
      <c r="AZ965" s="52"/>
      <c r="BA965" s="52"/>
    </row>
    <row r="966" spans="1:53" x14ac:dyDescent="0.25">
      <c r="A966" s="48">
        <v>582</v>
      </c>
      <c r="B966" s="72">
        <v>44895.583333333336</v>
      </c>
      <c r="C966" s="36">
        <v>0.60069444444444442</v>
      </c>
      <c r="D966" s="36">
        <v>0.60416666666666663</v>
      </c>
      <c r="E966" s="36">
        <v>0.61805555555555558</v>
      </c>
      <c r="F966" s="68" t="s">
        <v>169</v>
      </c>
      <c r="G966" s="37" t="s">
        <v>454</v>
      </c>
      <c r="H966" s="26" t="s">
        <v>974</v>
      </c>
      <c r="I966" s="26" t="s">
        <v>80</v>
      </c>
      <c r="J966" s="26" t="s">
        <v>37</v>
      </c>
      <c r="K966" s="26" t="s">
        <v>241</v>
      </c>
      <c r="L966" s="26" t="s">
        <v>211</v>
      </c>
      <c r="M966" s="37" t="s">
        <v>2687</v>
      </c>
      <c r="N966" s="37" t="s">
        <v>42</v>
      </c>
      <c r="O966" s="37">
        <v>170</v>
      </c>
      <c r="P966" s="37" t="s">
        <v>2685</v>
      </c>
      <c r="Q966" s="303">
        <f t="shared" si="91"/>
        <v>9</v>
      </c>
      <c r="R966" s="303">
        <f t="shared" si="92"/>
        <v>51</v>
      </c>
      <c r="S966" s="37">
        <v>9</v>
      </c>
      <c r="T966" s="37">
        <f>51</f>
        <v>51</v>
      </c>
      <c r="U966" s="37">
        <v>0</v>
      </c>
      <c r="V966" s="37">
        <v>0</v>
      </c>
      <c r="W966" s="37">
        <v>50</v>
      </c>
      <c r="X966" s="37">
        <v>58</v>
      </c>
      <c r="Y966" s="37">
        <v>38</v>
      </c>
      <c r="Z966" s="37">
        <v>20</v>
      </c>
      <c r="AA966" s="37">
        <v>3</v>
      </c>
      <c r="AB966" s="300">
        <f t="shared" si="93"/>
        <v>22.04</v>
      </c>
      <c r="AC966" s="300">
        <f t="shared" si="94"/>
        <v>0.13277108433734938</v>
      </c>
      <c r="AD966" s="37">
        <v>1755</v>
      </c>
      <c r="AE966" s="37" t="s">
        <v>109</v>
      </c>
      <c r="AF966" s="37">
        <v>5820689</v>
      </c>
      <c r="AG966" s="37" t="s">
        <v>2675</v>
      </c>
      <c r="AH966" s="37" t="s">
        <v>2686</v>
      </c>
      <c r="AI966" s="309"/>
      <c r="AJ966" s="309"/>
      <c r="AK966" s="68" t="s">
        <v>48</v>
      </c>
      <c r="AL966" s="37" t="s">
        <v>47</v>
      </c>
      <c r="AM966" s="299">
        <f t="shared" ca="1" si="90"/>
        <v>8.8784722222189885</v>
      </c>
      <c r="AN966" s="51"/>
      <c r="AO966" s="104" t="s">
        <v>93</v>
      </c>
      <c r="AP966" s="106" t="s">
        <v>2687</v>
      </c>
      <c r="AQ966" s="104" t="s">
        <v>3363</v>
      </c>
      <c r="AR966" s="111">
        <v>44904.461805555555</v>
      </c>
      <c r="AS966" s="104" t="s">
        <v>117</v>
      </c>
      <c r="AT966" s="109" t="s">
        <v>225</v>
      </c>
      <c r="AU966" s="110">
        <v>0.46180555555555558</v>
      </c>
      <c r="AV966" s="104">
        <v>1</v>
      </c>
      <c r="AW966" s="109" t="s">
        <v>66</v>
      </c>
      <c r="AX966" s="52"/>
      <c r="AY966" s="52"/>
      <c r="AZ966" s="52"/>
      <c r="BA966" s="52"/>
    </row>
    <row r="967" spans="1:53" x14ac:dyDescent="0.25">
      <c r="A967" s="73">
        <v>582</v>
      </c>
      <c r="B967" s="72">
        <v>44895.583333333336</v>
      </c>
      <c r="C967" s="67">
        <v>0.60069444444444442</v>
      </c>
      <c r="D967" s="67">
        <v>0.60416666666666663</v>
      </c>
      <c r="E967" s="67">
        <v>0.61805555555555558</v>
      </c>
      <c r="F967" s="68" t="s">
        <v>169</v>
      </c>
      <c r="G967" s="68" t="s">
        <v>454</v>
      </c>
      <c r="H967" s="60" t="s">
        <v>974</v>
      </c>
      <c r="I967" s="60" t="s">
        <v>80</v>
      </c>
      <c r="J967" s="60" t="s">
        <v>37</v>
      </c>
      <c r="K967" s="60" t="s">
        <v>241</v>
      </c>
      <c r="L967" s="60" t="s">
        <v>211</v>
      </c>
      <c r="M967" s="68" t="s">
        <v>2687</v>
      </c>
      <c r="N967" s="68" t="s">
        <v>42</v>
      </c>
      <c r="O967" s="68">
        <v>170</v>
      </c>
      <c r="P967" s="68" t="s">
        <v>2685</v>
      </c>
      <c r="Q967" s="303">
        <f t="shared" si="91"/>
        <v>0</v>
      </c>
      <c r="R967" s="303">
        <f t="shared" si="92"/>
        <v>0</v>
      </c>
      <c r="S967" s="37">
        <v>0</v>
      </c>
      <c r="T967" s="37">
        <v>0</v>
      </c>
      <c r="U967" s="37">
        <v>0</v>
      </c>
      <c r="V967" s="37">
        <v>0</v>
      </c>
      <c r="W967" s="37">
        <v>0</v>
      </c>
      <c r="X967" s="37">
        <v>58</v>
      </c>
      <c r="Y967" s="37">
        <v>38</v>
      </c>
      <c r="Z967" s="37">
        <v>29</v>
      </c>
      <c r="AA967" s="37">
        <v>6</v>
      </c>
      <c r="AB967" s="300">
        <f t="shared" si="93"/>
        <v>63.915999999999997</v>
      </c>
      <c r="AC967" s="300">
        <f t="shared" si="94"/>
        <v>0.38503614457831326</v>
      </c>
      <c r="AD967" s="37">
        <v>0</v>
      </c>
      <c r="AE967" s="37">
        <v>0</v>
      </c>
      <c r="AF967" s="37">
        <v>0</v>
      </c>
      <c r="AG967" s="37">
        <v>0</v>
      </c>
      <c r="AH967" s="37">
        <v>0</v>
      </c>
      <c r="AI967" s="309"/>
      <c r="AJ967" s="309"/>
      <c r="AK967" s="68" t="s">
        <v>48</v>
      </c>
      <c r="AL967" s="68" t="s">
        <v>47</v>
      </c>
      <c r="AM967" s="299">
        <f t="shared" ca="1" si="90"/>
        <v>8.8784722222189885</v>
      </c>
      <c r="AN967" s="51"/>
      <c r="AO967" s="104" t="s">
        <v>93</v>
      </c>
      <c r="AP967" s="106" t="s">
        <v>2687</v>
      </c>
      <c r="AQ967" s="104" t="s">
        <v>3363</v>
      </c>
      <c r="AR967" s="111">
        <v>44904.461805555555</v>
      </c>
      <c r="AS967" s="104" t="s">
        <v>117</v>
      </c>
      <c r="AT967" s="109" t="s">
        <v>225</v>
      </c>
      <c r="AU967" s="110">
        <v>0.46180555555555558</v>
      </c>
      <c r="AV967" s="104">
        <v>1</v>
      </c>
      <c r="AW967" s="109" t="s">
        <v>66</v>
      </c>
      <c r="AX967" s="52"/>
      <c r="AY967" s="52"/>
      <c r="AZ967" s="52"/>
      <c r="BA967" s="52"/>
    </row>
    <row r="968" spans="1:53" x14ac:dyDescent="0.25">
      <c r="A968" s="48">
        <v>583</v>
      </c>
      <c r="B968" s="72">
        <v>44895.611111111109</v>
      </c>
      <c r="C968" s="36">
        <v>0.61458333333333337</v>
      </c>
      <c r="D968" s="36">
        <v>0.61805555555555558</v>
      </c>
      <c r="E968" s="36">
        <v>0.625</v>
      </c>
      <c r="F968" s="68" t="s">
        <v>169</v>
      </c>
      <c r="G968" s="37" t="s">
        <v>452</v>
      </c>
      <c r="H968" s="26" t="s">
        <v>2688</v>
      </c>
      <c r="I968" s="26" t="s">
        <v>2689</v>
      </c>
      <c r="J968" s="26" t="s">
        <v>41</v>
      </c>
      <c r="K968" s="26" t="s">
        <v>61</v>
      </c>
      <c r="L968" s="26" t="s">
        <v>210</v>
      </c>
      <c r="M968" s="37" t="s">
        <v>2691</v>
      </c>
      <c r="N968" s="68" t="s">
        <v>42</v>
      </c>
      <c r="O968" s="37">
        <v>1122200765</v>
      </c>
      <c r="P968" s="37" t="s">
        <v>2690</v>
      </c>
      <c r="Q968" s="303">
        <f t="shared" si="91"/>
        <v>18</v>
      </c>
      <c r="R968" s="303">
        <f t="shared" si="92"/>
        <v>300</v>
      </c>
      <c r="S968" s="37">
        <v>18</v>
      </c>
      <c r="T968" s="37">
        <f>300</f>
        <v>300</v>
      </c>
      <c r="U968" s="37">
        <v>0</v>
      </c>
      <c r="V968" s="37">
        <v>0</v>
      </c>
      <c r="W968" s="37">
        <v>291</v>
      </c>
      <c r="X968" s="37">
        <v>45</v>
      </c>
      <c r="Y968" s="37">
        <v>45</v>
      </c>
      <c r="Z968" s="37">
        <v>30</v>
      </c>
      <c r="AA968" s="37">
        <v>18</v>
      </c>
      <c r="AB968" s="300">
        <f t="shared" si="93"/>
        <v>182.25</v>
      </c>
      <c r="AC968" s="300">
        <f t="shared" si="94"/>
        <v>1.0978915662650603</v>
      </c>
      <c r="AD968" s="37">
        <v>2282</v>
      </c>
      <c r="AE968" s="37" t="s">
        <v>109</v>
      </c>
      <c r="AF968" s="37">
        <v>5826246</v>
      </c>
      <c r="AG968" s="37" t="s">
        <v>2675</v>
      </c>
      <c r="AH968" s="37" t="s">
        <v>48</v>
      </c>
      <c r="AI968" s="309"/>
      <c r="AJ968" s="309"/>
      <c r="AK968" s="68" t="s">
        <v>48</v>
      </c>
      <c r="AL968" s="68" t="s">
        <v>47</v>
      </c>
      <c r="AM968" s="299">
        <f t="shared" ca="1" si="90"/>
        <v>0.89930555555474712</v>
      </c>
      <c r="AN968" s="51"/>
      <c r="AO968" s="57" t="s">
        <v>2813</v>
      </c>
      <c r="AP968" s="57" t="s">
        <v>2691</v>
      </c>
      <c r="AQ968" s="57" t="s">
        <v>2812</v>
      </c>
      <c r="AR968" s="29">
        <v>44896.510416666664</v>
      </c>
      <c r="AS968" s="57" t="s">
        <v>117</v>
      </c>
      <c r="AT968" s="61" t="s">
        <v>225</v>
      </c>
      <c r="AU968" s="63">
        <v>0.51041666666666663</v>
      </c>
      <c r="AV968" s="61">
        <v>1</v>
      </c>
      <c r="AW968" s="61" t="s">
        <v>66</v>
      </c>
      <c r="AX968" s="52"/>
      <c r="AY968" s="52"/>
      <c r="AZ968" s="52"/>
      <c r="BA968" s="52"/>
    </row>
    <row r="969" spans="1:53" x14ac:dyDescent="0.25">
      <c r="A969" s="48">
        <v>584</v>
      </c>
      <c r="B969" s="72">
        <v>44895.635416666664</v>
      </c>
      <c r="C969" s="36">
        <v>0.63541666666666663</v>
      </c>
      <c r="D969" s="36">
        <v>0.63888888888888895</v>
      </c>
      <c r="E969" s="36">
        <v>0.64236111111111105</v>
      </c>
      <c r="F969" s="37" t="s">
        <v>171</v>
      </c>
      <c r="G969" s="37" t="s">
        <v>2642</v>
      </c>
      <c r="H969" s="26" t="s">
        <v>339</v>
      </c>
      <c r="I969" s="26" t="s">
        <v>91</v>
      </c>
      <c r="J969" s="26" t="s">
        <v>37</v>
      </c>
      <c r="K969" s="26" t="s">
        <v>180</v>
      </c>
      <c r="L969" s="26" t="s">
        <v>206</v>
      </c>
      <c r="M969" s="37" t="s">
        <v>2693</v>
      </c>
      <c r="N969" s="37" t="s">
        <v>53</v>
      </c>
      <c r="O969" s="37">
        <v>2200143</v>
      </c>
      <c r="P969" s="37">
        <v>4501932267</v>
      </c>
      <c r="Q969" s="303">
        <f t="shared" si="91"/>
        <v>1</v>
      </c>
      <c r="R969" s="303">
        <f t="shared" si="92"/>
        <v>73</v>
      </c>
      <c r="S969" s="37">
        <v>0</v>
      </c>
      <c r="T969" s="37">
        <v>0</v>
      </c>
      <c r="U969" s="37">
        <v>1</v>
      </c>
      <c r="V969" s="37">
        <v>73</v>
      </c>
      <c r="W969" s="37">
        <v>74</v>
      </c>
      <c r="X969" s="37">
        <v>120</v>
      </c>
      <c r="Y969" s="37">
        <v>80</v>
      </c>
      <c r="Z969" s="37">
        <v>81</v>
      </c>
      <c r="AA969" s="37">
        <v>1</v>
      </c>
      <c r="AB969" s="300">
        <f t="shared" si="93"/>
        <v>129.6</v>
      </c>
      <c r="AC969" s="300">
        <f t="shared" si="94"/>
        <v>0.78072289156626506</v>
      </c>
      <c r="AD969" s="37">
        <v>93861</v>
      </c>
      <c r="AE969" s="37" t="s">
        <v>109</v>
      </c>
      <c r="AF969" s="37" t="s">
        <v>317</v>
      </c>
      <c r="AG969" s="37" t="s">
        <v>317</v>
      </c>
      <c r="AH969" s="37" t="s">
        <v>2692</v>
      </c>
      <c r="AI969" s="309"/>
      <c r="AJ969" s="309"/>
      <c r="AK969" s="37" t="s">
        <v>37</v>
      </c>
      <c r="AL969" s="37" t="s">
        <v>39</v>
      </c>
      <c r="AM969" s="299">
        <f t="shared" ca="1" si="90"/>
        <v>6.25E-2</v>
      </c>
      <c r="AN969" s="51"/>
      <c r="AO969" s="61" t="s">
        <v>323</v>
      </c>
      <c r="AP969" s="61" t="s">
        <v>2693</v>
      </c>
      <c r="AQ969" s="61" t="s">
        <v>2734</v>
      </c>
      <c r="AR969" s="64">
        <v>44895.697916666664</v>
      </c>
      <c r="AS969" s="61" t="s">
        <v>240</v>
      </c>
      <c r="AT969" s="61" t="s">
        <v>65</v>
      </c>
      <c r="AU969" s="63">
        <v>0.69791666666666663</v>
      </c>
      <c r="AV969" s="61">
        <v>1</v>
      </c>
      <c r="AW969" s="61" t="s">
        <v>66</v>
      </c>
      <c r="AX969" s="52"/>
      <c r="AY969" s="52"/>
      <c r="AZ969" s="52"/>
      <c r="BA969" s="52"/>
    </row>
    <row r="970" spans="1:53" x14ac:dyDescent="0.25">
      <c r="A970" s="48">
        <v>585</v>
      </c>
      <c r="B970" s="72">
        <v>44895.628472222219</v>
      </c>
      <c r="C970" s="36">
        <v>0.63541666666666663</v>
      </c>
      <c r="D970" s="36">
        <v>0.63888888888888895</v>
      </c>
      <c r="E970" s="36">
        <v>0.64583333333333337</v>
      </c>
      <c r="F970" s="37" t="s">
        <v>169</v>
      </c>
      <c r="G970" s="37" t="s">
        <v>2694</v>
      </c>
      <c r="H970" s="60" t="s">
        <v>336</v>
      </c>
      <c r="I970" s="26" t="s">
        <v>337</v>
      </c>
      <c r="J970" s="26" t="s">
        <v>41</v>
      </c>
      <c r="K970" s="26" t="s">
        <v>241</v>
      </c>
      <c r="L970" s="26" t="s">
        <v>355</v>
      </c>
      <c r="M970" s="37" t="s">
        <v>2697</v>
      </c>
      <c r="N970" s="37" t="s">
        <v>42</v>
      </c>
      <c r="O970" s="37">
        <v>81</v>
      </c>
      <c r="P970" s="37" t="s">
        <v>2695</v>
      </c>
      <c r="Q970" s="303">
        <f t="shared" si="91"/>
        <v>14</v>
      </c>
      <c r="R970" s="303">
        <f t="shared" si="92"/>
        <v>364</v>
      </c>
      <c r="S970" s="37">
        <v>14</v>
      </c>
      <c r="T970" s="37">
        <f>364</f>
        <v>364</v>
      </c>
      <c r="U970" s="37">
        <v>0</v>
      </c>
      <c r="V970" s="37">
        <v>0</v>
      </c>
      <c r="W970" s="37">
        <v>362</v>
      </c>
      <c r="X970" s="37">
        <v>45</v>
      </c>
      <c r="Y970" s="37">
        <v>41</v>
      </c>
      <c r="Z970" s="37">
        <v>43</v>
      </c>
      <c r="AA970" s="37">
        <v>4</v>
      </c>
      <c r="AB970" s="300">
        <f t="shared" si="93"/>
        <v>52.89</v>
      </c>
      <c r="AC970" s="300">
        <f t="shared" si="94"/>
        <v>0.3186144578313253</v>
      </c>
      <c r="AD970" s="37">
        <v>16862</v>
      </c>
      <c r="AE970" s="37" t="s">
        <v>109</v>
      </c>
      <c r="AF970" s="37">
        <v>5671857</v>
      </c>
      <c r="AG970" s="37" t="s">
        <v>2233</v>
      </c>
      <c r="AH970" s="37" t="s">
        <v>2696</v>
      </c>
      <c r="AI970" s="309"/>
      <c r="AJ970" s="309"/>
      <c r="AK970" s="37" t="s">
        <v>48</v>
      </c>
      <c r="AL970" s="37" t="s">
        <v>47</v>
      </c>
      <c r="AM970" s="299">
        <f t="shared" ca="1" si="90"/>
        <v>1.8715277777810115</v>
      </c>
      <c r="AN970" s="51"/>
      <c r="AO970" s="57" t="s">
        <v>87</v>
      </c>
      <c r="AP970" s="24" t="s">
        <v>2697</v>
      </c>
      <c r="AQ970" s="57" t="s">
        <v>2844</v>
      </c>
      <c r="AR970" s="29">
        <v>44897.5</v>
      </c>
      <c r="AS970" s="61" t="s">
        <v>136</v>
      </c>
      <c r="AT970" s="61" t="s">
        <v>225</v>
      </c>
      <c r="AU970" s="63">
        <v>0.5</v>
      </c>
      <c r="AV970" s="57">
        <v>1</v>
      </c>
      <c r="AW970" s="61" t="s">
        <v>66</v>
      </c>
      <c r="AX970" s="52"/>
      <c r="AY970" s="52"/>
      <c r="AZ970" s="52"/>
      <c r="BA970" s="52"/>
    </row>
    <row r="971" spans="1:53" x14ac:dyDescent="0.25">
      <c r="A971" s="73">
        <v>585</v>
      </c>
      <c r="B971" s="72">
        <v>44895.628472222219</v>
      </c>
      <c r="C971" s="67">
        <v>0.63541666666666663</v>
      </c>
      <c r="D971" s="67">
        <v>0.63888888888888895</v>
      </c>
      <c r="E971" s="67">
        <v>0.64583333333333337</v>
      </c>
      <c r="F971" s="68" t="s">
        <v>169</v>
      </c>
      <c r="G971" s="68" t="s">
        <v>2694</v>
      </c>
      <c r="H971" s="60" t="s">
        <v>336</v>
      </c>
      <c r="I971" s="60" t="s">
        <v>337</v>
      </c>
      <c r="J971" s="60" t="s">
        <v>41</v>
      </c>
      <c r="K971" s="60" t="s">
        <v>241</v>
      </c>
      <c r="L971" s="60" t="s">
        <v>355</v>
      </c>
      <c r="M971" s="68" t="s">
        <v>2697</v>
      </c>
      <c r="N971" s="68" t="s">
        <v>42</v>
      </c>
      <c r="O971" s="68">
        <v>81</v>
      </c>
      <c r="P971" s="68" t="s">
        <v>2695</v>
      </c>
      <c r="Q971" s="303">
        <f t="shared" si="91"/>
        <v>0</v>
      </c>
      <c r="R971" s="303">
        <f t="shared" si="92"/>
        <v>0</v>
      </c>
      <c r="S971" s="68">
        <v>0</v>
      </c>
      <c r="T971" s="68">
        <v>0</v>
      </c>
      <c r="U971" s="68">
        <v>0</v>
      </c>
      <c r="V971" s="68">
        <v>0</v>
      </c>
      <c r="W971" s="68">
        <v>0</v>
      </c>
      <c r="X971" s="37">
        <v>44</v>
      </c>
      <c r="Y971" s="37">
        <v>38</v>
      </c>
      <c r="Z971" s="37">
        <v>43</v>
      </c>
      <c r="AA971" s="37">
        <v>1</v>
      </c>
      <c r="AB971" s="300">
        <f t="shared" si="93"/>
        <v>11.982666666666667</v>
      </c>
      <c r="AC971" s="300">
        <f t="shared" si="94"/>
        <v>7.2184738955823294E-2</v>
      </c>
      <c r="AD971" s="68">
        <v>0</v>
      </c>
      <c r="AE971" s="68">
        <v>0</v>
      </c>
      <c r="AF971" s="68">
        <v>0</v>
      </c>
      <c r="AG971" s="68">
        <v>0</v>
      </c>
      <c r="AH971" s="37">
        <v>0</v>
      </c>
      <c r="AI971" s="309"/>
      <c r="AJ971" s="309"/>
      <c r="AK971" s="68" t="s">
        <v>48</v>
      </c>
      <c r="AL971" s="68" t="s">
        <v>47</v>
      </c>
      <c r="AM971" s="299">
        <f t="shared" ca="1" si="90"/>
        <v>1.8715277777810115</v>
      </c>
      <c r="AN971" s="51"/>
      <c r="AO971" s="57" t="s">
        <v>87</v>
      </c>
      <c r="AP971" s="24" t="s">
        <v>2697</v>
      </c>
      <c r="AQ971" s="57" t="s">
        <v>2844</v>
      </c>
      <c r="AR971" s="29">
        <v>44897.5</v>
      </c>
      <c r="AS971" s="61" t="s">
        <v>136</v>
      </c>
      <c r="AT971" s="61" t="s">
        <v>225</v>
      </c>
      <c r="AU971" s="63">
        <v>0.5</v>
      </c>
      <c r="AV971" s="57">
        <v>1</v>
      </c>
      <c r="AW971" s="61" t="s">
        <v>66</v>
      </c>
      <c r="AX971" s="52"/>
      <c r="AY971" s="52"/>
      <c r="AZ971" s="52"/>
      <c r="BA971" s="52"/>
    </row>
    <row r="972" spans="1:53" x14ac:dyDescent="0.25">
      <c r="A972" s="73">
        <v>585</v>
      </c>
      <c r="B972" s="72">
        <v>44895.628472222219</v>
      </c>
      <c r="C972" s="67">
        <v>0.63541666666666663</v>
      </c>
      <c r="D972" s="67">
        <v>0.63888888888888895</v>
      </c>
      <c r="E972" s="67">
        <v>0.64583333333333337</v>
      </c>
      <c r="F972" s="68" t="s">
        <v>169</v>
      </c>
      <c r="G972" s="68" t="s">
        <v>2694</v>
      </c>
      <c r="H972" s="60" t="s">
        <v>336</v>
      </c>
      <c r="I972" s="60" t="s">
        <v>337</v>
      </c>
      <c r="J972" s="60" t="s">
        <v>41</v>
      </c>
      <c r="K972" s="60" t="s">
        <v>241</v>
      </c>
      <c r="L972" s="60" t="s">
        <v>355</v>
      </c>
      <c r="M972" s="68" t="s">
        <v>2697</v>
      </c>
      <c r="N972" s="68" t="s">
        <v>42</v>
      </c>
      <c r="O972" s="68">
        <v>81</v>
      </c>
      <c r="P972" s="68" t="s">
        <v>2695</v>
      </c>
      <c r="Q972" s="303">
        <f t="shared" si="91"/>
        <v>0</v>
      </c>
      <c r="R972" s="303">
        <f t="shared" si="92"/>
        <v>0</v>
      </c>
      <c r="S972" s="68">
        <v>0</v>
      </c>
      <c r="T972" s="68">
        <v>0</v>
      </c>
      <c r="U972" s="68">
        <v>0</v>
      </c>
      <c r="V972" s="68">
        <v>0</v>
      </c>
      <c r="W972" s="68">
        <v>0</v>
      </c>
      <c r="X972" s="37">
        <v>62</v>
      </c>
      <c r="Y972" s="37">
        <v>39</v>
      </c>
      <c r="Z972" s="37">
        <v>44</v>
      </c>
      <c r="AA972" s="37">
        <v>2</v>
      </c>
      <c r="AB972" s="300">
        <f t="shared" si="93"/>
        <v>35.463999999999999</v>
      </c>
      <c r="AC972" s="300">
        <f t="shared" si="94"/>
        <v>0.21363855421686745</v>
      </c>
      <c r="AD972" s="68">
        <v>0</v>
      </c>
      <c r="AE972" s="68">
        <v>0</v>
      </c>
      <c r="AF972" s="68">
        <v>0</v>
      </c>
      <c r="AG972" s="68">
        <v>0</v>
      </c>
      <c r="AH972" s="68">
        <v>0</v>
      </c>
      <c r="AI972" s="309"/>
      <c r="AJ972" s="309"/>
      <c r="AK972" s="68" t="s">
        <v>48</v>
      </c>
      <c r="AL972" s="68" t="s">
        <v>47</v>
      </c>
      <c r="AM972" s="299">
        <f t="shared" ca="1" si="90"/>
        <v>1.8715277777810115</v>
      </c>
      <c r="AN972" s="51"/>
      <c r="AO972" s="57" t="s">
        <v>87</v>
      </c>
      <c r="AP972" s="24" t="s">
        <v>2697</v>
      </c>
      <c r="AQ972" s="57" t="s">
        <v>2844</v>
      </c>
      <c r="AR972" s="29">
        <v>44897.5</v>
      </c>
      <c r="AS972" s="61" t="s">
        <v>136</v>
      </c>
      <c r="AT972" s="61" t="s">
        <v>225</v>
      </c>
      <c r="AU972" s="63">
        <v>0.5</v>
      </c>
      <c r="AV972" s="57">
        <v>1</v>
      </c>
      <c r="AW972" s="61" t="s">
        <v>66</v>
      </c>
      <c r="AX972" s="52"/>
      <c r="AY972" s="52"/>
      <c r="AZ972" s="52"/>
      <c r="BA972" s="52"/>
    </row>
    <row r="973" spans="1:53" x14ac:dyDescent="0.25">
      <c r="A973" s="73">
        <v>585</v>
      </c>
      <c r="B973" s="72">
        <v>44895.628472222219</v>
      </c>
      <c r="C973" s="67">
        <v>0.63541666666666663</v>
      </c>
      <c r="D973" s="67">
        <v>0.63888888888888895</v>
      </c>
      <c r="E973" s="67">
        <v>0.64583333333333337</v>
      </c>
      <c r="F973" s="68" t="s">
        <v>169</v>
      </c>
      <c r="G973" s="68" t="s">
        <v>2694</v>
      </c>
      <c r="H973" s="60" t="s">
        <v>336</v>
      </c>
      <c r="I973" s="60" t="s">
        <v>337</v>
      </c>
      <c r="J973" s="60" t="s">
        <v>41</v>
      </c>
      <c r="K973" s="60" t="s">
        <v>241</v>
      </c>
      <c r="L973" s="60" t="s">
        <v>355</v>
      </c>
      <c r="M973" s="68" t="s">
        <v>2697</v>
      </c>
      <c r="N973" s="68" t="s">
        <v>42</v>
      </c>
      <c r="O973" s="68">
        <v>81</v>
      </c>
      <c r="P973" s="68" t="s">
        <v>2695</v>
      </c>
      <c r="Q973" s="303">
        <f t="shared" si="91"/>
        <v>0</v>
      </c>
      <c r="R973" s="303">
        <f t="shared" si="92"/>
        <v>0</v>
      </c>
      <c r="S973" s="68">
        <v>0</v>
      </c>
      <c r="T973" s="68">
        <v>0</v>
      </c>
      <c r="U973" s="68">
        <v>0</v>
      </c>
      <c r="V973" s="68">
        <v>0</v>
      </c>
      <c r="W973" s="68">
        <v>0</v>
      </c>
      <c r="X973" s="37">
        <v>43</v>
      </c>
      <c r="Y973" s="37">
        <v>41</v>
      </c>
      <c r="Z973" s="37">
        <v>23</v>
      </c>
      <c r="AA973" s="37">
        <v>1</v>
      </c>
      <c r="AB973" s="300">
        <f t="shared" si="93"/>
        <v>6.7581666666666669</v>
      </c>
      <c r="AC973" s="300">
        <f t="shared" si="94"/>
        <v>4.0711847389558235E-2</v>
      </c>
      <c r="AD973" s="68">
        <v>0</v>
      </c>
      <c r="AE973" s="68">
        <v>0</v>
      </c>
      <c r="AF973" s="68">
        <v>0</v>
      </c>
      <c r="AG973" s="68">
        <v>0</v>
      </c>
      <c r="AH973" s="68">
        <v>0</v>
      </c>
      <c r="AI973" s="309"/>
      <c r="AJ973" s="309"/>
      <c r="AK973" s="68" t="s">
        <v>48</v>
      </c>
      <c r="AL973" s="68" t="s">
        <v>47</v>
      </c>
      <c r="AM973" s="299">
        <f t="shared" ca="1" si="90"/>
        <v>1.8715277777810115</v>
      </c>
      <c r="AN973" s="51"/>
      <c r="AO973" s="57" t="s">
        <v>87</v>
      </c>
      <c r="AP973" s="24" t="s">
        <v>2697</v>
      </c>
      <c r="AQ973" s="57" t="s">
        <v>2844</v>
      </c>
      <c r="AR973" s="29">
        <v>44897.5</v>
      </c>
      <c r="AS973" s="61" t="s">
        <v>136</v>
      </c>
      <c r="AT973" s="61" t="s">
        <v>225</v>
      </c>
      <c r="AU973" s="63">
        <v>0.5</v>
      </c>
      <c r="AV973" s="57">
        <v>1</v>
      </c>
      <c r="AW973" s="61" t="s">
        <v>66</v>
      </c>
      <c r="AX973" s="52"/>
      <c r="AY973" s="52"/>
      <c r="AZ973" s="52"/>
      <c r="BA973" s="52"/>
    </row>
    <row r="974" spans="1:53" x14ac:dyDescent="0.25">
      <c r="A974" s="73">
        <v>585</v>
      </c>
      <c r="B974" s="72">
        <v>44895.628472222219</v>
      </c>
      <c r="C974" s="67">
        <v>0.63541666666666663</v>
      </c>
      <c r="D974" s="67">
        <v>0.63888888888888895</v>
      </c>
      <c r="E974" s="67">
        <v>0.64583333333333337</v>
      </c>
      <c r="F974" s="68" t="s">
        <v>169</v>
      </c>
      <c r="G974" s="68" t="s">
        <v>2694</v>
      </c>
      <c r="H974" s="60" t="s">
        <v>336</v>
      </c>
      <c r="I974" s="60" t="s">
        <v>337</v>
      </c>
      <c r="J974" s="60" t="s">
        <v>41</v>
      </c>
      <c r="K974" s="60" t="s">
        <v>241</v>
      </c>
      <c r="L974" s="60" t="s">
        <v>355</v>
      </c>
      <c r="M974" s="68" t="s">
        <v>2697</v>
      </c>
      <c r="N974" s="68" t="s">
        <v>42</v>
      </c>
      <c r="O974" s="68">
        <v>81</v>
      </c>
      <c r="P974" s="68" t="s">
        <v>2695</v>
      </c>
      <c r="Q974" s="303">
        <f t="shared" si="91"/>
        <v>0</v>
      </c>
      <c r="R974" s="303">
        <f t="shared" si="92"/>
        <v>0</v>
      </c>
      <c r="S974" s="68">
        <v>0</v>
      </c>
      <c r="T974" s="68">
        <v>0</v>
      </c>
      <c r="U974" s="68">
        <v>0</v>
      </c>
      <c r="V974" s="68">
        <v>0</v>
      </c>
      <c r="W974" s="68">
        <v>0</v>
      </c>
      <c r="X974" s="37">
        <v>43</v>
      </c>
      <c r="Y974" s="37">
        <v>36</v>
      </c>
      <c r="Z974" s="37">
        <v>43</v>
      </c>
      <c r="AA974" s="37">
        <v>6</v>
      </c>
      <c r="AB974" s="300">
        <f t="shared" si="93"/>
        <v>66.563999999999993</v>
      </c>
      <c r="AC974" s="300">
        <f t="shared" si="94"/>
        <v>0.40098795180722885</v>
      </c>
      <c r="AD974" s="68">
        <v>0</v>
      </c>
      <c r="AE974" s="68">
        <v>0</v>
      </c>
      <c r="AF974" s="68">
        <v>0</v>
      </c>
      <c r="AG974" s="68">
        <v>0</v>
      </c>
      <c r="AH974" s="68">
        <v>0</v>
      </c>
      <c r="AI974" s="309"/>
      <c r="AJ974" s="309"/>
      <c r="AK974" s="68" t="s">
        <v>48</v>
      </c>
      <c r="AL974" s="68" t="s">
        <v>47</v>
      </c>
      <c r="AM974" s="299">
        <f t="shared" ca="1" si="90"/>
        <v>1.8715277777810115</v>
      </c>
      <c r="AN974" s="51"/>
      <c r="AO974" s="57" t="s">
        <v>87</v>
      </c>
      <c r="AP974" s="24" t="s">
        <v>2697</v>
      </c>
      <c r="AQ974" s="57" t="s">
        <v>2844</v>
      </c>
      <c r="AR974" s="29">
        <v>44897.5</v>
      </c>
      <c r="AS974" s="61" t="s">
        <v>136</v>
      </c>
      <c r="AT974" s="61" t="s">
        <v>225</v>
      </c>
      <c r="AU974" s="63">
        <v>0.5</v>
      </c>
      <c r="AV974" s="57">
        <v>1</v>
      </c>
      <c r="AW974" s="61" t="s">
        <v>66</v>
      </c>
      <c r="AX974" s="52"/>
      <c r="AY974" s="52"/>
      <c r="AZ974" s="52"/>
      <c r="BA974" s="52"/>
    </row>
    <row r="975" spans="1:53" x14ac:dyDescent="0.25">
      <c r="A975" s="48">
        <v>586</v>
      </c>
      <c r="B975" s="72">
        <v>44895.625</v>
      </c>
      <c r="C975" s="36">
        <v>0.625</v>
      </c>
      <c r="D975" s="36">
        <v>0.63888888888888895</v>
      </c>
      <c r="E975" s="36">
        <v>0.64583333333333337</v>
      </c>
      <c r="F975" s="37" t="s">
        <v>170</v>
      </c>
      <c r="G975" s="37" t="s">
        <v>2698</v>
      </c>
      <c r="H975" s="26" t="s">
        <v>227</v>
      </c>
      <c r="I975" s="26" t="s">
        <v>189</v>
      </c>
      <c r="J975" s="26" t="s">
        <v>37</v>
      </c>
      <c r="K975" s="26" t="s">
        <v>63</v>
      </c>
      <c r="L975" s="26" t="s">
        <v>206</v>
      </c>
      <c r="M975" s="68" t="s">
        <v>2706</v>
      </c>
      <c r="N975" s="37" t="s">
        <v>43</v>
      </c>
      <c r="O975" s="37">
        <v>991</v>
      </c>
      <c r="P975" s="37">
        <v>28192</v>
      </c>
      <c r="Q975" s="303">
        <f t="shared" si="91"/>
        <v>8</v>
      </c>
      <c r="R975" s="303">
        <f t="shared" si="92"/>
        <v>144</v>
      </c>
      <c r="S975" s="37">
        <v>8</v>
      </c>
      <c r="T975" s="37">
        <f>160-16</f>
        <v>144</v>
      </c>
      <c r="U975" s="37">
        <v>0</v>
      </c>
      <c r="V975" s="37">
        <v>0</v>
      </c>
      <c r="W975" s="37">
        <v>141</v>
      </c>
      <c r="X975" s="37">
        <v>84</v>
      </c>
      <c r="Y975" s="37">
        <v>53</v>
      </c>
      <c r="Z975" s="37">
        <v>62</v>
      </c>
      <c r="AA975" s="37">
        <v>8</v>
      </c>
      <c r="AB975" s="300">
        <f t="shared" si="93"/>
        <v>368.03199999999998</v>
      </c>
      <c r="AC975" s="300">
        <f t="shared" si="94"/>
        <v>2.2170602409638551</v>
      </c>
      <c r="AD975" s="37" t="s">
        <v>48</v>
      </c>
      <c r="AE975" s="37" t="s">
        <v>48</v>
      </c>
      <c r="AF975" s="37" t="s">
        <v>317</v>
      </c>
      <c r="AG975" s="37" t="s">
        <v>317</v>
      </c>
      <c r="AH975" s="37" t="s">
        <v>2699</v>
      </c>
      <c r="AI975" s="309"/>
      <c r="AJ975" s="309"/>
      <c r="AK975" s="37" t="s">
        <v>48</v>
      </c>
      <c r="AL975" s="37" t="s">
        <v>47</v>
      </c>
      <c r="AM975" s="299">
        <f t="shared" ca="1" si="90"/>
        <v>0.88541666666424135</v>
      </c>
      <c r="AN975" s="51" t="s">
        <v>450</v>
      </c>
      <c r="AO975" s="57" t="s">
        <v>179</v>
      </c>
      <c r="AP975" s="57" t="s">
        <v>2810</v>
      </c>
      <c r="AQ975" s="57" t="s">
        <v>2811</v>
      </c>
      <c r="AR975" s="29">
        <v>44896.510416666664</v>
      </c>
      <c r="AS975" s="57" t="s">
        <v>117</v>
      </c>
      <c r="AT975" s="61" t="s">
        <v>225</v>
      </c>
      <c r="AU975" s="63">
        <v>0.51041666666666663</v>
      </c>
      <c r="AV975" s="61">
        <v>1</v>
      </c>
      <c r="AW975" s="61" t="s">
        <v>66</v>
      </c>
      <c r="AX975" s="52"/>
      <c r="AY975" s="52"/>
      <c r="AZ975" s="52"/>
      <c r="BA975" s="52"/>
    </row>
    <row r="976" spans="1:53" x14ac:dyDescent="0.25">
      <c r="A976" s="73">
        <v>587</v>
      </c>
      <c r="B976" s="72">
        <v>44895.625</v>
      </c>
      <c r="C976" s="67">
        <v>0.625</v>
      </c>
      <c r="D976" s="67">
        <v>0.63888888888888895</v>
      </c>
      <c r="E976" s="67">
        <v>0.64583333333333337</v>
      </c>
      <c r="F976" s="68" t="s">
        <v>170</v>
      </c>
      <c r="G976" s="68" t="s">
        <v>2698</v>
      </c>
      <c r="H976" s="60" t="s">
        <v>227</v>
      </c>
      <c r="I976" s="60" t="s">
        <v>189</v>
      </c>
      <c r="J976" s="60" t="s">
        <v>37</v>
      </c>
      <c r="K976" s="60" t="s">
        <v>63</v>
      </c>
      <c r="L976" s="60" t="s">
        <v>206</v>
      </c>
      <c r="M976" s="68" t="s">
        <v>2706</v>
      </c>
      <c r="N976" s="68" t="s">
        <v>43</v>
      </c>
      <c r="O976" s="68" t="s">
        <v>2703</v>
      </c>
      <c r="P976" s="68" t="s">
        <v>2704</v>
      </c>
      <c r="Q976" s="303">
        <f t="shared" si="91"/>
        <v>1</v>
      </c>
      <c r="R976" s="303">
        <f t="shared" si="92"/>
        <v>702</v>
      </c>
      <c r="S976" s="68">
        <v>0</v>
      </c>
      <c r="T976" s="68">
        <v>0</v>
      </c>
      <c r="U976" s="68">
        <v>1</v>
      </c>
      <c r="V976" s="68">
        <v>702</v>
      </c>
      <c r="W976" s="68">
        <v>676</v>
      </c>
      <c r="X976" s="68">
        <v>176</v>
      </c>
      <c r="Y976" s="68">
        <v>115</v>
      </c>
      <c r="Z976" s="68">
        <v>79</v>
      </c>
      <c r="AA976" s="68">
        <v>1</v>
      </c>
      <c r="AB976" s="300">
        <f t="shared" si="93"/>
        <v>266.49333333333334</v>
      </c>
      <c r="AC976" s="300">
        <f t="shared" si="94"/>
        <v>1.6053815261044178</v>
      </c>
      <c r="AD976" s="68" t="s">
        <v>48</v>
      </c>
      <c r="AE976" s="68" t="s">
        <v>48</v>
      </c>
      <c r="AF976" s="68" t="s">
        <v>317</v>
      </c>
      <c r="AG976" s="68" t="s">
        <v>317</v>
      </c>
      <c r="AH976" s="68" t="s">
        <v>2705</v>
      </c>
      <c r="AI976" s="309"/>
      <c r="AJ976" s="309"/>
      <c r="AK976" s="68" t="s">
        <v>37</v>
      </c>
      <c r="AL976" s="68" t="s">
        <v>49</v>
      </c>
      <c r="AM976" s="299">
        <f t="shared" ca="1" si="90"/>
        <v>0.88541666666424135</v>
      </c>
      <c r="AN976" s="75" t="s">
        <v>450</v>
      </c>
      <c r="AO976" s="57" t="s">
        <v>179</v>
      </c>
      <c r="AP976" s="57" t="s">
        <v>2810</v>
      </c>
      <c r="AQ976" s="57" t="s">
        <v>2811</v>
      </c>
      <c r="AR976" s="29">
        <v>44896.510416666664</v>
      </c>
      <c r="AS976" s="57" t="s">
        <v>117</v>
      </c>
      <c r="AT976" s="61" t="s">
        <v>225</v>
      </c>
      <c r="AU976" s="63">
        <v>0.51041666666666663</v>
      </c>
      <c r="AV976" s="61">
        <v>1</v>
      </c>
      <c r="AW976" s="61" t="s">
        <v>66</v>
      </c>
      <c r="AX976" s="76"/>
      <c r="AY976" s="76"/>
      <c r="AZ976" s="76"/>
      <c r="BA976" s="76"/>
    </row>
    <row r="977" spans="1:53" x14ac:dyDescent="0.25">
      <c r="A977" s="73">
        <v>588</v>
      </c>
      <c r="B977" s="72">
        <v>44895.625</v>
      </c>
      <c r="C977" s="67">
        <v>0.625</v>
      </c>
      <c r="D977" s="67">
        <v>0.63888888888888895</v>
      </c>
      <c r="E977" s="67">
        <v>0.64583333333333337</v>
      </c>
      <c r="F977" s="68" t="s">
        <v>170</v>
      </c>
      <c r="G977" s="68" t="s">
        <v>2698</v>
      </c>
      <c r="H977" s="60" t="s">
        <v>227</v>
      </c>
      <c r="I977" s="60" t="s">
        <v>189</v>
      </c>
      <c r="J977" s="60" t="s">
        <v>37</v>
      </c>
      <c r="K977" s="60" t="s">
        <v>63</v>
      </c>
      <c r="L977" s="60" t="s">
        <v>206</v>
      </c>
      <c r="M977" s="68" t="s">
        <v>2707</v>
      </c>
      <c r="N977" s="68" t="s">
        <v>42</v>
      </c>
      <c r="O977" s="37" t="s">
        <v>2700</v>
      </c>
      <c r="P977" s="37" t="s">
        <v>2701</v>
      </c>
      <c r="Q977" s="303">
        <f t="shared" si="91"/>
        <v>1</v>
      </c>
      <c r="R977" s="303">
        <f t="shared" si="92"/>
        <v>658</v>
      </c>
      <c r="S977" s="37">
        <v>0</v>
      </c>
      <c r="T977" s="37">
        <v>0</v>
      </c>
      <c r="U977" s="37">
        <v>1</v>
      </c>
      <c r="V977" s="38">
        <f>720-62</f>
        <v>658</v>
      </c>
      <c r="W977" s="38">
        <v>558</v>
      </c>
      <c r="X977" s="37">
        <v>176</v>
      </c>
      <c r="Y977" s="37">
        <v>115</v>
      </c>
      <c r="Z977" s="37">
        <v>81</v>
      </c>
      <c r="AA977" s="37">
        <v>1</v>
      </c>
      <c r="AB977" s="300">
        <f t="shared" si="93"/>
        <v>273.24</v>
      </c>
      <c r="AC977" s="300">
        <f t="shared" si="94"/>
        <v>1.6460240963855421</v>
      </c>
      <c r="AD977" s="37" t="s">
        <v>48</v>
      </c>
      <c r="AE977" s="37" t="s">
        <v>48</v>
      </c>
      <c r="AF977" s="68" t="s">
        <v>317</v>
      </c>
      <c r="AG977" s="68" t="s">
        <v>317</v>
      </c>
      <c r="AH977" s="37" t="s">
        <v>2702</v>
      </c>
      <c r="AI977" s="309"/>
      <c r="AJ977" s="309"/>
      <c r="AK977" s="37" t="s">
        <v>37</v>
      </c>
      <c r="AL977" s="37" t="s">
        <v>49</v>
      </c>
      <c r="AM977" s="299">
        <f t="shared" ca="1" si="90"/>
        <v>7.2916666664241347E-2</v>
      </c>
      <c r="AN977" s="51"/>
      <c r="AO977" s="57" t="s">
        <v>89</v>
      </c>
      <c r="AP977" s="57" t="s">
        <v>2707</v>
      </c>
      <c r="AQ977" s="57" t="s">
        <v>2738</v>
      </c>
      <c r="AR977" s="64">
        <v>44895.697916666664</v>
      </c>
      <c r="AS977" s="61" t="s">
        <v>240</v>
      </c>
      <c r="AT977" s="61" t="s">
        <v>65</v>
      </c>
      <c r="AU977" s="63">
        <v>0.69791666666666663</v>
      </c>
      <c r="AV977" s="61">
        <v>1</v>
      </c>
      <c r="AW977" s="61" t="s">
        <v>66</v>
      </c>
      <c r="AX977" s="52"/>
      <c r="AY977" s="52"/>
      <c r="AZ977" s="52"/>
      <c r="BA977" s="52"/>
    </row>
    <row r="978" spans="1:53" x14ac:dyDescent="0.25">
      <c r="A978" s="48">
        <v>589</v>
      </c>
      <c r="B978" s="72">
        <v>44895.611111111109</v>
      </c>
      <c r="C978" s="36">
        <v>0.61458333333333337</v>
      </c>
      <c r="D978" s="36">
        <v>0.63541666666666663</v>
      </c>
      <c r="E978" s="36">
        <v>0.65277777777777779</v>
      </c>
      <c r="F978" s="68" t="s">
        <v>170</v>
      </c>
      <c r="G978" s="37" t="s">
        <v>412</v>
      </c>
      <c r="H978" s="26" t="s">
        <v>2708</v>
      </c>
      <c r="I978" s="60" t="s">
        <v>2708</v>
      </c>
      <c r="J978" s="60" t="s">
        <v>41</v>
      </c>
      <c r="K978" s="60" t="s">
        <v>63</v>
      </c>
      <c r="L978" s="26" t="s">
        <v>209</v>
      </c>
      <c r="M978" s="37" t="s">
        <v>2711</v>
      </c>
      <c r="N978" s="37" t="s">
        <v>70</v>
      </c>
      <c r="O978" s="37">
        <v>52</v>
      </c>
      <c r="P978" s="37" t="s">
        <v>2710</v>
      </c>
      <c r="Q978" s="303">
        <f t="shared" si="91"/>
        <v>1</v>
      </c>
      <c r="R978" s="303">
        <f t="shared" si="92"/>
        <v>149</v>
      </c>
      <c r="S978" s="37">
        <v>0</v>
      </c>
      <c r="T978" s="37">
        <v>0</v>
      </c>
      <c r="U978" s="37">
        <v>1</v>
      </c>
      <c r="V978" s="37">
        <v>149</v>
      </c>
      <c r="W978" s="37">
        <v>204</v>
      </c>
      <c r="X978" s="37">
        <v>115</v>
      </c>
      <c r="Y978" s="37">
        <v>89</v>
      </c>
      <c r="Z978" s="37">
        <v>76</v>
      </c>
      <c r="AA978" s="37">
        <v>1</v>
      </c>
      <c r="AB978" s="300">
        <f t="shared" si="93"/>
        <v>129.64333333333335</v>
      </c>
      <c r="AC978" s="300">
        <f t="shared" si="94"/>
        <v>0.78098393574297198</v>
      </c>
      <c r="AD978" s="37">
        <v>1504</v>
      </c>
      <c r="AE978" s="37" t="s">
        <v>109</v>
      </c>
      <c r="AF978" s="37" t="s">
        <v>317</v>
      </c>
      <c r="AG978" s="37" t="s">
        <v>317</v>
      </c>
      <c r="AH978" s="37" t="s">
        <v>2709</v>
      </c>
      <c r="AI978" s="309"/>
      <c r="AJ978" s="309"/>
      <c r="AK978" s="37" t="s">
        <v>37</v>
      </c>
      <c r="AL978" s="37" t="s">
        <v>49</v>
      </c>
      <c r="AM978" s="299">
        <f t="shared" ca="1" si="90"/>
        <v>8.6805555554747116E-2</v>
      </c>
      <c r="AN978" s="51"/>
      <c r="AO978" s="57" t="s">
        <v>2737</v>
      </c>
      <c r="AP978" s="24" t="s">
        <v>2711</v>
      </c>
      <c r="AQ978" s="57" t="s">
        <v>2736</v>
      </c>
      <c r="AR978" s="64">
        <v>44895.697916666664</v>
      </c>
      <c r="AS978" s="61" t="s">
        <v>240</v>
      </c>
      <c r="AT978" s="61" t="s">
        <v>65</v>
      </c>
      <c r="AU978" s="63">
        <v>0.69791666666666663</v>
      </c>
      <c r="AV978" s="61">
        <v>1</v>
      </c>
      <c r="AW978" s="61" t="s">
        <v>66</v>
      </c>
      <c r="AX978" s="52"/>
      <c r="AY978" s="52"/>
      <c r="AZ978" s="52"/>
      <c r="BA978" s="52"/>
    </row>
    <row r="979" spans="1:53" x14ac:dyDescent="0.25">
      <c r="A979" s="48">
        <v>590</v>
      </c>
      <c r="B979" s="72">
        <v>44895.611111111109</v>
      </c>
      <c r="C979" s="67">
        <v>0.61458333333333337</v>
      </c>
      <c r="D979" s="67">
        <v>0.63541666666666663</v>
      </c>
      <c r="E979" s="67">
        <v>0.65277777777777779</v>
      </c>
      <c r="F979" s="68" t="s">
        <v>170</v>
      </c>
      <c r="G979" s="68" t="s">
        <v>412</v>
      </c>
      <c r="H979" s="26" t="s">
        <v>459</v>
      </c>
      <c r="I979" s="26" t="s">
        <v>62</v>
      </c>
      <c r="J979" s="26" t="s">
        <v>37</v>
      </c>
      <c r="K979" s="60" t="s">
        <v>63</v>
      </c>
      <c r="L979" s="26" t="s">
        <v>206</v>
      </c>
      <c r="M979" s="37" t="s">
        <v>2713</v>
      </c>
      <c r="N979" s="37" t="s">
        <v>64</v>
      </c>
      <c r="O979" s="37">
        <v>448</v>
      </c>
      <c r="P979" s="37">
        <v>4418582070</v>
      </c>
      <c r="Q979" s="303">
        <f t="shared" si="91"/>
        <v>1</v>
      </c>
      <c r="R979" s="303">
        <f t="shared" si="92"/>
        <v>98</v>
      </c>
      <c r="S979" s="37">
        <v>0</v>
      </c>
      <c r="T979" s="37">
        <v>0</v>
      </c>
      <c r="U979" s="37">
        <v>1</v>
      </c>
      <c r="V979" s="37">
        <v>98</v>
      </c>
      <c r="W979" s="37">
        <v>99</v>
      </c>
      <c r="X979" s="37">
        <v>65</v>
      </c>
      <c r="Y979" s="37">
        <v>64</v>
      </c>
      <c r="Z979" s="37">
        <v>40</v>
      </c>
      <c r="AA979" s="37">
        <v>1</v>
      </c>
      <c r="AB979" s="300">
        <f t="shared" si="93"/>
        <v>27.733333333333334</v>
      </c>
      <c r="AC979" s="300">
        <f t="shared" si="94"/>
        <v>0.16706827309236949</v>
      </c>
      <c r="AD979" s="37">
        <v>385</v>
      </c>
      <c r="AE979" s="37" t="s">
        <v>111</v>
      </c>
      <c r="AF979" s="37" t="s">
        <v>317</v>
      </c>
      <c r="AG979" s="37" t="s">
        <v>317</v>
      </c>
      <c r="AH979" s="37" t="s">
        <v>2712</v>
      </c>
      <c r="AI979" s="309"/>
      <c r="AJ979" s="309"/>
      <c r="AK979" s="68" t="s">
        <v>37</v>
      </c>
      <c r="AL979" s="68" t="s">
        <v>49</v>
      </c>
      <c r="AM979" s="299">
        <f t="shared" ca="1" si="90"/>
        <v>0.14930555555474712</v>
      </c>
      <c r="AN979" s="51"/>
      <c r="AO979" s="28" t="s">
        <v>77</v>
      </c>
      <c r="AP979" s="39" t="s">
        <v>2713</v>
      </c>
      <c r="AQ979" s="28" t="s">
        <v>2739</v>
      </c>
      <c r="AR979" s="64">
        <v>44895.760416666664</v>
      </c>
      <c r="AS979" s="57" t="s">
        <v>117</v>
      </c>
      <c r="AT979" s="61" t="s">
        <v>225</v>
      </c>
      <c r="AU979" s="63">
        <v>0.76041666666666663</v>
      </c>
      <c r="AV979" s="61">
        <v>1</v>
      </c>
      <c r="AW979" s="61" t="s">
        <v>66</v>
      </c>
      <c r="AX979" s="52"/>
      <c r="AY979" s="52"/>
      <c r="AZ979" s="52"/>
      <c r="BA979" s="52"/>
    </row>
    <row r="980" spans="1:53" x14ac:dyDescent="0.25">
      <c r="A980" s="48">
        <v>591</v>
      </c>
      <c r="B980" s="72">
        <v>44895.611111111109</v>
      </c>
      <c r="C980" s="67">
        <v>0.61458333333333337</v>
      </c>
      <c r="D980" s="67">
        <v>0.63541666666666663</v>
      </c>
      <c r="E980" s="67">
        <v>0.65277777777777779</v>
      </c>
      <c r="F980" s="68" t="s">
        <v>170</v>
      </c>
      <c r="G980" s="68" t="s">
        <v>412</v>
      </c>
      <c r="H980" s="26" t="s">
        <v>228</v>
      </c>
      <c r="I980" s="26" t="s">
        <v>71</v>
      </c>
      <c r="J980" s="60" t="s">
        <v>37</v>
      </c>
      <c r="K980" s="60" t="s">
        <v>63</v>
      </c>
      <c r="L980" s="26" t="s">
        <v>212</v>
      </c>
      <c r="M980" s="37" t="s">
        <v>2722</v>
      </c>
      <c r="N980" s="37" t="s">
        <v>72</v>
      </c>
      <c r="O980" s="37">
        <v>1867</v>
      </c>
      <c r="P980" s="37">
        <v>7324</v>
      </c>
      <c r="Q980" s="303">
        <f t="shared" si="91"/>
        <v>1</v>
      </c>
      <c r="R980" s="303">
        <f t="shared" si="92"/>
        <v>81</v>
      </c>
      <c r="S980" s="37">
        <v>0</v>
      </c>
      <c r="T980" s="37">
        <v>0</v>
      </c>
      <c r="U980" s="37">
        <v>1</v>
      </c>
      <c r="V980" s="37">
        <v>81</v>
      </c>
      <c r="W980" s="37">
        <v>80</v>
      </c>
      <c r="X980" s="37">
        <v>39</v>
      </c>
      <c r="Y980" s="37">
        <v>39</v>
      </c>
      <c r="Z980" s="37">
        <v>48</v>
      </c>
      <c r="AA980" s="37">
        <v>1</v>
      </c>
      <c r="AB980" s="300">
        <f t="shared" si="93"/>
        <v>12.167999999999999</v>
      </c>
      <c r="AC980" s="300">
        <f t="shared" si="94"/>
        <v>7.3301204819277099E-2</v>
      </c>
      <c r="AD980" s="37">
        <v>1306</v>
      </c>
      <c r="AE980" s="37" t="s">
        <v>109</v>
      </c>
      <c r="AF980" s="37" t="s">
        <v>317</v>
      </c>
      <c r="AG980" s="37" t="s">
        <v>317</v>
      </c>
      <c r="AH980" s="37" t="s">
        <v>2714</v>
      </c>
      <c r="AI980" s="309"/>
      <c r="AJ980" s="309"/>
      <c r="AK980" s="68" t="s">
        <v>37</v>
      </c>
      <c r="AL980" s="37" t="s">
        <v>49</v>
      </c>
      <c r="AM980" s="299">
        <f t="shared" ca="1" si="90"/>
        <v>0.89930555555474712</v>
      </c>
      <c r="AN980" s="51"/>
      <c r="AO980" s="57" t="s">
        <v>72</v>
      </c>
      <c r="AP980" s="57" t="s">
        <v>2722</v>
      </c>
      <c r="AQ980" s="57" t="s">
        <v>2814</v>
      </c>
      <c r="AR980" s="29">
        <v>44896.510416666664</v>
      </c>
      <c r="AS980" s="57" t="s">
        <v>117</v>
      </c>
      <c r="AT980" s="61" t="s">
        <v>225</v>
      </c>
      <c r="AU980" s="63">
        <v>0.51041666666666663</v>
      </c>
      <c r="AV980" s="61">
        <v>1</v>
      </c>
      <c r="AW980" s="61" t="s">
        <v>66</v>
      </c>
      <c r="AX980" s="52"/>
      <c r="AY980" s="52"/>
      <c r="AZ980" s="52"/>
      <c r="BA980" s="52"/>
    </row>
    <row r="981" spans="1:53" x14ac:dyDescent="0.25">
      <c r="A981" s="48">
        <v>592</v>
      </c>
      <c r="B981" s="72">
        <v>44895.611111111109</v>
      </c>
      <c r="C981" s="67">
        <v>0.61458333333333337</v>
      </c>
      <c r="D981" s="67">
        <v>0.63541666666666663</v>
      </c>
      <c r="E981" s="67">
        <v>0.65277777777777779</v>
      </c>
      <c r="F981" s="68" t="s">
        <v>170</v>
      </c>
      <c r="G981" s="68" t="s">
        <v>412</v>
      </c>
      <c r="H981" s="60" t="s">
        <v>187</v>
      </c>
      <c r="I981" s="26" t="s">
        <v>71</v>
      </c>
      <c r="J981" s="60" t="s">
        <v>37</v>
      </c>
      <c r="K981" s="60" t="s">
        <v>63</v>
      </c>
      <c r="L981" s="60" t="s">
        <v>212</v>
      </c>
      <c r="M981" s="68" t="s">
        <v>2724</v>
      </c>
      <c r="N981" s="37" t="s">
        <v>72</v>
      </c>
      <c r="O981" s="37">
        <v>21222231594</v>
      </c>
      <c r="P981" s="37">
        <v>5051999687</v>
      </c>
      <c r="Q981" s="303">
        <f t="shared" si="91"/>
        <v>1</v>
      </c>
      <c r="R981" s="303">
        <f t="shared" si="92"/>
        <v>196</v>
      </c>
      <c r="S981" s="37">
        <v>0</v>
      </c>
      <c r="T981" s="37">
        <v>0</v>
      </c>
      <c r="U981" s="37">
        <v>1</v>
      </c>
      <c r="V981" s="37">
        <v>196</v>
      </c>
      <c r="W981" s="37">
        <v>193</v>
      </c>
      <c r="X981" s="37">
        <v>108</v>
      </c>
      <c r="Y981" s="37">
        <v>57</v>
      </c>
      <c r="Z981" s="37">
        <v>65</v>
      </c>
      <c r="AA981" s="37">
        <v>1</v>
      </c>
      <c r="AB981" s="300">
        <f t="shared" si="93"/>
        <v>66.69</v>
      </c>
      <c r="AC981" s="300">
        <f t="shared" si="94"/>
        <v>0.40174698795180719</v>
      </c>
      <c r="AD981" s="37">
        <v>1288</v>
      </c>
      <c r="AE981" s="68" t="s">
        <v>109</v>
      </c>
      <c r="AF981" s="68" t="s">
        <v>317</v>
      </c>
      <c r="AG981" s="68" t="s">
        <v>317</v>
      </c>
      <c r="AH981" s="37" t="s">
        <v>2715</v>
      </c>
      <c r="AI981" s="309"/>
      <c r="AJ981" s="309"/>
      <c r="AK981" s="68" t="s">
        <v>37</v>
      </c>
      <c r="AL981" s="37" t="s">
        <v>49</v>
      </c>
      <c r="AM981" s="299">
        <f t="shared" ca="1" si="90"/>
        <v>0.89930555555474712</v>
      </c>
      <c r="AN981" s="51"/>
      <c r="AO981" s="57" t="s">
        <v>72</v>
      </c>
      <c r="AP981" s="57" t="s">
        <v>2724</v>
      </c>
      <c r="AQ981" s="57" t="s">
        <v>2814</v>
      </c>
      <c r="AR981" s="29">
        <v>44896.510416666664</v>
      </c>
      <c r="AS981" s="57" t="s">
        <v>117</v>
      </c>
      <c r="AT981" s="61" t="s">
        <v>225</v>
      </c>
      <c r="AU981" s="63">
        <v>0.51041666666666663</v>
      </c>
      <c r="AV981" s="61">
        <v>1</v>
      </c>
      <c r="AW981" s="61" t="s">
        <v>66</v>
      </c>
      <c r="AX981" s="52"/>
      <c r="AY981" s="52"/>
      <c r="AZ981" s="52"/>
      <c r="BA981" s="52"/>
    </row>
    <row r="982" spans="1:53" x14ac:dyDescent="0.25">
      <c r="A982" s="48">
        <v>593</v>
      </c>
      <c r="B982" s="72">
        <v>44895.611111111109</v>
      </c>
      <c r="C982" s="67">
        <v>0.61458333333333337</v>
      </c>
      <c r="D982" s="67">
        <v>0.63541666666666663</v>
      </c>
      <c r="E982" s="67">
        <v>0.65277777777777779</v>
      </c>
      <c r="F982" s="68" t="s">
        <v>170</v>
      </c>
      <c r="G982" s="68" t="s">
        <v>412</v>
      </c>
      <c r="H982" s="60" t="s">
        <v>187</v>
      </c>
      <c r="I982" s="60" t="s">
        <v>71</v>
      </c>
      <c r="J982" s="60" t="s">
        <v>37</v>
      </c>
      <c r="K982" s="60" t="s">
        <v>63</v>
      </c>
      <c r="L982" s="60" t="s">
        <v>212</v>
      </c>
      <c r="M982" s="37" t="s">
        <v>2724</v>
      </c>
      <c r="N982" s="68" t="s">
        <v>72</v>
      </c>
      <c r="O982" s="37">
        <v>21222231593</v>
      </c>
      <c r="P982" s="37">
        <v>5051998861</v>
      </c>
      <c r="Q982" s="303">
        <f t="shared" si="91"/>
        <v>1</v>
      </c>
      <c r="R982" s="303">
        <f t="shared" si="92"/>
        <v>197</v>
      </c>
      <c r="S982" s="37">
        <v>0</v>
      </c>
      <c r="T982" s="37">
        <v>0</v>
      </c>
      <c r="U982" s="37">
        <v>1</v>
      </c>
      <c r="V982" s="37">
        <v>197</v>
      </c>
      <c r="W982" s="37">
        <v>194</v>
      </c>
      <c r="X982" s="37">
        <v>120</v>
      </c>
      <c r="Y982" s="37">
        <v>80</v>
      </c>
      <c r="Z982" s="37">
        <v>43</v>
      </c>
      <c r="AA982" s="37">
        <v>1</v>
      </c>
      <c r="AB982" s="300">
        <f t="shared" si="93"/>
        <v>68.8</v>
      </c>
      <c r="AC982" s="300">
        <f t="shared" si="94"/>
        <v>0.41445783132530117</v>
      </c>
      <c r="AD982" s="37">
        <v>4403</v>
      </c>
      <c r="AE982" s="68" t="s">
        <v>109</v>
      </c>
      <c r="AF982" s="68" t="s">
        <v>317</v>
      </c>
      <c r="AG982" s="68" t="s">
        <v>317</v>
      </c>
      <c r="AH982" s="37" t="s">
        <v>2716</v>
      </c>
      <c r="AI982" s="309"/>
      <c r="AJ982" s="309"/>
      <c r="AK982" s="68" t="s">
        <v>37</v>
      </c>
      <c r="AL982" s="68" t="s">
        <v>49</v>
      </c>
      <c r="AM982" s="299">
        <f t="shared" ca="1" si="90"/>
        <v>0.89930555555474712</v>
      </c>
      <c r="AN982" s="51"/>
      <c r="AO982" s="57" t="s">
        <v>72</v>
      </c>
      <c r="AP982" s="57" t="s">
        <v>2724</v>
      </c>
      <c r="AQ982" s="57" t="s">
        <v>2814</v>
      </c>
      <c r="AR982" s="29">
        <v>44896.510416666664</v>
      </c>
      <c r="AS982" s="57" t="s">
        <v>117</v>
      </c>
      <c r="AT982" s="61" t="s">
        <v>225</v>
      </c>
      <c r="AU982" s="63">
        <v>0.51041666666666663</v>
      </c>
      <c r="AV982" s="61">
        <v>1</v>
      </c>
      <c r="AW982" s="61" t="s">
        <v>66</v>
      </c>
      <c r="AX982" s="52"/>
      <c r="AY982" s="52"/>
      <c r="AZ982" s="52"/>
      <c r="BA982" s="52"/>
    </row>
    <row r="983" spans="1:53" x14ac:dyDescent="0.25">
      <c r="A983" s="48">
        <v>594</v>
      </c>
      <c r="B983" s="72">
        <v>44895.611111111109</v>
      </c>
      <c r="C983" s="67">
        <v>0.61458333333333337</v>
      </c>
      <c r="D983" s="67">
        <v>0.63541666666666663</v>
      </c>
      <c r="E983" s="67">
        <v>0.65277777777777779</v>
      </c>
      <c r="F983" s="68" t="s">
        <v>170</v>
      </c>
      <c r="G983" s="68" t="s">
        <v>412</v>
      </c>
      <c r="H983" s="26" t="s">
        <v>57</v>
      </c>
      <c r="I983" s="26" t="s">
        <v>2717</v>
      </c>
      <c r="J983" s="60" t="s">
        <v>37</v>
      </c>
      <c r="K983" s="60" t="s">
        <v>63</v>
      </c>
      <c r="L983" s="26" t="s">
        <v>209</v>
      </c>
      <c r="M983" s="37">
        <v>313313911</v>
      </c>
      <c r="N983" s="37" t="s">
        <v>53</v>
      </c>
      <c r="O983" s="37" t="s">
        <v>2718</v>
      </c>
      <c r="P983" s="37">
        <v>81949261</v>
      </c>
      <c r="Q983" s="303">
        <f t="shared" si="91"/>
        <v>2</v>
      </c>
      <c r="R983" s="303">
        <f t="shared" si="92"/>
        <v>279</v>
      </c>
      <c r="S983" s="37">
        <v>0</v>
      </c>
      <c r="T983" s="37">
        <v>0</v>
      </c>
      <c r="U983" s="37">
        <v>2</v>
      </c>
      <c r="V983" s="37">
        <f>22+257</f>
        <v>279</v>
      </c>
      <c r="W983" s="37">
        <v>279</v>
      </c>
      <c r="X983" s="37">
        <v>61</v>
      </c>
      <c r="Y983" s="37">
        <v>45</v>
      </c>
      <c r="Z983" s="37">
        <v>56</v>
      </c>
      <c r="AA983" s="37">
        <v>1</v>
      </c>
      <c r="AB983" s="300">
        <f t="shared" si="93"/>
        <v>25.62</v>
      </c>
      <c r="AC983" s="300">
        <f t="shared" si="94"/>
        <v>0.15433734939759036</v>
      </c>
      <c r="AD983" s="37">
        <v>13557</v>
      </c>
      <c r="AE983" s="37" t="s">
        <v>109</v>
      </c>
      <c r="AF983" s="37" t="s">
        <v>317</v>
      </c>
      <c r="AG983" s="37" t="s">
        <v>317</v>
      </c>
      <c r="AH983" s="37" t="s">
        <v>2719</v>
      </c>
      <c r="AI983" s="309"/>
      <c r="AJ983" s="309"/>
      <c r="AK983" s="68" t="s">
        <v>37</v>
      </c>
      <c r="AL983" s="68" t="s">
        <v>49</v>
      </c>
      <c r="AM983" s="299">
        <f t="shared" ca="1" si="90"/>
        <v>9.0277777781011537E-2</v>
      </c>
      <c r="AN983" s="51"/>
      <c r="AO983" s="115" t="s">
        <v>53</v>
      </c>
      <c r="AP983" s="39">
        <v>313313911</v>
      </c>
      <c r="AQ983" s="28" t="s">
        <v>243</v>
      </c>
      <c r="AR983" s="64">
        <v>44895.701388888891</v>
      </c>
      <c r="AS983" s="28" t="s">
        <v>289</v>
      </c>
      <c r="AT983" s="28">
        <v>407</v>
      </c>
      <c r="AU983" s="54">
        <v>0.70138888888888884</v>
      </c>
      <c r="AV983" s="61">
        <v>1</v>
      </c>
      <c r="AW983" s="61" t="s">
        <v>152</v>
      </c>
      <c r="AX983" s="52"/>
      <c r="AY983" s="52"/>
      <c r="AZ983" s="52"/>
      <c r="BA983" s="52"/>
    </row>
    <row r="984" spans="1:53" x14ac:dyDescent="0.25">
      <c r="A984" s="73">
        <v>594</v>
      </c>
      <c r="B984" s="72">
        <v>44895.611111111109</v>
      </c>
      <c r="C984" s="67">
        <v>0.61458333333333337</v>
      </c>
      <c r="D984" s="67">
        <v>0.63541666666666663</v>
      </c>
      <c r="E984" s="67">
        <v>0.65277777777777779</v>
      </c>
      <c r="F984" s="68" t="s">
        <v>170</v>
      </c>
      <c r="G984" s="68" t="s">
        <v>412</v>
      </c>
      <c r="H984" s="60" t="s">
        <v>57</v>
      </c>
      <c r="I984" s="60" t="s">
        <v>2717</v>
      </c>
      <c r="J984" s="60" t="s">
        <v>37</v>
      </c>
      <c r="K984" s="60" t="s">
        <v>63</v>
      </c>
      <c r="L984" s="60" t="s">
        <v>209</v>
      </c>
      <c r="M984" s="68">
        <v>313313911</v>
      </c>
      <c r="N984" s="68" t="s">
        <v>53</v>
      </c>
      <c r="O984" s="68" t="s">
        <v>2718</v>
      </c>
      <c r="P984" s="68">
        <v>81949261</v>
      </c>
      <c r="Q984" s="303">
        <f t="shared" si="91"/>
        <v>0</v>
      </c>
      <c r="R984" s="303">
        <f t="shared" si="92"/>
        <v>0</v>
      </c>
      <c r="S984" s="37">
        <v>0</v>
      </c>
      <c r="T984" s="37">
        <v>0</v>
      </c>
      <c r="U984" s="37">
        <v>0</v>
      </c>
      <c r="V984" s="37">
        <v>0</v>
      </c>
      <c r="W984" s="37">
        <v>0</v>
      </c>
      <c r="X984" s="37">
        <v>109</v>
      </c>
      <c r="Y984" s="37">
        <v>83</v>
      </c>
      <c r="Z984" s="37">
        <v>41</v>
      </c>
      <c r="AA984" s="37">
        <v>1</v>
      </c>
      <c r="AB984" s="300">
        <f t="shared" si="93"/>
        <v>61.82116666666667</v>
      </c>
      <c r="AC984" s="300">
        <f t="shared" si="94"/>
        <v>0.37241666666666667</v>
      </c>
      <c r="AD984" s="37">
        <v>0</v>
      </c>
      <c r="AE984" s="37">
        <v>0</v>
      </c>
      <c r="AF984" s="37">
        <v>0</v>
      </c>
      <c r="AG984" s="37">
        <v>0</v>
      </c>
      <c r="AH984" s="37">
        <v>0</v>
      </c>
      <c r="AI984" s="309"/>
      <c r="AJ984" s="309"/>
      <c r="AK984" s="68" t="s">
        <v>37</v>
      </c>
      <c r="AL984" s="68" t="s">
        <v>49</v>
      </c>
      <c r="AM984" s="299">
        <f t="shared" ca="1" si="90"/>
        <v>9.0277777781011537E-2</v>
      </c>
      <c r="AN984" s="51"/>
      <c r="AO984" s="115" t="s">
        <v>53</v>
      </c>
      <c r="AP984" s="39">
        <v>313313911</v>
      </c>
      <c r="AQ984" s="108" t="s">
        <v>243</v>
      </c>
      <c r="AR984" s="64">
        <v>44895.701388888891</v>
      </c>
      <c r="AS984" s="28" t="s">
        <v>289</v>
      </c>
      <c r="AT984" s="28">
        <v>407</v>
      </c>
      <c r="AU984" s="54">
        <v>0.70138888888888884</v>
      </c>
      <c r="AV984" s="61">
        <v>1</v>
      </c>
      <c r="AW984" s="61" t="s">
        <v>152</v>
      </c>
      <c r="AX984" s="52"/>
      <c r="AY984" s="52"/>
      <c r="AZ984" s="52"/>
      <c r="BA984" s="52"/>
    </row>
    <row r="985" spans="1:53" x14ac:dyDescent="0.25">
      <c r="A985" s="48">
        <v>595</v>
      </c>
      <c r="B985" s="72">
        <v>44895.611111111109</v>
      </c>
      <c r="C985" s="67">
        <v>0.61458333333333337</v>
      </c>
      <c r="D985" s="67">
        <v>0.63541666666666663</v>
      </c>
      <c r="E985" s="67">
        <v>0.65277777777777779</v>
      </c>
      <c r="F985" s="68" t="s">
        <v>170</v>
      </c>
      <c r="G985" s="68" t="s">
        <v>412</v>
      </c>
      <c r="H985" s="60" t="s">
        <v>57</v>
      </c>
      <c r="I985" s="26" t="s">
        <v>73</v>
      </c>
      <c r="J985" s="60" t="s">
        <v>37</v>
      </c>
      <c r="K985" s="60" t="s">
        <v>63</v>
      </c>
      <c r="L985" s="60" t="s">
        <v>209</v>
      </c>
      <c r="M985" s="37" t="s">
        <v>2723</v>
      </c>
      <c r="N985" s="37" t="s">
        <v>70</v>
      </c>
      <c r="O985" s="37" t="s">
        <v>2720</v>
      </c>
      <c r="P985" s="37">
        <v>81969123</v>
      </c>
      <c r="Q985" s="303">
        <f t="shared" si="91"/>
        <v>2</v>
      </c>
      <c r="R985" s="303">
        <f t="shared" si="92"/>
        <v>234</v>
      </c>
      <c r="S985" s="37">
        <v>0</v>
      </c>
      <c r="T985" s="37">
        <v>0</v>
      </c>
      <c r="U985" s="37">
        <v>2</v>
      </c>
      <c r="V985" s="37">
        <f>174+60</f>
        <v>234</v>
      </c>
      <c r="W985" s="37">
        <v>233</v>
      </c>
      <c r="X985" s="37">
        <v>80</v>
      </c>
      <c r="Y985" s="37">
        <v>60</v>
      </c>
      <c r="Z985" s="37">
        <v>69</v>
      </c>
      <c r="AA985" s="37">
        <v>1</v>
      </c>
      <c r="AB985" s="300">
        <f t="shared" si="93"/>
        <v>55.2</v>
      </c>
      <c r="AC985" s="300">
        <f t="shared" si="94"/>
        <v>0.3325301204819277</v>
      </c>
      <c r="AD985" s="37">
        <v>15366</v>
      </c>
      <c r="AE985" s="37" t="s">
        <v>109</v>
      </c>
      <c r="AF985" s="37" t="s">
        <v>317</v>
      </c>
      <c r="AG985" s="37" t="s">
        <v>317</v>
      </c>
      <c r="AH985" s="37" t="s">
        <v>2721</v>
      </c>
      <c r="AI985" s="309"/>
      <c r="AJ985" s="309"/>
      <c r="AK985" s="68" t="s">
        <v>37</v>
      </c>
      <c r="AL985" s="68" t="s">
        <v>49</v>
      </c>
      <c r="AM985" s="299">
        <f t="shared" ca="1" si="90"/>
        <v>5.84375</v>
      </c>
      <c r="AN985" s="51"/>
      <c r="AO985" s="104" t="s">
        <v>70</v>
      </c>
      <c r="AP985" s="106" t="s">
        <v>2723</v>
      </c>
      <c r="AQ985" s="104" t="s">
        <v>3072</v>
      </c>
      <c r="AR985" s="111">
        <v>44901.454861111109</v>
      </c>
      <c r="AS985" s="104" t="s">
        <v>117</v>
      </c>
      <c r="AT985" s="109" t="s">
        <v>225</v>
      </c>
      <c r="AU985" s="110">
        <v>0.4548611111111111</v>
      </c>
      <c r="AV985" s="104">
        <v>1</v>
      </c>
      <c r="AW985" s="109" t="s">
        <v>66</v>
      </c>
      <c r="AX985" s="105"/>
      <c r="AY985" s="52"/>
      <c r="AZ985" s="52"/>
      <c r="BA985" s="52"/>
    </row>
    <row r="986" spans="1:53" x14ac:dyDescent="0.25">
      <c r="A986" s="73">
        <v>595</v>
      </c>
      <c r="B986" s="72">
        <v>44895.611111111109</v>
      </c>
      <c r="C986" s="67">
        <v>0.61458333333333337</v>
      </c>
      <c r="D986" s="67">
        <v>0.63541666666666663</v>
      </c>
      <c r="E986" s="67">
        <v>0.65277777777777779</v>
      </c>
      <c r="F986" s="68" t="s">
        <v>170</v>
      </c>
      <c r="G986" s="68" t="s">
        <v>412</v>
      </c>
      <c r="H986" s="60" t="s">
        <v>57</v>
      </c>
      <c r="I986" s="60" t="s">
        <v>73</v>
      </c>
      <c r="J986" s="60" t="s">
        <v>37</v>
      </c>
      <c r="K986" s="60" t="s">
        <v>63</v>
      </c>
      <c r="L986" s="60" t="s">
        <v>209</v>
      </c>
      <c r="M986" s="68" t="s">
        <v>2723</v>
      </c>
      <c r="N986" s="68" t="s">
        <v>70</v>
      </c>
      <c r="O986" s="68" t="s">
        <v>2720</v>
      </c>
      <c r="P986" s="68">
        <v>81969123</v>
      </c>
      <c r="Q986" s="303">
        <f t="shared" si="91"/>
        <v>0</v>
      </c>
      <c r="R986" s="303">
        <f t="shared" si="92"/>
        <v>0</v>
      </c>
      <c r="S986" s="37">
        <v>0</v>
      </c>
      <c r="T986" s="37">
        <v>0</v>
      </c>
      <c r="U986" s="37">
        <v>0</v>
      </c>
      <c r="V986" s="37">
        <v>0</v>
      </c>
      <c r="W986" s="37">
        <v>0</v>
      </c>
      <c r="X986" s="37">
        <v>123</v>
      </c>
      <c r="Y986" s="37">
        <v>83</v>
      </c>
      <c r="Z986" s="37">
        <v>75</v>
      </c>
      <c r="AA986" s="37">
        <v>1</v>
      </c>
      <c r="AB986" s="300">
        <f t="shared" si="93"/>
        <v>127.6125</v>
      </c>
      <c r="AC986" s="300">
        <f t="shared" si="94"/>
        <v>0.76874999999999993</v>
      </c>
      <c r="AD986" s="37">
        <v>0</v>
      </c>
      <c r="AE986" s="37">
        <v>0</v>
      </c>
      <c r="AF986" s="37">
        <v>0</v>
      </c>
      <c r="AG986" s="37">
        <v>0</v>
      </c>
      <c r="AH986" s="37">
        <v>0</v>
      </c>
      <c r="AI986" s="309"/>
      <c r="AJ986" s="309"/>
      <c r="AK986" s="68" t="s">
        <v>37</v>
      </c>
      <c r="AL986" s="68" t="s">
        <v>49</v>
      </c>
      <c r="AM986" s="299">
        <f t="shared" ca="1" si="90"/>
        <v>5.84375</v>
      </c>
      <c r="AN986" s="50"/>
      <c r="AO986" s="104" t="s">
        <v>70</v>
      </c>
      <c r="AP986" s="106" t="s">
        <v>2723</v>
      </c>
      <c r="AQ986" s="104" t="s">
        <v>3072</v>
      </c>
      <c r="AR986" s="111">
        <v>44901.454861111109</v>
      </c>
      <c r="AS986" s="104" t="s">
        <v>117</v>
      </c>
      <c r="AT986" s="109" t="s">
        <v>225</v>
      </c>
      <c r="AU986" s="110">
        <v>0.4548611111111111</v>
      </c>
      <c r="AV986" s="104">
        <v>1</v>
      </c>
      <c r="AW986" s="109" t="s">
        <v>66</v>
      </c>
      <c r="AX986" s="105"/>
      <c r="AY986" s="52"/>
      <c r="AZ986" s="52"/>
      <c r="BA986" s="52"/>
    </row>
    <row r="987" spans="1:53" x14ac:dyDescent="0.25">
      <c r="A987" s="48">
        <v>596</v>
      </c>
      <c r="B987" s="72">
        <v>44895.6875</v>
      </c>
      <c r="C987" s="36">
        <v>0.69444444444444453</v>
      </c>
      <c r="D987" s="36">
        <v>0.69791666666666663</v>
      </c>
      <c r="E987" s="36">
        <v>0.70486111111111116</v>
      </c>
      <c r="F987" s="37" t="s">
        <v>171</v>
      </c>
      <c r="G987" s="37" t="s">
        <v>265</v>
      </c>
      <c r="H987" s="26" t="s">
        <v>149</v>
      </c>
      <c r="I987" s="26" t="s">
        <v>508</v>
      </c>
      <c r="J987" s="26" t="s">
        <v>37</v>
      </c>
      <c r="K987" s="26" t="s">
        <v>180</v>
      </c>
      <c r="L987" s="26" t="s">
        <v>206</v>
      </c>
      <c r="M987" s="37" t="s">
        <v>2726</v>
      </c>
      <c r="N987" s="37" t="s">
        <v>53</v>
      </c>
      <c r="O987" s="37">
        <v>2340167</v>
      </c>
      <c r="P987" s="37">
        <v>7622</v>
      </c>
      <c r="Q987" s="303">
        <f t="shared" si="91"/>
        <v>2</v>
      </c>
      <c r="R987" s="303">
        <f t="shared" si="92"/>
        <v>109</v>
      </c>
      <c r="S987" s="37">
        <v>0</v>
      </c>
      <c r="T987" s="37">
        <v>0</v>
      </c>
      <c r="U987" s="37">
        <v>2</v>
      </c>
      <c r="V987" s="37">
        <f>86+23</f>
        <v>109</v>
      </c>
      <c r="W987" s="37">
        <v>99</v>
      </c>
      <c r="X987" s="37">
        <v>113</v>
      </c>
      <c r="Y987" s="37">
        <v>80</v>
      </c>
      <c r="Z987" s="37">
        <v>58</v>
      </c>
      <c r="AA987" s="37">
        <v>1</v>
      </c>
      <c r="AB987" s="300">
        <f t="shared" si="93"/>
        <v>87.38666666666667</v>
      </c>
      <c r="AC987" s="300">
        <f t="shared" si="94"/>
        <v>0.52642570281124501</v>
      </c>
      <c r="AD987" s="37">
        <v>7547</v>
      </c>
      <c r="AE987" s="37" t="s">
        <v>109</v>
      </c>
      <c r="AF987" s="37" t="s">
        <v>317</v>
      </c>
      <c r="AG987" s="37" t="s">
        <v>317</v>
      </c>
      <c r="AH987" s="37" t="s">
        <v>2725</v>
      </c>
      <c r="AI987" s="309"/>
      <c r="AJ987" s="309"/>
      <c r="AK987" s="68" t="s">
        <v>37</v>
      </c>
      <c r="AL987" s="37" t="s">
        <v>49</v>
      </c>
      <c r="AM987" s="299">
        <f t="shared" ca="1" si="90"/>
        <v>3.0277777777810115</v>
      </c>
      <c r="AN987" s="50"/>
      <c r="AO987" s="104" t="s">
        <v>53</v>
      </c>
      <c r="AP987" s="106" t="s">
        <v>2726</v>
      </c>
      <c r="AQ987" s="104" t="s">
        <v>2994</v>
      </c>
      <c r="AR987" s="111">
        <v>44898.715277777781</v>
      </c>
      <c r="AS987" s="104" t="s">
        <v>1203</v>
      </c>
      <c r="AT987" s="109" t="s">
        <v>65</v>
      </c>
      <c r="AU987" s="110">
        <v>0.71527777777777779</v>
      </c>
      <c r="AV987" s="104">
        <v>1</v>
      </c>
      <c r="AW987" s="109" t="s">
        <v>66</v>
      </c>
      <c r="AX987" s="52"/>
      <c r="AY987" s="52"/>
      <c r="AZ987" s="52"/>
      <c r="BA987" s="52"/>
    </row>
    <row r="988" spans="1:53" x14ac:dyDescent="0.25">
      <c r="A988" s="73">
        <v>596</v>
      </c>
      <c r="B988" s="72">
        <v>44895.6875</v>
      </c>
      <c r="C988" s="67">
        <v>0.69444444444444453</v>
      </c>
      <c r="D988" s="67">
        <v>0.69791666666666663</v>
      </c>
      <c r="E988" s="67">
        <v>0.70486111111111116</v>
      </c>
      <c r="F988" s="68" t="s">
        <v>171</v>
      </c>
      <c r="G988" s="68" t="s">
        <v>265</v>
      </c>
      <c r="H988" s="60" t="s">
        <v>149</v>
      </c>
      <c r="I988" s="60" t="s">
        <v>508</v>
      </c>
      <c r="J988" s="60" t="s">
        <v>37</v>
      </c>
      <c r="K988" s="60" t="s">
        <v>180</v>
      </c>
      <c r="L988" s="60" t="s">
        <v>206</v>
      </c>
      <c r="M988" s="68" t="s">
        <v>2726</v>
      </c>
      <c r="N988" s="68" t="s">
        <v>53</v>
      </c>
      <c r="O988" s="68">
        <v>2340167</v>
      </c>
      <c r="P988" s="68">
        <v>7622</v>
      </c>
      <c r="Q988" s="303">
        <f t="shared" si="91"/>
        <v>0</v>
      </c>
      <c r="R988" s="303">
        <f t="shared" si="92"/>
        <v>0</v>
      </c>
      <c r="S988" s="37">
        <v>0</v>
      </c>
      <c r="T988" s="37">
        <v>0</v>
      </c>
      <c r="U988" s="37">
        <v>0</v>
      </c>
      <c r="V988" s="37">
        <v>0</v>
      </c>
      <c r="W988" s="37">
        <v>0</v>
      </c>
      <c r="X988" s="37">
        <v>108</v>
      </c>
      <c r="Y988" s="37">
        <v>32</v>
      </c>
      <c r="Z988" s="37">
        <v>41</v>
      </c>
      <c r="AA988" s="37">
        <v>1</v>
      </c>
      <c r="AB988" s="300">
        <f t="shared" si="93"/>
        <v>23.616</v>
      </c>
      <c r="AC988" s="300">
        <f t="shared" si="94"/>
        <v>0.14226506024096386</v>
      </c>
      <c r="AD988" s="37">
        <v>0</v>
      </c>
      <c r="AE988" s="37">
        <v>0</v>
      </c>
      <c r="AF988" s="37">
        <v>0</v>
      </c>
      <c r="AG988" s="37">
        <v>0</v>
      </c>
      <c r="AH988" s="37">
        <v>0</v>
      </c>
      <c r="AI988" s="309"/>
      <c r="AJ988" s="309"/>
      <c r="AK988" s="68" t="s">
        <v>37</v>
      </c>
      <c r="AL988" s="68" t="s">
        <v>49</v>
      </c>
      <c r="AM988" s="299">
        <f t="shared" ca="1" si="90"/>
        <v>3.0277777777810115</v>
      </c>
      <c r="AN988" s="50"/>
      <c r="AO988" s="104" t="s">
        <v>53</v>
      </c>
      <c r="AP988" s="106" t="s">
        <v>2726</v>
      </c>
      <c r="AQ988" s="104" t="s">
        <v>2994</v>
      </c>
      <c r="AR988" s="111">
        <v>44898.715277777781</v>
      </c>
      <c r="AS988" s="104" t="s">
        <v>1203</v>
      </c>
      <c r="AT988" s="109" t="s">
        <v>65</v>
      </c>
      <c r="AU988" s="110">
        <v>0.71527777777777779</v>
      </c>
      <c r="AV988" s="104">
        <v>1</v>
      </c>
      <c r="AW988" s="109" t="s">
        <v>66</v>
      </c>
      <c r="AX988" s="52"/>
      <c r="AY988" s="52"/>
      <c r="AZ988" s="52"/>
      <c r="BA988" s="52"/>
    </row>
    <row r="989" spans="1:53" x14ac:dyDescent="0.25">
      <c r="A989" s="48">
        <v>597</v>
      </c>
      <c r="B989" s="72">
        <v>44895.704861111109</v>
      </c>
      <c r="C989" s="36">
        <v>0.70833333333333337</v>
      </c>
      <c r="D989" s="36">
        <v>0.71180555555555547</v>
      </c>
      <c r="E989" s="36">
        <v>0.71180555555555547</v>
      </c>
      <c r="F989" s="68" t="s">
        <v>171</v>
      </c>
      <c r="G989" s="37" t="s">
        <v>297</v>
      </c>
      <c r="H989" s="26" t="s">
        <v>254</v>
      </c>
      <c r="I989" s="26" t="s">
        <v>141</v>
      </c>
      <c r="J989" s="60" t="s">
        <v>37</v>
      </c>
      <c r="K989" s="60" t="s">
        <v>180</v>
      </c>
      <c r="L989" s="60" t="s">
        <v>303</v>
      </c>
      <c r="M989" s="37" t="s">
        <v>2728</v>
      </c>
      <c r="N989" s="37" t="s">
        <v>81</v>
      </c>
      <c r="O989" s="37">
        <v>3322202331</v>
      </c>
      <c r="P989" s="37">
        <v>1000474685</v>
      </c>
      <c r="Q989" s="303">
        <f t="shared" si="91"/>
        <v>1</v>
      </c>
      <c r="R989" s="303">
        <f t="shared" si="92"/>
        <v>244</v>
      </c>
      <c r="S989" s="37">
        <v>0</v>
      </c>
      <c r="T989" s="37">
        <v>0</v>
      </c>
      <c r="U989" s="37">
        <v>1</v>
      </c>
      <c r="V989" s="37">
        <v>244</v>
      </c>
      <c r="W989" s="37">
        <v>243</v>
      </c>
      <c r="X989" s="37">
        <v>119</v>
      </c>
      <c r="Y989" s="37">
        <v>99</v>
      </c>
      <c r="Z989" s="37">
        <v>78</v>
      </c>
      <c r="AA989" s="37">
        <v>1</v>
      </c>
      <c r="AB989" s="300">
        <f t="shared" si="93"/>
        <v>153.15299999999999</v>
      </c>
      <c r="AC989" s="300">
        <f t="shared" si="94"/>
        <v>0.92260843373493973</v>
      </c>
      <c r="AD989" s="37">
        <v>34108</v>
      </c>
      <c r="AE989" s="37" t="s">
        <v>109</v>
      </c>
      <c r="AF989" s="37" t="s">
        <v>317</v>
      </c>
      <c r="AG989" s="37" t="s">
        <v>317</v>
      </c>
      <c r="AH989" s="37" t="s">
        <v>2727</v>
      </c>
      <c r="AI989" s="309"/>
      <c r="AJ989" s="309"/>
      <c r="AK989" s="68" t="s">
        <v>37</v>
      </c>
      <c r="AL989" s="68" t="s">
        <v>49</v>
      </c>
      <c r="AM989" s="299">
        <f t="shared" ca="1" si="90"/>
        <v>2.7847222222262644</v>
      </c>
      <c r="AN989" s="50"/>
      <c r="AO989" s="104" t="s">
        <v>81</v>
      </c>
      <c r="AP989" s="106" t="s">
        <v>2728</v>
      </c>
      <c r="AQ989" s="106" t="s">
        <v>2992</v>
      </c>
      <c r="AR989" s="111">
        <v>44898.489583333336</v>
      </c>
      <c r="AS989" s="109" t="s">
        <v>136</v>
      </c>
      <c r="AT989" s="109" t="s">
        <v>225</v>
      </c>
      <c r="AU989" s="110">
        <v>0.48958333333333331</v>
      </c>
      <c r="AV989" s="104">
        <v>1</v>
      </c>
      <c r="AW989" s="109" t="s">
        <v>66</v>
      </c>
      <c r="AX989" s="52"/>
      <c r="AY989" s="52"/>
      <c r="AZ989" s="52"/>
      <c r="BA989" s="52"/>
    </row>
    <row r="990" spans="1:53" x14ac:dyDescent="0.25">
      <c r="A990" s="73">
        <v>598</v>
      </c>
      <c r="B990" s="72">
        <v>44895.784722222219</v>
      </c>
      <c r="C990" s="67">
        <v>0.78472222222222221</v>
      </c>
      <c r="D990" s="67">
        <v>0.84722222222222221</v>
      </c>
      <c r="E990" s="67">
        <v>0.86111111111111116</v>
      </c>
      <c r="F990" s="68" t="s">
        <v>169</v>
      </c>
      <c r="G990" s="68" t="s">
        <v>2773</v>
      </c>
      <c r="H990" s="60" t="s">
        <v>145</v>
      </c>
      <c r="I990" s="60" t="s">
        <v>146</v>
      </c>
      <c r="J990" s="60" t="s">
        <v>41</v>
      </c>
      <c r="K990" s="60" t="s">
        <v>233</v>
      </c>
      <c r="L990" s="60" t="s">
        <v>223</v>
      </c>
      <c r="M990" s="68" t="s">
        <v>2774</v>
      </c>
      <c r="N990" s="68" t="s">
        <v>68</v>
      </c>
      <c r="O990" s="68">
        <v>97000541</v>
      </c>
      <c r="P990" s="68">
        <v>47197</v>
      </c>
      <c r="Q990" s="303">
        <f t="shared" si="91"/>
        <v>9</v>
      </c>
      <c r="R990" s="303">
        <f t="shared" si="92"/>
        <v>101</v>
      </c>
      <c r="S990" s="68">
        <v>9</v>
      </c>
      <c r="T990" s="68">
        <v>101</v>
      </c>
      <c r="U990" s="68">
        <v>0</v>
      </c>
      <c r="V990" s="68">
        <v>0</v>
      </c>
      <c r="W990" s="68">
        <v>117</v>
      </c>
      <c r="X990" s="68">
        <v>60</v>
      </c>
      <c r="Y990" s="68">
        <v>24</v>
      </c>
      <c r="Z990" s="68">
        <v>49</v>
      </c>
      <c r="AA990" s="68">
        <v>7</v>
      </c>
      <c r="AB990" s="300">
        <f t="shared" si="93"/>
        <v>82.32</v>
      </c>
      <c r="AC990" s="300">
        <f t="shared" si="94"/>
        <v>0.49590361445783127</v>
      </c>
      <c r="AD990" s="68">
        <v>447694.13</v>
      </c>
      <c r="AE990" s="68" t="s">
        <v>109</v>
      </c>
      <c r="AF990" s="68">
        <v>5780406</v>
      </c>
      <c r="AG990" s="68" t="s">
        <v>2608</v>
      </c>
      <c r="AH990" s="68" t="s">
        <v>2775</v>
      </c>
      <c r="AI990" s="309"/>
      <c r="AJ990" s="309"/>
      <c r="AK990" s="68" t="s">
        <v>48</v>
      </c>
      <c r="AL990" s="68" t="s">
        <v>50</v>
      </c>
      <c r="AM990" s="299">
        <f t="shared" ca="1" si="90"/>
        <v>5.9375</v>
      </c>
      <c r="AN990" s="75"/>
      <c r="AO990" s="104" t="s">
        <v>68</v>
      </c>
      <c r="AP990" s="106" t="s">
        <v>2774</v>
      </c>
      <c r="AQ990" s="104" t="s">
        <v>3139</v>
      </c>
      <c r="AR990" s="64">
        <v>44901.722222222219</v>
      </c>
      <c r="AS990" s="104" t="s">
        <v>117</v>
      </c>
      <c r="AT990" s="109" t="s">
        <v>225</v>
      </c>
      <c r="AU990" s="110">
        <v>0.72222222222222221</v>
      </c>
      <c r="AV990" s="109">
        <v>2</v>
      </c>
      <c r="AW990" s="109" t="s">
        <v>66</v>
      </c>
      <c r="AX990" s="76"/>
      <c r="AY990" s="76"/>
      <c r="AZ990" s="76"/>
      <c r="BA990" s="76"/>
    </row>
    <row r="991" spans="1:53" x14ac:dyDescent="0.25">
      <c r="A991" s="73">
        <v>598</v>
      </c>
      <c r="B991" s="72">
        <v>44895.784722222219</v>
      </c>
      <c r="C991" s="67">
        <v>0.78472222222222221</v>
      </c>
      <c r="D991" s="67">
        <v>0.84722222222222221</v>
      </c>
      <c r="E991" s="67">
        <v>0.86111111111111116</v>
      </c>
      <c r="F991" s="68" t="s">
        <v>169</v>
      </c>
      <c r="G991" s="68" t="s">
        <v>2773</v>
      </c>
      <c r="H991" s="60" t="s">
        <v>145</v>
      </c>
      <c r="I991" s="60" t="s">
        <v>146</v>
      </c>
      <c r="J991" s="60" t="s">
        <v>41</v>
      </c>
      <c r="K991" s="60" t="s">
        <v>233</v>
      </c>
      <c r="L991" s="60" t="s">
        <v>223</v>
      </c>
      <c r="M991" s="68" t="s">
        <v>2774</v>
      </c>
      <c r="N991" s="68" t="s">
        <v>68</v>
      </c>
      <c r="O991" s="68">
        <v>97000541</v>
      </c>
      <c r="P991" s="68">
        <v>47197</v>
      </c>
      <c r="Q991" s="303">
        <f t="shared" si="91"/>
        <v>0</v>
      </c>
      <c r="R991" s="303">
        <f t="shared" si="92"/>
        <v>0</v>
      </c>
      <c r="S991" s="68">
        <v>0</v>
      </c>
      <c r="T991" s="68">
        <v>0</v>
      </c>
      <c r="U991" s="68">
        <v>0</v>
      </c>
      <c r="V991" s="68">
        <v>0</v>
      </c>
      <c r="W991" s="68">
        <v>0</v>
      </c>
      <c r="X991" s="68">
        <v>37</v>
      </c>
      <c r="Y991" s="68">
        <v>36</v>
      </c>
      <c r="Z991" s="68">
        <v>25</v>
      </c>
      <c r="AA991" s="68">
        <v>1</v>
      </c>
      <c r="AB991" s="300">
        <f t="shared" si="93"/>
        <v>5.55</v>
      </c>
      <c r="AC991" s="300">
        <f t="shared" si="94"/>
        <v>3.3433734939759034E-2</v>
      </c>
      <c r="AD991" s="68">
        <v>0</v>
      </c>
      <c r="AE991" s="68" t="s">
        <v>109</v>
      </c>
      <c r="AF991" s="68">
        <v>5780406</v>
      </c>
      <c r="AG991" s="68" t="s">
        <v>2608</v>
      </c>
      <c r="AH991" s="68">
        <v>0</v>
      </c>
      <c r="AI991" s="309"/>
      <c r="AJ991" s="309"/>
      <c r="AK991" s="68" t="s">
        <v>48</v>
      </c>
      <c r="AL991" s="68" t="s">
        <v>50</v>
      </c>
      <c r="AM991" s="299">
        <f t="shared" ca="1" si="90"/>
        <v>5.9375</v>
      </c>
      <c r="AN991" s="75"/>
      <c r="AO991" s="104" t="s">
        <v>68</v>
      </c>
      <c r="AP991" s="106" t="s">
        <v>2774</v>
      </c>
      <c r="AQ991" s="104" t="s">
        <v>3139</v>
      </c>
      <c r="AR991" s="64">
        <v>44901.722222222219</v>
      </c>
      <c r="AS991" s="104" t="s">
        <v>117</v>
      </c>
      <c r="AT991" s="109" t="s">
        <v>225</v>
      </c>
      <c r="AU991" s="110">
        <v>0.72222222222222221</v>
      </c>
      <c r="AV991" s="109">
        <v>2</v>
      </c>
      <c r="AW991" s="109" t="s">
        <v>66</v>
      </c>
      <c r="AX991" s="76"/>
      <c r="AY991" s="76"/>
      <c r="AZ991" s="76"/>
      <c r="BA991" s="76"/>
    </row>
    <row r="992" spans="1:53" x14ac:dyDescent="0.25">
      <c r="A992" s="73">
        <v>598</v>
      </c>
      <c r="B992" s="72">
        <v>44895.784722222219</v>
      </c>
      <c r="C992" s="67">
        <v>0.78472222222222221</v>
      </c>
      <c r="D992" s="67">
        <v>0.84722222222222221</v>
      </c>
      <c r="E992" s="67">
        <v>0.86111111111111116</v>
      </c>
      <c r="F992" s="68" t="s">
        <v>169</v>
      </c>
      <c r="G992" s="68" t="s">
        <v>2773</v>
      </c>
      <c r="H992" s="60" t="s">
        <v>145</v>
      </c>
      <c r="I992" s="60" t="s">
        <v>146</v>
      </c>
      <c r="J992" s="60" t="s">
        <v>41</v>
      </c>
      <c r="K992" s="60" t="s">
        <v>233</v>
      </c>
      <c r="L992" s="60" t="s">
        <v>223</v>
      </c>
      <c r="M992" s="68" t="s">
        <v>2774</v>
      </c>
      <c r="N992" s="68" t="s">
        <v>68</v>
      </c>
      <c r="O992" s="68">
        <v>97000541</v>
      </c>
      <c r="P992" s="68">
        <v>47197</v>
      </c>
      <c r="Q992" s="303">
        <f t="shared" si="91"/>
        <v>0</v>
      </c>
      <c r="R992" s="303">
        <f t="shared" si="92"/>
        <v>0</v>
      </c>
      <c r="S992" s="68">
        <v>0</v>
      </c>
      <c r="T992" s="68">
        <v>0</v>
      </c>
      <c r="U992" s="68">
        <v>0</v>
      </c>
      <c r="V992" s="68">
        <v>0</v>
      </c>
      <c r="W992" s="68">
        <v>0</v>
      </c>
      <c r="X992" s="68">
        <v>35</v>
      </c>
      <c r="Y992" s="68">
        <v>28</v>
      </c>
      <c r="Z992" s="68">
        <v>23</v>
      </c>
      <c r="AA992" s="68">
        <v>1</v>
      </c>
      <c r="AB992" s="300">
        <f t="shared" si="93"/>
        <v>3.7566666666666668</v>
      </c>
      <c r="AC992" s="300">
        <f t="shared" si="94"/>
        <v>2.2630522088353415E-2</v>
      </c>
      <c r="AD992" s="68">
        <v>0</v>
      </c>
      <c r="AE992" s="68" t="s">
        <v>109</v>
      </c>
      <c r="AF992" s="68">
        <v>5780406</v>
      </c>
      <c r="AG992" s="68" t="s">
        <v>2608</v>
      </c>
      <c r="AH992" s="68">
        <v>0</v>
      </c>
      <c r="AI992" s="309"/>
      <c r="AJ992" s="309"/>
      <c r="AK992" s="68" t="s">
        <v>48</v>
      </c>
      <c r="AL992" s="68" t="s">
        <v>50</v>
      </c>
      <c r="AM992" s="299">
        <f t="shared" ca="1" si="90"/>
        <v>5.9375</v>
      </c>
      <c r="AN992" s="75"/>
      <c r="AO992" s="104" t="s">
        <v>68</v>
      </c>
      <c r="AP992" s="106" t="s">
        <v>2774</v>
      </c>
      <c r="AQ992" s="104" t="s">
        <v>3139</v>
      </c>
      <c r="AR992" s="64">
        <v>44901.722222222219</v>
      </c>
      <c r="AS992" s="104" t="s">
        <v>117</v>
      </c>
      <c r="AT992" s="109" t="s">
        <v>225</v>
      </c>
      <c r="AU992" s="110">
        <v>0.72222222222222221</v>
      </c>
      <c r="AV992" s="109">
        <v>2</v>
      </c>
      <c r="AW992" s="109" t="s">
        <v>66</v>
      </c>
      <c r="AX992" s="76"/>
      <c r="AY992" s="76"/>
      <c r="AZ992" s="76"/>
      <c r="BA992" s="76"/>
    </row>
    <row r="993" spans="1:53" x14ac:dyDescent="0.25">
      <c r="A993" s="73">
        <v>599</v>
      </c>
      <c r="B993" s="72">
        <v>44895.784722222219</v>
      </c>
      <c r="C993" s="67">
        <v>0.78472222222222221</v>
      </c>
      <c r="D993" s="67">
        <v>0.84722222222222221</v>
      </c>
      <c r="E993" s="67">
        <v>0.86111111111111116</v>
      </c>
      <c r="F993" s="68" t="s">
        <v>169</v>
      </c>
      <c r="G993" s="68" t="s">
        <v>2773</v>
      </c>
      <c r="H993" s="60" t="s">
        <v>145</v>
      </c>
      <c r="I993" s="60" t="s">
        <v>146</v>
      </c>
      <c r="J993" s="60" t="s">
        <v>41</v>
      </c>
      <c r="K993" s="60" t="s">
        <v>233</v>
      </c>
      <c r="L993" s="60" t="s">
        <v>223</v>
      </c>
      <c r="M993" s="68" t="s">
        <v>2774</v>
      </c>
      <c r="N993" s="68" t="s">
        <v>68</v>
      </c>
      <c r="O993" s="68">
        <v>97000542</v>
      </c>
      <c r="P993" s="68">
        <v>46732</v>
      </c>
      <c r="Q993" s="303">
        <f t="shared" si="91"/>
        <v>48</v>
      </c>
      <c r="R993" s="303">
        <f t="shared" si="92"/>
        <v>737</v>
      </c>
      <c r="S993" s="68">
        <v>48</v>
      </c>
      <c r="T993" s="68">
        <v>737</v>
      </c>
      <c r="U993" s="68">
        <v>0</v>
      </c>
      <c r="V993" s="68">
        <v>0</v>
      </c>
      <c r="W993" s="68">
        <v>719</v>
      </c>
      <c r="X993" s="68">
        <v>37</v>
      </c>
      <c r="Y993" s="68">
        <v>36</v>
      </c>
      <c r="Z993" s="68">
        <v>24</v>
      </c>
      <c r="AA993" s="68">
        <v>1</v>
      </c>
      <c r="AB993" s="300">
        <f t="shared" si="93"/>
        <v>5.3280000000000003</v>
      </c>
      <c r="AC993" s="300">
        <f t="shared" si="94"/>
        <v>3.2096385542168676E-2</v>
      </c>
      <c r="AD993" s="68">
        <v>3105142.63</v>
      </c>
      <c r="AE993" s="68">
        <v>0</v>
      </c>
      <c r="AF993" s="68">
        <v>5786571</v>
      </c>
      <c r="AG993" s="68" t="s">
        <v>2661</v>
      </c>
      <c r="AH993" s="68">
        <v>0</v>
      </c>
      <c r="AI993" s="309"/>
      <c r="AJ993" s="309"/>
      <c r="AK993" s="68" t="s">
        <v>48</v>
      </c>
      <c r="AL993" s="68" t="s">
        <v>50</v>
      </c>
      <c r="AM993" s="299">
        <f t="shared" ca="1" si="90"/>
        <v>5.9375</v>
      </c>
      <c r="AN993" s="75"/>
      <c r="AO993" s="104" t="s">
        <v>68</v>
      </c>
      <c r="AP993" s="106" t="s">
        <v>2774</v>
      </c>
      <c r="AQ993" s="104" t="s">
        <v>3139</v>
      </c>
      <c r="AR993" s="64">
        <v>44901.722222222219</v>
      </c>
      <c r="AS993" s="104" t="s">
        <v>117</v>
      </c>
      <c r="AT993" s="109" t="s">
        <v>225</v>
      </c>
      <c r="AU993" s="110">
        <v>0.72222222222222221</v>
      </c>
      <c r="AV993" s="109">
        <v>2</v>
      </c>
      <c r="AW993" s="109" t="s">
        <v>66</v>
      </c>
      <c r="AX993" s="76"/>
      <c r="AY993" s="76"/>
      <c r="AZ993" s="76"/>
      <c r="BA993" s="76"/>
    </row>
    <row r="994" spans="1:53" x14ac:dyDescent="0.25">
      <c r="A994" s="73">
        <v>599</v>
      </c>
      <c r="B994" s="72">
        <v>44895.784722222219</v>
      </c>
      <c r="C994" s="67">
        <v>0.78472222222222221</v>
      </c>
      <c r="D994" s="67">
        <v>0.84722222222222221</v>
      </c>
      <c r="E994" s="67">
        <v>0.86111111111111116</v>
      </c>
      <c r="F994" s="68" t="s">
        <v>169</v>
      </c>
      <c r="G994" s="68" t="s">
        <v>2773</v>
      </c>
      <c r="H994" s="60" t="s">
        <v>145</v>
      </c>
      <c r="I994" s="60" t="s">
        <v>146</v>
      </c>
      <c r="J994" s="60" t="s">
        <v>41</v>
      </c>
      <c r="K994" s="60" t="s">
        <v>233</v>
      </c>
      <c r="L994" s="60" t="s">
        <v>223</v>
      </c>
      <c r="M994" s="68" t="s">
        <v>2774</v>
      </c>
      <c r="N994" s="68" t="s">
        <v>68</v>
      </c>
      <c r="O994" s="68">
        <v>97000542</v>
      </c>
      <c r="P994" s="68">
        <v>46732</v>
      </c>
      <c r="Q994" s="303">
        <f t="shared" si="91"/>
        <v>0</v>
      </c>
      <c r="R994" s="303">
        <f t="shared" si="92"/>
        <v>0</v>
      </c>
      <c r="S994" s="68">
        <v>0</v>
      </c>
      <c r="T994" s="68">
        <v>0</v>
      </c>
      <c r="U994" s="68">
        <v>0</v>
      </c>
      <c r="V994" s="68">
        <v>0</v>
      </c>
      <c r="W994" s="68">
        <v>0</v>
      </c>
      <c r="X994" s="68">
        <v>60</v>
      </c>
      <c r="Y994" s="68">
        <v>29</v>
      </c>
      <c r="Z994" s="68">
        <v>32</v>
      </c>
      <c r="AA994" s="68">
        <v>1</v>
      </c>
      <c r="AB994" s="300">
        <f t="shared" si="93"/>
        <v>9.2799999999999994</v>
      </c>
      <c r="AC994" s="300">
        <f t="shared" si="94"/>
        <v>5.5903614457831319E-2</v>
      </c>
      <c r="AD994" s="68">
        <v>0</v>
      </c>
      <c r="AE994" s="68" t="s">
        <v>109</v>
      </c>
      <c r="AF994" s="68">
        <v>5786571</v>
      </c>
      <c r="AG994" s="68" t="s">
        <v>2661</v>
      </c>
      <c r="AH994" s="68">
        <v>0</v>
      </c>
      <c r="AI994" s="309"/>
      <c r="AJ994" s="309"/>
      <c r="AK994" s="68" t="s">
        <v>48</v>
      </c>
      <c r="AL994" s="68" t="s">
        <v>50</v>
      </c>
      <c r="AM994" s="299">
        <f t="shared" ca="1" si="90"/>
        <v>5.9375</v>
      </c>
      <c r="AN994" s="75"/>
      <c r="AO994" s="104" t="s">
        <v>68</v>
      </c>
      <c r="AP994" s="106" t="s">
        <v>2774</v>
      </c>
      <c r="AQ994" s="104" t="s">
        <v>3139</v>
      </c>
      <c r="AR994" s="64">
        <v>44901.722222222219</v>
      </c>
      <c r="AS994" s="104" t="s">
        <v>117</v>
      </c>
      <c r="AT994" s="109" t="s">
        <v>225</v>
      </c>
      <c r="AU994" s="110">
        <v>0.72222222222222221</v>
      </c>
      <c r="AV994" s="109">
        <v>2</v>
      </c>
      <c r="AW994" s="109" t="s">
        <v>66</v>
      </c>
      <c r="AX994" s="76"/>
      <c r="AY994" s="76"/>
      <c r="AZ994" s="76"/>
      <c r="BA994" s="76"/>
    </row>
    <row r="995" spans="1:53" x14ac:dyDescent="0.25">
      <c r="A995" s="73">
        <v>599</v>
      </c>
      <c r="B995" s="72">
        <v>44895.784722222219</v>
      </c>
      <c r="C995" s="67">
        <v>0.78472222222222221</v>
      </c>
      <c r="D995" s="67">
        <v>0.84722222222222221</v>
      </c>
      <c r="E995" s="67">
        <v>0.86111111111111116</v>
      </c>
      <c r="F995" s="68" t="s">
        <v>169</v>
      </c>
      <c r="G995" s="68" t="s">
        <v>2773</v>
      </c>
      <c r="H995" s="60" t="s">
        <v>145</v>
      </c>
      <c r="I995" s="60" t="s">
        <v>146</v>
      </c>
      <c r="J995" s="60" t="s">
        <v>41</v>
      </c>
      <c r="K995" s="60" t="s">
        <v>233</v>
      </c>
      <c r="L995" s="60" t="s">
        <v>223</v>
      </c>
      <c r="M995" s="68" t="s">
        <v>2774</v>
      </c>
      <c r="N995" s="68" t="s">
        <v>68</v>
      </c>
      <c r="O995" s="68">
        <v>97000542</v>
      </c>
      <c r="P995" s="68">
        <v>46732</v>
      </c>
      <c r="Q995" s="303">
        <f t="shared" si="91"/>
        <v>0</v>
      </c>
      <c r="R995" s="303">
        <f t="shared" si="92"/>
        <v>0</v>
      </c>
      <c r="S995" s="68">
        <v>0</v>
      </c>
      <c r="T995" s="68">
        <v>0</v>
      </c>
      <c r="U995" s="68">
        <v>0</v>
      </c>
      <c r="V995" s="68">
        <v>0</v>
      </c>
      <c r="W995" s="68">
        <v>0</v>
      </c>
      <c r="X995" s="68">
        <v>60</v>
      </c>
      <c r="Y995" s="68">
        <v>29</v>
      </c>
      <c r="Z995" s="68">
        <v>24</v>
      </c>
      <c r="AA995" s="68">
        <v>3</v>
      </c>
      <c r="AB995" s="300">
        <f t="shared" si="93"/>
        <v>20.88</v>
      </c>
      <c r="AC995" s="300">
        <f t="shared" si="94"/>
        <v>0.12578313253012047</v>
      </c>
      <c r="AD995" s="68">
        <v>0</v>
      </c>
      <c r="AE995" s="68" t="s">
        <v>109</v>
      </c>
      <c r="AF995" s="68">
        <v>5786571</v>
      </c>
      <c r="AG995" s="68" t="s">
        <v>2661</v>
      </c>
      <c r="AH995" s="68">
        <v>0</v>
      </c>
      <c r="AI995" s="309"/>
      <c r="AJ995" s="309"/>
      <c r="AK995" s="68" t="s">
        <v>48</v>
      </c>
      <c r="AL995" s="68" t="s">
        <v>50</v>
      </c>
      <c r="AM995" s="299">
        <f t="shared" ca="1" si="90"/>
        <v>5.9375</v>
      </c>
      <c r="AN995" s="75"/>
      <c r="AO995" s="104" t="s">
        <v>68</v>
      </c>
      <c r="AP995" s="106" t="s">
        <v>2774</v>
      </c>
      <c r="AQ995" s="104" t="s">
        <v>3139</v>
      </c>
      <c r="AR995" s="64">
        <v>44901.722222222219</v>
      </c>
      <c r="AS995" s="104" t="s">
        <v>117</v>
      </c>
      <c r="AT995" s="109" t="s">
        <v>225</v>
      </c>
      <c r="AU995" s="110">
        <v>0.72222222222222221</v>
      </c>
      <c r="AV995" s="109">
        <v>2</v>
      </c>
      <c r="AW995" s="109" t="s">
        <v>66</v>
      </c>
      <c r="AX995" s="76"/>
      <c r="AY995" s="76"/>
      <c r="AZ995" s="76"/>
      <c r="BA995" s="76"/>
    </row>
    <row r="996" spans="1:53" x14ac:dyDescent="0.25">
      <c r="A996" s="73">
        <v>599</v>
      </c>
      <c r="B996" s="72">
        <v>44895.784722222219</v>
      </c>
      <c r="C996" s="67">
        <v>0.78472222222222221</v>
      </c>
      <c r="D996" s="67">
        <v>0.84722222222222221</v>
      </c>
      <c r="E996" s="67">
        <v>0.86111111111111116</v>
      </c>
      <c r="F996" s="68" t="s">
        <v>169</v>
      </c>
      <c r="G996" s="68" t="s">
        <v>2773</v>
      </c>
      <c r="H996" s="60" t="s">
        <v>145</v>
      </c>
      <c r="I996" s="60" t="s">
        <v>146</v>
      </c>
      <c r="J996" s="60" t="s">
        <v>41</v>
      </c>
      <c r="K996" s="60" t="s">
        <v>233</v>
      </c>
      <c r="L996" s="60" t="s">
        <v>223</v>
      </c>
      <c r="M996" s="68" t="s">
        <v>2774</v>
      </c>
      <c r="N996" s="68" t="s">
        <v>68</v>
      </c>
      <c r="O996" s="68">
        <v>97000542</v>
      </c>
      <c r="P996" s="68">
        <v>46732</v>
      </c>
      <c r="Q996" s="303">
        <f t="shared" si="91"/>
        <v>0</v>
      </c>
      <c r="R996" s="303">
        <f t="shared" si="92"/>
        <v>0</v>
      </c>
      <c r="S996" s="68">
        <v>0</v>
      </c>
      <c r="T996" s="68">
        <v>0</v>
      </c>
      <c r="U996" s="68">
        <v>0</v>
      </c>
      <c r="V996" s="68">
        <v>0</v>
      </c>
      <c r="W996" s="68">
        <v>0</v>
      </c>
      <c r="X996" s="68">
        <v>60</v>
      </c>
      <c r="Y996" s="68">
        <v>29</v>
      </c>
      <c r="Z996" s="68">
        <v>46</v>
      </c>
      <c r="AA996" s="68">
        <v>22</v>
      </c>
      <c r="AB996" s="300">
        <f t="shared" si="93"/>
        <v>293.48</v>
      </c>
      <c r="AC996" s="300">
        <f t="shared" si="94"/>
        <v>1.7679518072289158</v>
      </c>
      <c r="AD996" s="68">
        <v>0</v>
      </c>
      <c r="AE996" s="68" t="s">
        <v>109</v>
      </c>
      <c r="AF996" s="68">
        <v>5786571</v>
      </c>
      <c r="AG996" s="68" t="s">
        <v>2661</v>
      </c>
      <c r="AH996" s="68">
        <v>0</v>
      </c>
      <c r="AI996" s="309"/>
      <c r="AJ996" s="309"/>
      <c r="AK996" s="68" t="s">
        <v>48</v>
      </c>
      <c r="AL996" s="68" t="s">
        <v>50</v>
      </c>
      <c r="AM996" s="299">
        <f t="shared" ca="1" si="90"/>
        <v>5.9375</v>
      </c>
      <c r="AN996" s="75"/>
      <c r="AO996" s="104" t="s">
        <v>68</v>
      </c>
      <c r="AP996" s="106" t="s">
        <v>2774</v>
      </c>
      <c r="AQ996" s="104" t="s">
        <v>3139</v>
      </c>
      <c r="AR996" s="64">
        <v>44901.722222222219</v>
      </c>
      <c r="AS996" s="104" t="s">
        <v>117</v>
      </c>
      <c r="AT996" s="109" t="s">
        <v>225</v>
      </c>
      <c r="AU996" s="110">
        <v>0.72222222222222221</v>
      </c>
      <c r="AV996" s="109">
        <v>2</v>
      </c>
      <c r="AW996" s="109" t="s">
        <v>66</v>
      </c>
      <c r="AX996" s="76"/>
      <c r="AY996" s="76"/>
      <c r="AZ996" s="76"/>
      <c r="BA996" s="76"/>
    </row>
    <row r="997" spans="1:53" x14ac:dyDescent="0.25">
      <c r="A997" s="73">
        <v>599</v>
      </c>
      <c r="B997" s="72">
        <v>44895.784722222219</v>
      </c>
      <c r="C997" s="67">
        <v>0.78472222222222221</v>
      </c>
      <c r="D997" s="67">
        <v>0.84722222222222221</v>
      </c>
      <c r="E997" s="67">
        <v>0.86111111111111116</v>
      </c>
      <c r="F997" s="68" t="s">
        <v>169</v>
      </c>
      <c r="G997" s="68" t="s">
        <v>2773</v>
      </c>
      <c r="H997" s="60" t="s">
        <v>145</v>
      </c>
      <c r="I997" s="60" t="s">
        <v>146</v>
      </c>
      <c r="J997" s="60" t="s">
        <v>41</v>
      </c>
      <c r="K997" s="60" t="s">
        <v>233</v>
      </c>
      <c r="L997" s="60" t="s">
        <v>223</v>
      </c>
      <c r="M997" s="68" t="s">
        <v>2774</v>
      </c>
      <c r="N997" s="68" t="s">
        <v>68</v>
      </c>
      <c r="O997" s="68">
        <v>97000542</v>
      </c>
      <c r="P997" s="68">
        <v>46732</v>
      </c>
      <c r="Q997" s="303">
        <f t="shared" si="91"/>
        <v>0</v>
      </c>
      <c r="R997" s="303">
        <f t="shared" si="92"/>
        <v>0</v>
      </c>
      <c r="S997" s="68">
        <v>0</v>
      </c>
      <c r="T997" s="68">
        <v>0</v>
      </c>
      <c r="U997" s="68">
        <v>0</v>
      </c>
      <c r="V997" s="68">
        <v>0</v>
      </c>
      <c r="W997" s="68">
        <v>0</v>
      </c>
      <c r="X997" s="68">
        <v>61</v>
      </c>
      <c r="Y997" s="68">
        <v>28</v>
      </c>
      <c r="Z997" s="68">
        <v>49</v>
      </c>
      <c r="AA997" s="68">
        <v>16</v>
      </c>
      <c r="AB997" s="300">
        <f t="shared" si="93"/>
        <v>223.17866666666666</v>
      </c>
      <c r="AC997" s="300">
        <f t="shared" si="94"/>
        <v>1.3444497991967872</v>
      </c>
      <c r="AD997" s="68">
        <v>0</v>
      </c>
      <c r="AE997" s="68" t="s">
        <v>109</v>
      </c>
      <c r="AF997" s="68">
        <v>5786571</v>
      </c>
      <c r="AG997" s="68" t="s">
        <v>2661</v>
      </c>
      <c r="AH997" s="68">
        <v>0</v>
      </c>
      <c r="AI997" s="309"/>
      <c r="AJ997" s="309"/>
      <c r="AK997" s="68" t="s">
        <v>48</v>
      </c>
      <c r="AL997" s="68" t="s">
        <v>50</v>
      </c>
      <c r="AM997" s="299">
        <f t="shared" ca="1" si="90"/>
        <v>5.9375</v>
      </c>
      <c r="AN997" s="75"/>
      <c r="AO997" s="104" t="s">
        <v>68</v>
      </c>
      <c r="AP997" s="106" t="s">
        <v>2774</v>
      </c>
      <c r="AQ997" s="104" t="s">
        <v>3139</v>
      </c>
      <c r="AR997" s="64">
        <v>44901.722222222219</v>
      </c>
      <c r="AS997" s="104" t="s">
        <v>117</v>
      </c>
      <c r="AT997" s="109" t="s">
        <v>225</v>
      </c>
      <c r="AU997" s="110">
        <v>0.72222222222222221</v>
      </c>
      <c r="AV997" s="109">
        <v>2</v>
      </c>
      <c r="AW997" s="109" t="s">
        <v>66</v>
      </c>
      <c r="AX997" s="76"/>
      <c r="AY997" s="76"/>
      <c r="AZ997" s="76"/>
      <c r="BA997" s="76"/>
    </row>
    <row r="998" spans="1:53" x14ac:dyDescent="0.25">
      <c r="A998" s="73">
        <v>599</v>
      </c>
      <c r="B998" s="72">
        <v>44895.784722222219</v>
      </c>
      <c r="C998" s="67">
        <v>0.78472222222222221</v>
      </c>
      <c r="D998" s="67">
        <v>0.84722222222222221</v>
      </c>
      <c r="E998" s="67">
        <v>0.86111111111111116</v>
      </c>
      <c r="F998" s="68" t="s">
        <v>169</v>
      </c>
      <c r="G998" s="68" t="s">
        <v>2773</v>
      </c>
      <c r="H998" s="60" t="s">
        <v>145</v>
      </c>
      <c r="I998" s="60" t="s">
        <v>146</v>
      </c>
      <c r="J998" s="60" t="s">
        <v>41</v>
      </c>
      <c r="K998" s="60" t="s">
        <v>233</v>
      </c>
      <c r="L998" s="60" t="s">
        <v>223</v>
      </c>
      <c r="M998" s="68" t="s">
        <v>2774</v>
      </c>
      <c r="N998" s="68" t="s">
        <v>68</v>
      </c>
      <c r="O998" s="68">
        <v>97000542</v>
      </c>
      <c r="P998" s="68">
        <v>46732</v>
      </c>
      <c r="Q998" s="303">
        <f t="shared" si="91"/>
        <v>0</v>
      </c>
      <c r="R998" s="303">
        <f t="shared" si="92"/>
        <v>0</v>
      </c>
      <c r="S998" s="68">
        <v>0</v>
      </c>
      <c r="T998" s="68">
        <v>0</v>
      </c>
      <c r="U998" s="68">
        <v>0</v>
      </c>
      <c r="V998" s="68">
        <v>0</v>
      </c>
      <c r="W998" s="68">
        <v>0</v>
      </c>
      <c r="X998" s="68">
        <v>61</v>
      </c>
      <c r="Y998" s="68">
        <v>28</v>
      </c>
      <c r="Z998" s="68">
        <v>52</v>
      </c>
      <c r="AA998" s="68">
        <v>5</v>
      </c>
      <c r="AB998" s="300">
        <f t="shared" si="93"/>
        <v>74.013333333333335</v>
      </c>
      <c r="AC998" s="300">
        <f t="shared" si="94"/>
        <v>0.44586345381526105</v>
      </c>
      <c r="AD998" s="68">
        <v>0</v>
      </c>
      <c r="AE998" s="68" t="s">
        <v>109</v>
      </c>
      <c r="AF998" s="68">
        <v>5786571</v>
      </c>
      <c r="AG998" s="68" t="s">
        <v>2661</v>
      </c>
      <c r="AH998" s="68">
        <v>0</v>
      </c>
      <c r="AI998" s="309"/>
      <c r="AJ998" s="309"/>
      <c r="AK998" s="68" t="s">
        <v>48</v>
      </c>
      <c r="AL998" s="68" t="s">
        <v>50</v>
      </c>
      <c r="AM998" s="299">
        <f t="shared" ca="1" si="90"/>
        <v>5.9375</v>
      </c>
      <c r="AN998" s="75"/>
      <c r="AO998" s="104" t="s">
        <v>68</v>
      </c>
      <c r="AP998" s="106" t="s">
        <v>2774</v>
      </c>
      <c r="AQ998" s="104" t="s">
        <v>3139</v>
      </c>
      <c r="AR998" s="64">
        <v>44901.722222222219</v>
      </c>
      <c r="AS998" s="104" t="s">
        <v>117</v>
      </c>
      <c r="AT998" s="109" t="s">
        <v>225</v>
      </c>
      <c r="AU998" s="110">
        <v>0.72222222222222221</v>
      </c>
      <c r="AV998" s="109">
        <v>2</v>
      </c>
      <c r="AW998" s="109" t="s">
        <v>66</v>
      </c>
      <c r="AX998" s="76"/>
      <c r="AY998" s="76"/>
      <c r="AZ998" s="76"/>
      <c r="BA998" s="76"/>
    </row>
    <row r="999" spans="1:53" x14ac:dyDescent="0.25">
      <c r="A999" s="73">
        <v>600</v>
      </c>
      <c r="B999" s="72">
        <v>44895.784722222219</v>
      </c>
      <c r="C999" s="67">
        <v>0.78472222222222221</v>
      </c>
      <c r="D999" s="67">
        <v>0.84722222222222221</v>
      </c>
      <c r="E999" s="67">
        <v>0.86111111111111116</v>
      </c>
      <c r="F999" s="68" t="s">
        <v>169</v>
      </c>
      <c r="G999" s="68" t="s">
        <v>2773</v>
      </c>
      <c r="H999" s="60" t="s">
        <v>145</v>
      </c>
      <c r="I999" s="60" t="s">
        <v>146</v>
      </c>
      <c r="J999" s="60" t="s">
        <v>41</v>
      </c>
      <c r="K999" s="60" t="s">
        <v>233</v>
      </c>
      <c r="L999" s="60" t="s">
        <v>223</v>
      </c>
      <c r="M999" s="68" t="s">
        <v>2774</v>
      </c>
      <c r="N999" s="68" t="s">
        <v>68</v>
      </c>
      <c r="O999" s="68">
        <v>97000543</v>
      </c>
      <c r="P999" s="68" t="s">
        <v>2776</v>
      </c>
      <c r="Q999" s="303">
        <f t="shared" si="91"/>
        <v>57</v>
      </c>
      <c r="R999" s="303">
        <f t="shared" si="92"/>
        <v>1011</v>
      </c>
      <c r="S999" s="68">
        <v>57</v>
      </c>
      <c r="T999" s="68">
        <v>1011</v>
      </c>
      <c r="U999" s="68">
        <v>0</v>
      </c>
      <c r="V999" s="68">
        <v>0</v>
      </c>
      <c r="W999" s="68">
        <v>991</v>
      </c>
      <c r="X999" s="68">
        <v>60</v>
      </c>
      <c r="Y999" s="68">
        <v>29</v>
      </c>
      <c r="Z999" s="68">
        <v>59</v>
      </c>
      <c r="AA999" s="68">
        <v>55</v>
      </c>
      <c r="AB999" s="300">
        <f t="shared" si="93"/>
        <v>941.05</v>
      </c>
      <c r="AC999" s="300">
        <f t="shared" si="94"/>
        <v>5.6689759036144576</v>
      </c>
      <c r="AD999" s="68">
        <v>4243250.3</v>
      </c>
      <c r="AE999" s="68" t="s">
        <v>109</v>
      </c>
      <c r="AF999" s="68">
        <v>5782451</v>
      </c>
      <c r="AG999" s="68" t="s">
        <v>2608</v>
      </c>
      <c r="AH999" s="68">
        <v>0</v>
      </c>
      <c r="AI999" s="309"/>
      <c r="AJ999" s="309"/>
      <c r="AK999" s="68" t="s">
        <v>48</v>
      </c>
      <c r="AL999" s="68" t="s">
        <v>50</v>
      </c>
      <c r="AM999" s="299">
        <f t="shared" ca="1" si="90"/>
        <v>5.9375</v>
      </c>
      <c r="AN999" s="75"/>
      <c r="AO999" s="104" t="s">
        <v>68</v>
      </c>
      <c r="AP999" s="106" t="s">
        <v>2774</v>
      </c>
      <c r="AQ999" s="104" t="s">
        <v>3139</v>
      </c>
      <c r="AR999" s="64">
        <v>44901.722222222219</v>
      </c>
      <c r="AS999" s="104" t="s">
        <v>117</v>
      </c>
      <c r="AT999" s="109" t="s">
        <v>225</v>
      </c>
      <c r="AU999" s="110">
        <v>0.72222222222222221</v>
      </c>
      <c r="AV999" s="109">
        <v>2</v>
      </c>
      <c r="AW999" s="109" t="s">
        <v>66</v>
      </c>
      <c r="AX999" s="76"/>
      <c r="AY999" s="76"/>
      <c r="AZ999" s="76"/>
      <c r="BA999" s="76"/>
    </row>
    <row r="1000" spans="1:53" x14ac:dyDescent="0.25">
      <c r="A1000" s="73">
        <v>600</v>
      </c>
      <c r="B1000" s="72">
        <v>44895.784722222219</v>
      </c>
      <c r="C1000" s="67">
        <v>0.78472222222222221</v>
      </c>
      <c r="D1000" s="67">
        <v>0.84722222222222221</v>
      </c>
      <c r="E1000" s="67">
        <v>0.86111111111111116</v>
      </c>
      <c r="F1000" s="68" t="s">
        <v>169</v>
      </c>
      <c r="G1000" s="68" t="s">
        <v>2773</v>
      </c>
      <c r="H1000" s="60" t="s">
        <v>145</v>
      </c>
      <c r="I1000" s="60" t="s">
        <v>146</v>
      </c>
      <c r="J1000" s="60" t="s">
        <v>41</v>
      </c>
      <c r="K1000" s="60" t="s">
        <v>233</v>
      </c>
      <c r="L1000" s="60" t="s">
        <v>223</v>
      </c>
      <c r="M1000" s="68" t="s">
        <v>2774</v>
      </c>
      <c r="N1000" s="68" t="s">
        <v>68</v>
      </c>
      <c r="O1000" s="68">
        <v>97000543</v>
      </c>
      <c r="P1000" s="68" t="s">
        <v>2776</v>
      </c>
      <c r="Q1000" s="303">
        <f t="shared" si="91"/>
        <v>0</v>
      </c>
      <c r="R1000" s="303">
        <f t="shared" si="92"/>
        <v>0</v>
      </c>
      <c r="S1000" s="68">
        <v>0</v>
      </c>
      <c r="T1000" s="68">
        <v>0</v>
      </c>
      <c r="U1000" s="68">
        <v>0</v>
      </c>
      <c r="V1000" s="68">
        <v>0</v>
      </c>
      <c r="W1000" s="68">
        <v>0</v>
      </c>
      <c r="X1000" s="68">
        <v>60</v>
      </c>
      <c r="Y1000" s="68">
        <v>29</v>
      </c>
      <c r="Z1000" s="68">
        <v>26</v>
      </c>
      <c r="AA1000" s="68">
        <v>1</v>
      </c>
      <c r="AB1000" s="300">
        <f t="shared" si="93"/>
        <v>7.54</v>
      </c>
      <c r="AC1000" s="300">
        <f t="shared" si="94"/>
        <v>4.5421686746987953E-2</v>
      </c>
      <c r="AD1000" s="68">
        <v>0</v>
      </c>
      <c r="AE1000" s="68" t="s">
        <v>109</v>
      </c>
      <c r="AF1000" s="68">
        <v>5782451</v>
      </c>
      <c r="AG1000" s="68" t="s">
        <v>2608</v>
      </c>
      <c r="AH1000" s="68">
        <v>0</v>
      </c>
      <c r="AI1000" s="309"/>
      <c r="AJ1000" s="309"/>
      <c r="AK1000" s="68" t="s">
        <v>48</v>
      </c>
      <c r="AL1000" s="68" t="s">
        <v>50</v>
      </c>
      <c r="AM1000" s="299">
        <f t="shared" ref="AM1000:AM1063" ca="1" si="95">IF(AP1000="",NOW()-B1000,AR1000-B1000)</f>
        <v>5.9375</v>
      </c>
      <c r="AN1000" s="75"/>
      <c r="AO1000" s="104" t="s">
        <v>68</v>
      </c>
      <c r="AP1000" s="106" t="s">
        <v>2774</v>
      </c>
      <c r="AQ1000" s="104" t="s">
        <v>3139</v>
      </c>
      <c r="AR1000" s="64">
        <v>44901.722222222219</v>
      </c>
      <c r="AS1000" s="104" t="s">
        <v>117</v>
      </c>
      <c r="AT1000" s="109" t="s">
        <v>225</v>
      </c>
      <c r="AU1000" s="110">
        <v>0.72222222222222221</v>
      </c>
      <c r="AV1000" s="109">
        <v>2</v>
      </c>
      <c r="AW1000" s="109" t="s">
        <v>66</v>
      </c>
      <c r="AX1000" s="76"/>
      <c r="AY1000" s="76"/>
      <c r="AZ1000" s="76"/>
      <c r="BA1000" s="76"/>
    </row>
    <row r="1001" spans="1:53" x14ac:dyDescent="0.25">
      <c r="A1001" s="73">
        <v>600</v>
      </c>
      <c r="B1001" s="72">
        <v>44895.784722222219</v>
      </c>
      <c r="C1001" s="67">
        <v>0.78472222222222221</v>
      </c>
      <c r="D1001" s="67">
        <v>0.84722222222222221</v>
      </c>
      <c r="E1001" s="67">
        <v>0.86111111111111116</v>
      </c>
      <c r="F1001" s="68" t="s">
        <v>169</v>
      </c>
      <c r="G1001" s="68" t="s">
        <v>2773</v>
      </c>
      <c r="H1001" s="60" t="s">
        <v>145</v>
      </c>
      <c r="I1001" s="60" t="s">
        <v>146</v>
      </c>
      <c r="J1001" s="60" t="s">
        <v>41</v>
      </c>
      <c r="K1001" s="60" t="s">
        <v>233</v>
      </c>
      <c r="L1001" s="60" t="s">
        <v>223</v>
      </c>
      <c r="M1001" s="68" t="s">
        <v>2774</v>
      </c>
      <c r="N1001" s="68" t="s">
        <v>68</v>
      </c>
      <c r="O1001" s="68">
        <v>97000543</v>
      </c>
      <c r="P1001" s="68" t="s">
        <v>2776</v>
      </c>
      <c r="Q1001" s="303">
        <f t="shared" ref="Q1001:Q1064" si="96">S1001+U1001</f>
        <v>0</v>
      </c>
      <c r="R1001" s="303">
        <f t="shared" ref="R1001:R1064" si="97">T1001+V1001</f>
        <v>0</v>
      </c>
      <c r="S1001" s="68">
        <v>0</v>
      </c>
      <c r="T1001" s="68">
        <v>0</v>
      </c>
      <c r="U1001" s="68">
        <v>0</v>
      </c>
      <c r="V1001" s="68">
        <v>0</v>
      </c>
      <c r="W1001" s="68">
        <v>0</v>
      </c>
      <c r="X1001" s="68">
        <v>58</v>
      </c>
      <c r="Y1001" s="68">
        <v>25</v>
      </c>
      <c r="Z1001" s="68">
        <v>26</v>
      </c>
      <c r="AA1001" s="68">
        <v>1</v>
      </c>
      <c r="AB1001" s="300">
        <f t="shared" ref="AB1001:AB1064" si="98">X1001*Y1001*Z1001*AA1001/6000</f>
        <v>6.2833333333333332</v>
      </c>
      <c r="AC1001" s="300">
        <f t="shared" ref="AC1001:AC1064" si="99">AB1001/166</f>
        <v>3.785140562248996E-2</v>
      </c>
      <c r="AD1001" s="68">
        <v>0</v>
      </c>
      <c r="AE1001" s="68" t="s">
        <v>109</v>
      </c>
      <c r="AF1001" s="68">
        <v>5782451</v>
      </c>
      <c r="AG1001" s="68" t="s">
        <v>2608</v>
      </c>
      <c r="AH1001" s="68">
        <v>0</v>
      </c>
      <c r="AI1001" s="309"/>
      <c r="AJ1001" s="309"/>
      <c r="AK1001" s="68" t="s">
        <v>48</v>
      </c>
      <c r="AL1001" s="68" t="s">
        <v>50</v>
      </c>
      <c r="AM1001" s="299">
        <f t="shared" ca="1" si="95"/>
        <v>5.9375</v>
      </c>
      <c r="AN1001" s="75"/>
      <c r="AO1001" s="104" t="s">
        <v>68</v>
      </c>
      <c r="AP1001" s="106" t="s">
        <v>2774</v>
      </c>
      <c r="AQ1001" s="104" t="s">
        <v>3139</v>
      </c>
      <c r="AR1001" s="64">
        <v>44901.722222222219</v>
      </c>
      <c r="AS1001" s="104" t="s">
        <v>117</v>
      </c>
      <c r="AT1001" s="109" t="s">
        <v>225</v>
      </c>
      <c r="AU1001" s="110">
        <v>0.72222222222222221</v>
      </c>
      <c r="AV1001" s="109">
        <v>2</v>
      </c>
      <c r="AW1001" s="109" t="s">
        <v>66</v>
      </c>
      <c r="AX1001" s="76"/>
      <c r="AY1001" s="76"/>
      <c r="AZ1001" s="76"/>
      <c r="BA1001" s="76"/>
    </row>
    <row r="1002" spans="1:53" x14ac:dyDescent="0.25">
      <c r="A1002" s="73">
        <v>601</v>
      </c>
      <c r="B1002" s="72">
        <v>44895.784722222219</v>
      </c>
      <c r="C1002" s="67">
        <v>0.78472222222222221</v>
      </c>
      <c r="D1002" s="67">
        <v>0.84722222222222221</v>
      </c>
      <c r="E1002" s="67">
        <v>0.86111111111111116</v>
      </c>
      <c r="F1002" s="68" t="s">
        <v>169</v>
      </c>
      <c r="G1002" s="68" t="s">
        <v>2773</v>
      </c>
      <c r="H1002" s="60" t="s">
        <v>145</v>
      </c>
      <c r="I1002" s="60" t="s">
        <v>146</v>
      </c>
      <c r="J1002" s="60" t="s">
        <v>41</v>
      </c>
      <c r="K1002" s="60" t="s">
        <v>233</v>
      </c>
      <c r="L1002" s="60" t="s">
        <v>223</v>
      </c>
      <c r="M1002" s="68" t="s">
        <v>2777</v>
      </c>
      <c r="N1002" s="68" t="s">
        <v>38</v>
      </c>
      <c r="O1002" s="68">
        <v>97000544</v>
      </c>
      <c r="P1002" s="68">
        <v>19243</v>
      </c>
      <c r="Q1002" s="303">
        <f t="shared" si="96"/>
        <v>1</v>
      </c>
      <c r="R1002" s="303">
        <f t="shared" si="97"/>
        <v>16</v>
      </c>
      <c r="S1002" s="68">
        <v>1</v>
      </c>
      <c r="T1002" s="68">
        <v>16</v>
      </c>
      <c r="U1002" s="68">
        <v>0</v>
      </c>
      <c r="V1002" s="68">
        <v>0</v>
      </c>
      <c r="W1002" s="68">
        <v>15</v>
      </c>
      <c r="X1002" s="68">
        <v>60</v>
      </c>
      <c r="Y1002" s="68">
        <v>29</v>
      </c>
      <c r="Z1002" s="68">
        <v>52</v>
      </c>
      <c r="AA1002" s="68">
        <v>1</v>
      </c>
      <c r="AB1002" s="300">
        <f t="shared" si="98"/>
        <v>15.08</v>
      </c>
      <c r="AC1002" s="300">
        <f t="shared" si="99"/>
        <v>9.0843373493975907E-2</v>
      </c>
      <c r="AD1002" s="68">
        <v>869.4</v>
      </c>
      <c r="AE1002" s="68" t="s">
        <v>109</v>
      </c>
      <c r="AF1002" s="68">
        <v>5804077</v>
      </c>
      <c r="AG1002" s="68" t="s">
        <v>2661</v>
      </c>
      <c r="AH1002" s="68">
        <v>0</v>
      </c>
      <c r="AI1002" s="309"/>
      <c r="AJ1002" s="309"/>
      <c r="AK1002" s="68" t="s">
        <v>48</v>
      </c>
      <c r="AL1002" s="68" t="s">
        <v>50</v>
      </c>
      <c r="AM1002" s="299">
        <f t="shared" ca="1" si="95"/>
        <v>4.7048611111167702</v>
      </c>
      <c r="AN1002" s="75"/>
      <c r="AO1002" s="104" t="s">
        <v>147</v>
      </c>
      <c r="AP1002" s="104" t="s">
        <v>2777</v>
      </c>
      <c r="AQ1002" s="104" t="s">
        <v>3067</v>
      </c>
      <c r="AR1002" s="64">
        <v>44900.489583333336</v>
      </c>
      <c r="AS1002" s="109" t="s">
        <v>136</v>
      </c>
      <c r="AT1002" s="109" t="s">
        <v>225</v>
      </c>
      <c r="AU1002" s="110">
        <v>0.48958333333333331</v>
      </c>
      <c r="AV1002" s="104">
        <v>1</v>
      </c>
      <c r="AW1002" s="109" t="s">
        <v>66</v>
      </c>
      <c r="AX1002" s="76"/>
      <c r="AY1002" s="76"/>
      <c r="AZ1002" s="76"/>
      <c r="BA1002" s="76"/>
    </row>
    <row r="1003" spans="1:53" x14ac:dyDescent="0.25">
      <c r="A1003" s="73">
        <v>602</v>
      </c>
      <c r="B1003" s="72">
        <v>44895.784722222219</v>
      </c>
      <c r="C1003" s="67">
        <v>0.78472222222222221</v>
      </c>
      <c r="D1003" s="67">
        <v>0.84722222222222221</v>
      </c>
      <c r="E1003" s="67">
        <v>0.86111111111111116</v>
      </c>
      <c r="F1003" s="68" t="s">
        <v>169</v>
      </c>
      <c r="G1003" s="68" t="s">
        <v>2773</v>
      </c>
      <c r="H1003" s="60" t="s">
        <v>145</v>
      </c>
      <c r="I1003" s="60" t="s">
        <v>146</v>
      </c>
      <c r="J1003" s="60" t="s">
        <v>41</v>
      </c>
      <c r="K1003" s="60" t="s">
        <v>233</v>
      </c>
      <c r="L1003" s="60" t="s">
        <v>223</v>
      </c>
      <c r="M1003" s="68" t="s">
        <v>2777</v>
      </c>
      <c r="N1003" s="68" t="s">
        <v>38</v>
      </c>
      <c r="O1003" s="68">
        <v>97000545</v>
      </c>
      <c r="P1003" s="68" t="s">
        <v>2778</v>
      </c>
      <c r="Q1003" s="303">
        <f t="shared" si="96"/>
        <v>9</v>
      </c>
      <c r="R1003" s="303">
        <f t="shared" si="97"/>
        <v>119</v>
      </c>
      <c r="S1003" s="68">
        <v>9</v>
      </c>
      <c r="T1003" s="68">
        <v>119</v>
      </c>
      <c r="U1003" s="68">
        <v>0</v>
      </c>
      <c r="V1003" s="68">
        <v>0</v>
      </c>
      <c r="W1003" s="68">
        <v>9</v>
      </c>
      <c r="X1003" s="68">
        <v>60</v>
      </c>
      <c r="Y1003" s="68">
        <v>24</v>
      </c>
      <c r="Z1003" s="68">
        <v>49</v>
      </c>
      <c r="AA1003" s="68">
        <v>7</v>
      </c>
      <c r="AB1003" s="300">
        <f t="shared" si="98"/>
        <v>82.32</v>
      </c>
      <c r="AC1003" s="300">
        <f t="shared" si="99"/>
        <v>0.49590361445783127</v>
      </c>
      <c r="AD1003" s="68">
        <v>4919.04</v>
      </c>
      <c r="AE1003" s="68" t="s">
        <v>109</v>
      </c>
      <c r="AF1003" s="68">
        <v>5805248</v>
      </c>
      <c r="AG1003" s="68" t="s">
        <v>2661</v>
      </c>
      <c r="AH1003" s="68">
        <v>0</v>
      </c>
      <c r="AI1003" s="309"/>
      <c r="AJ1003" s="309"/>
      <c r="AK1003" s="68" t="s">
        <v>48</v>
      </c>
      <c r="AL1003" s="68" t="s">
        <v>50</v>
      </c>
      <c r="AM1003" s="299">
        <f t="shared" ca="1" si="95"/>
        <v>4.7048611111167702</v>
      </c>
      <c r="AN1003" s="75"/>
      <c r="AO1003" s="104" t="s">
        <v>147</v>
      </c>
      <c r="AP1003" s="104" t="s">
        <v>2777</v>
      </c>
      <c r="AQ1003" s="104" t="s">
        <v>3067</v>
      </c>
      <c r="AR1003" s="64">
        <v>44900.489583333336</v>
      </c>
      <c r="AS1003" s="109" t="s">
        <v>136</v>
      </c>
      <c r="AT1003" s="109" t="s">
        <v>225</v>
      </c>
      <c r="AU1003" s="110">
        <v>0.48958333333333331</v>
      </c>
      <c r="AV1003" s="104">
        <v>1</v>
      </c>
      <c r="AW1003" s="109" t="s">
        <v>66</v>
      </c>
      <c r="AX1003" s="76"/>
      <c r="AY1003" s="76"/>
      <c r="AZ1003" s="76"/>
      <c r="BA1003" s="76"/>
    </row>
    <row r="1004" spans="1:53" x14ac:dyDescent="0.25">
      <c r="A1004" s="73">
        <v>602</v>
      </c>
      <c r="B1004" s="72">
        <v>44895.784722222219</v>
      </c>
      <c r="C1004" s="67">
        <v>0.78472222222222221</v>
      </c>
      <c r="D1004" s="67">
        <v>0.84722222222222221</v>
      </c>
      <c r="E1004" s="67">
        <v>0.86111111111111116</v>
      </c>
      <c r="F1004" s="68" t="s">
        <v>169</v>
      </c>
      <c r="G1004" s="68" t="s">
        <v>2773</v>
      </c>
      <c r="H1004" s="60" t="s">
        <v>145</v>
      </c>
      <c r="I1004" s="60" t="s">
        <v>146</v>
      </c>
      <c r="J1004" s="60" t="s">
        <v>41</v>
      </c>
      <c r="K1004" s="60" t="s">
        <v>233</v>
      </c>
      <c r="L1004" s="60" t="s">
        <v>223</v>
      </c>
      <c r="M1004" s="68" t="s">
        <v>2777</v>
      </c>
      <c r="N1004" s="68" t="s">
        <v>38</v>
      </c>
      <c r="O1004" s="68">
        <v>97000545</v>
      </c>
      <c r="P1004" s="68" t="s">
        <v>2778</v>
      </c>
      <c r="Q1004" s="303">
        <f t="shared" si="96"/>
        <v>0</v>
      </c>
      <c r="R1004" s="303">
        <f t="shared" si="97"/>
        <v>0</v>
      </c>
      <c r="S1004" s="68">
        <v>0</v>
      </c>
      <c r="T1004" s="68">
        <v>0</v>
      </c>
      <c r="U1004" s="68">
        <v>0</v>
      </c>
      <c r="V1004" s="68">
        <v>0</v>
      </c>
      <c r="W1004" s="68">
        <v>0</v>
      </c>
      <c r="X1004" s="68">
        <v>34</v>
      </c>
      <c r="Y1004" s="68">
        <v>28</v>
      </c>
      <c r="Z1004" s="68">
        <v>24</v>
      </c>
      <c r="AA1004" s="68">
        <v>1</v>
      </c>
      <c r="AB1004" s="300">
        <f t="shared" si="98"/>
        <v>3.8079999999999998</v>
      </c>
      <c r="AC1004" s="300">
        <f t="shared" si="99"/>
        <v>2.2939759036144577E-2</v>
      </c>
      <c r="AD1004" s="68">
        <v>0</v>
      </c>
      <c r="AE1004" s="68" t="s">
        <v>109</v>
      </c>
      <c r="AF1004" s="68">
        <v>5805248</v>
      </c>
      <c r="AG1004" s="68" t="s">
        <v>2661</v>
      </c>
      <c r="AH1004" s="68">
        <v>0</v>
      </c>
      <c r="AI1004" s="309"/>
      <c r="AJ1004" s="309"/>
      <c r="AK1004" s="68" t="s">
        <v>48</v>
      </c>
      <c r="AL1004" s="68" t="s">
        <v>50</v>
      </c>
      <c r="AM1004" s="299">
        <f t="shared" ca="1" si="95"/>
        <v>4.7048611111167702</v>
      </c>
      <c r="AN1004" s="75"/>
      <c r="AO1004" s="104" t="s">
        <v>147</v>
      </c>
      <c r="AP1004" s="104" t="s">
        <v>2777</v>
      </c>
      <c r="AQ1004" s="104" t="s">
        <v>3067</v>
      </c>
      <c r="AR1004" s="64">
        <v>44900.489583333336</v>
      </c>
      <c r="AS1004" s="109" t="s">
        <v>136</v>
      </c>
      <c r="AT1004" s="109" t="s">
        <v>225</v>
      </c>
      <c r="AU1004" s="110">
        <v>0.48958333333333331</v>
      </c>
      <c r="AV1004" s="104">
        <v>1</v>
      </c>
      <c r="AW1004" s="109" t="s">
        <v>66</v>
      </c>
      <c r="AX1004" s="76"/>
      <c r="AY1004" s="76"/>
      <c r="AZ1004" s="76"/>
      <c r="BA1004" s="76"/>
    </row>
    <row r="1005" spans="1:53" x14ac:dyDescent="0.25">
      <c r="A1005" s="73">
        <v>602</v>
      </c>
      <c r="B1005" s="72">
        <v>44895.784722222219</v>
      </c>
      <c r="C1005" s="67">
        <v>0.78472222222222221</v>
      </c>
      <c r="D1005" s="67">
        <v>0.84722222222222221</v>
      </c>
      <c r="E1005" s="67">
        <v>0.86111111111111116</v>
      </c>
      <c r="F1005" s="68" t="s">
        <v>169</v>
      </c>
      <c r="G1005" s="68" t="s">
        <v>2773</v>
      </c>
      <c r="H1005" s="60" t="s">
        <v>145</v>
      </c>
      <c r="I1005" s="60" t="s">
        <v>146</v>
      </c>
      <c r="J1005" s="60" t="s">
        <v>41</v>
      </c>
      <c r="K1005" s="60" t="s">
        <v>233</v>
      </c>
      <c r="L1005" s="60" t="s">
        <v>223</v>
      </c>
      <c r="M1005" s="68" t="s">
        <v>2777</v>
      </c>
      <c r="N1005" s="68" t="s">
        <v>38</v>
      </c>
      <c r="O1005" s="68">
        <v>97000545</v>
      </c>
      <c r="P1005" s="68" t="s">
        <v>2778</v>
      </c>
      <c r="Q1005" s="303">
        <f t="shared" si="96"/>
        <v>0</v>
      </c>
      <c r="R1005" s="303">
        <f t="shared" si="97"/>
        <v>0</v>
      </c>
      <c r="S1005" s="68">
        <v>0</v>
      </c>
      <c r="T1005" s="68">
        <v>0</v>
      </c>
      <c r="U1005" s="68">
        <v>0</v>
      </c>
      <c r="V1005" s="68">
        <v>0</v>
      </c>
      <c r="W1005" s="68">
        <v>0</v>
      </c>
      <c r="X1005" s="68">
        <v>60</v>
      </c>
      <c r="Y1005" s="68">
        <v>24</v>
      </c>
      <c r="Z1005" s="68">
        <v>36</v>
      </c>
      <c r="AA1005" s="68">
        <v>1</v>
      </c>
      <c r="AB1005" s="300">
        <f t="shared" si="98"/>
        <v>8.64</v>
      </c>
      <c r="AC1005" s="300">
        <f t="shared" si="99"/>
        <v>5.2048192771084342E-2</v>
      </c>
      <c r="AD1005" s="68">
        <v>0</v>
      </c>
      <c r="AE1005" s="68" t="s">
        <v>109</v>
      </c>
      <c r="AF1005" s="68">
        <v>5805248</v>
      </c>
      <c r="AG1005" s="68" t="s">
        <v>2661</v>
      </c>
      <c r="AH1005" s="68">
        <v>0</v>
      </c>
      <c r="AI1005" s="309"/>
      <c r="AJ1005" s="309"/>
      <c r="AK1005" s="68" t="s">
        <v>48</v>
      </c>
      <c r="AL1005" s="68" t="s">
        <v>50</v>
      </c>
      <c r="AM1005" s="299">
        <f t="shared" ca="1" si="95"/>
        <v>4.7048611111167702</v>
      </c>
      <c r="AN1005" s="75"/>
      <c r="AO1005" s="104" t="s">
        <v>147</v>
      </c>
      <c r="AP1005" s="104" t="s">
        <v>2777</v>
      </c>
      <c r="AQ1005" s="104" t="s">
        <v>3067</v>
      </c>
      <c r="AR1005" s="64">
        <v>44900.489583333336</v>
      </c>
      <c r="AS1005" s="109" t="s">
        <v>136</v>
      </c>
      <c r="AT1005" s="109" t="s">
        <v>225</v>
      </c>
      <c r="AU1005" s="110">
        <v>0.48958333333333331</v>
      </c>
      <c r="AV1005" s="104">
        <v>1</v>
      </c>
      <c r="AW1005" s="109" t="s">
        <v>66</v>
      </c>
      <c r="AX1005" s="76"/>
      <c r="AY1005" s="76"/>
      <c r="AZ1005" s="76"/>
      <c r="BA1005" s="76"/>
    </row>
    <row r="1006" spans="1:53" x14ac:dyDescent="0.25">
      <c r="A1006" s="73">
        <v>603</v>
      </c>
      <c r="B1006" s="72">
        <v>44895.784722222219</v>
      </c>
      <c r="C1006" s="67">
        <v>0.78472222222222221</v>
      </c>
      <c r="D1006" s="67">
        <v>0.84722222222222221</v>
      </c>
      <c r="E1006" s="67">
        <v>0.86111111111111116</v>
      </c>
      <c r="F1006" s="68" t="s">
        <v>169</v>
      </c>
      <c r="G1006" s="68" t="s">
        <v>2773</v>
      </c>
      <c r="H1006" s="60" t="s">
        <v>145</v>
      </c>
      <c r="I1006" s="60" t="s">
        <v>146</v>
      </c>
      <c r="J1006" s="60" t="s">
        <v>41</v>
      </c>
      <c r="K1006" s="60" t="s">
        <v>233</v>
      </c>
      <c r="L1006" s="60" t="s">
        <v>223</v>
      </c>
      <c r="M1006" s="68" t="s">
        <v>2777</v>
      </c>
      <c r="N1006" s="68" t="s">
        <v>38</v>
      </c>
      <c r="O1006" s="68">
        <v>97000546</v>
      </c>
      <c r="P1006" s="68" t="s">
        <v>2779</v>
      </c>
      <c r="Q1006" s="303">
        <f t="shared" si="96"/>
        <v>47</v>
      </c>
      <c r="R1006" s="303">
        <f t="shared" si="97"/>
        <v>838</v>
      </c>
      <c r="S1006" s="68">
        <v>47</v>
      </c>
      <c r="T1006" s="68">
        <v>838</v>
      </c>
      <c r="U1006" s="68">
        <v>0</v>
      </c>
      <c r="V1006" s="68">
        <v>0</v>
      </c>
      <c r="W1006" s="68">
        <v>808</v>
      </c>
      <c r="X1006" s="68">
        <v>60</v>
      </c>
      <c r="Y1006" s="68">
        <v>28</v>
      </c>
      <c r="Z1006" s="68">
        <v>58</v>
      </c>
      <c r="AA1006" s="68">
        <v>46</v>
      </c>
      <c r="AB1006" s="300">
        <f t="shared" si="98"/>
        <v>747.04</v>
      </c>
      <c r="AC1006" s="300">
        <f t="shared" si="99"/>
        <v>4.5002409638554211</v>
      </c>
      <c r="AD1006" s="68">
        <v>43407.360000000001</v>
      </c>
      <c r="AE1006" s="68" t="s">
        <v>109</v>
      </c>
      <c r="AF1006" s="68">
        <v>5807928</v>
      </c>
      <c r="AG1006" s="68" t="s">
        <v>2661</v>
      </c>
      <c r="AH1006" s="68">
        <v>0</v>
      </c>
      <c r="AI1006" s="309"/>
      <c r="AJ1006" s="309"/>
      <c r="AK1006" s="68" t="s">
        <v>48</v>
      </c>
      <c r="AL1006" s="68" t="s">
        <v>50</v>
      </c>
      <c r="AM1006" s="299">
        <f t="shared" ca="1" si="95"/>
        <v>4.7048611111167702</v>
      </c>
      <c r="AN1006" s="75"/>
      <c r="AO1006" s="104" t="s">
        <v>147</v>
      </c>
      <c r="AP1006" s="104" t="s">
        <v>2777</v>
      </c>
      <c r="AQ1006" s="104" t="s">
        <v>3067</v>
      </c>
      <c r="AR1006" s="64">
        <v>44900.489583333336</v>
      </c>
      <c r="AS1006" s="109" t="s">
        <v>136</v>
      </c>
      <c r="AT1006" s="109" t="s">
        <v>225</v>
      </c>
      <c r="AU1006" s="110">
        <v>0.48958333333333331</v>
      </c>
      <c r="AV1006" s="104">
        <v>1</v>
      </c>
      <c r="AW1006" s="109" t="s">
        <v>66</v>
      </c>
      <c r="AX1006" s="76"/>
      <c r="AY1006" s="76"/>
      <c r="AZ1006" s="76"/>
      <c r="BA1006" s="76"/>
    </row>
    <row r="1007" spans="1:53" x14ac:dyDescent="0.25">
      <c r="A1007" s="73">
        <v>603</v>
      </c>
      <c r="B1007" s="72">
        <v>44895.784722222219</v>
      </c>
      <c r="C1007" s="67">
        <v>0.78472222222222221</v>
      </c>
      <c r="D1007" s="67">
        <v>0.84722222222222221</v>
      </c>
      <c r="E1007" s="67">
        <v>0.86111111111111116</v>
      </c>
      <c r="F1007" s="68" t="s">
        <v>169</v>
      </c>
      <c r="G1007" s="68" t="s">
        <v>2773</v>
      </c>
      <c r="H1007" s="60" t="s">
        <v>145</v>
      </c>
      <c r="I1007" s="60" t="s">
        <v>146</v>
      </c>
      <c r="J1007" s="60" t="s">
        <v>41</v>
      </c>
      <c r="K1007" s="60" t="s">
        <v>233</v>
      </c>
      <c r="L1007" s="60" t="s">
        <v>223</v>
      </c>
      <c r="M1007" s="68" t="s">
        <v>2777</v>
      </c>
      <c r="N1007" s="68" t="s">
        <v>38</v>
      </c>
      <c r="O1007" s="68">
        <v>97000546</v>
      </c>
      <c r="P1007" s="68" t="s">
        <v>2779</v>
      </c>
      <c r="Q1007" s="303">
        <f t="shared" si="96"/>
        <v>0</v>
      </c>
      <c r="R1007" s="303">
        <f t="shared" si="97"/>
        <v>0</v>
      </c>
      <c r="S1007" s="68">
        <v>0</v>
      </c>
      <c r="T1007" s="68">
        <v>0</v>
      </c>
      <c r="U1007" s="68">
        <v>0</v>
      </c>
      <c r="V1007" s="68">
        <v>0</v>
      </c>
      <c r="W1007" s="68">
        <v>0</v>
      </c>
      <c r="X1007" s="68">
        <v>38</v>
      </c>
      <c r="Y1007" s="68">
        <v>37</v>
      </c>
      <c r="Z1007" s="68">
        <v>23</v>
      </c>
      <c r="AA1007" s="68">
        <v>1</v>
      </c>
      <c r="AB1007" s="300">
        <f t="shared" si="98"/>
        <v>5.3896666666666668</v>
      </c>
      <c r="AC1007" s="300">
        <f t="shared" si="99"/>
        <v>3.2467871485943774E-2</v>
      </c>
      <c r="AD1007" s="68">
        <v>0</v>
      </c>
      <c r="AE1007" s="68" t="s">
        <v>109</v>
      </c>
      <c r="AF1007" s="68">
        <v>5807928</v>
      </c>
      <c r="AG1007" s="68" t="s">
        <v>2661</v>
      </c>
      <c r="AH1007" s="68">
        <v>0</v>
      </c>
      <c r="AI1007" s="309"/>
      <c r="AJ1007" s="309"/>
      <c r="AK1007" s="68" t="s">
        <v>48</v>
      </c>
      <c r="AL1007" s="68" t="s">
        <v>50</v>
      </c>
      <c r="AM1007" s="299">
        <f t="shared" ca="1" si="95"/>
        <v>4.7048611111167702</v>
      </c>
      <c r="AN1007" s="75"/>
      <c r="AO1007" s="104" t="s">
        <v>147</v>
      </c>
      <c r="AP1007" s="104" t="s">
        <v>2777</v>
      </c>
      <c r="AQ1007" s="104" t="s">
        <v>3067</v>
      </c>
      <c r="AR1007" s="64">
        <v>44900.489583333336</v>
      </c>
      <c r="AS1007" s="109" t="s">
        <v>136</v>
      </c>
      <c r="AT1007" s="109" t="s">
        <v>225</v>
      </c>
      <c r="AU1007" s="110">
        <v>0.48958333333333331</v>
      </c>
      <c r="AV1007" s="104">
        <v>1</v>
      </c>
      <c r="AW1007" s="109" t="s">
        <v>66</v>
      </c>
      <c r="AX1007" s="76"/>
      <c r="AY1007" s="76"/>
      <c r="AZ1007" s="76"/>
      <c r="BA1007" s="76"/>
    </row>
    <row r="1008" spans="1:53" x14ac:dyDescent="0.25">
      <c r="A1008" s="48">
        <v>1</v>
      </c>
      <c r="B1008" s="72">
        <v>44896.416666666664</v>
      </c>
      <c r="C1008" s="67">
        <v>0.4236111111111111</v>
      </c>
      <c r="D1008" s="67">
        <v>0.42708333333333331</v>
      </c>
      <c r="E1008" s="67">
        <v>0.4513888888888889</v>
      </c>
      <c r="F1008" s="68" t="s">
        <v>171</v>
      </c>
      <c r="G1008" s="68" t="s">
        <v>2740</v>
      </c>
      <c r="H1008" s="66" t="s">
        <v>2741</v>
      </c>
      <c r="I1008" s="66" t="s">
        <v>2741</v>
      </c>
      <c r="J1008" s="66" t="s">
        <v>37</v>
      </c>
      <c r="K1008" s="66" t="s">
        <v>180</v>
      </c>
      <c r="L1008" s="66" t="s">
        <v>206</v>
      </c>
      <c r="M1008" s="68" t="s">
        <v>2742</v>
      </c>
      <c r="N1008" s="68" t="s">
        <v>64</v>
      </c>
      <c r="O1008" s="68" t="s">
        <v>2743</v>
      </c>
      <c r="P1008" s="68">
        <v>46818285</v>
      </c>
      <c r="Q1008" s="303">
        <f t="shared" si="96"/>
        <v>2</v>
      </c>
      <c r="R1008" s="303">
        <f t="shared" si="97"/>
        <v>212</v>
      </c>
      <c r="S1008" s="68">
        <v>1</v>
      </c>
      <c r="T1008" s="68">
        <v>7</v>
      </c>
      <c r="U1008" s="68">
        <v>1</v>
      </c>
      <c r="V1008" s="68">
        <v>205</v>
      </c>
      <c r="W1008" s="68">
        <v>214</v>
      </c>
      <c r="X1008" s="68">
        <v>226</v>
      </c>
      <c r="Y1008" s="68">
        <v>89</v>
      </c>
      <c r="Z1008" s="68">
        <v>66</v>
      </c>
      <c r="AA1008" s="68">
        <v>1</v>
      </c>
      <c r="AB1008" s="300">
        <f t="shared" si="98"/>
        <v>221.25399999999999</v>
      </c>
      <c r="AC1008" s="300">
        <f t="shared" si="99"/>
        <v>1.332855421686747</v>
      </c>
      <c r="AD1008" s="68">
        <v>603.26</v>
      </c>
      <c r="AE1008" s="68" t="s">
        <v>109</v>
      </c>
      <c r="AF1008" s="68" t="s">
        <v>317</v>
      </c>
      <c r="AG1008" s="68" t="s">
        <v>317</v>
      </c>
      <c r="AH1008" s="68" t="s">
        <v>2744</v>
      </c>
      <c r="AI1008" s="309"/>
      <c r="AJ1008" s="309"/>
      <c r="AK1008" s="68" t="s">
        <v>37</v>
      </c>
      <c r="AL1008" s="68" t="s">
        <v>56</v>
      </c>
      <c r="AM1008" s="299">
        <f t="shared" ca="1" si="95"/>
        <v>1.21875</v>
      </c>
      <c r="AN1008" s="98"/>
      <c r="AO1008" s="57" t="s">
        <v>77</v>
      </c>
      <c r="AP1008" s="24" t="s">
        <v>2742</v>
      </c>
      <c r="AQ1008" s="57" t="s">
        <v>2889</v>
      </c>
      <c r="AR1008" s="29">
        <v>44897.635416666664</v>
      </c>
      <c r="AS1008" s="57" t="s">
        <v>117</v>
      </c>
      <c r="AT1008" s="61" t="s">
        <v>225</v>
      </c>
      <c r="AU1008" s="63">
        <v>0.63541666666666663</v>
      </c>
      <c r="AV1008" s="57">
        <v>2</v>
      </c>
      <c r="AW1008" s="61" t="s">
        <v>66</v>
      </c>
      <c r="AX1008" s="52"/>
      <c r="AY1008" s="52"/>
      <c r="AZ1008" s="52"/>
      <c r="BA1008" s="52"/>
    </row>
    <row r="1009" spans="1:53" x14ac:dyDescent="0.25">
      <c r="A1009" s="73">
        <v>1</v>
      </c>
      <c r="B1009" s="72">
        <v>44896.416666666664</v>
      </c>
      <c r="C1009" s="67">
        <v>0.4236111111111111</v>
      </c>
      <c r="D1009" s="67">
        <v>0.42708333333333331</v>
      </c>
      <c r="E1009" s="67">
        <v>0.4513888888888889</v>
      </c>
      <c r="F1009" s="68" t="s">
        <v>171</v>
      </c>
      <c r="G1009" s="68" t="s">
        <v>2740</v>
      </c>
      <c r="H1009" s="66" t="s">
        <v>2741</v>
      </c>
      <c r="I1009" s="66" t="s">
        <v>2741</v>
      </c>
      <c r="J1009" s="66" t="s">
        <v>37</v>
      </c>
      <c r="K1009" s="66" t="s">
        <v>180</v>
      </c>
      <c r="L1009" s="66" t="s">
        <v>206</v>
      </c>
      <c r="M1009" s="68" t="s">
        <v>2742</v>
      </c>
      <c r="N1009" s="68" t="s">
        <v>64</v>
      </c>
      <c r="O1009" s="68" t="s">
        <v>2743</v>
      </c>
      <c r="P1009" s="68">
        <v>46818285</v>
      </c>
      <c r="Q1009" s="303">
        <f t="shared" si="96"/>
        <v>0</v>
      </c>
      <c r="R1009" s="303">
        <f t="shared" si="97"/>
        <v>0</v>
      </c>
      <c r="S1009" s="68">
        <v>0</v>
      </c>
      <c r="T1009" s="68">
        <v>0</v>
      </c>
      <c r="U1009" s="68">
        <v>0</v>
      </c>
      <c r="V1009" s="68">
        <v>0</v>
      </c>
      <c r="W1009" s="68">
        <v>0</v>
      </c>
      <c r="X1009" s="68">
        <v>42</v>
      </c>
      <c r="Y1009" s="68">
        <v>34</v>
      </c>
      <c r="Z1009" s="68">
        <v>38</v>
      </c>
      <c r="AA1009" s="68">
        <v>1</v>
      </c>
      <c r="AB1009" s="300">
        <f t="shared" si="98"/>
        <v>9.0440000000000005</v>
      </c>
      <c r="AC1009" s="300">
        <f t="shared" si="99"/>
        <v>5.4481927710843377E-2</v>
      </c>
      <c r="AD1009" s="68">
        <v>0</v>
      </c>
      <c r="AE1009" s="68">
        <v>0</v>
      </c>
      <c r="AF1009" s="68" t="s">
        <v>317</v>
      </c>
      <c r="AG1009" s="68" t="s">
        <v>317</v>
      </c>
      <c r="AH1009" s="68" t="s">
        <v>2744</v>
      </c>
      <c r="AI1009" s="309"/>
      <c r="AJ1009" s="309"/>
      <c r="AK1009" s="68" t="s">
        <v>37</v>
      </c>
      <c r="AL1009" s="68" t="s">
        <v>56</v>
      </c>
      <c r="AM1009" s="299">
        <f t="shared" ca="1" si="95"/>
        <v>1.21875</v>
      </c>
      <c r="AN1009" s="98"/>
      <c r="AO1009" s="57" t="s">
        <v>77</v>
      </c>
      <c r="AP1009" s="24" t="s">
        <v>2742</v>
      </c>
      <c r="AQ1009" s="57" t="s">
        <v>2889</v>
      </c>
      <c r="AR1009" s="29">
        <v>44897.635416666664</v>
      </c>
      <c r="AS1009" s="57" t="s">
        <v>117</v>
      </c>
      <c r="AT1009" s="61" t="s">
        <v>225</v>
      </c>
      <c r="AU1009" s="63">
        <v>0.63541666666666663</v>
      </c>
      <c r="AV1009" s="57">
        <v>2</v>
      </c>
      <c r="AW1009" s="61" t="s">
        <v>66</v>
      </c>
      <c r="AX1009" s="52"/>
      <c r="AY1009" s="52"/>
      <c r="AZ1009" s="52"/>
      <c r="BA1009" s="52"/>
    </row>
    <row r="1010" spans="1:53" x14ac:dyDescent="0.25">
      <c r="A1010" s="48">
        <v>2</v>
      </c>
      <c r="B1010" s="46">
        <v>44896.416666666664</v>
      </c>
      <c r="C1010" s="36">
        <v>0.4201388888888889</v>
      </c>
      <c r="D1010" s="36">
        <v>0.4236111111111111</v>
      </c>
      <c r="E1010" s="36">
        <v>0.46527777777777773</v>
      </c>
      <c r="F1010" s="68" t="s">
        <v>171</v>
      </c>
      <c r="G1010" s="37" t="s">
        <v>476</v>
      </c>
      <c r="H1010" s="26" t="s">
        <v>199</v>
      </c>
      <c r="I1010" s="26" t="s">
        <v>174</v>
      </c>
      <c r="J1010" s="66" t="s">
        <v>37</v>
      </c>
      <c r="K1010" s="60" t="s">
        <v>180</v>
      </c>
      <c r="L1010" s="65" t="s">
        <v>206</v>
      </c>
      <c r="M1010" s="37" t="s">
        <v>2745</v>
      </c>
      <c r="N1010" s="37" t="s">
        <v>42</v>
      </c>
      <c r="O1010" s="37">
        <v>274010753</v>
      </c>
      <c r="P1010" s="37" t="s">
        <v>2746</v>
      </c>
      <c r="Q1010" s="303">
        <f t="shared" si="96"/>
        <v>6</v>
      </c>
      <c r="R1010" s="303">
        <f t="shared" si="97"/>
        <v>950</v>
      </c>
      <c r="S1010" s="37">
        <v>0</v>
      </c>
      <c r="T1010" s="37">
        <v>0</v>
      </c>
      <c r="U1010" s="37">
        <v>6</v>
      </c>
      <c r="V1010" s="37">
        <f>168+148+144+170+152+168</f>
        <v>950</v>
      </c>
      <c r="W1010" s="37">
        <v>973.49</v>
      </c>
      <c r="X1010" s="37">
        <v>123</v>
      </c>
      <c r="Y1010" s="37">
        <v>83</v>
      </c>
      <c r="Z1010" s="37">
        <v>75</v>
      </c>
      <c r="AA1010" s="37">
        <v>6</v>
      </c>
      <c r="AB1010" s="300">
        <f t="shared" si="98"/>
        <v>765.67499999999995</v>
      </c>
      <c r="AC1010" s="300">
        <f t="shared" si="99"/>
        <v>4.6124999999999998</v>
      </c>
      <c r="AD1010" s="37">
        <v>22560.959999999999</v>
      </c>
      <c r="AE1010" s="37" t="s">
        <v>109</v>
      </c>
      <c r="AF1010" s="68" t="s">
        <v>317</v>
      </c>
      <c r="AG1010" s="68" t="s">
        <v>317</v>
      </c>
      <c r="AH1010" s="37" t="s">
        <v>2747</v>
      </c>
      <c r="AI1010" s="309"/>
      <c r="AJ1010" s="309"/>
      <c r="AK1010" s="68" t="s">
        <v>37</v>
      </c>
      <c r="AL1010" s="39" t="s">
        <v>49</v>
      </c>
      <c r="AM1010" s="299">
        <f t="shared" ca="1" si="95"/>
        <v>1.0347222222262644</v>
      </c>
      <c r="AN1010" s="50"/>
      <c r="AO1010" s="57" t="s">
        <v>232</v>
      </c>
      <c r="AP1010" s="57" t="s">
        <v>2745</v>
      </c>
      <c r="AQ1010" s="57" t="s">
        <v>2842</v>
      </c>
      <c r="AR1010" s="29">
        <v>44897.451388888891</v>
      </c>
      <c r="AS1010" s="57" t="s">
        <v>117</v>
      </c>
      <c r="AT1010" s="61" t="s">
        <v>225</v>
      </c>
      <c r="AU1010" s="63">
        <v>0.4513888888888889</v>
      </c>
      <c r="AV1010" s="61">
        <v>1</v>
      </c>
      <c r="AW1010" s="61" t="s">
        <v>66</v>
      </c>
      <c r="AX1010" s="52"/>
      <c r="AY1010" s="52"/>
      <c r="AZ1010" s="52"/>
      <c r="BA1010" s="52"/>
    </row>
    <row r="1011" spans="1:53" x14ac:dyDescent="0.25">
      <c r="A1011" s="48">
        <v>3</v>
      </c>
      <c r="B1011" s="46">
        <v>44896.423611111109</v>
      </c>
      <c r="C1011" s="36">
        <v>0.42708333333333331</v>
      </c>
      <c r="D1011" s="36">
        <v>0.43402777777777773</v>
      </c>
      <c r="E1011" s="67">
        <v>0.46527777777777773</v>
      </c>
      <c r="F1011" s="68" t="s">
        <v>171</v>
      </c>
      <c r="G1011" s="37" t="s">
        <v>2748</v>
      </c>
      <c r="H1011" s="60" t="s">
        <v>199</v>
      </c>
      <c r="I1011" s="60" t="s">
        <v>174</v>
      </c>
      <c r="J1011" s="66" t="s">
        <v>37</v>
      </c>
      <c r="K1011" s="60" t="s">
        <v>180</v>
      </c>
      <c r="L1011" s="65" t="s">
        <v>206</v>
      </c>
      <c r="M1011" s="37" t="s">
        <v>2749</v>
      </c>
      <c r="N1011" s="68" t="s">
        <v>42</v>
      </c>
      <c r="O1011" s="37">
        <v>274010769</v>
      </c>
      <c r="P1011" s="37" t="s">
        <v>2750</v>
      </c>
      <c r="Q1011" s="303">
        <f t="shared" si="96"/>
        <v>3</v>
      </c>
      <c r="R1011" s="303">
        <f t="shared" si="97"/>
        <v>273</v>
      </c>
      <c r="S1011" s="37">
        <v>2</v>
      </c>
      <c r="T1011" s="37">
        <v>44</v>
      </c>
      <c r="U1011" s="37">
        <v>1</v>
      </c>
      <c r="V1011" s="37">
        <v>229</v>
      </c>
      <c r="W1011" s="68">
        <v>274.77999999999997</v>
      </c>
      <c r="X1011" s="37">
        <v>123</v>
      </c>
      <c r="Y1011" s="37">
        <v>83</v>
      </c>
      <c r="Z1011" s="37">
        <v>75</v>
      </c>
      <c r="AA1011" s="37">
        <v>1</v>
      </c>
      <c r="AB1011" s="300">
        <f t="shared" si="98"/>
        <v>127.6125</v>
      </c>
      <c r="AC1011" s="300">
        <f t="shared" si="99"/>
        <v>0.76874999999999993</v>
      </c>
      <c r="AD1011" s="37">
        <v>10378.08</v>
      </c>
      <c r="AE1011" s="68" t="s">
        <v>109</v>
      </c>
      <c r="AF1011" s="68" t="s">
        <v>317</v>
      </c>
      <c r="AG1011" s="68" t="s">
        <v>317</v>
      </c>
      <c r="AH1011" s="37" t="s">
        <v>2751</v>
      </c>
      <c r="AI1011" s="309"/>
      <c r="AJ1011" s="309"/>
      <c r="AK1011" s="68" t="s">
        <v>37</v>
      </c>
      <c r="AL1011" s="39" t="s">
        <v>54</v>
      </c>
      <c r="AM1011" s="299">
        <f t="shared" ca="1" si="95"/>
        <v>0.23263888889050577</v>
      </c>
      <c r="AN1011" s="50"/>
      <c r="AO1011" s="57" t="s">
        <v>157</v>
      </c>
      <c r="AP1011" s="57" t="s">
        <v>2749</v>
      </c>
      <c r="AQ1011" s="57" t="s">
        <v>2816</v>
      </c>
      <c r="AR1011" s="29">
        <v>44896.65625</v>
      </c>
      <c r="AS1011" s="57" t="s">
        <v>173</v>
      </c>
      <c r="AT1011" s="61" t="s">
        <v>225</v>
      </c>
      <c r="AU1011" s="63">
        <v>0.65625</v>
      </c>
      <c r="AV1011" s="57">
        <v>1</v>
      </c>
      <c r="AW1011" s="61" t="s">
        <v>66</v>
      </c>
      <c r="AX1011" s="52"/>
      <c r="AY1011" s="52"/>
      <c r="AZ1011" s="52"/>
      <c r="BA1011" s="52"/>
    </row>
    <row r="1012" spans="1:53" x14ac:dyDescent="0.25">
      <c r="A1012" s="73">
        <v>3</v>
      </c>
      <c r="B1012" s="72">
        <v>44896.423611111109</v>
      </c>
      <c r="C1012" s="67">
        <v>0.42708333333333331</v>
      </c>
      <c r="D1012" s="67">
        <v>0.43402777777777773</v>
      </c>
      <c r="E1012" s="67">
        <v>0.46527777777777773</v>
      </c>
      <c r="F1012" s="68" t="s">
        <v>171</v>
      </c>
      <c r="G1012" s="68" t="s">
        <v>2748</v>
      </c>
      <c r="H1012" s="60" t="s">
        <v>199</v>
      </c>
      <c r="I1012" s="60" t="s">
        <v>174</v>
      </c>
      <c r="J1012" s="66" t="s">
        <v>37</v>
      </c>
      <c r="K1012" s="60" t="s">
        <v>180</v>
      </c>
      <c r="L1012" s="65" t="s">
        <v>206</v>
      </c>
      <c r="M1012" s="68" t="s">
        <v>2749</v>
      </c>
      <c r="N1012" s="68" t="s">
        <v>42</v>
      </c>
      <c r="O1012" s="68">
        <v>274010769</v>
      </c>
      <c r="P1012" s="68" t="s">
        <v>2750</v>
      </c>
      <c r="Q1012" s="303">
        <f t="shared" si="96"/>
        <v>0</v>
      </c>
      <c r="R1012" s="303">
        <f t="shared" si="97"/>
        <v>0</v>
      </c>
      <c r="S1012" s="68">
        <v>0</v>
      </c>
      <c r="T1012" s="68">
        <v>0</v>
      </c>
      <c r="U1012" s="68">
        <v>0</v>
      </c>
      <c r="V1012" s="68">
        <v>0</v>
      </c>
      <c r="W1012" s="68">
        <v>0</v>
      </c>
      <c r="X1012" s="37">
        <v>60</v>
      </c>
      <c r="Y1012" s="37">
        <v>40</v>
      </c>
      <c r="Z1012" s="37">
        <v>30</v>
      </c>
      <c r="AA1012" s="37">
        <v>2</v>
      </c>
      <c r="AB1012" s="300">
        <f t="shared" si="98"/>
        <v>24</v>
      </c>
      <c r="AC1012" s="300">
        <f t="shared" si="99"/>
        <v>0.14457831325301204</v>
      </c>
      <c r="AD1012" s="37">
        <v>0</v>
      </c>
      <c r="AE1012" s="37">
        <v>0</v>
      </c>
      <c r="AF1012" s="68" t="s">
        <v>317</v>
      </c>
      <c r="AG1012" s="68" t="s">
        <v>317</v>
      </c>
      <c r="AH1012" s="68" t="s">
        <v>2751</v>
      </c>
      <c r="AI1012" s="309"/>
      <c r="AJ1012" s="309"/>
      <c r="AK1012" s="37" t="s">
        <v>48</v>
      </c>
      <c r="AL1012" s="39" t="s">
        <v>54</v>
      </c>
      <c r="AM1012" s="299">
        <f t="shared" ca="1" si="95"/>
        <v>0.23263888889050577</v>
      </c>
      <c r="AN1012" s="50"/>
      <c r="AO1012" s="57" t="s">
        <v>157</v>
      </c>
      <c r="AP1012" s="57" t="s">
        <v>2749</v>
      </c>
      <c r="AQ1012" s="57" t="s">
        <v>2816</v>
      </c>
      <c r="AR1012" s="29">
        <v>44896.65625</v>
      </c>
      <c r="AS1012" s="57" t="s">
        <v>173</v>
      </c>
      <c r="AT1012" s="61" t="s">
        <v>225</v>
      </c>
      <c r="AU1012" s="63">
        <v>0.65625</v>
      </c>
      <c r="AV1012" s="57">
        <v>1</v>
      </c>
      <c r="AW1012" s="61" t="s">
        <v>66</v>
      </c>
      <c r="AX1012" s="52"/>
      <c r="AY1012" s="52"/>
      <c r="AZ1012" s="52"/>
      <c r="BA1012" s="52"/>
    </row>
    <row r="1013" spans="1:53" x14ac:dyDescent="0.25">
      <c r="A1013" s="48">
        <v>4</v>
      </c>
      <c r="B1013" s="72">
        <v>44896.423611111109</v>
      </c>
      <c r="C1013" s="67">
        <v>0.42708333333333331</v>
      </c>
      <c r="D1013" s="67">
        <v>0.43402777777777773</v>
      </c>
      <c r="E1013" s="67">
        <v>0.46527777777777773</v>
      </c>
      <c r="F1013" s="68" t="s">
        <v>171</v>
      </c>
      <c r="G1013" s="68" t="s">
        <v>2748</v>
      </c>
      <c r="H1013" s="60" t="s">
        <v>199</v>
      </c>
      <c r="I1013" s="60" t="s">
        <v>174</v>
      </c>
      <c r="J1013" s="66" t="s">
        <v>37</v>
      </c>
      <c r="K1013" s="60" t="s">
        <v>180</v>
      </c>
      <c r="L1013" s="65" t="s">
        <v>206</v>
      </c>
      <c r="M1013" s="37" t="s">
        <v>2745</v>
      </c>
      <c r="N1013" s="68" t="s">
        <v>42</v>
      </c>
      <c r="O1013" s="37">
        <v>274010754</v>
      </c>
      <c r="P1013" s="37" t="s">
        <v>2752</v>
      </c>
      <c r="Q1013" s="303">
        <f t="shared" si="96"/>
        <v>7</v>
      </c>
      <c r="R1013" s="303">
        <f t="shared" si="97"/>
        <v>1158</v>
      </c>
      <c r="S1013" s="37">
        <v>0</v>
      </c>
      <c r="T1013" s="37">
        <v>0</v>
      </c>
      <c r="U1013" s="37">
        <v>7</v>
      </c>
      <c r="V1013" s="37">
        <f>165+144+179+165+147+179+179</f>
        <v>1158</v>
      </c>
      <c r="W1013" s="37">
        <v>1172.04</v>
      </c>
      <c r="X1013" s="37">
        <v>123</v>
      </c>
      <c r="Y1013" s="37">
        <v>83</v>
      </c>
      <c r="Z1013" s="37">
        <v>75</v>
      </c>
      <c r="AA1013" s="37">
        <v>7</v>
      </c>
      <c r="AB1013" s="300">
        <f t="shared" si="98"/>
        <v>893.28750000000002</v>
      </c>
      <c r="AC1013" s="300">
        <f t="shared" si="99"/>
        <v>5.3812500000000005</v>
      </c>
      <c r="AD1013" s="37">
        <v>29607.48</v>
      </c>
      <c r="AE1013" s="37" t="s">
        <v>109</v>
      </c>
      <c r="AF1013" s="68" t="s">
        <v>317</v>
      </c>
      <c r="AG1013" s="68" t="s">
        <v>317</v>
      </c>
      <c r="AH1013" s="37" t="s">
        <v>2753</v>
      </c>
      <c r="AI1013" s="309"/>
      <c r="AJ1013" s="309"/>
      <c r="AK1013" s="37" t="s">
        <v>37</v>
      </c>
      <c r="AL1013" s="39" t="s">
        <v>54</v>
      </c>
      <c r="AM1013" s="299">
        <f t="shared" ca="1" si="95"/>
        <v>1.0277777777810115</v>
      </c>
      <c r="AN1013" s="50"/>
      <c r="AO1013" s="57" t="s">
        <v>232</v>
      </c>
      <c r="AP1013" s="57" t="s">
        <v>2745</v>
      </c>
      <c r="AQ1013" s="57" t="s">
        <v>2842</v>
      </c>
      <c r="AR1013" s="29">
        <v>44897.451388888891</v>
      </c>
      <c r="AS1013" s="57" t="s">
        <v>117</v>
      </c>
      <c r="AT1013" s="61" t="s">
        <v>225</v>
      </c>
      <c r="AU1013" s="63">
        <v>0.4513888888888889</v>
      </c>
      <c r="AV1013" s="61">
        <v>1</v>
      </c>
      <c r="AW1013" s="61" t="s">
        <v>66</v>
      </c>
      <c r="AX1013" s="52"/>
      <c r="AY1013" s="52"/>
      <c r="AZ1013" s="52"/>
      <c r="BA1013" s="52"/>
    </row>
    <row r="1014" spans="1:53" x14ac:dyDescent="0.25">
      <c r="A1014" s="48">
        <v>5</v>
      </c>
      <c r="B1014" s="72">
        <v>44896.423611111109</v>
      </c>
      <c r="C1014" s="67">
        <v>0.47916666666666669</v>
      </c>
      <c r="D1014" s="67">
        <v>0.4826388888888889</v>
      </c>
      <c r="E1014" s="67">
        <v>0.52777777777777779</v>
      </c>
      <c r="F1014" s="68" t="s">
        <v>171</v>
      </c>
      <c r="G1014" s="68" t="s">
        <v>2754</v>
      </c>
      <c r="H1014" s="68" t="s">
        <v>1357</v>
      </c>
      <c r="I1014" s="68" t="s">
        <v>1357</v>
      </c>
      <c r="J1014" s="68" t="s">
        <v>37</v>
      </c>
      <c r="K1014" s="68" t="s">
        <v>180</v>
      </c>
      <c r="L1014" s="68" t="s">
        <v>206</v>
      </c>
      <c r="M1014" s="68" t="s">
        <v>2755</v>
      </c>
      <c r="N1014" s="68" t="s">
        <v>44</v>
      </c>
      <c r="O1014" s="68">
        <v>6200021221</v>
      </c>
      <c r="P1014" s="68">
        <v>22845215</v>
      </c>
      <c r="Q1014" s="303">
        <f t="shared" si="96"/>
        <v>2</v>
      </c>
      <c r="R1014" s="303">
        <f t="shared" si="97"/>
        <v>135</v>
      </c>
      <c r="S1014" s="68">
        <v>1</v>
      </c>
      <c r="T1014" s="68">
        <v>11</v>
      </c>
      <c r="U1014" s="68">
        <v>1</v>
      </c>
      <c r="V1014" s="68">
        <v>124</v>
      </c>
      <c r="W1014" s="68">
        <v>137</v>
      </c>
      <c r="X1014" s="68">
        <v>67</v>
      </c>
      <c r="Y1014" s="68">
        <v>67</v>
      </c>
      <c r="Z1014" s="68">
        <v>38</v>
      </c>
      <c r="AA1014" s="68">
        <v>1</v>
      </c>
      <c r="AB1014" s="300">
        <f t="shared" si="98"/>
        <v>28.430333333333333</v>
      </c>
      <c r="AC1014" s="300">
        <f t="shared" si="99"/>
        <v>0.17126706827309238</v>
      </c>
      <c r="AD1014" s="68">
        <v>13133</v>
      </c>
      <c r="AE1014" s="68" t="s">
        <v>109</v>
      </c>
      <c r="AF1014" s="68" t="s">
        <v>317</v>
      </c>
      <c r="AG1014" s="68" t="s">
        <v>317</v>
      </c>
      <c r="AH1014" s="68" t="s">
        <v>2756</v>
      </c>
      <c r="AI1014" s="309"/>
      <c r="AJ1014" s="309"/>
      <c r="AK1014" s="68" t="s">
        <v>48</v>
      </c>
      <c r="AL1014" s="39" t="s">
        <v>54</v>
      </c>
      <c r="AM1014" s="299">
        <f t="shared" ca="1" si="95"/>
        <v>5.0625</v>
      </c>
      <c r="AN1014" s="42"/>
      <c r="AO1014" s="104" t="s">
        <v>53</v>
      </c>
      <c r="AP1014" s="106" t="s">
        <v>2755</v>
      </c>
      <c r="AQ1014" s="104" t="s">
        <v>3076</v>
      </c>
      <c r="AR1014" s="111">
        <v>44901.486111111109</v>
      </c>
      <c r="AS1014" s="109" t="s">
        <v>136</v>
      </c>
      <c r="AT1014" s="109" t="s">
        <v>225</v>
      </c>
      <c r="AU1014" s="110">
        <v>0.4861111111111111</v>
      </c>
      <c r="AV1014" s="104">
        <v>1</v>
      </c>
      <c r="AW1014" s="109" t="s">
        <v>66</v>
      </c>
      <c r="AX1014" s="52"/>
      <c r="AY1014" s="52"/>
      <c r="AZ1014" s="52"/>
      <c r="BA1014" s="52"/>
    </row>
    <row r="1015" spans="1:53" x14ac:dyDescent="0.25">
      <c r="A1015" s="48">
        <v>5</v>
      </c>
      <c r="B1015" s="72">
        <v>44896.423611111109</v>
      </c>
      <c r="C1015" s="67">
        <v>0.47916666666666669</v>
      </c>
      <c r="D1015" s="67">
        <v>0.4826388888888889</v>
      </c>
      <c r="E1015" s="67">
        <v>0.52777777777777779</v>
      </c>
      <c r="F1015" s="68" t="s">
        <v>171</v>
      </c>
      <c r="G1015" s="68" t="s">
        <v>2754</v>
      </c>
      <c r="H1015" s="68" t="s">
        <v>1357</v>
      </c>
      <c r="I1015" s="68" t="s">
        <v>1357</v>
      </c>
      <c r="J1015" s="68" t="s">
        <v>37</v>
      </c>
      <c r="K1015" s="68" t="s">
        <v>180</v>
      </c>
      <c r="L1015" s="68" t="s">
        <v>206</v>
      </c>
      <c r="M1015" s="68" t="s">
        <v>2755</v>
      </c>
      <c r="N1015" s="68" t="s">
        <v>44</v>
      </c>
      <c r="O1015" s="68">
        <v>6200021221</v>
      </c>
      <c r="P1015" s="68">
        <v>22845215</v>
      </c>
      <c r="Q1015" s="303">
        <f t="shared" si="96"/>
        <v>0</v>
      </c>
      <c r="R1015" s="303">
        <f t="shared" si="97"/>
        <v>0</v>
      </c>
      <c r="S1015" s="68">
        <v>0</v>
      </c>
      <c r="T1015" s="68">
        <v>0</v>
      </c>
      <c r="U1015" s="68">
        <v>0</v>
      </c>
      <c r="V1015" s="68">
        <v>0</v>
      </c>
      <c r="W1015" s="68">
        <v>0</v>
      </c>
      <c r="X1015" s="68">
        <v>66</v>
      </c>
      <c r="Y1015" s="68">
        <v>65</v>
      </c>
      <c r="Z1015" s="68">
        <v>57</v>
      </c>
      <c r="AA1015" s="68">
        <v>1</v>
      </c>
      <c r="AB1015" s="300">
        <f t="shared" si="98"/>
        <v>40.755000000000003</v>
      </c>
      <c r="AC1015" s="300">
        <f t="shared" si="99"/>
        <v>0.24551204819277109</v>
      </c>
      <c r="AD1015" s="68">
        <v>0</v>
      </c>
      <c r="AE1015" s="68" t="s">
        <v>109</v>
      </c>
      <c r="AF1015" s="68" t="s">
        <v>317</v>
      </c>
      <c r="AG1015" s="68" t="s">
        <v>317</v>
      </c>
      <c r="AH1015" s="68">
        <v>0</v>
      </c>
      <c r="AI1015" s="309"/>
      <c r="AJ1015" s="309"/>
      <c r="AK1015" s="68" t="s">
        <v>37</v>
      </c>
      <c r="AL1015" s="39" t="s">
        <v>54</v>
      </c>
      <c r="AM1015" s="299">
        <f t="shared" ca="1" si="95"/>
        <v>5.0625</v>
      </c>
      <c r="AN1015" s="42"/>
      <c r="AO1015" s="104" t="s">
        <v>53</v>
      </c>
      <c r="AP1015" s="106" t="s">
        <v>2755</v>
      </c>
      <c r="AQ1015" s="104" t="s">
        <v>3076</v>
      </c>
      <c r="AR1015" s="111">
        <v>44901.486111111109</v>
      </c>
      <c r="AS1015" s="109" t="s">
        <v>136</v>
      </c>
      <c r="AT1015" s="109" t="s">
        <v>225</v>
      </c>
      <c r="AU1015" s="110">
        <v>0.4861111111111111</v>
      </c>
      <c r="AV1015" s="104">
        <v>1</v>
      </c>
      <c r="AW1015" s="109" t="s">
        <v>66</v>
      </c>
      <c r="AX1015" s="52"/>
      <c r="AY1015" s="52"/>
      <c r="AZ1015" s="52"/>
      <c r="BA1015" s="52"/>
    </row>
    <row r="1016" spans="1:53" x14ac:dyDescent="0.25">
      <c r="A1016" s="48">
        <v>6</v>
      </c>
      <c r="B1016" s="72">
        <v>44896.423611111109</v>
      </c>
      <c r="C1016" s="67">
        <v>0.47916666666666669</v>
      </c>
      <c r="D1016" s="67">
        <v>0.4826388888888889</v>
      </c>
      <c r="E1016" s="67">
        <v>0.52777777777777779</v>
      </c>
      <c r="F1016" s="68" t="s">
        <v>171</v>
      </c>
      <c r="G1016" s="68" t="s">
        <v>2754</v>
      </c>
      <c r="H1016" s="68" t="s">
        <v>1357</v>
      </c>
      <c r="I1016" s="68" t="s">
        <v>1357</v>
      </c>
      <c r="J1016" s="68" t="s">
        <v>37</v>
      </c>
      <c r="K1016" s="68" t="s">
        <v>180</v>
      </c>
      <c r="L1016" s="68" t="s">
        <v>206</v>
      </c>
      <c r="M1016" s="68" t="s">
        <v>2755</v>
      </c>
      <c r="N1016" s="68" t="s">
        <v>44</v>
      </c>
      <c r="O1016" s="68">
        <v>6200021222</v>
      </c>
      <c r="P1016" s="68">
        <v>22845253</v>
      </c>
      <c r="Q1016" s="303">
        <f t="shared" si="96"/>
        <v>1</v>
      </c>
      <c r="R1016" s="303">
        <f t="shared" si="97"/>
        <v>232</v>
      </c>
      <c r="S1016" s="68">
        <v>0</v>
      </c>
      <c r="T1016" s="68">
        <v>0</v>
      </c>
      <c r="U1016" s="68">
        <v>1</v>
      </c>
      <c r="V1016" s="68">
        <v>232</v>
      </c>
      <c r="W1016" s="68">
        <v>200</v>
      </c>
      <c r="X1016" s="68">
        <v>102</v>
      </c>
      <c r="Y1016" s="68">
        <v>92</v>
      </c>
      <c r="Z1016" s="68">
        <v>120</v>
      </c>
      <c r="AA1016" s="68">
        <v>1</v>
      </c>
      <c r="AB1016" s="300">
        <f t="shared" si="98"/>
        <v>187.68</v>
      </c>
      <c r="AC1016" s="300">
        <f t="shared" si="99"/>
        <v>1.1306024096385543</v>
      </c>
      <c r="AD1016" s="68">
        <v>10138</v>
      </c>
      <c r="AE1016" s="68" t="s">
        <v>109</v>
      </c>
      <c r="AF1016" s="68" t="s">
        <v>317</v>
      </c>
      <c r="AG1016" s="68" t="s">
        <v>317</v>
      </c>
      <c r="AH1016" s="68" t="s">
        <v>2757</v>
      </c>
      <c r="AI1016" s="309"/>
      <c r="AJ1016" s="309"/>
      <c r="AK1016" s="68" t="s">
        <v>37</v>
      </c>
      <c r="AL1016" s="39" t="s">
        <v>54</v>
      </c>
      <c r="AM1016" s="299">
        <f t="shared" ca="1" si="95"/>
        <v>5.0625</v>
      </c>
      <c r="AN1016" s="42"/>
      <c r="AO1016" s="104" t="s">
        <v>53</v>
      </c>
      <c r="AP1016" s="106" t="s">
        <v>2755</v>
      </c>
      <c r="AQ1016" s="104" t="s">
        <v>3076</v>
      </c>
      <c r="AR1016" s="111">
        <v>44901.486111111109</v>
      </c>
      <c r="AS1016" s="109" t="s">
        <v>136</v>
      </c>
      <c r="AT1016" s="109" t="s">
        <v>225</v>
      </c>
      <c r="AU1016" s="110">
        <v>0.4861111111111111</v>
      </c>
      <c r="AV1016" s="104">
        <v>1</v>
      </c>
      <c r="AW1016" s="109" t="s">
        <v>66</v>
      </c>
      <c r="AX1016" s="52"/>
      <c r="AY1016" s="52"/>
      <c r="AZ1016" s="52"/>
      <c r="BA1016" s="52"/>
    </row>
    <row r="1017" spans="1:53" x14ac:dyDescent="0.25">
      <c r="A1017" s="48">
        <v>7</v>
      </c>
      <c r="B1017" s="99">
        <v>44896.423611111109</v>
      </c>
      <c r="C1017" s="100">
        <v>0.48958333333333331</v>
      </c>
      <c r="D1017" s="100">
        <v>0.5</v>
      </c>
      <c r="E1017" s="100">
        <v>0.54861111111111105</v>
      </c>
      <c r="F1017" s="101" t="s">
        <v>171</v>
      </c>
      <c r="G1017" s="101" t="s">
        <v>173</v>
      </c>
      <c r="H1017" s="101" t="s">
        <v>195</v>
      </c>
      <c r="I1017" s="101" t="s">
        <v>195</v>
      </c>
      <c r="J1017" s="101" t="s">
        <v>37</v>
      </c>
      <c r="K1017" s="101" t="s">
        <v>180</v>
      </c>
      <c r="L1017" s="101" t="s">
        <v>209</v>
      </c>
      <c r="M1017" s="101" t="s">
        <v>2758</v>
      </c>
      <c r="N1017" s="101" t="s">
        <v>42</v>
      </c>
      <c r="O1017" s="101" t="s">
        <v>2759</v>
      </c>
      <c r="P1017" s="101">
        <v>2101085868</v>
      </c>
      <c r="Q1017" s="303">
        <f t="shared" si="96"/>
        <v>2</v>
      </c>
      <c r="R1017" s="303">
        <f t="shared" si="97"/>
        <v>367</v>
      </c>
      <c r="S1017" s="101">
        <v>0</v>
      </c>
      <c r="T1017" s="101">
        <v>0</v>
      </c>
      <c r="U1017" s="101">
        <v>2</v>
      </c>
      <c r="V1017" s="101">
        <v>367</v>
      </c>
      <c r="W1017" s="101">
        <v>372</v>
      </c>
      <c r="X1017" s="101">
        <v>115</v>
      </c>
      <c r="Y1017" s="101">
        <v>80</v>
      </c>
      <c r="Z1017" s="101">
        <v>127</v>
      </c>
      <c r="AA1017" s="101">
        <v>1</v>
      </c>
      <c r="AB1017" s="300">
        <f t="shared" si="98"/>
        <v>194.73333333333332</v>
      </c>
      <c r="AC1017" s="300">
        <f t="shared" si="99"/>
        <v>1.1730923694779116</v>
      </c>
      <c r="AD1017" s="101">
        <v>16772.64</v>
      </c>
      <c r="AE1017" s="101" t="s">
        <v>109</v>
      </c>
      <c r="AF1017" s="101" t="s">
        <v>317</v>
      </c>
      <c r="AG1017" s="101" t="s">
        <v>317</v>
      </c>
      <c r="AH1017" s="101" t="s">
        <v>2760</v>
      </c>
      <c r="AI1017" s="101"/>
      <c r="AJ1017" s="101"/>
      <c r="AK1017" s="101" t="s">
        <v>41</v>
      </c>
      <c r="AL1017" s="102" t="s">
        <v>54</v>
      </c>
      <c r="AM1017" s="299">
        <f t="shared" ca="1" si="95"/>
        <v>1.0763888888905058</v>
      </c>
      <c r="AN1017" s="49"/>
      <c r="AO1017" s="57" t="s">
        <v>132</v>
      </c>
      <c r="AP1017" s="24" t="s">
        <v>2758</v>
      </c>
      <c r="AQ1017" s="57" t="s">
        <v>2844</v>
      </c>
      <c r="AR1017" s="29">
        <v>44897.5</v>
      </c>
      <c r="AS1017" s="61" t="s">
        <v>136</v>
      </c>
      <c r="AT1017" s="61" t="s">
        <v>225</v>
      </c>
      <c r="AU1017" s="63">
        <v>0.5</v>
      </c>
      <c r="AV1017" s="57">
        <v>1</v>
      </c>
      <c r="AW1017" s="61" t="s">
        <v>66</v>
      </c>
      <c r="AX1017" s="52"/>
      <c r="AY1017" s="52"/>
      <c r="AZ1017" s="52"/>
      <c r="BA1017" s="52"/>
    </row>
    <row r="1018" spans="1:53" x14ac:dyDescent="0.25">
      <c r="A1018" s="48">
        <v>7</v>
      </c>
      <c r="B1018" s="43">
        <v>44896.423611111109</v>
      </c>
      <c r="C1018" s="44">
        <v>0.48958333333333331</v>
      </c>
      <c r="D1018" s="44">
        <v>0.5</v>
      </c>
      <c r="E1018" s="44">
        <v>0.54861111111111105</v>
      </c>
      <c r="F1018" s="39" t="s">
        <v>171</v>
      </c>
      <c r="G1018" s="39" t="s">
        <v>173</v>
      </c>
      <c r="H1018" s="39" t="s">
        <v>195</v>
      </c>
      <c r="I1018" s="39" t="s">
        <v>195</v>
      </c>
      <c r="J1018" s="39" t="s">
        <v>37</v>
      </c>
      <c r="K1018" s="39" t="s">
        <v>180</v>
      </c>
      <c r="L1018" s="39" t="s">
        <v>209</v>
      </c>
      <c r="M1018" s="39" t="s">
        <v>2758</v>
      </c>
      <c r="N1018" s="39" t="s">
        <v>42</v>
      </c>
      <c r="O1018" s="39" t="s">
        <v>2759</v>
      </c>
      <c r="P1018" s="39">
        <v>2101085868</v>
      </c>
      <c r="Q1018" s="303">
        <f t="shared" si="96"/>
        <v>0</v>
      </c>
      <c r="R1018" s="303">
        <f t="shared" si="97"/>
        <v>0</v>
      </c>
      <c r="S1018" s="39">
        <v>0</v>
      </c>
      <c r="T1018" s="39">
        <v>0</v>
      </c>
      <c r="U1018" s="39">
        <v>0</v>
      </c>
      <c r="V1018" s="39">
        <v>0</v>
      </c>
      <c r="W1018" s="39">
        <v>0</v>
      </c>
      <c r="X1018" s="39">
        <v>115</v>
      </c>
      <c r="Y1018" s="39">
        <v>80</v>
      </c>
      <c r="Z1018" s="39">
        <v>99</v>
      </c>
      <c r="AA1018" s="39">
        <v>1</v>
      </c>
      <c r="AB1018" s="300">
        <f t="shared" si="98"/>
        <v>151.80000000000001</v>
      </c>
      <c r="AC1018" s="300">
        <f t="shared" si="99"/>
        <v>0.91445783132530123</v>
      </c>
      <c r="AD1018" s="39">
        <v>0</v>
      </c>
      <c r="AE1018" s="39" t="s">
        <v>109</v>
      </c>
      <c r="AF1018" s="39" t="s">
        <v>317</v>
      </c>
      <c r="AG1018" s="39" t="s">
        <v>317</v>
      </c>
      <c r="AH1018" s="39">
        <v>0</v>
      </c>
      <c r="AI1018" s="39"/>
      <c r="AJ1018" s="39"/>
      <c r="AK1018" s="39" t="s">
        <v>41</v>
      </c>
      <c r="AL1018" s="39" t="s">
        <v>54</v>
      </c>
      <c r="AM1018" s="299">
        <f t="shared" ca="1" si="95"/>
        <v>1.0763888888905058</v>
      </c>
      <c r="AN1018" s="42"/>
      <c r="AO1018" s="57" t="s">
        <v>132</v>
      </c>
      <c r="AP1018" s="24" t="s">
        <v>2758</v>
      </c>
      <c r="AQ1018" s="57" t="s">
        <v>2844</v>
      </c>
      <c r="AR1018" s="29">
        <v>44897.5</v>
      </c>
      <c r="AS1018" s="61" t="s">
        <v>136</v>
      </c>
      <c r="AT1018" s="61" t="s">
        <v>225</v>
      </c>
      <c r="AU1018" s="63">
        <v>0.5</v>
      </c>
      <c r="AV1018" s="57">
        <v>1</v>
      </c>
      <c r="AW1018" s="61" t="s">
        <v>66</v>
      </c>
      <c r="AX1018" s="52"/>
      <c r="AY1018" s="52"/>
      <c r="AZ1018" s="52"/>
      <c r="BA1018" s="52"/>
    </row>
    <row r="1019" spans="1:53" x14ac:dyDescent="0.25">
      <c r="A1019" s="48">
        <v>8</v>
      </c>
      <c r="B1019" s="43">
        <v>44896.423611111109</v>
      </c>
      <c r="C1019" s="44">
        <v>0.48958333333333331</v>
      </c>
      <c r="D1019" s="44">
        <v>0.5</v>
      </c>
      <c r="E1019" s="44">
        <v>0.54861111111111105</v>
      </c>
      <c r="F1019" s="39" t="s">
        <v>171</v>
      </c>
      <c r="G1019" s="39" t="s">
        <v>173</v>
      </c>
      <c r="H1019" s="39" t="s">
        <v>195</v>
      </c>
      <c r="I1019" s="39" t="s">
        <v>195</v>
      </c>
      <c r="J1019" s="39" t="s">
        <v>37</v>
      </c>
      <c r="K1019" s="39" t="s">
        <v>180</v>
      </c>
      <c r="L1019" s="39" t="s">
        <v>209</v>
      </c>
      <c r="M1019" s="39" t="s">
        <v>2758</v>
      </c>
      <c r="N1019" s="39" t="s">
        <v>42</v>
      </c>
      <c r="O1019" s="39" t="s">
        <v>2761</v>
      </c>
      <c r="P1019" s="39">
        <v>2101085869</v>
      </c>
      <c r="Q1019" s="303">
        <f t="shared" si="96"/>
        <v>2</v>
      </c>
      <c r="R1019" s="303">
        <f t="shared" si="97"/>
        <v>330</v>
      </c>
      <c r="S1019" s="39">
        <v>0</v>
      </c>
      <c r="T1019" s="39">
        <v>0</v>
      </c>
      <c r="U1019" s="39">
        <v>2</v>
      </c>
      <c r="V1019" s="39">
        <v>330</v>
      </c>
      <c r="W1019" s="39">
        <v>344.00099999999998</v>
      </c>
      <c r="X1019" s="39">
        <v>115</v>
      </c>
      <c r="Y1019" s="39">
        <v>80</v>
      </c>
      <c r="Z1019" s="39">
        <v>60</v>
      </c>
      <c r="AA1019" s="39">
        <v>1</v>
      </c>
      <c r="AB1019" s="300">
        <f t="shared" si="98"/>
        <v>92</v>
      </c>
      <c r="AC1019" s="300">
        <f t="shared" si="99"/>
        <v>0.55421686746987953</v>
      </c>
      <c r="AD1019" s="39">
        <v>14068.78</v>
      </c>
      <c r="AE1019" s="39" t="s">
        <v>109</v>
      </c>
      <c r="AF1019" s="39" t="s">
        <v>317</v>
      </c>
      <c r="AG1019" s="39" t="s">
        <v>317</v>
      </c>
      <c r="AH1019" s="39" t="s">
        <v>2762</v>
      </c>
      <c r="AI1019" s="39"/>
      <c r="AJ1019" s="39"/>
      <c r="AK1019" s="39" t="s">
        <v>41</v>
      </c>
      <c r="AL1019" s="39" t="s">
        <v>54</v>
      </c>
      <c r="AM1019" s="299">
        <f t="shared" ca="1" si="95"/>
        <v>1.0763888888905058</v>
      </c>
      <c r="AN1019" s="42"/>
      <c r="AO1019" s="57" t="s">
        <v>132</v>
      </c>
      <c r="AP1019" s="24" t="s">
        <v>2758</v>
      </c>
      <c r="AQ1019" s="57" t="s">
        <v>2844</v>
      </c>
      <c r="AR1019" s="29">
        <v>44897.5</v>
      </c>
      <c r="AS1019" s="61" t="s">
        <v>136</v>
      </c>
      <c r="AT1019" s="61" t="s">
        <v>225</v>
      </c>
      <c r="AU1019" s="63">
        <v>0.5</v>
      </c>
      <c r="AV1019" s="57">
        <v>1</v>
      </c>
      <c r="AW1019" s="61" t="s">
        <v>66</v>
      </c>
      <c r="AX1019" s="52"/>
      <c r="AY1019" s="52"/>
      <c r="AZ1019" s="52"/>
      <c r="BA1019" s="52"/>
    </row>
    <row r="1020" spans="1:53" x14ac:dyDescent="0.25">
      <c r="A1020" s="48">
        <v>8</v>
      </c>
      <c r="B1020" s="43">
        <v>44896.423611111109</v>
      </c>
      <c r="C1020" s="44">
        <v>0.48958333333333331</v>
      </c>
      <c r="D1020" s="44">
        <v>0.5</v>
      </c>
      <c r="E1020" s="44">
        <v>0.54861111111111105</v>
      </c>
      <c r="F1020" s="39" t="s">
        <v>171</v>
      </c>
      <c r="G1020" s="39" t="s">
        <v>173</v>
      </c>
      <c r="H1020" s="39" t="s">
        <v>195</v>
      </c>
      <c r="I1020" s="39" t="s">
        <v>195</v>
      </c>
      <c r="J1020" s="39" t="s">
        <v>37</v>
      </c>
      <c r="K1020" s="39" t="s">
        <v>180</v>
      </c>
      <c r="L1020" s="39" t="s">
        <v>209</v>
      </c>
      <c r="M1020" s="39" t="s">
        <v>2758</v>
      </c>
      <c r="N1020" s="39" t="s">
        <v>42</v>
      </c>
      <c r="O1020" s="39" t="s">
        <v>2761</v>
      </c>
      <c r="P1020" s="39">
        <v>2101085869</v>
      </c>
      <c r="Q1020" s="303">
        <f t="shared" si="96"/>
        <v>0</v>
      </c>
      <c r="R1020" s="303">
        <f t="shared" si="97"/>
        <v>0</v>
      </c>
      <c r="S1020" s="39">
        <v>0</v>
      </c>
      <c r="T1020" s="39">
        <v>0</v>
      </c>
      <c r="U1020" s="39">
        <v>0</v>
      </c>
      <c r="V1020" s="39">
        <v>0</v>
      </c>
      <c r="W1020" s="39">
        <v>0</v>
      </c>
      <c r="X1020" s="39">
        <v>115</v>
      </c>
      <c r="Y1020" s="39">
        <v>80</v>
      </c>
      <c r="Z1020" s="39">
        <v>131</v>
      </c>
      <c r="AA1020" s="39">
        <v>1</v>
      </c>
      <c r="AB1020" s="300">
        <f t="shared" si="98"/>
        <v>200.86666666666667</v>
      </c>
      <c r="AC1020" s="300">
        <f t="shared" si="99"/>
        <v>1.2100401606425704</v>
      </c>
      <c r="AD1020" s="39">
        <v>0</v>
      </c>
      <c r="AE1020" s="39" t="s">
        <v>109</v>
      </c>
      <c r="AF1020" s="39" t="s">
        <v>317</v>
      </c>
      <c r="AG1020" s="39" t="s">
        <v>317</v>
      </c>
      <c r="AH1020" s="39">
        <v>0</v>
      </c>
      <c r="AI1020" s="39"/>
      <c r="AJ1020" s="39"/>
      <c r="AK1020" s="39" t="s">
        <v>41</v>
      </c>
      <c r="AL1020" s="39" t="s">
        <v>54</v>
      </c>
      <c r="AM1020" s="299">
        <f t="shared" ca="1" si="95"/>
        <v>1.0763888888905058</v>
      </c>
      <c r="AN1020" s="42"/>
      <c r="AO1020" s="57" t="s">
        <v>132</v>
      </c>
      <c r="AP1020" s="24" t="s">
        <v>2758</v>
      </c>
      <c r="AQ1020" s="57" t="s">
        <v>2844</v>
      </c>
      <c r="AR1020" s="29">
        <v>44897.5</v>
      </c>
      <c r="AS1020" s="61" t="s">
        <v>136</v>
      </c>
      <c r="AT1020" s="61" t="s">
        <v>225</v>
      </c>
      <c r="AU1020" s="63">
        <v>0.5</v>
      </c>
      <c r="AV1020" s="57">
        <v>1</v>
      </c>
      <c r="AW1020" s="61" t="s">
        <v>66</v>
      </c>
      <c r="AX1020" s="52"/>
      <c r="AY1020" s="52"/>
      <c r="AZ1020" s="52"/>
      <c r="BA1020" s="52"/>
    </row>
    <row r="1021" spans="1:53" x14ac:dyDescent="0.25">
      <c r="A1021" s="48">
        <v>9</v>
      </c>
      <c r="B1021" s="43">
        <v>44896.475694444445</v>
      </c>
      <c r="C1021" s="44">
        <v>0.47916666666666669</v>
      </c>
      <c r="D1021" s="44">
        <v>0.61458333333333337</v>
      </c>
      <c r="E1021" s="44">
        <v>0.61805555555555558</v>
      </c>
      <c r="F1021" s="39" t="s">
        <v>171</v>
      </c>
      <c r="G1021" s="39" t="s">
        <v>2763</v>
      </c>
      <c r="H1021" s="39" t="s">
        <v>2313</v>
      </c>
      <c r="I1021" s="39" t="s">
        <v>2313</v>
      </c>
      <c r="J1021" s="39" t="s">
        <v>37</v>
      </c>
      <c r="K1021" s="39" t="s">
        <v>180</v>
      </c>
      <c r="L1021" s="39" t="s">
        <v>206</v>
      </c>
      <c r="M1021" s="39" t="s">
        <v>2764</v>
      </c>
      <c r="N1021" s="39" t="s">
        <v>64</v>
      </c>
      <c r="O1021" s="39" t="s">
        <v>2765</v>
      </c>
      <c r="P1021" s="39" t="s">
        <v>2766</v>
      </c>
      <c r="Q1021" s="303">
        <f t="shared" si="96"/>
        <v>98</v>
      </c>
      <c r="R1021" s="303">
        <f t="shared" si="97"/>
        <v>1232</v>
      </c>
      <c r="S1021" s="39">
        <v>96</v>
      </c>
      <c r="T1021" s="39">
        <v>941</v>
      </c>
      <c r="U1021" s="39">
        <v>2</v>
      </c>
      <c r="V1021" s="39">
        <v>291</v>
      </c>
      <c r="W1021" s="39">
        <v>1241.23</v>
      </c>
      <c r="X1021" s="39">
        <v>120</v>
      </c>
      <c r="Y1021" s="39">
        <v>77</v>
      </c>
      <c r="Z1021" s="39">
        <v>85</v>
      </c>
      <c r="AA1021" s="39">
        <v>2</v>
      </c>
      <c r="AB1021" s="300">
        <f t="shared" si="98"/>
        <v>261.8</v>
      </c>
      <c r="AC1021" s="300">
        <f t="shared" si="99"/>
        <v>1.5771084337349399</v>
      </c>
      <c r="AD1021" s="39" t="s">
        <v>48</v>
      </c>
      <c r="AE1021" s="39" t="s">
        <v>48</v>
      </c>
      <c r="AF1021" s="39" t="s">
        <v>317</v>
      </c>
      <c r="AG1021" s="39" t="s">
        <v>317</v>
      </c>
      <c r="AH1021" s="39" t="s">
        <v>2767</v>
      </c>
      <c r="AI1021" s="39"/>
      <c r="AJ1021" s="39"/>
      <c r="AK1021" s="39" t="s">
        <v>37</v>
      </c>
      <c r="AL1021" s="39" t="s">
        <v>49</v>
      </c>
      <c r="AM1021" s="299">
        <f t="shared" ca="1" si="95"/>
        <v>0.24305555555474712</v>
      </c>
      <c r="AN1021" s="42"/>
      <c r="AO1021" s="57" t="s">
        <v>2333</v>
      </c>
      <c r="AP1021" s="57" t="s">
        <v>2764</v>
      </c>
      <c r="AQ1021" s="57" t="s">
        <v>2817</v>
      </c>
      <c r="AR1021" s="29">
        <v>44896.71875</v>
      </c>
      <c r="AS1021" s="61" t="s">
        <v>136</v>
      </c>
      <c r="AT1021" s="61" t="s">
        <v>225</v>
      </c>
      <c r="AU1021" s="63">
        <v>0.71875</v>
      </c>
      <c r="AV1021" s="57">
        <v>1</v>
      </c>
      <c r="AW1021" s="61" t="s">
        <v>66</v>
      </c>
      <c r="AX1021" s="52"/>
      <c r="AY1021" s="52"/>
      <c r="AZ1021" s="52"/>
      <c r="BA1021" s="52"/>
    </row>
    <row r="1022" spans="1:53" x14ac:dyDescent="0.25">
      <c r="A1022" s="73">
        <v>9</v>
      </c>
      <c r="B1022" s="43">
        <v>44896.475694444445</v>
      </c>
      <c r="C1022" s="44">
        <v>0.47916666666666669</v>
      </c>
      <c r="D1022" s="44">
        <v>0.61458333333333337</v>
      </c>
      <c r="E1022" s="44">
        <v>0.61805555555555558</v>
      </c>
      <c r="F1022" s="39" t="s">
        <v>171</v>
      </c>
      <c r="G1022" s="39" t="s">
        <v>2763</v>
      </c>
      <c r="H1022" s="39" t="s">
        <v>2313</v>
      </c>
      <c r="I1022" s="39" t="s">
        <v>2313</v>
      </c>
      <c r="J1022" s="39" t="s">
        <v>37</v>
      </c>
      <c r="K1022" s="39" t="s">
        <v>180</v>
      </c>
      <c r="L1022" s="39" t="s">
        <v>206</v>
      </c>
      <c r="M1022" s="39" t="s">
        <v>2764</v>
      </c>
      <c r="N1022" s="39" t="s">
        <v>64</v>
      </c>
      <c r="O1022" s="39" t="s">
        <v>2765</v>
      </c>
      <c r="P1022" s="39" t="s">
        <v>2766</v>
      </c>
      <c r="Q1022" s="303">
        <f t="shared" si="96"/>
        <v>0</v>
      </c>
      <c r="R1022" s="303">
        <f t="shared" si="97"/>
        <v>0</v>
      </c>
      <c r="S1022" s="39">
        <v>0</v>
      </c>
      <c r="T1022" s="39">
        <v>0</v>
      </c>
      <c r="U1022" s="39">
        <v>0</v>
      </c>
      <c r="V1022" s="39">
        <v>0</v>
      </c>
      <c r="W1022" s="39">
        <v>0</v>
      </c>
      <c r="X1022" s="39">
        <v>36</v>
      </c>
      <c r="Y1022" s="39">
        <v>27</v>
      </c>
      <c r="Z1022" s="39">
        <v>16</v>
      </c>
      <c r="AA1022" s="39">
        <v>31</v>
      </c>
      <c r="AB1022" s="300">
        <f t="shared" si="98"/>
        <v>80.352000000000004</v>
      </c>
      <c r="AC1022" s="300">
        <f t="shared" si="99"/>
        <v>0.48404819277108435</v>
      </c>
      <c r="AD1022" s="39">
        <v>0</v>
      </c>
      <c r="AE1022" s="39">
        <v>0</v>
      </c>
      <c r="AF1022" s="39" t="s">
        <v>317</v>
      </c>
      <c r="AG1022" s="39" t="s">
        <v>317</v>
      </c>
      <c r="AH1022" s="39" t="s">
        <v>2767</v>
      </c>
      <c r="AI1022" s="39"/>
      <c r="AJ1022" s="39"/>
      <c r="AK1022" s="39" t="s">
        <v>48</v>
      </c>
      <c r="AL1022" s="39" t="s">
        <v>47</v>
      </c>
      <c r="AM1022" s="299">
        <f t="shared" ca="1" si="95"/>
        <v>0.24305555555474712</v>
      </c>
      <c r="AN1022" s="42"/>
      <c r="AO1022" s="57" t="s">
        <v>2333</v>
      </c>
      <c r="AP1022" s="57" t="s">
        <v>2764</v>
      </c>
      <c r="AQ1022" s="57" t="s">
        <v>2817</v>
      </c>
      <c r="AR1022" s="29">
        <v>44896.71875</v>
      </c>
      <c r="AS1022" s="61" t="s">
        <v>136</v>
      </c>
      <c r="AT1022" s="61" t="s">
        <v>225</v>
      </c>
      <c r="AU1022" s="63">
        <v>0.71875</v>
      </c>
      <c r="AV1022" s="57">
        <v>1</v>
      </c>
      <c r="AW1022" s="61" t="s">
        <v>66</v>
      </c>
      <c r="AX1022" s="52"/>
      <c r="AY1022" s="52"/>
      <c r="AZ1022" s="52"/>
      <c r="BA1022" s="52"/>
    </row>
    <row r="1023" spans="1:53" x14ac:dyDescent="0.25">
      <c r="A1023" s="73">
        <v>9</v>
      </c>
      <c r="B1023" s="43">
        <v>44896.475694444445</v>
      </c>
      <c r="C1023" s="44">
        <v>0.47916666666666669</v>
      </c>
      <c r="D1023" s="44">
        <v>0.61458333333333337</v>
      </c>
      <c r="E1023" s="44">
        <v>0.61805555555555558</v>
      </c>
      <c r="F1023" s="39" t="s">
        <v>171</v>
      </c>
      <c r="G1023" s="39" t="s">
        <v>2763</v>
      </c>
      <c r="H1023" s="39" t="s">
        <v>2313</v>
      </c>
      <c r="I1023" s="39" t="s">
        <v>2313</v>
      </c>
      <c r="J1023" s="39" t="s">
        <v>37</v>
      </c>
      <c r="K1023" s="39" t="s">
        <v>180</v>
      </c>
      <c r="L1023" s="39" t="s">
        <v>206</v>
      </c>
      <c r="M1023" s="39" t="s">
        <v>2764</v>
      </c>
      <c r="N1023" s="39" t="s">
        <v>64</v>
      </c>
      <c r="O1023" s="39" t="s">
        <v>2765</v>
      </c>
      <c r="P1023" s="39" t="s">
        <v>2766</v>
      </c>
      <c r="Q1023" s="303">
        <f t="shared" si="96"/>
        <v>0</v>
      </c>
      <c r="R1023" s="303">
        <f t="shared" si="97"/>
        <v>0</v>
      </c>
      <c r="S1023" s="39">
        <v>0</v>
      </c>
      <c r="T1023" s="39">
        <v>0</v>
      </c>
      <c r="U1023" s="39">
        <v>0</v>
      </c>
      <c r="V1023" s="39">
        <v>0</v>
      </c>
      <c r="W1023" s="39">
        <v>0</v>
      </c>
      <c r="X1023" s="39">
        <v>54</v>
      </c>
      <c r="Y1023" s="39">
        <v>37</v>
      </c>
      <c r="Z1023" s="39">
        <v>25</v>
      </c>
      <c r="AA1023" s="39">
        <v>53</v>
      </c>
      <c r="AB1023" s="300">
        <f t="shared" si="98"/>
        <v>441.22500000000002</v>
      </c>
      <c r="AC1023" s="300">
        <f t="shared" si="99"/>
        <v>2.6579819277108436</v>
      </c>
      <c r="AD1023" s="39">
        <v>0</v>
      </c>
      <c r="AE1023" s="39">
        <v>0</v>
      </c>
      <c r="AF1023" s="39" t="s">
        <v>317</v>
      </c>
      <c r="AG1023" s="39" t="s">
        <v>317</v>
      </c>
      <c r="AH1023" s="39" t="s">
        <v>2767</v>
      </c>
      <c r="AI1023" s="39"/>
      <c r="AJ1023" s="39"/>
      <c r="AK1023" s="39" t="s">
        <v>48</v>
      </c>
      <c r="AL1023" s="39" t="s">
        <v>47</v>
      </c>
      <c r="AM1023" s="299">
        <f t="shared" ca="1" si="95"/>
        <v>0.24305555555474712</v>
      </c>
      <c r="AN1023" s="42"/>
      <c r="AO1023" s="57" t="s">
        <v>2333</v>
      </c>
      <c r="AP1023" s="57" t="s">
        <v>2764</v>
      </c>
      <c r="AQ1023" s="57" t="s">
        <v>2817</v>
      </c>
      <c r="AR1023" s="29">
        <v>44896.71875</v>
      </c>
      <c r="AS1023" s="61" t="s">
        <v>136</v>
      </c>
      <c r="AT1023" s="61" t="s">
        <v>225</v>
      </c>
      <c r="AU1023" s="63">
        <v>0.71875</v>
      </c>
      <c r="AV1023" s="57">
        <v>1</v>
      </c>
      <c r="AW1023" s="61" t="s">
        <v>66</v>
      </c>
      <c r="AX1023" s="52"/>
      <c r="AY1023" s="52"/>
      <c r="AZ1023" s="52"/>
      <c r="BA1023" s="52"/>
    </row>
    <row r="1024" spans="1:53" x14ac:dyDescent="0.25">
      <c r="A1024" s="73">
        <v>9</v>
      </c>
      <c r="B1024" s="43">
        <v>44896.475694444445</v>
      </c>
      <c r="C1024" s="44">
        <v>0.47916666666666669</v>
      </c>
      <c r="D1024" s="44">
        <v>0.61458333333333337</v>
      </c>
      <c r="E1024" s="44">
        <v>0.61805555555555558</v>
      </c>
      <c r="F1024" s="39" t="s">
        <v>171</v>
      </c>
      <c r="G1024" s="39" t="s">
        <v>2763</v>
      </c>
      <c r="H1024" s="39" t="s">
        <v>2313</v>
      </c>
      <c r="I1024" s="39" t="s">
        <v>2313</v>
      </c>
      <c r="J1024" s="39" t="s">
        <v>37</v>
      </c>
      <c r="K1024" s="39" t="s">
        <v>180</v>
      </c>
      <c r="L1024" s="39" t="s">
        <v>206</v>
      </c>
      <c r="M1024" s="39" t="s">
        <v>2764</v>
      </c>
      <c r="N1024" s="39" t="s">
        <v>64</v>
      </c>
      <c r="O1024" s="39" t="s">
        <v>2765</v>
      </c>
      <c r="P1024" s="39" t="s">
        <v>2766</v>
      </c>
      <c r="Q1024" s="303">
        <f t="shared" si="96"/>
        <v>0</v>
      </c>
      <c r="R1024" s="303">
        <f t="shared" si="97"/>
        <v>0</v>
      </c>
      <c r="S1024" s="39">
        <v>0</v>
      </c>
      <c r="T1024" s="39">
        <v>0</v>
      </c>
      <c r="U1024" s="39">
        <v>0</v>
      </c>
      <c r="V1024" s="39">
        <v>0</v>
      </c>
      <c r="W1024" s="39">
        <v>0</v>
      </c>
      <c r="X1024" s="39">
        <v>54</v>
      </c>
      <c r="Y1024" s="39">
        <v>37</v>
      </c>
      <c r="Z1024" s="39">
        <v>16</v>
      </c>
      <c r="AA1024" s="39">
        <v>11</v>
      </c>
      <c r="AB1024" s="300">
        <f t="shared" si="98"/>
        <v>58.607999999999997</v>
      </c>
      <c r="AC1024" s="300">
        <f t="shared" si="99"/>
        <v>0.35306024096385541</v>
      </c>
      <c r="AD1024" s="39">
        <v>0</v>
      </c>
      <c r="AE1024" s="39">
        <v>0</v>
      </c>
      <c r="AF1024" s="39" t="s">
        <v>317</v>
      </c>
      <c r="AG1024" s="39" t="s">
        <v>317</v>
      </c>
      <c r="AH1024" s="39" t="s">
        <v>2767</v>
      </c>
      <c r="AI1024" s="39"/>
      <c r="AJ1024" s="39"/>
      <c r="AK1024" s="39" t="s">
        <v>48</v>
      </c>
      <c r="AL1024" s="39" t="s">
        <v>47</v>
      </c>
      <c r="AM1024" s="299">
        <f t="shared" ca="1" si="95"/>
        <v>0.24305555555474712</v>
      </c>
      <c r="AN1024" s="42"/>
      <c r="AO1024" s="57" t="s">
        <v>2333</v>
      </c>
      <c r="AP1024" s="57" t="s">
        <v>2764</v>
      </c>
      <c r="AQ1024" s="57" t="s">
        <v>2817</v>
      </c>
      <c r="AR1024" s="29">
        <v>44896.71875</v>
      </c>
      <c r="AS1024" s="61" t="s">
        <v>136</v>
      </c>
      <c r="AT1024" s="61" t="s">
        <v>225</v>
      </c>
      <c r="AU1024" s="63">
        <v>0.71875</v>
      </c>
      <c r="AV1024" s="57">
        <v>1</v>
      </c>
      <c r="AW1024" s="61" t="s">
        <v>66</v>
      </c>
      <c r="AX1024" s="52"/>
      <c r="AY1024" s="52"/>
      <c r="AZ1024" s="52"/>
      <c r="BA1024" s="52"/>
    </row>
    <row r="1025" spans="1:53" x14ac:dyDescent="0.25">
      <c r="A1025" s="73">
        <v>9</v>
      </c>
      <c r="B1025" s="43">
        <v>44896.475694444445</v>
      </c>
      <c r="C1025" s="44">
        <v>0.47916666666666669</v>
      </c>
      <c r="D1025" s="44">
        <v>0.61458333333333337</v>
      </c>
      <c r="E1025" s="44">
        <v>0.61805555555555558</v>
      </c>
      <c r="F1025" s="39" t="s">
        <v>171</v>
      </c>
      <c r="G1025" s="39" t="s">
        <v>2763</v>
      </c>
      <c r="H1025" s="39" t="s">
        <v>2313</v>
      </c>
      <c r="I1025" s="39" t="s">
        <v>2313</v>
      </c>
      <c r="J1025" s="39" t="s">
        <v>37</v>
      </c>
      <c r="K1025" s="39" t="s">
        <v>180</v>
      </c>
      <c r="L1025" s="39" t="s">
        <v>206</v>
      </c>
      <c r="M1025" s="39" t="s">
        <v>2764</v>
      </c>
      <c r="N1025" s="39" t="s">
        <v>64</v>
      </c>
      <c r="O1025" s="39" t="s">
        <v>2765</v>
      </c>
      <c r="P1025" s="39" t="s">
        <v>2766</v>
      </c>
      <c r="Q1025" s="303">
        <f t="shared" si="96"/>
        <v>0</v>
      </c>
      <c r="R1025" s="303">
        <f t="shared" si="97"/>
        <v>0</v>
      </c>
      <c r="S1025" s="39">
        <v>0</v>
      </c>
      <c r="T1025" s="39">
        <v>0</v>
      </c>
      <c r="U1025" s="39">
        <v>0</v>
      </c>
      <c r="V1025" s="39">
        <v>0</v>
      </c>
      <c r="W1025" s="39">
        <v>0</v>
      </c>
      <c r="X1025" s="39">
        <v>107</v>
      </c>
      <c r="Y1025" s="39">
        <v>37</v>
      </c>
      <c r="Z1025" s="39">
        <v>17</v>
      </c>
      <c r="AA1025" s="39">
        <v>1</v>
      </c>
      <c r="AB1025" s="300">
        <f t="shared" si="98"/>
        <v>11.217166666666667</v>
      </c>
      <c r="AC1025" s="300">
        <f t="shared" si="99"/>
        <v>6.7573293172690771E-2</v>
      </c>
      <c r="AD1025" s="39">
        <v>0</v>
      </c>
      <c r="AE1025" s="39">
        <v>0</v>
      </c>
      <c r="AF1025" s="39" t="s">
        <v>317</v>
      </c>
      <c r="AG1025" s="39" t="s">
        <v>317</v>
      </c>
      <c r="AH1025" s="39" t="s">
        <v>2767</v>
      </c>
      <c r="AI1025" s="39"/>
      <c r="AJ1025" s="39"/>
      <c r="AK1025" s="39" t="s">
        <v>48</v>
      </c>
      <c r="AL1025" s="39" t="s">
        <v>47</v>
      </c>
      <c r="AM1025" s="299">
        <f t="shared" ca="1" si="95"/>
        <v>0.24305555555474712</v>
      </c>
      <c r="AN1025" s="42"/>
      <c r="AO1025" s="57" t="s">
        <v>2333</v>
      </c>
      <c r="AP1025" s="57" t="s">
        <v>2764</v>
      </c>
      <c r="AQ1025" s="57" t="s">
        <v>2817</v>
      </c>
      <c r="AR1025" s="29">
        <v>44896.71875</v>
      </c>
      <c r="AS1025" s="61" t="s">
        <v>136</v>
      </c>
      <c r="AT1025" s="61" t="s">
        <v>225</v>
      </c>
      <c r="AU1025" s="63">
        <v>0.71875</v>
      </c>
      <c r="AV1025" s="57">
        <v>1</v>
      </c>
      <c r="AW1025" s="61" t="s">
        <v>66</v>
      </c>
      <c r="AX1025" s="52"/>
      <c r="AY1025" s="52"/>
      <c r="AZ1025" s="52"/>
      <c r="BA1025" s="52"/>
    </row>
    <row r="1026" spans="1:53" x14ac:dyDescent="0.25">
      <c r="A1026" s="48">
        <v>10</v>
      </c>
      <c r="B1026" s="43">
        <v>44896.600694444445</v>
      </c>
      <c r="C1026" s="44">
        <v>0.60416666666666663</v>
      </c>
      <c r="D1026" s="44">
        <v>0.60763888888888895</v>
      </c>
      <c r="E1026" s="44">
        <v>0.62847222222222221</v>
      </c>
      <c r="F1026" s="39" t="s">
        <v>169</v>
      </c>
      <c r="G1026" s="39" t="s">
        <v>2768</v>
      </c>
      <c r="H1026" s="39" t="s">
        <v>185</v>
      </c>
      <c r="I1026" s="39" t="s">
        <v>338</v>
      </c>
      <c r="J1026" s="39" t="s">
        <v>37</v>
      </c>
      <c r="K1026" s="39" t="s">
        <v>82</v>
      </c>
      <c r="L1026" s="39" t="s">
        <v>226</v>
      </c>
      <c r="M1026" s="39" t="s">
        <v>2769</v>
      </c>
      <c r="N1026" s="39" t="s">
        <v>175</v>
      </c>
      <c r="O1026" s="103">
        <v>508002900</v>
      </c>
      <c r="P1026" s="39" t="s">
        <v>2770</v>
      </c>
      <c r="Q1026" s="303">
        <f t="shared" si="96"/>
        <v>4</v>
      </c>
      <c r="R1026" s="303">
        <f t="shared" si="97"/>
        <v>616</v>
      </c>
      <c r="S1026" s="39">
        <v>0</v>
      </c>
      <c r="T1026" s="39">
        <v>0</v>
      </c>
      <c r="U1026" s="39">
        <v>4</v>
      </c>
      <c r="V1026" s="39">
        <v>616</v>
      </c>
      <c r="W1026" s="39">
        <v>618.1</v>
      </c>
      <c r="X1026" s="39">
        <v>104</v>
      </c>
      <c r="Y1026" s="39">
        <v>81</v>
      </c>
      <c r="Z1026" s="39">
        <v>92</v>
      </c>
      <c r="AA1026" s="39">
        <v>3</v>
      </c>
      <c r="AB1026" s="300">
        <f t="shared" si="98"/>
        <v>387.50400000000002</v>
      </c>
      <c r="AC1026" s="300">
        <f t="shared" si="99"/>
        <v>2.3343614457831325</v>
      </c>
      <c r="AD1026" s="39">
        <v>25588.799999999999</v>
      </c>
      <c r="AE1026" s="39" t="s">
        <v>109</v>
      </c>
      <c r="AF1026" s="39">
        <v>5853084</v>
      </c>
      <c r="AG1026" s="39" t="s">
        <v>2771</v>
      </c>
      <c r="AH1026" s="39" t="s">
        <v>2772</v>
      </c>
      <c r="AI1026" s="39"/>
      <c r="AJ1026" s="39"/>
      <c r="AK1026" s="39" t="s">
        <v>37</v>
      </c>
      <c r="AL1026" s="39" t="s">
        <v>39</v>
      </c>
      <c r="AM1026" s="299">
        <f t="shared" ca="1" si="95"/>
        <v>1.0347222222189885</v>
      </c>
      <c r="AN1026" s="42"/>
      <c r="AO1026" s="57" t="s">
        <v>181</v>
      </c>
      <c r="AP1026" s="24" t="s">
        <v>2769</v>
      </c>
      <c r="AQ1026" s="57" t="s">
        <v>2889</v>
      </c>
      <c r="AR1026" s="29">
        <v>44897.635416666664</v>
      </c>
      <c r="AS1026" s="57" t="s">
        <v>117</v>
      </c>
      <c r="AT1026" s="61" t="s">
        <v>225</v>
      </c>
      <c r="AU1026" s="63">
        <v>0.63541666666666663</v>
      </c>
      <c r="AV1026" s="57">
        <v>2</v>
      </c>
      <c r="AW1026" s="61" t="s">
        <v>66</v>
      </c>
      <c r="AX1026" s="52"/>
      <c r="AY1026" s="52"/>
      <c r="AZ1026" s="52"/>
      <c r="BA1026" s="52"/>
    </row>
    <row r="1027" spans="1:53" x14ac:dyDescent="0.25">
      <c r="A1027" s="48">
        <v>10</v>
      </c>
      <c r="B1027" s="43">
        <v>44896.600694444445</v>
      </c>
      <c r="C1027" s="44">
        <v>0.60416666666666663</v>
      </c>
      <c r="D1027" s="44">
        <v>0.60763888888888895</v>
      </c>
      <c r="E1027" s="44">
        <v>0.62847222222222221</v>
      </c>
      <c r="F1027" s="39" t="s">
        <v>169</v>
      </c>
      <c r="G1027" s="39" t="s">
        <v>2768</v>
      </c>
      <c r="H1027" s="39" t="s">
        <v>185</v>
      </c>
      <c r="I1027" s="39" t="s">
        <v>338</v>
      </c>
      <c r="J1027" s="39" t="s">
        <v>37</v>
      </c>
      <c r="K1027" s="39" t="s">
        <v>82</v>
      </c>
      <c r="L1027" s="39" t="s">
        <v>226</v>
      </c>
      <c r="M1027" s="39" t="s">
        <v>2769</v>
      </c>
      <c r="N1027" s="39" t="s">
        <v>175</v>
      </c>
      <c r="O1027" s="103">
        <v>508002900</v>
      </c>
      <c r="P1027" s="39" t="s">
        <v>2770</v>
      </c>
      <c r="Q1027" s="303">
        <f t="shared" si="96"/>
        <v>0</v>
      </c>
      <c r="R1027" s="303">
        <f t="shared" si="97"/>
        <v>0</v>
      </c>
      <c r="S1027" s="39">
        <v>0</v>
      </c>
      <c r="T1027" s="39">
        <v>0</v>
      </c>
      <c r="U1027" s="39">
        <v>0</v>
      </c>
      <c r="V1027" s="39">
        <v>0</v>
      </c>
      <c r="W1027" s="39">
        <v>0</v>
      </c>
      <c r="X1027" s="39">
        <v>104</v>
      </c>
      <c r="Y1027" s="39">
        <v>81</v>
      </c>
      <c r="Z1027" s="39">
        <v>71</v>
      </c>
      <c r="AA1027" s="39">
        <v>1</v>
      </c>
      <c r="AB1027" s="300">
        <f t="shared" si="98"/>
        <v>99.683999999999997</v>
      </c>
      <c r="AC1027" s="300">
        <f t="shared" si="99"/>
        <v>0.60050602409638554</v>
      </c>
      <c r="AD1027" s="39">
        <v>0</v>
      </c>
      <c r="AE1027" s="39">
        <v>0</v>
      </c>
      <c r="AF1027" s="39">
        <v>5853084</v>
      </c>
      <c r="AG1027" s="39" t="s">
        <v>2771</v>
      </c>
      <c r="AH1027" s="39" t="s">
        <v>2772</v>
      </c>
      <c r="AI1027" s="39"/>
      <c r="AJ1027" s="39"/>
      <c r="AK1027" s="39" t="s">
        <v>37</v>
      </c>
      <c r="AL1027" s="39" t="s">
        <v>39</v>
      </c>
      <c r="AM1027" s="299">
        <f t="shared" ca="1" si="95"/>
        <v>1.0347222222189885</v>
      </c>
      <c r="AN1027" s="42"/>
      <c r="AO1027" s="57" t="s">
        <v>181</v>
      </c>
      <c r="AP1027" s="24" t="s">
        <v>2769</v>
      </c>
      <c r="AQ1027" s="57" t="s">
        <v>2889</v>
      </c>
      <c r="AR1027" s="29">
        <v>44897.635416666664</v>
      </c>
      <c r="AS1027" s="57" t="s">
        <v>117</v>
      </c>
      <c r="AT1027" s="61" t="s">
        <v>225</v>
      </c>
      <c r="AU1027" s="63">
        <v>0.63541666666666663</v>
      </c>
      <c r="AV1027" s="57">
        <v>2</v>
      </c>
      <c r="AW1027" s="61" t="s">
        <v>66</v>
      </c>
      <c r="AX1027" s="52"/>
      <c r="AY1027" s="52"/>
      <c r="AZ1027" s="52"/>
      <c r="BA1027" s="52"/>
    </row>
    <row r="1028" spans="1:53" x14ac:dyDescent="0.25">
      <c r="A1028" s="48">
        <v>11</v>
      </c>
      <c r="B1028" s="43">
        <v>44896.618055555555</v>
      </c>
      <c r="C1028" s="44">
        <v>0.61805555555555558</v>
      </c>
      <c r="D1028" s="44">
        <v>0.62847222222222221</v>
      </c>
      <c r="E1028" s="44">
        <v>0.66319444444444442</v>
      </c>
      <c r="F1028" s="39" t="s">
        <v>170</v>
      </c>
      <c r="G1028" s="39" t="s">
        <v>2780</v>
      </c>
      <c r="H1028" s="60" t="s">
        <v>332</v>
      </c>
      <c r="I1028" s="60" t="s">
        <v>429</v>
      </c>
      <c r="J1028" s="39" t="s">
        <v>37</v>
      </c>
      <c r="K1028" s="60" t="s">
        <v>63</v>
      </c>
      <c r="L1028" s="65" t="s">
        <v>206</v>
      </c>
      <c r="M1028" s="39" t="s">
        <v>2781</v>
      </c>
      <c r="N1028" s="39" t="s">
        <v>42</v>
      </c>
      <c r="O1028" s="39">
        <v>2053092370</v>
      </c>
      <c r="P1028" s="39">
        <v>14493</v>
      </c>
      <c r="Q1028" s="303">
        <f t="shared" si="96"/>
        <v>1</v>
      </c>
      <c r="R1028" s="303">
        <f t="shared" si="97"/>
        <v>38</v>
      </c>
      <c r="S1028" s="39">
        <v>0</v>
      </c>
      <c r="T1028" s="39">
        <v>0</v>
      </c>
      <c r="U1028" s="39">
        <v>1</v>
      </c>
      <c r="V1028" s="39">
        <v>38</v>
      </c>
      <c r="W1028" s="39">
        <v>38</v>
      </c>
      <c r="X1028" s="39">
        <v>47</v>
      </c>
      <c r="Y1028" s="39">
        <v>43</v>
      </c>
      <c r="Z1028" s="39">
        <v>37</v>
      </c>
      <c r="AA1028" s="39">
        <v>1</v>
      </c>
      <c r="AB1028" s="300">
        <f t="shared" si="98"/>
        <v>12.462833333333334</v>
      </c>
      <c r="AC1028" s="300">
        <f t="shared" si="99"/>
        <v>7.507730923694779E-2</v>
      </c>
      <c r="AD1028" s="39">
        <v>77.44</v>
      </c>
      <c r="AE1028" s="39" t="s">
        <v>109</v>
      </c>
      <c r="AF1028" s="39" t="s">
        <v>317</v>
      </c>
      <c r="AG1028" s="39" t="s">
        <v>317</v>
      </c>
      <c r="AH1028" s="39" t="s">
        <v>2782</v>
      </c>
      <c r="AI1028" s="39"/>
      <c r="AJ1028" s="39"/>
      <c r="AK1028" s="39" t="s">
        <v>37</v>
      </c>
      <c r="AL1028" s="39" t="s">
        <v>51</v>
      </c>
      <c r="AM1028" s="299">
        <f t="shared" ca="1" si="95"/>
        <v>0.83680555555474712</v>
      </c>
      <c r="AN1028" s="50"/>
      <c r="AO1028" s="57" t="s">
        <v>120</v>
      </c>
      <c r="AP1028" s="57" t="s">
        <v>2781</v>
      </c>
      <c r="AQ1028" s="57" t="s">
        <v>2843</v>
      </c>
      <c r="AR1028" s="29">
        <v>44897.454861111109</v>
      </c>
      <c r="AS1028" s="57" t="s">
        <v>173</v>
      </c>
      <c r="AT1028" s="61" t="s">
        <v>225</v>
      </c>
      <c r="AU1028" s="63">
        <v>0.4548611111111111</v>
      </c>
      <c r="AV1028" s="61">
        <v>1</v>
      </c>
      <c r="AW1028" s="61" t="s">
        <v>66</v>
      </c>
      <c r="AX1028" s="52"/>
      <c r="AY1028" s="52"/>
      <c r="AZ1028" s="52"/>
      <c r="BA1028" s="52"/>
    </row>
    <row r="1029" spans="1:53" x14ac:dyDescent="0.25">
      <c r="A1029" s="48">
        <v>12</v>
      </c>
      <c r="B1029" s="43">
        <v>44896.618055555555</v>
      </c>
      <c r="C1029" s="44">
        <v>0.61805555555555558</v>
      </c>
      <c r="D1029" s="44">
        <v>0.62847222222222221</v>
      </c>
      <c r="E1029" s="44">
        <v>0.66319444444444442</v>
      </c>
      <c r="F1029" s="39" t="s">
        <v>170</v>
      </c>
      <c r="G1029" s="39" t="s">
        <v>2780</v>
      </c>
      <c r="H1029" s="60" t="s">
        <v>332</v>
      </c>
      <c r="I1029" s="60" t="s">
        <v>429</v>
      </c>
      <c r="J1029" s="39" t="s">
        <v>37</v>
      </c>
      <c r="K1029" s="60" t="s">
        <v>63</v>
      </c>
      <c r="L1029" s="65" t="s">
        <v>206</v>
      </c>
      <c r="M1029" s="37" t="s">
        <v>2781</v>
      </c>
      <c r="N1029" s="39" t="s">
        <v>42</v>
      </c>
      <c r="O1029" s="37">
        <v>2053092371</v>
      </c>
      <c r="P1029" s="37" t="s">
        <v>2783</v>
      </c>
      <c r="Q1029" s="303">
        <f t="shared" si="96"/>
        <v>2</v>
      </c>
      <c r="R1029" s="303">
        <f t="shared" si="97"/>
        <v>151</v>
      </c>
      <c r="S1029" s="37">
        <v>0</v>
      </c>
      <c r="T1029" s="37">
        <v>0</v>
      </c>
      <c r="U1029" s="37">
        <v>2</v>
      </c>
      <c r="V1029" s="37">
        <f>34+117</f>
        <v>151</v>
      </c>
      <c r="W1029" s="37">
        <v>149</v>
      </c>
      <c r="X1029" s="37">
        <v>51</v>
      </c>
      <c r="Y1029" s="37">
        <v>40</v>
      </c>
      <c r="Z1029" s="37">
        <v>40</v>
      </c>
      <c r="AA1029" s="37">
        <v>1</v>
      </c>
      <c r="AB1029" s="300">
        <f t="shared" si="98"/>
        <v>13.6</v>
      </c>
      <c r="AC1029" s="300">
        <f t="shared" si="99"/>
        <v>8.1927710843373497E-2</v>
      </c>
      <c r="AD1029" s="37">
        <v>938.92</v>
      </c>
      <c r="AE1029" s="39" t="s">
        <v>109</v>
      </c>
      <c r="AF1029" s="39" t="s">
        <v>317</v>
      </c>
      <c r="AG1029" s="39" t="s">
        <v>317</v>
      </c>
      <c r="AH1029" s="37" t="s">
        <v>2784</v>
      </c>
      <c r="AI1029" s="309"/>
      <c r="AJ1029" s="309"/>
      <c r="AK1029" s="39" t="s">
        <v>37</v>
      </c>
      <c r="AL1029" s="39" t="s">
        <v>51</v>
      </c>
      <c r="AM1029" s="299">
        <f t="shared" ca="1" si="95"/>
        <v>0.83680555555474712</v>
      </c>
      <c r="AN1029" s="51"/>
      <c r="AO1029" s="57" t="s">
        <v>120</v>
      </c>
      <c r="AP1029" s="57" t="s">
        <v>2781</v>
      </c>
      <c r="AQ1029" s="57" t="s">
        <v>2843</v>
      </c>
      <c r="AR1029" s="29">
        <v>44897.454861111109</v>
      </c>
      <c r="AS1029" s="57" t="s">
        <v>173</v>
      </c>
      <c r="AT1029" s="61" t="s">
        <v>225</v>
      </c>
      <c r="AU1029" s="63">
        <v>0.4548611111111111</v>
      </c>
      <c r="AV1029" s="61">
        <v>1</v>
      </c>
      <c r="AW1029" s="61" t="s">
        <v>66</v>
      </c>
      <c r="AX1029" s="52"/>
      <c r="AY1029" s="52"/>
      <c r="AZ1029" s="52"/>
      <c r="BA1029" s="52"/>
    </row>
    <row r="1030" spans="1:53" x14ac:dyDescent="0.25">
      <c r="A1030" s="73">
        <v>12</v>
      </c>
      <c r="B1030" s="43">
        <v>44896.618055555555</v>
      </c>
      <c r="C1030" s="44">
        <v>0.61805555555555558</v>
      </c>
      <c r="D1030" s="44">
        <v>0.62847222222222221</v>
      </c>
      <c r="E1030" s="44">
        <v>0.66319444444444442</v>
      </c>
      <c r="F1030" s="39" t="s">
        <v>170</v>
      </c>
      <c r="G1030" s="39" t="s">
        <v>2780</v>
      </c>
      <c r="H1030" s="60" t="s">
        <v>332</v>
      </c>
      <c r="I1030" s="60" t="s">
        <v>429</v>
      </c>
      <c r="J1030" s="39" t="s">
        <v>37</v>
      </c>
      <c r="K1030" s="60" t="s">
        <v>63</v>
      </c>
      <c r="L1030" s="65" t="s">
        <v>206</v>
      </c>
      <c r="M1030" s="68" t="s">
        <v>2781</v>
      </c>
      <c r="N1030" s="39" t="s">
        <v>42</v>
      </c>
      <c r="O1030" s="68">
        <v>2053092371</v>
      </c>
      <c r="P1030" s="68" t="s">
        <v>2783</v>
      </c>
      <c r="Q1030" s="303">
        <f t="shared" si="96"/>
        <v>0</v>
      </c>
      <c r="R1030" s="303">
        <f t="shared" si="97"/>
        <v>0</v>
      </c>
      <c r="S1030" s="68">
        <v>0</v>
      </c>
      <c r="T1030" s="68">
        <v>0</v>
      </c>
      <c r="U1030" s="68">
        <v>0</v>
      </c>
      <c r="V1030" s="68">
        <v>0</v>
      </c>
      <c r="W1030" s="68">
        <v>0</v>
      </c>
      <c r="X1030" s="37">
        <v>61</v>
      </c>
      <c r="Y1030" s="37">
        <v>46</v>
      </c>
      <c r="Z1030" s="37">
        <v>51</v>
      </c>
      <c r="AA1030" s="37">
        <v>1</v>
      </c>
      <c r="AB1030" s="300">
        <f t="shared" si="98"/>
        <v>23.850999999999999</v>
      </c>
      <c r="AC1030" s="300">
        <f t="shared" si="99"/>
        <v>0.14368072289156625</v>
      </c>
      <c r="AD1030" s="37">
        <v>0</v>
      </c>
      <c r="AE1030" s="37">
        <v>0</v>
      </c>
      <c r="AF1030" s="39" t="s">
        <v>317</v>
      </c>
      <c r="AG1030" s="39" t="s">
        <v>317</v>
      </c>
      <c r="AH1030" s="68" t="s">
        <v>2784</v>
      </c>
      <c r="AI1030" s="309"/>
      <c r="AJ1030" s="309"/>
      <c r="AK1030" s="39" t="s">
        <v>37</v>
      </c>
      <c r="AL1030" s="39" t="s">
        <v>51</v>
      </c>
      <c r="AM1030" s="299">
        <f t="shared" ca="1" si="95"/>
        <v>0.83680555555474712</v>
      </c>
      <c r="AN1030" s="51"/>
      <c r="AO1030" s="57" t="s">
        <v>120</v>
      </c>
      <c r="AP1030" s="57" t="s">
        <v>2781</v>
      </c>
      <c r="AQ1030" s="57" t="s">
        <v>2843</v>
      </c>
      <c r="AR1030" s="29">
        <v>44897.454861111109</v>
      </c>
      <c r="AS1030" s="57" t="s">
        <v>173</v>
      </c>
      <c r="AT1030" s="61" t="s">
        <v>225</v>
      </c>
      <c r="AU1030" s="63">
        <v>0.4548611111111111</v>
      </c>
      <c r="AV1030" s="61">
        <v>1</v>
      </c>
      <c r="AW1030" s="61" t="s">
        <v>66</v>
      </c>
      <c r="AX1030" s="52"/>
      <c r="AY1030" s="52"/>
      <c r="AZ1030" s="52"/>
      <c r="BA1030" s="52"/>
    </row>
    <row r="1031" spans="1:53" x14ac:dyDescent="0.25">
      <c r="A1031" s="48">
        <v>13</v>
      </c>
      <c r="B1031" s="43">
        <v>44896.618055555555</v>
      </c>
      <c r="C1031" s="44">
        <v>0.61805555555555558</v>
      </c>
      <c r="D1031" s="44">
        <v>0.62847222222222221</v>
      </c>
      <c r="E1031" s="44">
        <v>0.66319444444444442</v>
      </c>
      <c r="F1031" s="39" t="s">
        <v>170</v>
      </c>
      <c r="G1031" s="39" t="s">
        <v>2780</v>
      </c>
      <c r="H1031" s="60" t="s">
        <v>332</v>
      </c>
      <c r="I1031" s="60" t="s">
        <v>429</v>
      </c>
      <c r="J1031" s="39" t="s">
        <v>37</v>
      </c>
      <c r="K1031" s="60" t="s">
        <v>63</v>
      </c>
      <c r="L1031" s="65" t="s">
        <v>206</v>
      </c>
      <c r="M1031" s="68" t="s">
        <v>2781</v>
      </c>
      <c r="N1031" s="39" t="s">
        <v>42</v>
      </c>
      <c r="O1031" s="37">
        <v>2053092372</v>
      </c>
      <c r="P1031" s="37" t="s">
        <v>2785</v>
      </c>
      <c r="Q1031" s="303">
        <f t="shared" si="96"/>
        <v>2</v>
      </c>
      <c r="R1031" s="303">
        <f t="shared" si="97"/>
        <v>27</v>
      </c>
      <c r="S1031" s="37">
        <v>0</v>
      </c>
      <c r="T1031" s="37">
        <v>0</v>
      </c>
      <c r="U1031" s="37">
        <v>2</v>
      </c>
      <c r="V1031" s="37">
        <f>11+16</f>
        <v>27</v>
      </c>
      <c r="W1031" s="37">
        <v>18</v>
      </c>
      <c r="X1031" s="37">
        <v>30</v>
      </c>
      <c r="Y1031" s="37">
        <v>30</v>
      </c>
      <c r="Z1031" s="37">
        <v>33</v>
      </c>
      <c r="AA1031" s="37">
        <v>2</v>
      </c>
      <c r="AB1031" s="300">
        <f t="shared" si="98"/>
        <v>9.9</v>
      </c>
      <c r="AC1031" s="300">
        <f t="shared" si="99"/>
        <v>5.9638554216867472E-2</v>
      </c>
      <c r="AD1031" s="37">
        <v>372.44</v>
      </c>
      <c r="AE1031" s="37" t="s">
        <v>109</v>
      </c>
      <c r="AF1031" s="39" t="s">
        <v>317</v>
      </c>
      <c r="AG1031" s="39" t="s">
        <v>317</v>
      </c>
      <c r="AH1031" s="37" t="s">
        <v>2786</v>
      </c>
      <c r="AI1031" s="309"/>
      <c r="AJ1031" s="309"/>
      <c r="AK1031" s="39" t="s">
        <v>37</v>
      </c>
      <c r="AL1031" s="39" t="s">
        <v>51</v>
      </c>
      <c r="AM1031" s="299">
        <f t="shared" ca="1" si="95"/>
        <v>0.83680555555474712</v>
      </c>
      <c r="AN1031" s="51"/>
      <c r="AO1031" s="57" t="s">
        <v>120</v>
      </c>
      <c r="AP1031" s="57" t="s">
        <v>2781</v>
      </c>
      <c r="AQ1031" s="57" t="s">
        <v>2843</v>
      </c>
      <c r="AR1031" s="29">
        <v>44897.454861111109</v>
      </c>
      <c r="AS1031" s="57" t="s">
        <v>173</v>
      </c>
      <c r="AT1031" s="61" t="s">
        <v>225</v>
      </c>
      <c r="AU1031" s="63">
        <v>0.4548611111111111</v>
      </c>
      <c r="AV1031" s="61">
        <v>1</v>
      </c>
      <c r="AW1031" s="61" t="s">
        <v>66</v>
      </c>
      <c r="AX1031" s="52"/>
      <c r="AY1031" s="52"/>
      <c r="AZ1031" s="52"/>
      <c r="BA1031" s="52"/>
    </row>
    <row r="1032" spans="1:53" x14ac:dyDescent="0.25">
      <c r="A1032" s="48">
        <v>14</v>
      </c>
      <c r="B1032" s="43">
        <v>44896.618055555555</v>
      </c>
      <c r="C1032" s="44">
        <v>0.61805555555555558</v>
      </c>
      <c r="D1032" s="44">
        <v>0.62847222222222221</v>
      </c>
      <c r="E1032" s="44">
        <v>0.66319444444444442</v>
      </c>
      <c r="F1032" s="39" t="s">
        <v>170</v>
      </c>
      <c r="G1032" s="39" t="s">
        <v>2780</v>
      </c>
      <c r="H1032" s="60" t="s">
        <v>332</v>
      </c>
      <c r="I1032" s="60" t="s">
        <v>429</v>
      </c>
      <c r="J1032" s="39" t="s">
        <v>37</v>
      </c>
      <c r="K1032" s="60" t="s">
        <v>63</v>
      </c>
      <c r="L1032" s="65" t="s">
        <v>206</v>
      </c>
      <c r="M1032" s="37" t="s">
        <v>2781</v>
      </c>
      <c r="N1032" s="39" t="s">
        <v>42</v>
      </c>
      <c r="O1032" s="37">
        <v>205092373</v>
      </c>
      <c r="P1032" s="37" t="s">
        <v>2787</v>
      </c>
      <c r="Q1032" s="303">
        <f t="shared" si="96"/>
        <v>2</v>
      </c>
      <c r="R1032" s="303">
        <f t="shared" si="97"/>
        <v>359</v>
      </c>
      <c r="S1032" s="37">
        <v>0</v>
      </c>
      <c r="T1032" s="37">
        <v>0</v>
      </c>
      <c r="U1032" s="37">
        <v>2</v>
      </c>
      <c r="V1032" s="37">
        <f>335+24</f>
        <v>359</v>
      </c>
      <c r="W1032" s="37">
        <v>364</v>
      </c>
      <c r="X1032" s="37">
        <v>40</v>
      </c>
      <c r="Y1032" s="37">
        <v>26</v>
      </c>
      <c r="Z1032" s="37">
        <v>33</v>
      </c>
      <c r="AA1032" s="37">
        <v>1</v>
      </c>
      <c r="AB1032" s="300">
        <f t="shared" si="98"/>
        <v>5.72</v>
      </c>
      <c r="AC1032" s="300">
        <f t="shared" si="99"/>
        <v>3.4457831325301204E-2</v>
      </c>
      <c r="AD1032" s="37">
        <v>2437.61</v>
      </c>
      <c r="AE1032" s="68" t="s">
        <v>109</v>
      </c>
      <c r="AF1032" s="39" t="s">
        <v>317</v>
      </c>
      <c r="AG1032" s="39" t="s">
        <v>317</v>
      </c>
      <c r="AH1032" s="37" t="s">
        <v>2788</v>
      </c>
      <c r="AI1032" s="309"/>
      <c r="AJ1032" s="309"/>
      <c r="AK1032" s="39" t="s">
        <v>37</v>
      </c>
      <c r="AL1032" s="39" t="s">
        <v>51</v>
      </c>
      <c r="AM1032" s="299">
        <f t="shared" ca="1" si="95"/>
        <v>0.83680555555474712</v>
      </c>
      <c r="AN1032" s="51"/>
      <c r="AO1032" s="57" t="s">
        <v>120</v>
      </c>
      <c r="AP1032" s="57" t="s">
        <v>2781</v>
      </c>
      <c r="AQ1032" s="57" t="s">
        <v>2843</v>
      </c>
      <c r="AR1032" s="29">
        <v>44897.454861111109</v>
      </c>
      <c r="AS1032" s="57" t="s">
        <v>173</v>
      </c>
      <c r="AT1032" s="61" t="s">
        <v>225</v>
      </c>
      <c r="AU1032" s="63">
        <v>0.4548611111111111</v>
      </c>
      <c r="AV1032" s="61">
        <v>1</v>
      </c>
      <c r="AW1032" s="61" t="s">
        <v>66</v>
      </c>
      <c r="AX1032" s="52"/>
      <c r="AY1032" s="52"/>
      <c r="AZ1032" s="52"/>
      <c r="BA1032" s="52"/>
    </row>
    <row r="1033" spans="1:53" x14ac:dyDescent="0.25">
      <c r="A1033" s="73">
        <v>14</v>
      </c>
      <c r="B1033" s="43">
        <v>44896.618055555555</v>
      </c>
      <c r="C1033" s="44">
        <v>0.61805555555555558</v>
      </c>
      <c r="D1033" s="44">
        <v>0.62847222222222221</v>
      </c>
      <c r="E1033" s="44">
        <v>0.66319444444444442</v>
      </c>
      <c r="F1033" s="39" t="s">
        <v>170</v>
      </c>
      <c r="G1033" s="39" t="s">
        <v>2780</v>
      </c>
      <c r="H1033" s="60" t="s">
        <v>332</v>
      </c>
      <c r="I1033" s="60" t="s">
        <v>429</v>
      </c>
      <c r="J1033" s="39" t="s">
        <v>37</v>
      </c>
      <c r="K1033" s="60" t="s">
        <v>63</v>
      </c>
      <c r="L1033" s="65" t="s">
        <v>206</v>
      </c>
      <c r="M1033" s="68" t="s">
        <v>2781</v>
      </c>
      <c r="N1033" s="39" t="s">
        <v>42</v>
      </c>
      <c r="O1033" s="68">
        <v>205092373</v>
      </c>
      <c r="P1033" s="68" t="s">
        <v>2787</v>
      </c>
      <c r="Q1033" s="303">
        <f t="shared" si="96"/>
        <v>0</v>
      </c>
      <c r="R1033" s="303">
        <f t="shared" si="97"/>
        <v>0</v>
      </c>
      <c r="S1033" s="68">
        <v>0</v>
      </c>
      <c r="T1033" s="68">
        <v>0</v>
      </c>
      <c r="U1033" s="68">
        <v>0</v>
      </c>
      <c r="V1033" s="68">
        <v>0</v>
      </c>
      <c r="W1033" s="68">
        <v>0</v>
      </c>
      <c r="X1033" s="37">
        <v>76</v>
      </c>
      <c r="Y1033" s="37">
        <v>76</v>
      </c>
      <c r="Z1033" s="37">
        <v>76</v>
      </c>
      <c r="AA1033" s="37">
        <v>1</v>
      </c>
      <c r="AB1033" s="300">
        <f t="shared" si="98"/>
        <v>73.162666666666667</v>
      </c>
      <c r="AC1033" s="300">
        <f t="shared" si="99"/>
        <v>0.4407389558232932</v>
      </c>
      <c r="AD1033" s="37">
        <v>0</v>
      </c>
      <c r="AE1033" s="37">
        <v>0</v>
      </c>
      <c r="AF1033" s="39" t="s">
        <v>317</v>
      </c>
      <c r="AG1033" s="39" t="s">
        <v>317</v>
      </c>
      <c r="AH1033" s="68" t="s">
        <v>2788</v>
      </c>
      <c r="AI1033" s="309"/>
      <c r="AJ1033" s="309"/>
      <c r="AK1033" s="39" t="s">
        <v>37</v>
      </c>
      <c r="AL1033" s="39" t="s">
        <v>51</v>
      </c>
      <c r="AM1033" s="299">
        <f t="shared" ca="1" si="95"/>
        <v>0.83680555555474712</v>
      </c>
      <c r="AN1033" s="51"/>
      <c r="AO1033" s="57" t="s">
        <v>120</v>
      </c>
      <c r="AP1033" s="57" t="s">
        <v>2781</v>
      </c>
      <c r="AQ1033" s="57" t="s">
        <v>2843</v>
      </c>
      <c r="AR1033" s="29">
        <v>44897.454861111109</v>
      </c>
      <c r="AS1033" s="57" t="s">
        <v>173</v>
      </c>
      <c r="AT1033" s="61" t="s">
        <v>225</v>
      </c>
      <c r="AU1033" s="63">
        <v>0.4548611111111111</v>
      </c>
      <c r="AV1033" s="61">
        <v>1</v>
      </c>
      <c r="AW1033" s="61" t="s">
        <v>66</v>
      </c>
      <c r="AX1033" s="52"/>
      <c r="AY1033" s="52"/>
      <c r="AZ1033" s="52"/>
      <c r="BA1033" s="52"/>
    </row>
    <row r="1034" spans="1:53" x14ac:dyDescent="0.25">
      <c r="A1034" s="48">
        <v>15</v>
      </c>
      <c r="B1034" s="46">
        <v>44896.642361111109</v>
      </c>
      <c r="C1034" s="36">
        <v>0.64583333333333337</v>
      </c>
      <c r="D1034" s="36">
        <v>0.65277777777777779</v>
      </c>
      <c r="E1034" s="36">
        <v>0.66666666666666663</v>
      </c>
      <c r="F1034" s="37" t="s">
        <v>169</v>
      </c>
      <c r="G1034" s="37" t="s">
        <v>331</v>
      </c>
      <c r="H1034" s="26" t="s">
        <v>260</v>
      </c>
      <c r="I1034" s="26" t="s">
        <v>2789</v>
      </c>
      <c r="J1034" s="39" t="s">
        <v>41</v>
      </c>
      <c r="K1034" s="66" t="s">
        <v>241</v>
      </c>
      <c r="L1034" s="66" t="s">
        <v>211</v>
      </c>
      <c r="M1034" s="37" t="s">
        <v>2790</v>
      </c>
      <c r="N1034" s="37" t="s">
        <v>42</v>
      </c>
      <c r="O1034" s="37" t="s">
        <v>2791</v>
      </c>
      <c r="P1034" s="37">
        <v>25611</v>
      </c>
      <c r="Q1034" s="303">
        <f t="shared" si="96"/>
        <v>51</v>
      </c>
      <c r="R1034" s="303">
        <f t="shared" si="97"/>
        <v>788</v>
      </c>
      <c r="S1034" s="37">
        <v>51</v>
      </c>
      <c r="T1034" s="37">
        <f>440-23+397-26</f>
        <v>788</v>
      </c>
      <c r="U1034" s="37">
        <v>0</v>
      </c>
      <c r="V1034" s="37">
        <v>0</v>
      </c>
      <c r="W1034" s="37" t="s">
        <v>48</v>
      </c>
      <c r="X1034" s="37">
        <v>60</v>
      </c>
      <c r="Y1034" s="37">
        <v>39</v>
      </c>
      <c r="Z1034" s="37">
        <v>18</v>
      </c>
      <c r="AA1034" s="37">
        <v>8</v>
      </c>
      <c r="AB1034" s="300">
        <f t="shared" si="98"/>
        <v>56.16</v>
      </c>
      <c r="AC1034" s="300">
        <f t="shared" si="99"/>
        <v>0.33831325301204818</v>
      </c>
      <c r="AD1034" s="37">
        <v>23398.400000000001</v>
      </c>
      <c r="AE1034" s="37" t="s">
        <v>109</v>
      </c>
      <c r="AF1034" s="39" t="s">
        <v>317</v>
      </c>
      <c r="AG1034" s="39" t="s">
        <v>317</v>
      </c>
      <c r="AH1034" s="37" t="s">
        <v>2792</v>
      </c>
      <c r="AI1034" s="309"/>
      <c r="AJ1034" s="309"/>
      <c r="AK1034" s="37" t="s">
        <v>48</v>
      </c>
      <c r="AL1034" s="37" t="s">
        <v>47</v>
      </c>
      <c r="AM1034" s="299">
        <f t="shared" ca="1" si="95"/>
        <v>0.85763888889050577</v>
      </c>
      <c r="AN1034" s="51"/>
      <c r="AO1034" s="57" t="s">
        <v>93</v>
      </c>
      <c r="AP1034" s="24" t="s">
        <v>2790</v>
      </c>
      <c r="AQ1034" s="57" t="s">
        <v>2844</v>
      </c>
      <c r="AR1034" s="29">
        <v>44897.5</v>
      </c>
      <c r="AS1034" s="61" t="s">
        <v>136</v>
      </c>
      <c r="AT1034" s="61" t="s">
        <v>225</v>
      </c>
      <c r="AU1034" s="63">
        <v>0.5</v>
      </c>
      <c r="AV1034" s="57">
        <v>1</v>
      </c>
      <c r="AW1034" s="61" t="s">
        <v>66</v>
      </c>
      <c r="AX1034" s="52"/>
      <c r="AY1034" s="52"/>
      <c r="AZ1034" s="52"/>
      <c r="BA1034" s="52"/>
    </row>
    <row r="1035" spans="1:53" x14ac:dyDescent="0.25">
      <c r="A1035" s="73">
        <v>15</v>
      </c>
      <c r="B1035" s="72">
        <v>44896.642361111109</v>
      </c>
      <c r="C1035" s="67">
        <v>0.64583333333333337</v>
      </c>
      <c r="D1035" s="67">
        <v>0.65277777777777779</v>
      </c>
      <c r="E1035" s="67">
        <v>0.66666666666666663</v>
      </c>
      <c r="F1035" s="68" t="s">
        <v>169</v>
      </c>
      <c r="G1035" s="68" t="s">
        <v>331</v>
      </c>
      <c r="H1035" s="60" t="s">
        <v>260</v>
      </c>
      <c r="I1035" s="60" t="s">
        <v>2789</v>
      </c>
      <c r="J1035" s="39" t="s">
        <v>41</v>
      </c>
      <c r="K1035" s="66" t="s">
        <v>241</v>
      </c>
      <c r="L1035" s="66" t="s">
        <v>211</v>
      </c>
      <c r="M1035" s="68" t="s">
        <v>2790</v>
      </c>
      <c r="N1035" s="68" t="s">
        <v>42</v>
      </c>
      <c r="O1035" s="68" t="s">
        <v>2791</v>
      </c>
      <c r="P1035" s="68">
        <v>25611</v>
      </c>
      <c r="Q1035" s="303">
        <f t="shared" si="96"/>
        <v>0</v>
      </c>
      <c r="R1035" s="303">
        <f t="shared" si="97"/>
        <v>0</v>
      </c>
      <c r="S1035" s="68">
        <v>0</v>
      </c>
      <c r="T1035" s="68">
        <v>0</v>
      </c>
      <c r="U1035" s="68">
        <v>0</v>
      </c>
      <c r="V1035" s="68">
        <v>0</v>
      </c>
      <c r="W1035" s="68">
        <v>0</v>
      </c>
      <c r="X1035" s="37">
        <v>60</v>
      </c>
      <c r="Y1035" s="37">
        <v>39</v>
      </c>
      <c r="Z1035" s="37">
        <v>36</v>
      </c>
      <c r="AA1035" s="37">
        <v>43</v>
      </c>
      <c r="AB1035" s="300">
        <f t="shared" si="98"/>
        <v>603.72</v>
      </c>
      <c r="AC1035" s="300">
        <f t="shared" si="99"/>
        <v>3.636867469879518</v>
      </c>
      <c r="AD1035" s="68">
        <v>0</v>
      </c>
      <c r="AE1035" s="37">
        <v>0</v>
      </c>
      <c r="AF1035" s="39" t="s">
        <v>317</v>
      </c>
      <c r="AG1035" s="39" t="s">
        <v>317</v>
      </c>
      <c r="AH1035" s="68" t="s">
        <v>2792</v>
      </c>
      <c r="AI1035" s="309"/>
      <c r="AJ1035" s="309"/>
      <c r="AK1035" s="68" t="s">
        <v>48</v>
      </c>
      <c r="AL1035" s="68" t="s">
        <v>47</v>
      </c>
      <c r="AM1035" s="299">
        <f t="shared" ca="1" si="95"/>
        <v>0.85763888889050577</v>
      </c>
      <c r="AN1035" s="51"/>
      <c r="AO1035" s="57" t="s">
        <v>93</v>
      </c>
      <c r="AP1035" s="24" t="s">
        <v>2790</v>
      </c>
      <c r="AQ1035" s="57" t="s">
        <v>2844</v>
      </c>
      <c r="AR1035" s="29">
        <v>44897.5</v>
      </c>
      <c r="AS1035" s="61" t="s">
        <v>136</v>
      </c>
      <c r="AT1035" s="61" t="s">
        <v>225</v>
      </c>
      <c r="AU1035" s="63">
        <v>0.5</v>
      </c>
      <c r="AV1035" s="57">
        <v>1</v>
      </c>
      <c r="AW1035" s="61" t="s">
        <v>66</v>
      </c>
      <c r="AX1035" s="52"/>
      <c r="AY1035" s="52"/>
      <c r="AZ1035" s="52"/>
      <c r="BA1035" s="52"/>
    </row>
    <row r="1036" spans="1:53" x14ac:dyDescent="0.25">
      <c r="A1036" s="48">
        <v>16</v>
      </c>
      <c r="B1036" s="46">
        <v>44896.625</v>
      </c>
      <c r="C1036" s="36">
        <v>0.63194444444444442</v>
      </c>
      <c r="D1036" s="36">
        <v>0.69444444444444453</v>
      </c>
      <c r="E1036" s="36">
        <v>0.71527777777777779</v>
      </c>
      <c r="F1036" s="37" t="s">
        <v>170</v>
      </c>
      <c r="G1036" s="37" t="s">
        <v>2796</v>
      </c>
      <c r="H1036" s="26" t="s">
        <v>227</v>
      </c>
      <c r="I1036" s="26" t="s">
        <v>189</v>
      </c>
      <c r="J1036" s="26" t="s">
        <v>37</v>
      </c>
      <c r="K1036" s="66" t="s">
        <v>63</v>
      </c>
      <c r="L1036" s="70" t="s">
        <v>206</v>
      </c>
      <c r="M1036" s="68" t="s">
        <v>2793</v>
      </c>
      <c r="N1036" s="37" t="s">
        <v>42</v>
      </c>
      <c r="O1036" s="37">
        <v>1007</v>
      </c>
      <c r="P1036" s="37">
        <v>3729</v>
      </c>
      <c r="Q1036" s="303">
        <f t="shared" si="96"/>
        <v>10</v>
      </c>
      <c r="R1036" s="303">
        <f t="shared" si="97"/>
        <v>2100</v>
      </c>
      <c r="S1036" s="37">
        <v>0</v>
      </c>
      <c r="T1036" s="37">
        <v>0</v>
      </c>
      <c r="U1036" s="37">
        <v>10</v>
      </c>
      <c r="V1036" s="37">
        <f>415+423+423+423+207+209</f>
        <v>2100</v>
      </c>
      <c r="W1036" s="37">
        <v>2027</v>
      </c>
      <c r="X1036" s="37">
        <v>161</v>
      </c>
      <c r="Y1036" s="37">
        <v>138</v>
      </c>
      <c r="Z1036" s="37">
        <v>79</v>
      </c>
      <c r="AA1036" s="37">
        <v>10</v>
      </c>
      <c r="AB1036" s="300">
        <f t="shared" si="98"/>
        <v>2925.37</v>
      </c>
      <c r="AC1036" s="300">
        <f t="shared" si="99"/>
        <v>17.622710843373493</v>
      </c>
      <c r="AD1036" s="37">
        <v>26350</v>
      </c>
      <c r="AE1036" s="37" t="s">
        <v>109</v>
      </c>
      <c r="AF1036" s="39" t="s">
        <v>317</v>
      </c>
      <c r="AG1036" s="39" t="s">
        <v>317</v>
      </c>
      <c r="AH1036" s="37" t="s">
        <v>2794</v>
      </c>
      <c r="AI1036" s="309"/>
      <c r="AJ1036" s="309"/>
      <c r="AK1036" s="37" t="s">
        <v>37</v>
      </c>
      <c r="AL1036" s="37" t="s">
        <v>58</v>
      </c>
      <c r="AM1036" s="299">
        <f t="shared" ca="1" si="95"/>
        <v>0.15625</v>
      </c>
      <c r="AN1036" s="51"/>
      <c r="AO1036" s="57" t="s">
        <v>89</v>
      </c>
      <c r="AP1036" s="57" t="s">
        <v>2823</v>
      </c>
      <c r="AQ1036" s="57" t="s">
        <v>2824</v>
      </c>
      <c r="AR1036" s="29">
        <v>44896.78125</v>
      </c>
      <c r="AS1036" s="61" t="s">
        <v>2825</v>
      </c>
      <c r="AT1036" s="61" t="s">
        <v>65</v>
      </c>
      <c r="AU1036" s="63">
        <v>0.78125</v>
      </c>
      <c r="AV1036" s="61">
        <v>1</v>
      </c>
      <c r="AW1036" s="61" t="s">
        <v>66</v>
      </c>
      <c r="AX1036" s="52"/>
      <c r="AY1036" s="52"/>
      <c r="AZ1036" s="52"/>
      <c r="BA1036" s="52"/>
    </row>
    <row r="1037" spans="1:53" x14ac:dyDescent="0.25">
      <c r="A1037" s="48">
        <v>17</v>
      </c>
      <c r="B1037" s="46">
        <v>44896.684027777781</v>
      </c>
      <c r="C1037" s="36">
        <v>0.6875</v>
      </c>
      <c r="D1037" s="36">
        <v>0.69444444444444453</v>
      </c>
      <c r="E1037" s="67">
        <v>0.71527777777777779</v>
      </c>
      <c r="F1037" s="68" t="s">
        <v>170</v>
      </c>
      <c r="G1037" s="37" t="s">
        <v>2795</v>
      </c>
      <c r="H1037" s="60" t="s">
        <v>227</v>
      </c>
      <c r="I1037" s="60" t="s">
        <v>189</v>
      </c>
      <c r="J1037" s="60" t="s">
        <v>37</v>
      </c>
      <c r="K1037" s="66" t="s">
        <v>63</v>
      </c>
      <c r="L1037" s="70" t="s">
        <v>206</v>
      </c>
      <c r="M1037" s="37" t="s">
        <v>2797</v>
      </c>
      <c r="N1037" s="68" t="s">
        <v>42</v>
      </c>
      <c r="O1037" s="77">
        <v>10111018</v>
      </c>
      <c r="P1037" s="37">
        <v>3737</v>
      </c>
      <c r="Q1037" s="303">
        <f t="shared" si="96"/>
        <v>1</v>
      </c>
      <c r="R1037" s="303">
        <f t="shared" si="97"/>
        <v>691</v>
      </c>
      <c r="S1037" s="37">
        <v>0</v>
      </c>
      <c r="T1037" s="37">
        <v>0</v>
      </c>
      <c r="U1037" s="37">
        <v>1</v>
      </c>
      <c r="V1037" s="38">
        <v>691</v>
      </c>
      <c r="W1037" s="38">
        <v>572.59</v>
      </c>
      <c r="X1037" s="37">
        <v>176</v>
      </c>
      <c r="Y1037" s="37">
        <v>115</v>
      </c>
      <c r="Z1037" s="37">
        <v>80</v>
      </c>
      <c r="AA1037" s="37">
        <v>1</v>
      </c>
      <c r="AB1037" s="300">
        <f t="shared" si="98"/>
        <v>269.86666666666667</v>
      </c>
      <c r="AC1037" s="300">
        <f t="shared" si="99"/>
        <v>1.6257028112449801</v>
      </c>
      <c r="AD1037" s="37" t="s">
        <v>48</v>
      </c>
      <c r="AE1037" s="68" t="s">
        <v>48</v>
      </c>
      <c r="AF1037" s="39" t="s">
        <v>317</v>
      </c>
      <c r="AG1037" s="39" t="s">
        <v>317</v>
      </c>
      <c r="AH1037" s="37" t="s">
        <v>2798</v>
      </c>
      <c r="AI1037" s="309"/>
      <c r="AJ1037" s="309"/>
      <c r="AK1037" s="68" t="s">
        <v>37</v>
      </c>
      <c r="AL1037" s="68" t="s">
        <v>58</v>
      </c>
      <c r="AM1037" s="299">
        <f t="shared" ca="1" si="95"/>
        <v>9.7222222218988463E-2</v>
      </c>
      <c r="AN1037" s="51"/>
      <c r="AO1037" s="57" t="s">
        <v>89</v>
      </c>
      <c r="AP1037" s="57" t="s">
        <v>2823</v>
      </c>
      <c r="AQ1037" s="57" t="s">
        <v>2824</v>
      </c>
      <c r="AR1037" s="29">
        <v>44896.78125</v>
      </c>
      <c r="AS1037" s="61" t="s">
        <v>2825</v>
      </c>
      <c r="AT1037" s="61" t="s">
        <v>65</v>
      </c>
      <c r="AU1037" s="63">
        <v>0.78125</v>
      </c>
      <c r="AV1037" s="61">
        <v>1</v>
      </c>
      <c r="AW1037" s="61" t="s">
        <v>66</v>
      </c>
      <c r="AX1037" s="52"/>
      <c r="AY1037" s="52"/>
      <c r="AZ1037" s="52"/>
      <c r="BA1037" s="52"/>
    </row>
    <row r="1038" spans="1:53" x14ac:dyDescent="0.25">
      <c r="A1038" s="48">
        <v>18</v>
      </c>
      <c r="B1038" s="72">
        <v>44896.684027777781</v>
      </c>
      <c r="C1038" s="67">
        <v>0.6875</v>
      </c>
      <c r="D1038" s="67">
        <v>0.69444444444444453</v>
      </c>
      <c r="E1038" s="67">
        <v>0.71527777777777779</v>
      </c>
      <c r="F1038" s="68" t="s">
        <v>170</v>
      </c>
      <c r="G1038" s="68" t="s">
        <v>2795</v>
      </c>
      <c r="H1038" s="60" t="s">
        <v>227</v>
      </c>
      <c r="I1038" s="60" t="s">
        <v>189</v>
      </c>
      <c r="J1038" s="60" t="s">
        <v>37</v>
      </c>
      <c r="K1038" s="66" t="s">
        <v>63</v>
      </c>
      <c r="L1038" s="70" t="s">
        <v>206</v>
      </c>
      <c r="M1038" s="37" t="s">
        <v>2799</v>
      </c>
      <c r="N1038" s="68" t="s">
        <v>42</v>
      </c>
      <c r="O1038" s="37">
        <v>1015</v>
      </c>
      <c r="P1038" s="37">
        <v>3719</v>
      </c>
      <c r="Q1038" s="303">
        <f t="shared" si="96"/>
        <v>9</v>
      </c>
      <c r="R1038" s="303">
        <f t="shared" si="97"/>
        <v>166</v>
      </c>
      <c r="S1038" s="37">
        <v>9</v>
      </c>
      <c r="T1038" s="37">
        <f>181-15</f>
        <v>166</v>
      </c>
      <c r="U1038" s="37">
        <v>0</v>
      </c>
      <c r="V1038" s="37">
        <v>0</v>
      </c>
      <c r="W1038" s="37">
        <v>162</v>
      </c>
      <c r="X1038" s="37">
        <v>83</v>
      </c>
      <c r="Y1038" s="37">
        <v>53</v>
      </c>
      <c r="Z1038" s="37">
        <v>62</v>
      </c>
      <c r="AA1038" s="37">
        <v>9</v>
      </c>
      <c r="AB1038" s="300">
        <f t="shared" si="98"/>
        <v>409.10700000000003</v>
      </c>
      <c r="AC1038" s="300">
        <f t="shared" si="99"/>
        <v>2.4645000000000001</v>
      </c>
      <c r="AD1038" s="37">
        <v>5346</v>
      </c>
      <c r="AE1038" s="37" t="s">
        <v>109</v>
      </c>
      <c r="AF1038" s="39" t="s">
        <v>317</v>
      </c>
      <c r="AG1038" s="39" t="s">
        <v>317</v>
      </c>
      <c r="AH1038" s="37" t="s">
        <v>2800</v>
      </c>
      <c r="AI1038" s="309"/>
      <c r="AJ1038" s="309"/>
      <c r="AK1038" s="37" t="s">
        <v>48</v>
      </c>
      <c r="AL1038" s="37" t="s">
        <v>56</v>
      </c>
      <c r="AM1038" s="299">
        <f t="shared" ca="1" si="95"/>
        <v>9.7222222218988463E-2</v>
      </c>
      <c r="AN1038" s="51"/>
      <c r="AO1038" s="57" t="s">
        <v>89</v>
      </c>
      <c r="AP1038" s="57" t="s">
        <v>2823</v>
      </c>
      <c r="AQ1038" s="57" t="s">
        <v>2824</v>
      </c>
      <c r="AR1038" s="29">
        <v>44896.78125</v>
      </c>
      <c r="AS1038" s="61" t="s">
        <v>2825</v>
      </c>
      <c r="AT1038" s="61" t="s">
        <v>65</v>
      </c>
      <c r="AU1038" s="63">
        <v>0.78125</v>
      </c>
      <c r="AV1038" s="61">
        <v>1</v>
      </c>
      <c r="AW1038" s="61" t="s">
        <v>66</v>
      </c>
      <c r="AX1038" s="52"/>
      <c r="AY1038" s="52"/>
      <c r="AZ1038" s="52"/>
      <c r="BA1038" s="52"/>
    </row>
    <row r="1039" spans="1:53" x14ac:dyDescent="0.25">
      <c r="A1039" s="48">
        <v>19</v>
      </c>
      <c r="B1039" s="72">
        <v>44896.684027777781</v>
      </c>
      <c r="C1039" s="67">
        <v>0.6875</v>
      </c>
      <c r="D1039" s="67">
        <v>0.69444444444444453</v>
      </c>
      <c r="E1039" s="67">
        <v>0.71527777777777779</v>
      </c>
      <c r="F1039" s="68" t="s">
        <v>170</v>
      </c>
      <c r="G1039" s="68" t="s">
        <v>2795</v>
      </c>
      <c r="H1039" s="60" t="s">
        <v>227</v>
      </c>
      <c r="I1039" s="60" t="s">
        <v>189</v>
      </c>
      <c r="J1039" s="60" t="s">
        <v>37</v>
      </c>
      <c r="K1039" s="66" t="s">
        <v>63</v>
      </c>
      <c r="L1039" s="70" t="s">
        <v>206</v>
      </c>
      <c r="M1039" s="37" t="s">
        <v>2801</v>
      </c>
      <c r="N1039" s="37" t="s">
        <v>43</v>
      </c>
      <c r="O1039" s="77" t="s">
        <v>2802</v>
      </c>
      <c r="P1039" s="37">
        <v>31802</v>
      </c>
      <c r="Q1039" s="303">
        <f t="shared" si="96"/>
        <v>1</v>
      </c>
      <c r="R1039" s="303">
        <f t="shared" si="97"/>
        <v>726</v>
      </c>
      <c r="S1039" s="37">
        <v>0</v>
      </c>
      <c r="T1039" s="37">
        <v>0</v>
      </c>
      <c r="U1039" s="37">
        <v>1</v>
      </c>
      <c r="V1039" s="38">
        <v>726</v>
      </c>
      <c r="W1039" s="38">
        <v>539.42999999999995</v>
      </c>
      <c r="X1039" s="37">
        <v>161</v>
      </c>
      <c r="Y1039" s="37">
        <v>138</v>
      </c>
      <c r="Z1039" s="37">
        <v>79</v>
      </c>
      <c r="AA1039" s="37">
        <v>1</v>
      </c>
      <c r="AB1039" s="300">
        <f t="shared" si="98"/>
        <v>292.53699999999998</v>
      </c>
      <c r="AC1039" s="300">
        <f t="shared" si="99"/>
        <v>1.7622710843373492</v>
      </c>
      <c r="AD1039" s="68" t="s">
        <v>48</v>
      </c>
      <c r="AE1039" s="68" t="s">
        <v>48</v>
      </c>
      <c r="AF1039" s="39" t="s">
        <v>317</v>
      </c>
      <c r="AG1039" s="39" t="s">
        <v>317</v>
      </c>
      <c r="AH1039" s="37" t="s">
        <v>2803</v>
      </c>
      <c r="AI1039" s="309"/>
      <c r="AJ1039" s="309"/>
      <c r="AK1039" s="37" t="s">
        <v>37</v>
      </c>
      <c r="AL1039" s="37" t="s">
        <v>58</v>
      </c>
      <c r="AM1039" s="299">
        <f t="shared" ca="1" si="95"/>
        <v>7.6388888883229811E-2</v>
      </c>
      <c r="AN1039" s="51"/>
      <c r="AO1039" s="57" t="s">
        <v>179</v>
      </c>
      <c r="AP1039" s="24" t="s">
        <v>2818</v>
      </c>
      <c r="AQ1039" s="57" t="s">
        <v>2819</v>
      </c>
      <c r="AR1039" s="29">
        <v>44896.760416666664</v>
      </c>
      <c r="AS1039" s="57" t="s">
        <v>173</v>
      </c>
      <c r="AT1039" s="61" t="s">
        <v>225</v>
      </c>
      <c r="AU1039" s="63">
        <v>0.76041666666666663</v>
      </c>
      <c r="AV1039" s="57">
        <v>2</v>
      </c>
      <c r="AW1039" s="61" t="s">
        <v>66</v>
      </c>
      <c r="AX1039" s="52"/>
      <c r="AY1039" s="52"/>
      <c r="AZ1039" s="52"/>
      <c r="BA1039" s="52"/>
    </row>
    <row r="1040" spans="1:53" x14ac:dyDescent="0.25">
      <c r="A1040" s="48">
        <v>20</v>
      </c>
      <c r="B1040" s="46">
        <v>44896.756944444445</v>
      </c>
      <c r="C1040" s="36">
        <v>0.76041666666666663</v>
      </c>
      <c r="D1040" s="36">
        <v>0.76736111111111116</v>
      </c>
      <c r="E1040" s="36">
        <v>0.76736111111111116</v>
      </c>
      <c r="F1040" s="37" t="s">
        <v>169</v>
      </c>
      <c r="G1040" s="37" t="s">
        <v>331</v>
      </c>
      <c r="H1040" s="26" t="s">
        <v>2804</v>
      </c>
      <c r="I1040" s="26" t="s">
        <v>2805</v>
      </c>
      <c r="J1040" s="26" t="s">
        <v>41</v>
      </c>
      <c r="K1040" s="26" t="s">
        <v>241</v>
      </c>
      <c r="L1040" s="26">
        <v>0</v>
      </c>
      <c r="M1040" s="37" t="s">
        <v>2806</v>
      </c>
      <c r="N1040" s="37" t="s">
        <v>59</v>
      </c>
      <c r="O1040" s="37" t="s">
        <v>2807</v>
      </c>
      <c r="P1040" s="37">
        <v>1005602</v>
      </c>
      <c r="Q1040" s="303">
        <f t="shared" si="96"/>
        <v>38</v>
      </c>
      <c r="R1040" s="303">
        <f t="shared" si="97"/>
        <v>508</v>
      </c>
      <c r="S1040" s="37">
        <v>38</v>
      </c>
      <c r="T1040" s="37">
        <f>304-16+236-16</f>
        <v>508</v>
      </c>
      <c r="U1040" s="37">
        <v>0</v>
      </c>
      <c r="V1040" s="37">
        <v>0</v>
      </c>
      <c r="W1040" s="37" t="s">
        <v>48</v>
      </c>
      <c r="X1040" s="37">
        <v>60</v>
      </c>
      <c r="Y1040" s="37">
        <v>40</v>
      </c>
      <c r="Z1040" s="37">
        <v>30</v>
      </c>
      <c r="AA1040" s="37">
        <v>33</v>
      </c>
      <c r="AB1040" s="300">
        <f t="shared" si="98"/>
        <v>396</v>
      </c>
      <c r="AC1040" s="300">
        <f t="shared" si="99"/>
        <v>2.3855421686746987</v>
      </c>
      <c r="AD1040" s="37">
        <v>13158.4</v>
      </c>
      <c r="AE1040" s="37" t="s">
        <v>111</v>
      </c>
      <c r="AF1040" s="37" t="s">
        <v>2808</v>
      </c>
      <c r="AG1040" s="37" t="s">
        <v>2771</v>
      </c>
      <c r="AH1040" s="37" t="s">
        <v>2809</v>
      </c>
      <c r="AI1040" s="309"/>
      <c r="AJ1040" s="309"/>
      <c r="AK1040" s="37" t="s">
        <v>48</v>
      </c>
      <c r="AL1040" s="37" t="s">
        <v>47</v>
      </c>
      <c r="AM1040" s="299">
        <f t="shared" ca="1" si="95"/>
        <v>4.9652777777737356</v>
      </c>
      <c r="AN1040" s="51"/>
      <c r="AO1040" s="104" t="s">
        <v>90</v>
      </c>
      <c r="AP1040" s="106" t="s">
        <v>2806</v>
      </c>
      <c r="AQ1040" s="104" t="s">
        <v>3138</v>
      </c>
      <c r="AR1040" s="64">
        <v>44901.722222222219</v>
      </c>
      <c r="AS1040" s="104" t="s">
        <v>117</v>
      </c>
      <c r="AT1040" s="109" t="s">
        <v>225</v>
      </c>
      <c r="AU1040" s="110">
        <v>0.72222222222222221</v>
      </c>
      <c r="AV1040" s="109">
        <v>2</v>
      </c>
      <c r="AW1040" s="109" t="s">
        <v>66</v>
      </c>
      <c r="AX1040" s="52"/>
      <c r="AY1040" s="52"/>
      <c r="AZ1040" s="52"/>
      <c r="BA1040" s="52"/>
    </row>
    <row r="1041" spans="1:53" x14ac:dyDescent="0.25">
      <c r="A1041" s="73">
        <v>20</v>
      </c>
      <c r="B1041" s="72">
        <v>44896.756944444445</v>
      </c>
      <c r="C1041" s="67">
        <v>0.76041666666666663</v>
      </c>
      <c r="D1041" s="67">
        <v>0.76736111111111116</v>
      </c>
      <c r="E1041" s="67">
        <v>0.76736111111111116</v>
      </c>
      <c r="F1041" s="68" t="s">
        <v>169</v>
      </c>
      <c r="G1041" s="68" t="s">
        <v>331</v>
      </c>
      <c r="H1041" s="60" t="s">
        <v>2804</v>
      </c>
      <c r="I1041" s="60" t="s">
        <v>2805</v>
      </c>
      <c r="J1041" s="60" t="s">
        <v>41</v>
      </c>
      <c r="K1041" s="60" t="s">
        <v>241</v>
      </c>
      <c r="L1041" s="60">
        <v>0</v>
      </c>
      <c r="M1041" s="68" t="s">
        <v>2806</v>
      </c>
      <c r="N1041" s="68" t="s">
        <v>59</v>
      </c>
      <c r="O1041" s="68" t="s">
        <v>2807</v>
      </c>
      <c r="P1041" s="68">
        <v>1005602</v>
      </c>
      <c r="Q1041" s="303">
        <f t="shared" si="96"/>
        <v>0</v>
      </c>
      <c r="R1041" s="303">
        <f t="shared" si="97"/>
        <v>0</v>
      </c>
      <c r="S1041" s="68">
        <v>0</v>
      </c>
      <c r="T1041" s="68">
        <v>0</v>
      </c>
      <c r="U1041" s="68">
        <v>0</v>
      </c>
      <c r="V1041" s="68">
        <v>0</v>
      </c>
      <c r="W1041" s="68">
        <v>0</v>
      </c>
      <c r="X1041" s="37">
        <v>60</v>
      </c>
      <c r="Y1041" s="37">
        <v>40</v>
      </c>
      <c r="Z1041" s="37">
        <v>21</v>
      </c>
      <c r="AA1041" s="37">
        <v>5</v>
      </c>
      <c r="AB1041" s="300">
        <f t="shared" si="98"/>
        <v>42</v>
      </c>
      <c r="AC1041" s="300">
        <f t="shared" si="99"/>
        <v>0.25301204819277107</v>
      </c>
      <c r="AD1041" s="37">
        <v>0</v>
      </c>
      <c r="AE1041" s="37">
        <v>0</v>
      </c>
      <c r="AF1041" s="68" t="s">
        <v>2808</v>
      </c>
      <c r="AG1041" s="68" t="s">
        <v>2771</v>
      </c>
      <c r="AH1041" s="68" t="s">
        <v>2809</v>
      </c>
      <c r="AI1041" s="309"/>
      <c r="AJ1041" s="309"/>
      <c r="AK1041" s="68" t="s">
        <v>48</v>
      </c>
      <c r="AL1041" s="68" t="s">
        <v>47</v>
      </c>
      <c r="AM1041" s="299">
        <f t="shared" ca="1" si="95"/>
        <v>4.9652777777737356</v>
      </c>
      <c r="AN1041" s="51"/>
      <c r="AO1041" s="104" t="s">
        <v>90</v>
      </c>
      <c r="AP1041" s="106" t="s">
        <v>2806</v>
      </c>
      <c r="AQ1041" s="104" t="s">
        <v>3138</v>
      </c>
      <c r="AR1041" s="64">
        <v>44901.722222222219</v>
      </c>
      <c r="AS1041" s="104" t="s">
        <v>117</v>
      </c>
      <c r="AT1041" s="109" t="s">
        <v>225</v>
      </c>
      <c r="AU1041" s="110">
        <v>0.72222222222222221</v>
      </c>
      <c r="AV1041" s="109">
        <v>2</v>
      </c>
      <c r="AW1041" s="109" t="s">
        <v>66</v>
      </c>
      <c r="AX1041" s="52"/>
      <c r="AY1041" s="52"/>
      <c r="AZ1041" s="52"/>
      <c r="BA1041" s="52"/>
    </row>
    <row r="1042" spans="1:53" x14ac:dyDescent="0.25">
      <c r="A1042" s="48">
        <v>21</v>
      </c>
      <c r="B1042" s="46">
        <v>44897.416666666664</v>
      </c>
      <c r="C1042" s="36">
        <v>0.41666666666666669</v>
      </c>
      <c r="D1042" s="36">
        <v>0.4201388888888889</v>
      </c>
      <c r="E1042" s="36">
        <v>0.43055555555555558</v>
      </c>
      <c r="F1042" s="37" t="s">
        <v>171</v>
      </c>
      <c r="G1042" s="37" t="s">
        <v>151</v>
      </c>
      <c r="H1042" s="26" t="s">
        <v>2826</v>
      </c>
      <c r="I1042" s="26" t="s">
        <v>2827</v>
      </c>
      <c r="J1042" s="26" t="s">
        <v>41</v>
      </c>
      <c r="K1042" s="26" t="s">
        <v>180</v>
      </c>
      <c r="L1042" s="26" t="s">
        <v>206</v>
      </c>
      <c r="M1042" s="37" t="s">
        <v>2828</v>
      </c>
      <c r="N1042" s="37" t="s">
        <v>44</v>
      </c>
      <c r="O1042" s="37" t="s">
        <v>2829</v>
      </c>
      <c r="P1042" s="37">
        <v>22352</v>
      </c>
      <c r="Q1042" s="303">
        <f t="shared" si="96"/>
        <v>2</v>
      </c>
      <c r="R1042" s="303">
        <f t="shared" si="97"/>
        <v>125</v>
      </c>
      <c r="S1042" s="37">
        <v>0</v>
      </c>
      <c r="T1042" s="37">
        <v>0</v>
      </c>
      <c r="U1042" s="37">
        <v>2</v>
      </c>
      <c r="V1042" s="37">
        <f>32+93</f>
        <v>125</v>
      </c>
      <c r="W1042" s="37">
        <v>124</v>
      </c>
      <c r="X1042" s="37">
        <v>77</v>
      </c>
      <c r="Y1042" s="37">
        <v>64</v>
      </c>
      <c r="Z1042" s="37">
        <v>46</v>
      </c>
      <c r="AA1042" s="37">
        <v>1</v>
      </c>
      <c r="AB1042" s="300">
        <f t="shared" si="98"/>
        <v>37.781333333333336</v>
      </c>
      <c r="AC1042" s="300">
        <f t="shared" si="99"/>
        <v>0.2275983935742972</v>
      </c>
      <c r="AD1042" s="37">
        <v>3431</v>
      </c>
      <c r="AE1042" s="37" t="s">
        <v>109</v>
      </c>
      <c r="AF1042" s="37" t="s">
        <v>317</v>
      </c>
      <c r="AG1042" s="37" t="s">
        <v>317</v>
      </c>
      <c r="AH1042" s="37" t="s">
        <v>2830</v>
      </c>
      <c r="AI1042" s="309"/>
      <c r="AJ1042" s="309"/>
      <c r="AK1042" s="37" t="s">
        <v>41</v>
      </c>
      <c r="AL1042" s="37" t="s">
        <v>54</v>
      </c>
      <c r="AM1042" s="299">
        <f t="shared" ca="1" si="95"/>
        <v>1.2986111111167702</v>
      </c>
      <c r="AN1042" s="51"/>
      <c r="AO1042" s="104" t="s">
        <v>323</v>
      </c>
      <c r="AP1042" s="106" t="s">
        <v>2828</v>
      </c>
      <c r="AQ1042" s="104" t="s">
        <v>2997</v>
      </c>
      <c r="AR1042" s="111">
        <v>44898.715277777781</v>
      </c>
      <c r="AS1042" s="104" t="s">
        <v>1203</v>
      </c>
      <c r="AT1042" s="109" t="s">
        <v>65</v>
      </c>
      <c r="AU1042" s="110">
        <v>0.71527777777777779</v>
      </c>
      <c r="AV1042" s="104">
        <v>1</v>
      </c>
      <c r="AW1042" s="109" t="s">
        <v>66</v>
      </c>
      <c r="AX1042" s="52"/>
      <c r="AY1042" s="52"/>
      <c r="AZ1042" s="52"/>
      <c r="BA1042" s="52"/>
    </row>
    <row r="1043" spans="1:53" x14ac:dyDescent="0.25">
      <c r="A1043" s="73">
        <v>21</v>
      </c>
      <c r="B1043" s="72">
        <v>44897.416666666664</v>
      </c>
      <c r="C1043" s="67">
        <v>0.41666666666666669</v>
      </c>
      <c r="D1043" s="67">
        <v>0.4201388888888889</v>
      </c>
      <c r="E1043" s="67">
        <v>0.43055555555555558</v>
      </c>
      <c r="F1043" s="68" t="s">
        <v>171</v>
      </c>
      <c r="G1043" s="68" t="s">
        <v>151</v>
      </c>
      <c r="H1043" s="60" t="s">
        <v>2826</v>
      </c>
      <c r="I1043" s="60" t="s">
        <v>2827</v>
      </c>
      <c r="J1043" s="60" t="s">
        <v>41</v>
      </c>
      <c r="K1043" s="60" t="s">
        <v>180</v>
      </c>
      <c r="L1043" s="60" t="s">
        <v>206</v>
      </c>
      <c r="M1043" s="68" t="s">
        <v>2828</v>
      </c>
      <c r="N1043" s="68" t="s">
        <v>44</v>
      </c>
      <c r="O1043" s="68" t="s">
        <v>2829</v>
      </c>
      <c r="P1043" s="68">
        <v>22352</v>
      </c>
      <c r="Q1043" s="303">
        <f t="shared" si="96"/>
        <v>0</v>
      </c>
      <c r="R1043" s="303">
        <f t="shared" si="97"/>
        <v>0</v>
      </c>
      <c r="S1043" s="68">
        <v>0</v>
      </c>
      <c r="T1043" s="68">
        <v>0</v>
      </c>
      <c r="U1043" s="68">
        <v>0</v>
      </c>
      <c r="V1043" s="68">
        <v>0</v>
      </c>
      <c r="W1043" s="68">
        <v>0</v>
      </c>
      <c r="X1043" s="37">
        <v>92</v>
      </c>
      <c r="Y1043" s="37">
        <v>72</v>
      </c>
      <c r="Z1043" s="37">
        <v>107</v>
      </c>
      <c r="AA1043" s="37">
        <v>1</v>
      </c>
      <c r="AB1043" s="300">
        <f t="shared" si="98"/>
        <v>118.128</v>
      </c>
      <c r="AC1043" s="300">
        <f t="shared" si="99"/>
        <v>0.71161445783132526</v>
      </c>
      <c r="AD1043" s="37">
        <v>0</v>
      </c>
      <c r="AE1043" s="37">
        <v>0</v>
      </c>
      <c r="AF1043" s="68" t="s">
        <v>317</v>
      </c>
      <c r="AG1043" s="68" t="s">
        <v>317</v>
      </c>
      <c r="AH1043" s="68" t="s">
        <v>2830</v>
      </c>
      <c r="AI1043" s="309"/>
      <c r="AJ1043" s="309"/>
      <c r="AK1043" s="68" t="s">
        <v>41</v>
      </c>
      <c r="AL1043" s="68" t="s">
        <v>54</v>
      </c>
      <c r="AM1043" s="299">
        <f t="shared" ca="1" si="95"/>
        <v>1.2986111111167702</v>
      </c>
      <c r="AN1043" s="51"/>
      <c r="AO1043" s="104" t="s">
        <v>323</v>
      </c>
      <c r="AP1043" s="106" t="s">
        <v>2828</v>
      </c>
      <c r="AQ1043" s="104" t="s">
        <v>2997</v>
      </c>
      <c r="AR1043" s="111">
        <v>44898.715277777781</v>
      </c>
      <c r="AS1043" s="104" t="s">
        <v>1203</v>
      </c>
      <c r="AT1043" s="109" t="s">
        <v>65</v>
      </c>
      <c r="AU1043" s="110">
        <v>0.71527777777777779</v>
      </c>
      <c r="AV1043" s="104">
        <v>1</v>
      </c>
      <c r="AW1043" s="109" t="s">
        <v>66</v>
      </c>
      <c r="AX1043" s="52"/>
      <c r="AY1043" s="52"/>
      <c r="AZ1043" s="52"/>
      <c r="BA1043" s="52"/>
    </row>
    <row r="1044" spans="1:53" x14ac:dyDescent="0.25">
      <c r="A1044" s="48">
        <v>22</v>
      </c>
      <c r="B1044" s="72">
        <v>44897.416666666664</v>
      </c>
      <c r="C1044" s="67">
        <v>0.41666666666666669</v>
      </c>
      <c r="D1044" s="67">
        <v>0.4201388888888889</v>
      </c>
      <c r="E1044" s="67">
        <v>0.43402777777777773</v>
      </c>
      <c r="F1044" s="68" t="s">
        <v>171</v>
      </c>
      <c r="G1044" s="37" t="s">
        <v>280</v>
      </c>
      <c r="H1044" s="26" t="s">
        <v>2664</v>
      </c>
      <c r="I1044" s="60" t="s">
        <v>2664</v>
      </c>
      <c r="J1044" s="26" t="s">
        <v>37</v>
      </c>
      <c r="K1044" s="60" t="s">
        <v>180</v>
      </c>
      <c r="L1044" s="60" t="s">
        <v>206</v>
      </c>
      <c r="M1044" s="37" t="s">
        <v>2831</v>
      </c>
      <c r="N1044" s="37" t="s">
        <v>158</v>
      </c>
      <c r="O1044" s="37" t="s">
        <v>2832</v>
      </c>
      <c r="P1044" s="37">
        <v>84831092</v>
      </c>
      <c r="Q1044" s="303">
        <f t="shared" si="96"/>
        <v>1</v>
      </c>
      <c r="R1044" s="303">
        <f t="shared" si="97"/>
        <v>23</v>
      </c>
      <c r="S1044" s="37">
        <v>0</v>
      </c>
      <c r="T1044" s="37">
        <v>0</v>
      </c>
      <c r="U1044" s="37">
        <v>1</v>
      </c>
      <c r="V1044" s="37">
        <v>23</v>
      </c>
      <c r="W1044" s="37">
        <v>22</v>
      </c>
      <c r="X1044" s="37">
        <v>61</v>
      </c>
      <c r="Y1044" s="37">
        <v>36</v>
      </c>
      <c r="Z1044" s="37">
        <v>25</v>
      </c>
      <c r="AA1044" s="37">
        <v>1</v>
      </c>
      <c r="AB1044" s="300">
        <f t="shared" si="98"/>
        <v>9.15</v>
      </c>
      <c r="AC1044" s="300">
        <f t="shared" si="99"/>
        <v>5.5120481927710845E-2</v>
      </c>
      <c r="AD1044" s="37" t="s">
        <v>48</v>
      </c>
      <c r="AE1044" s="37" t="s">
        <v>48</v>
      </c>
      <c r="AF1044" s="68" t="s">
        <v>317</v>
      </c>
      <c r="AG1044" s="68" t="s">
        <v>317</v>
      </c>
      <c r="AH1044" s="37" t="s">
        <v>2833</v>
      </c>
      <c r="AI1044" s="309"/>
      <c r="AJ1044" s="309"/>
      <c r="AK1044" s="68" t="s">
        <v>41</v>
      </c>
      <c r="AL1044" s="68" t="s">
        <v>49</v>
      </c>
      <c r="AM1044" s="299">
        <f t="shared" ca="1" si="95"/>
        <v>0.21875</v>
      </c>
      <c r="AN1044" s="51"/>
      <c r="AO1044" s="57" t="s">
        <v>509</v>
      </c>
      <c r="AP1044" s="24" t="s">
        <v>2831</v>
      </c>
      <c r="AQ1044" s="57" t="s">
        <v>2890</v>
      </c>
      <c r="AR1044" s="29">
        <v>44897.635416666664</v>
      </c>
      <c r="AS1044" s="57" t="s">
        <v>117</v>
      </c>
      <c r="AT1044" s="61" t="s">
        <v>225</v>
      </c>
      <c r="AU1044" s="63">
        <v>0.63541666666666663</v>
      </c>
      <c r="AV1044" s="57">
        <v>2</v>
      </c>
      <c r="AW1044" s="61" t="s">
        <v>66</v>
      </c>
      <c r="AX1044" s="52"/>
      <c r="AY1044" s="52"/>
      <c r="AZ1044" s="52"/>
      <c r="BA1044" s="52"/>
    </row>
    <row r="1045" spans="1:53" x14ac:dyDescent="0.25">
      <c r="A1045" s="48">
        <v>23</v>
      </c>
      <c r="B1045" s="46">
        <v>44897.440972222219</v>
      </c>
      <c r="C1045" s="36">
        <v>0.44444444444444442</v>
      </c>
      <c r="D1045" s="36">
        <v>0.44791666666666669</v>
      </c>
      <c r="E1045" s="36">
        <v>0.4513888888888889</v>
      </c>
      <c r="F1045" s="37" t="s">
        <v>170</v>
      </c>
      <c r="G1045" s="37" t="s">
        <v>2834</v>
      </c>
      <c r="H1045" s="26" t="s">
        <v>1342</v>
      </c>
      <c r="I1045" s="26" t="s">
        <v>110</v>
      </c>
      <c r="J1045" s="60" t="s">
        <v>37</v>
      </c>
      <c r="K1045" s="60" t="s">
        <v>63</v>
      </c>
      <c r="L1045" s="60" t="s">
        <v>206</v>
      </c>
      <c r="M1045" s="37" t="s">
        <v>2835</v>
      </c>
      <c r="N1045" s="37" t="s">
        <v>283</v>
      </c>
      <c r="O1045" s="37" t="s">
        <v>2836</v>
      </c>
      <c r="P1045" s="37" t="s">
        <v>2837</v>
      </c>
      <c r="Q1045" s="303">
        <f t="shared" si="96"/>
        <v>1</v>
      </c>
      <c r="R1045" s="303">
        <f t="shared" si="97"/>
        <v>116</v>
      </c>
      <c r="S1045" s="37">
        <v>0</v>
      </c>
      <c r="T1045" s="37">
        <v>0</v>
      </c>
      <c r="U1045" s="37">
        <v>1</v>
      </c>
      <c r="V1045" s="37">
        <v>116</v>
      </c>
      <c r="W1045" s="37">
        <v>111</v>
      </c>
      <c r="X1045" s="37">
        <v>64</v>
      </c>
      <c r="Y1045" s="37">
        <v>52</v>
      </c>
      <c r="Z1045" s="37">
        <v>58</v>
      </c>
      <c r="AA1045" s="37">
        <v>1</v>
      </c>
      <c r="AB1045" s="300">
        <f t="shared" si="98"/>
        <v>32.170666666666669</v>
      </c>
      <c r="AC1045" s="300">
        <f t="shared" si="99"/>
        <v>0.1937991967871486</v>
      </c>
      <c r="AD1045" s="37">
        <v>627</v>
      </c>
      <c r="AE1045" s="37" t="s">
        <v>109</v>
      </c>
      <c r="AF1045" s="68" t="s">
        <v>317</v>
      </c>
      <c r="AG1045" s="68" t="s">
        <v>317</v>
      </c>
      <c r="AH1045" s="37" t="s">
        <v>2838</v>
      </c>
      <c r="AI1045" s="309"/>
      <c r="AJ1045" s="309"/>
      <c r="AK1045" s="37" t="s">
        <v>37</v>
      </c>
      <c r="AL1045" s="37" t="s">
        <v>54</v>
      </c>
      <c r="AM1045" s="299">
        <f t="shared" ca="1" si="95"/>
        <v>1.0486111111167702</v>
      </c>
      <c r="AN1045" s="51"/>
      <c r="AO1045" s="104" t="s">
        <v>202</v>
      </c>
      <c r="AP1045" s="106" t="s">
        <v>2835</v>
      </c>
      <c r="AQ1045" s="104" t="s">
        <v>2991</v>
      </c>
      <c r="AR1045" s="111">
        <v>44898.489583333336</v>
      </c>
      <c r="AS1045" s="109" t="s">
        <v>136</v>
      </c>
      <c r="AT1045" s="109" t="s">
        <v>225</v>
      </c>
      <c r="AU1045" s="110">
        <v>0.48958333333333331</v>
      </c>
      <c r="AV1045" s="104">
        <v>1</v>
      </c>
      <c r="AW1045" s="109" t="s">
        <v>66</v>
      </c>
      <c r="AX1045" s="52"/>
      <c r="AY1045" s="52"/>
      <c r="AZ1045" s="52"/>
      <c r="BA1045" s="52"/>
    </row>
    <row r="1046" spans="1:53" x14ac:dyDescent="0.25">
      <c r="A1046" s="48">
        <v>24</v>
      </c>
      <c r="B1046" s="72">
        <v>44897.440972222219</v>
      </c>
      <c r="C1046" s="67">
        <v>0.44444444444444442</v>
      </c>
      <c r="D1046" s="67">
        <v>0.44791666666666669</v>
      </c>
      <c r="E1046" s="67">
        <v>0.4513888888888889</v>
      </c>
      <c r="F1046" s="68" t="s">
        <v>170</v>
      </c>
      <c r="G1046" s="68" t="s">
        <v>2834</v>
      </c>
      <c r="H1046" s="60" t="s">
        <v>1342</v>
      </c>
      <c r="I1046" s="60" t="s">
        <v>110</v>
      </c>
      <c r="J1046" s="60" t="s">
        <v>37</v>
      </c>
      <c r="K1046" s="60" t="s">
        <v>63</v>
      </c>
      <c r="L1046" s="60" t="s">
        <v>206</v>
      </c>
      <c r="M1046" s="37" t="s">
        <v>2839</v>
      </c>
      <c r="N1046" s="68" t="s">
        <v>283</v>
      </c>
      <c r="O1046" s="68" t="s">
        <v>2840</v>
      </c>
      <c r="P1046" s="68" t="s">
        <v>2837</v>
      </c>
      <c r="Q1046" s="303">
        <f t="shared" si="96"/>
        <v>1</v>
      </c>
      <c r="R1046" s="303">
        <f t="shared" si="97"/>
        <v>117</v>
      </c>
      <c r="S1046" s="37">
        <v>0</v>
      </c>
      <c r="T1046" s="37">
        <v>0</v>
      </c>
      <c r="U1046" s="37">
        <v>1</v>
      </c>
      <c r="V1046" s="37">
        <v>117</v>
      </c>
      <c r="W1046" s="37">
        <v>111</v>
      </c>
      <c r="X1046" s="37">
        <v>64</v>
      </c>
      <c r="Y1046" s="37">
        <v>52</v>
      </c>
      <c r="Z1046" s="37">
        <v>58</v>
      </c>
      <c r="AA1046" s="37">
        <v>1</v>
      </c>
      <c r="AB1046" s="300">
        <f t="shared" si="98"/>
        <v>32.170666666666669</v>
      </c>
      <c r="AC1046" s="300">
        <f t="shared" si="99"/>
        <v>0.1937991967871486</v>
      </c>
      <c r="AD1046" s="37">
        <v>450</v>
      </c>
      <c r="AE1046" s="68" t="s">
        <v>109</v>
      </c>
      <c r="AF1046" s="68" t="s">
        <v>317</v>
      </c>
      <c r="AG1046" s="68" t="s">
        <v>317</v>
      </c>
      <c r="AH1046" s="37" t="s">
        <v>2841</v>
      </c>
      <c r="AI1046" s="309"/>
      <c r="AJ1046" s="309"/>
      <c r="AK1046" s="68" t="s">
        <v>37</v>
      </c>
      <c r="AL1046" s="68" t="s">
        <v>54</v>
      </c>
      <c r="AM1046" s="299">
        <f t="shared" ca="1" si="95"/>
        <v>1.0486111111167702</v>
      </c>
      <c r="AN1046" s="51"/>
      <c r="AO1046" s="104" t="s">
        <v>202</v>
      </c>
      <c r="AP1046" s="106" t="s">
        <v>2839</v>
      </c>
      <c r="AQ1046" s="104" t="s">
        <v>2990</v>
      </c>
      <c r="AR1046" s="111">
        <v>44898.489583333336</v>
      </c>
      <c r="AS1046" s="109" t="s">
        <v>136</v>
      </c>
      <c r="AT1046" s="109" t="s">
        <v>225</v>
      </c>
      <c r="AU1046" s="110">
        <v>0.48958333333333331</v>
      </c>
      <c r="AV1046" s="104">
        <v>1</v>
      </c>
      <c r="AW1046" s="109" t="s">
        <v>66</v>
      </c>
      <c r="AX1046" s="52"/>
      <c r="AY1046" s="52"/>
      <c r="AZ1046" s="52"/>
      <c r="BA1046" s="52"/>
    </row>
    <row r="1047" spans="1:53" x14ac:dyDescent="0.25">
      <c r="A1047" s="48">
        <v>25</v>
      </c>
      <c r="B1047" s="46">
        <v>44897.482638888891</v>
      </c>
      <c r="C1047" s="36">
        <v>0.4861111111111111</v>
      </c>
      <c r="D1047" s="36">
        <v>0.49652777777777773</v>
      </c>
      <c r="E1047" s="36">
        <v>0.53125</v>
      </c>
      <c r="F1047" s="68" t="s">
        <v>170</v>
      </c>
      <c r="G1047" s="37" t="s">
        <v>2845</v>
      </c>
      <c r="H1047" s="26" t="s">
        <v>46</v>
      </c>
      <c r="I1047" s="26" t="s">
        <v>73</v>
      </c>
      <c r="J1047" s="26" t="s">
        <v>41</v>
      </c>
      <c r="K1047" s="66" t="s">
        <v>63</v>
      </c>
      <c r="L1047" s="66" t="s">
        <v>214</v>
      </c>
      <c r="M1047" s="37" t="s">
        <v>2846</v>
      </c>
      <c r="N1047" s="37" t="s">
        <v>59</v>
      </c>
      <c r="O1047" s="37" t="s">
        <v>2847</v>
      </c>
      <c r="P1047" s="37">
        <v>5767</v>
      </c>
      <c r="Q1047" s="303">
        <f t="shared" si="96"/>
        <v>1</v>
      </c>
      <c r="R1047" s="303">
        <f t="shared" si="97"/>
        <v>198</v>
      </c>
      <c r="S1047" s="37">
        <v>0</v>
      </c>
      <c r="T1047" s="37">
        <v>0</v>
      </c>
      <c r="U1047" s="37">
        <v>1</v>
      </c>
      <c r="V1047" s="37">
        <v>198</v>
      </c>
      <c r="W1047" s="37">
        <v>195</v>
      </c>
      <c r="X1047" s="37">
        <v>70</v>
      </c>
      <c r="Y1047" s="37">
        <v>52</v>
      </c>
      <c r="Z1047" s="37">
        <v>61</v>
      </c>
      <c r="AA1047" s="37">
        <v>1</v>
      </c>
      <c r="AB1047" s="300">
        <f t="shared" si="98"/>
        <v>37.006666666666668</v>
      </c>
      <c r="AC1047" s="300">
        <f t="shared" si="99"/>
        <v>0.22293172690763052</v>
      </c>
      <c r="AD1047" s="37" t="s">
        <v>48</v>
      </c>
      <c r="AE1047" s="37" t="s">
        <v>48</v>
      </c>
      <c r="AF1047" s="68" t="s">
        <v>317</v>
      </c>
      <c r="AG1047" s="68" t="s">
        <v>317</v>
      </c>
      <c r="AH1047" s="37" t="s">
        <v>2848</v>
      </c>
      <c r="AI1047" s="309"/>
      <c r="AJ1047" s="309"/>
      <c r="AK1047" s="37" t="s">
        <v>41</v>
      </c>
      <c r="AL1047" s="37" t="s">
        <v>39</v>
      </c>
      <c r="AM1047" s="299">
        <f t="shared" ca="1" si="95"/>
        <v>3.9722222222189885</v>
      </c>
      <c r="AN1047" s="51"/>
      <c r="AO1047" s="104" t="s">
        <v>70</v>
      </c>
      <c r="AP1047" s="106" t="s">
        <v>2846</v>
      </c>
      <c r="AQ1047" s="104" t="s">
        <v>3072</v>
      </c>
      <c r="AR1047" s="111">
        <v>44901.454861111109</v>
      </c>
      <c r="AS1047" s="104" t="s">
        <v>117</v>
      </c>
      <c r="AT1047" s="109" t="s">
        <v>225</v>
      </c>
      <c r="AU1047" s="110">
        <v>0.4548611111111111</v>
      </c>
      <c r="AV1047" s="104">
        <v>1</v>
      </c>
      <c r="AW1047" s="109" t="s">
        <v>66</v>
      </c>
      <c r="AX1047" s="52"/>
      <c r="AY1047" s="52"/>
      <c r="AZ1047" s="52"/>
      <c r="BA1047" s="52"/>
    </row>
    <row r="1048" spans="1:53" x14ac:dyDescent="0.25">
      <c r="A1048" s="48">
        <v>26</v>
      </c>
      <c r="B1048" s="72">
        <v>44897.482638888891</v>
      </c>
      <c r="C1048" s="67">
        <v>0.4861111111111111</v>
      </c>
      <c r="D1048" s="67">
        <v>0.49652777777777773</v>
      </c>
      <c r="E1048" s="67">
        <v>0.53125</v>
      </c>
      <c r="F1048" s="68" t="s">
        <v>170</v>
      </c>
      <c r="G1048" s="68" t="s">
        <v>2845</v>
      </c>
      <c r="H1048" s="60" t="s">
        <v>46</v>
      </c>
      <c r="I1048" s="26" t="s">
        <v>71</v>
      </c>
      <c r="J1048" s="60" t="s">
        <v>41</v>
      </c>
      <c r="K1048" s="66" t="s">
        <v>63</v>
      </c>
      <c r="L1048" s="66" t="s">
        <v>214</v>
      </c>
      <c r="M1048" s="37" t="s">
        <v>2849</v>
      </c>
      <c r="N1048" s="37" t="s">
        <v>139</v>
      </c>
      <c r="O1048" s="37" t="s">
        <v>2850</v>
      </c>
      <c r="P1048" s="37">
        <v>5683</v>
      </c>
      <c r="Q1048" s="303">
        <f t="shared" si="96"/>
        <v>1</v>
      </c>
      <c r="R1048" s="303">
        <f t="shared" si="97"/>
        <v>207.5</v>
      </c>
      <c r="S1048" s="37">
        <v>0</v>
      </c>
      <c r="T1048" s="37">
        <v>0</v>
      </c>
      <c r="U1048" s="37">
        <v>1</v>
      </c>
      <c r="V1048" s="37">
        <v>207.5</v>
      </c>
      <c r="W1048" s="37">
        <v>222</v>
      </c>
      <c r="X1048" s="37">
        <v>84</v>
      </c>
      <c r="Y1048" s="37">
        <v>84</v>
      </c>
      <c r="Z1048" s="37">
        <v>49</v>
      </c>
      <c r="AA1048" s="37">
        <v>1</v>
      </c>
      <c r="AB1048" s="300">
        <f t="shared" si="98"/>
        <v>57.624000000000002</v>
      </c>
      <c r="AC1048" s="300">
        <f t="shared" si="99"/>
        <v>0.34713253012048195</v>
      </c>
      <c r="AD1048" s="68" t="s">
        <v>48</v>
      </c>
      <c r="AE1048" s="68" t="s">
        <v>48</v>
      </c>
      <c r="AF1048" s="68" t="s">
        <v>317</v>
      </c>
      <c r="AG1048" s="68" t="s">
        <v>317</v>
      </c>
      <c r="AH1048" s="37" t="s">
        <v>2851</v>
      </c>
      <c r="AI1048" s="309"/>
      <c r="AJ1048" s="309"/>
      <c r="AK1048" s="68" t="s">
        <v>41</v>
      </c>
      <c r="AL1048" s="68" t="s">
        <v>39</v>
      </c>
      <c r="AM1048" s="299">
        <f t="shared" ca="1" si="95"/>
        <v>5.03125</v>
      </c>
      <c r="AN1048" s="51"/>
      <c r="AO1048" s="104" t="s">
        <v>72</v>
      </c>
      <c r="AP1048" s="106" t="s">
        <v>2849</v>
      </c>
      <c r="AQ1048" s="104" t="s">
        <v>3207</v>
      </c>
      <c r="AR1048" s="111">
        <v>44902.513888888891</v>
      </c>
      <c r="AS1048" s="109" t="s">
        <v>136</v>
      </c>
      <c r="AT1048" s="109" t="s">
        <v>225</v>
      </c>
      <c r="AU1048" s="110">
        <v>0.51388888888888895</v>
      </c>
      <c r="AV1048" s="104">
        <v>1</v>
      </c>
      <c r="AW1048" s="109" t="s">
        <v>66</v>
      </c>
      <c r="AX1048" s="52"/>
      <c r="AY1048" s="52"/>
      <c r="AZ1048" s="52"/>
      <c r="BA1048" s="52"/>
    </row>
    <row r="1049" spans="1:53" x14ac:dyDescent="0.25">
      <c r="A1049" s="48">
        <v>27</v>
      </c>
      <c r="B1049" s="72">
        <v>44897.482638888891</v>
      </c>
      <c r="C1049" s="67">
        <v>0.4861111111111111</v>
      </c>
      <c r="D1049" s="67">
        <v>0.49652777777777773</v>
      </c>
      <c r="E1049" s="67">
        <v>0.53125</v>
      </c>
      <c r="F1049" s="68" t="s">
        <v>170</v>
      </c>
      <c r="G1049" s="68" t="s">
        <v>2845</v>
      </c>
      <c r="H1049" s="26" t="s">
        <v>45</v>
      </c>
      <c r="I1049" s="26" t="s">
        <v>110</v>
      </c>
      <c r="J1049" s="26" t="s">
        <v>37</v>
      </c>
      <c r="K1049" s="66" t="s">
        <v>63</v>
      </c>
      <c r="L1049" s="66" t="s">
        <v>215</v>
      </c>
      <c r="M1049" s="37" t="s">
        <v>2852</v>
      </c>
      <c r="N1049" s="37" t="s">
        <v>186</v>
      </c>
      <c r="O1049" s="37">
        <v>3500740</v>
      </c>
      <c r="P1049" s="37">
        <v>5052008575</v>
      </c>
      <c r="Q1049" s="303">
        <f t="shared" si="96"/>
        <v>1</v>
      </c>
      <c r="R1049" s="303">
        <f t="shared" si="97"/>
        <v>105.908</v>
      </c>
      <c r="S1049" s="37">
        <v>0</v>
      </c>
      <c r="T1049" s="37">
        <v>0</v>
      </c>
      <c r="U1049" s="37">
        <v>1</v>
      </c>
      <c r="V1049" s="37">
        <v>105.908</v>
      </c>
      <c r="W1049" s="37">
        <v>107</v>
      </c>
      <c r="X1049" s="37">
        <v>90</v>
      </c>
      <c r="Y1049" s="37">
        <v>80</v>
      </c>
      <c r="Z1049" s="37">
        <v>32</v>
      </c>
      <c r="AA1049" s="37">
        <v>1</v>
      </c>
      <c r="AB1049" s="300">
        <f t="shared" si="98"/>
        <v>38.4</v>
      </c>
      <c r="AC1049" s="300">
        <f t="shared" si="99"/>
        <v>0.23132530120481926</v>
      </c>
      <c r="AD1049" s="37">
        <v>2190.5</v>
      </c>
      <c r="AE1049" s="37" t="s">
        <v>109</v>
      </c>
      <c r="AF1049" s="68" t="s">
        <v>317</v>
      </c>
      <c r="AG1049" s="68" t="s">
        <v>317</v>
      </c>
      <c r="AH1049" s="37" t="s">
        <v>2853</v>
      </c>
      <c r="AI1049" s="309"/>
      <c r="AJ1049" s="309"/>
      <c r="AK1049" s="37" t="s">
        <v>37</v>
      </c>
      <c r="AL1049" s="68" t="s">
        <v>39</v>
      </c>
      <c r="AM1049" s="299">
        <f t="shared" ca="1" si="95"/>
        <v>1.0069444444452529</v>
      </c>
      <c r="AN1049" s="51"/>
      <c r="AO1049" s="104" t="s">
        <v>131</v>
      </c>
      <c r="AP1049" s="106" t="s">
        <v>2852</v>
      </c>
      <c r="AQ1049" s="104" t="s">
        <v>2989</v>
      </c>
      <c r="AR1049" s="111">
        <v>44898.489583333336</v>
      </c>
      <c r="AS1049" s="109" t="s">
        <v>136</v>
      </c>
      <c r="AT1049" s="109" t="s">
        <v>225</v>
      </c>
      <c r="AU1049" s="110">
        <v>0.48958333333333331</v>
      </c>
      <c r="AV1049" s="104">
        <v>1</v>
      </c>
      <c r="AW1049" s="109" t="s">
        <v>66</v>
      </c>
      <c r="AX1049" s="52"/>
      <c r="AY1049" s="52"/>
      <c r="AZ1049" s="52"/>
      <c r="BA1049" s="52"/>
    </row>
    <row r="1050" spans="1:53" x14ac:dyDescent="0.25">
      <c r="A1050" s="48">
        <v>28</v>
      </c>
      <c r="B1050" s="72">
        <v>44897.482638888891</v>
      </c>
      <c r="C1050" s="67">
        <v>0.4861111111111111</v>
      </c>
      <c r="D1050" s="67">
        <v>0.49652777777777773</v>
      </c>
      <c r="E1050" s="67">
        <v>0.53125</v>
      </c>
      <c r="F1050" s="68" t="s">
        <v>170</v>
      </c>
      <c r="G1050" s="68" t="s">
        <v>2845</v>
      </c>
      <c r="H1050" s="60" t="s">
        <v>45</v>
      </c>
      <c r="I1050" s="26" t="s">
        <v>71</v>
      </c>
      <c r="J1050" s="60" t="s">
        <v>37</v>
      </c>
      <c r="K1050" s="66" t="s">
        <v>63</v>
      </c>
      <c r="L1050" s="66" t="s">
        <v>215</v>
      </c>
      <c r="M1050" s="37" t="s">
        <v>2854</v>
      </c>
      <c r="N1050" s="37" t="s">
        <v>139</v>
      </c>
      <c r="O1050" s="37">
        <v>3500747</v>
      </c>
      <c r="P1050" s="37">
        <v>5052002192</v>
      </c>
      <c r="Q1050" s="303">
        <f t="shared" si="96"/>
        <v>1</v>
      </c>
      <c r="R1050" s="303">
        <f t="shared" si="97"/>
        <v>109.43</v>
      </c>
      <c r="S1050" s="37">
        <v>0</v>
      </c>
      <c r="T1050" s="37">
        <v>0</v>
      </c>
      <c r="U1050" s="37">
        <v>1</v>
      </c>
      <c r="V1050" s="37">
        <v>109.43</v>
      </c>
      <c r="W1050" s="37">
        <v>109</v>
      </c>
      <c r="X1050" s="37">
        <v>81</v>
      </c>
      <c r="Y1050" s="37">
        <v>49</v>
      </c>
      <c r="Z1050" s="37">
        <v>50</v>
      </c>
      <c r="AA1050" s="37">
        <v>1</v>
      </c>
      <c r="AB1050" s="300">
        <f t="shared" si="98"/>
        <v>33.075000000000003</v>
      </c>
      <c r="AC1050" s="300">
        <f t="shared" si="99"/>
        <v>0.19924698795180726</v>
      </c>
      <c r="AD1050" s="37">
        <v>1939.1</v>
      </c>
      <c r="AE1050" s="68" t="s">
        <v>109</v>
      </c>
      <c r="AF1050" s="68" t="s">
        <v>317</v>
      </c>
      <c r="AG1050" s="68" t="s">
        <v>317</v>
      </c>
      <c r="AH1050" s="37" t="s">
        <v>2855</v>
      </c>
      <c r="AI1050" s="309"/>
      <c r="AJ1050" s="309"/>
      <c r="AK1050" s="68" t="s">
        <v>37</v>
      </c>
      <c r="AL1050" s="68" t="s">
        <v>39</v>
      </c>
      <c r="AM1050" s="299">
        <f t="shared" ca="1" si="95"/>
        <v>5.03125</v>
      </c>
      <c r="AN1050" s="51"/>
      <c r="AO1050" s="104" t="s">
        <v>72</v>
      </c>
      <c r="AP1050" s="106" t="s">
        <v>2854</v>
      </c>
      <c r="AQ1050" s="104" t="s">
        <v>3207</v>
      </c>
      <c r="AR1050" s="111">
        <v>44902.513888888891</v>
      </c>
      <c r="AS1050" s="109" t="s">
        <v>136</v>
      </c>
      <c r="AT1050" s="109" t="s">
        <v>225</v>
      </c>
      <c r="AU1050" s="110">
        <v>0.51388888888888895</v>
      </c>
      <c r="AV1050" s="104">
        <v>1</v>
      </c>
      <c r="AW1050" s="109" t="s">
        <v>66</v>
      </c>
      <c r="AX1050" s="52"/>
      <c r="AY1050" s="52"/>
      <c r="AZ1050" s="52"/>
      <c r="BA1050" s="52"/>
    </row>
    <row r="1051" spans="1:53" x14ac:dyDescent="0.25">
      <c r="A1051" s="48">
        <v>29</v>
      </c>
      <c r="B1051" s="72">
        <v>44897.482638888891</v>
      </c>
      <c r="C1051" s="67">
        <v>0.4861111111111111</v>
      </c>
      <c r="D1051" s="67">
        <v>0.49652777777777773</v>
      </c>
      <c r="E1051" s="67">
        <v>0.53125</v>
      </c>
      <c r="F1051" s="68" t="s">
        <v>170</v>
      </c>
      <c r="G1051" s="68" t="s">
        <v>2845</v>
      </c>
      <c r="H1051" s="26" t="s">
        <v>57</v>
      </c>
      <c r="I1051" s="26" t="s">
        <v>162</v>
      </c>
      <c r="J1051" s="60" t="s">
        <v>37</v>
      </c>
      <c r="K1051" s="66" t="s">
        <v>63</v>
      </c>
      <c r="L1051" s="66" t="s">
        <v>209</v>
      </c>
      <c r="M1051" s="37" t="s">
        <v>2856</v>
      </c>
      <c r="N1051" s="37" t="s">
        <v>158</v>
      </c>
      <c r="O1051" s="37" t="s">
        <v>2857</v>
      </c>
      <c r="P1051" s="37">
        <v>81962295</v>
      </c>
      <c r="Q1051" s="303">
        <f t="shared" si="96"/>
        <v>1</v>
      </c>
      <c r="R1051" s="303">
        <f t="shared" si="97"/>
        <v>157</v>
      </c>
      <c r="S1051" s="37">
        <v>0</v>
      </c>
      <c r="T1051" s="37">
        <v>0</v>
      </c>
      <c r="U1051" s="37">
        <v>1</v>
      </c>
      <c r="V1051" s="37">
        <v>157</v>
      </c>
      <c r="W1051" s="37">
        <v>157</v>
      </c>
      <c r="X1051" s="37">
        <v>95</v>
      </c>
      <c r="Y1051" s="37">
        <v>57</v>
      </c>
      <c r="Z1051" s="37">
        <v>65</v>
      </c>
      <c r="AA1051" s="37">
        <v>1</v>
      </c>
      <c r="AB1051" s="300">
        <f t="shared" si="98"/>
        <v>58.662500000000001</v>
      </c>
      <c r="AC1051" s="300">
        <f t="shared" si="99"/>
        <v>0.35338855421686749</v>
      </c>
      <c r="AD1051" s="37">
        <v>1237.21</v>
      </c>
      <c r="AE1051" s="68" t="s">
        <v>109</v>
      </c>
      <c r="AF1051" s="68" t="s">
        <v>317</v>
      </c>
      <c r="AG1051" s="68" t="s">
        <v>317</v>
      </c>
      <c r="AH1051" s="37" t="s">
        <v>2858</v>
      </c>
      <c r="AI1051" s="309"/>
      <c r="AJ1051" s="309"/>
      <c r="AK1051" s="68" t="s">
        <v>37</v>
      </c>
      <c r="AL1051" s="68" t="s">
        <v>39</v>
      </c>
      <c r="AM1051" s="299">
        <f t="shared" ca="1" si="95"/>
        <v>3.9722222222189885</v>
      </c>
      <c r="AN1051" s="51"/>
      <c r="AO1051" s="104" t="s">
        <v>159</v>
      </c>
      <c r="AP1051" s="106" t="s">
        <v>2856</v>
      </c>
      <c r="AQ1051" s="104" t="s">
        <v>3074</v>
      </c>
      <c r="AR1051" s="111">
        <v>44901.454861111109</v>
      </c>
      <c r="AS1051" s="104" t="s">
        <v>117</v>
      </c>
      <c r="AT1051" s="109" t="s">
        <v>225</v>
      </c>
      <c r="AU1051" s="110">
        <v>0.4548611111111111</v>
      </c>
      <c r="AV1051" s="104">
        <v>1</v>
      </c>
      <c r="AW1051" s="109" t="s">
        <v>66</v>
      </c>
      <c r="AX1051" s="52"/>
      <c r="AY1051" s="52"/>
      <c r="AZ1051" s="52"/>
      <c r="BA1051" s="52"/>
    </row>
    <row r="1052" spans="1:53" x14ac:dyDescent="0.25">
      <c r="A1052" s="48">
        <v>30</v>
      </c>
      <c r="B1052" s="72">
        <v>44897.482638888891</v>
      </c>
      <c r="C1052" s="67">
        <v>0.4861111111111111</v>
      </c>
      <c r="D1052" s="67">
        <v>0.49652777777777773</v>
      </c>
      <c r="E1052" s="67">
        <v>0.53125</v>
      </c>
      <c r="F1052" s="68" t="s">
        <v>170</v>
      </c>
      <c r="G1052" s="68" t="s">
        <v>2845</v>
      </c>
      <c r="H1052" s="60" t="s">
        <v>57</v>
      </c>
      <c r="I1052" s="60" t="s">
        <v>92</v>
      </c>
      <c r="J1052" s="60" t="s">
        <v>37</v>
      </c>
      <c r="K1052" s="66" t="s">
        <v>63</v>
      </c>
      <c r="L1052" s="66" t="s">
        <v>209</v>
      </c>
      <c r="M1052" s="37" t="s">
        <v>2859</v>
      </c>
      <c r="N1052" s="37" t="s">
        <v>42</v>
      </c>
      <c r="O1052" s="68" t="s">
        <v>2860</v>
      </c>
      <c r="P1052" s="37">
        <v>81958292</v>
      </c>
      <c r="Q1052" s="303">
        <f t="shared" si="96"/>
        <v>1</v>
      </c>
      <c r="R1052" s="303">
        <f t="shared" si="97"/>
        <v>35</v>
      </c>
      <c r="S1052" s="37">
        <v>0</v>
      </c>
      <c r="T1052" s="37">
        <v>0</v>
      </c>
      <c r="U1052" s="37">
        <v>1</v>
      </c>
      <c r="V1052" s="37">
        <v>35</v>
      </c>
      <c r="W1052" s="37">
        <v>35</v>
      </c>
      <c r="X1052" s="37">
        <v>80</v>
      </c>
      <c r="Y1052" s="37">
        <v>57</v>
      </c>
      <c r="Z1052" s="37">
        <v>45</v>
      </c>
      <c r="AA1052" s="37">
        <v>1</v>
      </c>
      <c r="AB1052" s="300">
        <f t="shared" si="98"/>
        <v>34.200000000000003</v>
      </c>
      <c r="AC1052" s="300">
        <f t="shared" si="99"/>
        <v>0.2060240963855422</v>
      </c>
      <c r="AD1052" s="37">
        <v>3862.59</v>
      </c>
      <c r="AE1052" s="68" t="s">
        <v>109</v>
      </c>
      <c r="AF1052" s="68" t="s">
        <v>317</v>
      </c>
      <c r="AG1052" s="68" t="s">
        <v>317</v>
      </c>
      <c r="AH1052" s="37" t="s">
        <v>2861</v>
      </c>
      <c r="AI1052" s="309"/>
      <c r="AJ1052" s="309"/>
      <c r="AK1052" s="68" t="s">
        <v>37</v>
      </c>
      <c r="AL1052" s="68" t="s">
        <v>39</v>
      </c>
      <c r="AM1052" s="299">
        <f t="shared" ca="1" si="95"/>
        <v>3.9722222222189885</v>
      </c>
      <c r="AN1052" s="51"/>
      <c r="AO1052" s="104" t="s">
        <v>120</v>
      </c>
      <c r="AP1052" s="106" t="s">
        <v>2859</v>
      </c>
      <c r="AQ1052" s="104" t="s">
        <v>3073</v>
      </c>
      <c r="AR1052" s="111">
        <v>44901.454861111109</v>
      </c>
      <c r="AS1052" s="104" t="s">
        <v>117</v>
      </c>
      <c r="AT1052" s="109" t="s">
        <v>225</v>
      </c>
      <c r="AU1052" s="110">
        <v>0.4548611111111111</v>
      </c>
      <c r="AV1052" s="104">
        <v>1</v>
      </c>
      <c r="AW1052" s="109" t="s">
        <v>66</v>
      </c>
      <c r="AX1052" s="52"/>
      <c r="AY1052" s="52"/>
      <c r="AZ1052" s="52"/>
      <c r="BA1052" s="52"/>
    </row>
    <row r="1053" spans="1:53" x14ac:dyDescent="0.25">
      <c r="A1053" s="48">
        <v>31</v>
      </c>
      <c r="B1053" s="72">
        <v>44897.482638888891</v>
      </c>
      <c r="C1053" s="67">
        <v>0.4861111111111111</v>
      </c>
      <c r="D1053" s="67">
        <v>0.49652777777777773</v>
      </c>
      <c r="E1053" s="67">
        <v>0.53125</v>
      </c>
      <c r="F1053" s="68" t="s">
        <v>170</v>
      </c>
      <c r="G1053" s="68" t="s">
        <v>2845</v>
      </c>
      <c r="H1053" s="60" t="s">
        <v>57</v>
      </c>
      <c r="I1053" s="60" t="s">
        <v>92</v>
      </c>
      <c r="J1053" s="60" t="s">
        <v>37</v>
      </c>
      <c r="K1053" s="66" t="s">
        <v>63</v>
      </c>
      <c r="L1053" s="66" t="s">
        <v>209</v>
      </c>
      <c r="M1053" s="37" t="s">
        <v>2859</v>
      </c>
      <c r="N1053" s="68" t="s">
        <v>42</v>
      </c>
      <c r="O1053" s="68" t="s">
        <v>2862</v>
      </c>
      <c r="P1053" s="37">
        <v>81963339</v>
      </c>
      <c r="Q1053" s="303">
        <f t="shared" si="96"/>
        <v>2</v>
      </c>
      <c r="R1053" s="303">
        <f t="shared" si="97"/>
        <v>407</v>
      </c>
      <c r="S1053" s="37">
        <v>0</v>
      </c>
      <c r="T1053" s="37">
        <v>0</v>
      </c>
      <c r="U1053" s="37">
        <v>2</v>
      </c>
      <c r="V1053" s="37">
        <f>341-62+128</f>
        <v>407</v>
      </c>
      <c r="W1053" s="37">
        <v>404</v>
      </c>
      <c r="X1053" s="37">
        <v>183</v>
      </c>
      <c r="Y1053" s="37">
        <v>84</v>
      </c>
      <c r="Z1053" s="37">
        <v>77</v>
      </c>
      <c r="AA1053" s="37">
        <v>1</v>
      </c>
      <c r="AB1053" s="300">
        <f t="shared" si="98"/>
        <v>197.274</v>
      </c>
      <c r="AC1053" s="300">
        <f t="shared" si="99"/>
        <v>1.1883975903614459</v>
      </c>
      <c r="AD1053" s="37">
        <v>60859.05</v>
      </c>
      <c r="AE1053" s="68" t="s">
        <v>109</v>
      </c>
      <c r="AF1053" s="68" t="s">
        <v>317</v>
      </c>
      <c r="AG1053" s="68" t="s">
        <v>317</v>
      </c>
      <c r="AH1053" s="37" t="s">
        <v>2863</v>
      </c>
      <c r="AI1053" s="309"/>
      <c r="AJ1053" s="309"/>
      <c r="AK1053" s="68" t="s">
        <v>37</v>
      </c>
      <c r="AL1053" s="37" t="s">
        <v>56</v>
      </c>
      <c r="AM1053" s="299">
        <f t="shared" ca="1" si="95"/>
        <v>3.9722222222189885</v>
      </c>
      <c r="AN1053" s="51"/>
      <c r="AO1053" s="104" t="s">
        <v>120</v>
      </c>
      <c r="AP1053" s="106" t="s">
        <v>2859</v>
      </c>
      <c r="AQ1053" s="104" t="s">
        <v>3073</v>
      </c>
      <c r="AR1053" s="111">
        <v>44901.454861111109</v>
      </c>
      <c r="AS1053" s="104" t="s">
        <v>117</v>
      </c>
      <c r="AT1053" s="109" t="s">
        <v>225</v>
      </c>
      <c r="AU1053" s="110">
        <v>0.4548611111111111</v>
      </c>
      <c r="AV1053" s="104">
        <v>1</v>
      </c>
      <c r="AW1053" s="109" t="s">
        <v>66</v>
      </c>
      <c r="AX1053" s="52"/>
      <c r="AY1053" s="52"/>
      <c r="AZ1053" s="52"/>
      <c r="BA1053" s="52"/>
    </row>
    <row r="1054" spans="1:53" x14ac:dyDescent="0.25">
      <c r="A1054" s="73">
        <v>31</v>
      </c>
      <c r="B1054" s="72">
        <v>44897.482638888891</v>
      </c>
      <c r="C1054" s="67">
        <v>0.4861111111111111</v>
      </c>
      <c r="D1054" s="67">
        <v>0.49652777777777773</v>
      </c>
      <c r="E1054" s="67">
        <v>0.53125</v>
      </c>
      <c r="F1054" s="68" t="s">
        <v>170</v>
      </c>
      <c r="G1054" s="68" t="s">
        <v>2845</v>
      </c>
      <c r="H1054" s="60" t="s">
        <v>57</v>
      </c>
      <c r="I1054" s="60" t="s">
        <v>92</v>
      </c>
      <c r="J1054" s="60" t="s">
        <v>37</v>
      </c>
      <c r="K1054" s="66" t="s">
        <v>63</v>
      </c>
      <c r="L1054" s="66" t="s">
        <v>209</v>
      </c>
      <c r="M1054" s="68" t="s">
        <v>2859</v>
      </c>
      <c r="N1054" s="68" t="s">
        <v>42</v>
      </c>
      <c r="O1054" s="68" t="s">
        <v>2862</v>
      </c>
      <c r="P1054" s="68">
        <v>81963339</v>
      </c>
      <c r="Q1054" s="303">
        <f t="shared" si="96"/>
        <v>0</v>
      </c>
      <c r="R1054" s="303">
        <f t="shared" si="97"/>
        <v>0</v>
      </c>
      <c r="S1054" s="68">
        <v>0</v>
      </c>
      <c r="T1054" s="68">
        <v>0</v>
      </c>
      <c r="U1054" s="68">
        <v>0</v>
      </c>
      <c r="V1054" s="68">
        <v>0</v>
      </c>
      <c r="W1054" s="68">
        <v>0</v>
      </c>
      <c r="X1054" s="37">
        <v>123</v>
      </c>
      <c r="Y1054" s="37">
        <v>68</v>
      </c>
      <c r="Z1054" s="37">
        <v>76</v>
      </c>
      <c r="AA1054" s="37">
        <v>1</v>
      </c>
      <c r="AB1054" s="300">
        <f t="shared" si="98"/>
        <v>105.944</v>
      </c>
      <c r="AC1054" s="300">
        <f t="shared" si="99"/>
        <v>0.63821686746987949</v>
      </c>
      <c r="AD1054" s="37">
        <v>0</v>
      </c>
      <c r="AE1054" s="37">
        <v>0</v>
      </c>
      <c r="AF1054" s="68" t="s">
        <v>317</v>
      </c>
      <c r="AG1054" s="68" t="s">
        <v>317</v>
      </c>
      <c r="AH1054" s="68" t="s">
        <v>2863</v>
      </c>
      <c r="AI1054" s="309"/>
      <c r="AJ1054" s="309"/>
      <c r="AK1054" s="68" t="s">
        <v>37</v>
      </c>
      <c r="AL1054" s="37" t="s">
        <v>39</v>
      </c>
      <c r="AM1054" s="299">
        <f t="shared" ca="1" si="95"/>
        <v>3.9722222222189885</v>
      </c>
      <c r="AN1054" s="51"/>
      <c r="AO1054" s="104" t="s">
        <v>120</v>
      </c>
      <c r="AP1054" s="106" t="s">
        <v>2859</v>
      </c>
      <c r="AQ1054" s="104" t="s">
        <v>3073</v>
      </c>
      <c r="AR1054" s="111">
        <v>44901.454861111109</v>
      </c>
      <c r="AS1054" s="104" t="s">
        <v>117</v>
      </c>
      <c r="AT1054" s="109" t="s">
        <v>225</v>
      </c>
      <c r="AU1054" s="110">
        <v>0.4548611111111111</v>
      </c>
      <c r="AV1054" s="104">
        <v>1</v>
      </c>
      <c r="AW1054" s="109" t="s">
        <v>66</v>
      </c>
      <c r="AX1054" s="52"/>
      <c r="AY1054" s="52"/>
      <c r="AZ1054" s="52"/>
      <c r="BA1054" s="52"/>
    </row>
    <row r="1055" spans="1:53" x14ac:dyDescent="0.25">
      <c r="A1055" s="48">
        <v>32</v>
      </c>
      <c r="B1055" s="72">
        <v>44897.482638888891</v>
      </c>
      <c r="C1055" s="67">
        <v>0.4861111111111111</v>
      </c>
      <c r="D1055" s="67">
        <v>0.49652777777777773</v>
      </c>
      <c r="E1055" s="67">
        <v>0.53125</v>
      </c>
      <c r="F1055" s="68" t="s">
        <v>170</v>
      </c>
      <c r="G1055" s="68" t="s">
        <v>2845</v>
      </c>
      <c r="H1055" s="60" t="s">
        <v>57</v>
      </c>
      <c r="I1055" s="26" t="s">
        <v>110</v>
      </c>
      <c r="J1055" s="60" t="s">
        <v>37</v>
      </c>
      <c r="K1055" s="66" t="s">
        <v>63</v>
      </c>
      <c r="L1055" s="66" t="s">
        <v>209</v>
      </c>
      <c r="M1055" s="37" t="s">
        <v>2864</v>
      </c>
      <c r="N1055" s="37" t="s">
        <v>186</v>
      </c>
      <c r="O1055" s="68" t="s">
        <v>2865</v>
      </c>
      <c r="P1055" s="37">
        <v>81954999</v>
      </c>
      <c r="Q1055" s="303">
        <f t="shared" si="96"/>
        <v>1</v>
      </c>
      <c r="R1055" s="303">
        <f t="shared" si="97"/>
        <v>418</v>
      </c>
      <c r="S1055" s="37">
        <v>0</v>
      </c>
      <c r="T1055" s="37">
        <v>0</v>
      </c>
      <c r="U1055" s="37">
        <v>1</v>
      </c>
      <c r="V1055" s="37">
        <f>480-62</f>
        <v>418</v>
      </c>
      <c r="W1055" s="37">
        <v>410</v>
      </c>
      <c r="X1055" s="37">
        <v>192</v>
      </c>
      <c r="Y1055" s="37">
        <v>122</v>
      </c>
      <c r="Z1055" s="37">
        <v>126</v>
      </c>
      <c r="AA1055" s="37">
        <v>1</v>
      </c>
      <c r="AB1055" s="300">
        <f t="shared" si="98"/>
        <v>491.904</v>
      </c>
      <c r="AC1055" s="300">
        <f t="shared" si="99"/>
        <v>2.963277108433735</v>
      </c>
      <c r="AD1055" s="37">
        <v>2598.16</v>
      </c>
      <c r="AE1055" s="68" t="s">
        <v>109</v>
      </c>
      <c r="AF1055" s="68" t="s">
        <v>317</v>
      </c>
      <c r="AG1055" s="68" t="s">
        <v>317</v>
      </c>
      <c r="AH1055" s="37" t="s">
        <v>2866</v>
      </c>
      <c r="AI1055" s="309"/>
      <c r="AJ1055" s="309"/>
      <c r="AK1055" s="68" t="s">
        <v>37</v>
      </c>
      <c r="AL1055" s="37" t="s">
        <v>56</v>
      </c>
      <c r="AM1055" s="299">
        <f t="shared" ca="1" si="95"/>
        <v>1.0069444444452529</v>
      </c>
      <c r="AN1055" s="51"/>
      <c r="AO1055" s="104" t="s">
        <v>131</v>
      </c>
      <c r="AP1055" s="104" t="s">
        <v>2864</v>
      </c>
      <c r="AQ1055" s="104" t="s">
        <v>2989</v>
      </c>
      <c r="AR1055" s="111">
        <v>44898.489583333336</v>
      </c>
      <c r="AS1055" s="109" t="s">
        <v>136</v>
      </c>
      <c r="AT1055" s="109" t="s">
        <v>225</v>
      </c>
      <c r="AU1055" s="110">
        <v>0.48958333333333331</v>
      </c>
      <c r="AV1055" s="104">
        <v>1</v>
      </c>
      <c r="AW1055" s="109" t="s">
        <v>66</v>
      </c>
      <c r="AX1055" s="52"/>
      <c r="AY1055" s="52"/>
      <c r="AZ1055" s="52"/>
      <c r="BA1055" s="52"/>
    </row>
    <row r="1056" spans="1:53" x14ac:dyDescent="0.25">
      <c r="A1056" s="48">
        <v>33</v>
      </c>
      <c r="B1056" s="72">
        <v>44897.482638888891</v>
      </c>
      <c r="C1056" s="67">
        <v>0.4861111111111111</v>
      </c>
      <c r="D1056" s="67">
        <v>0.49652777777777773</v>
      </c>
      <c r="E1056" s="67">
        <v>0.53125</v>
      </c>
      <c r="F1056" s="68" t="s">
        <v>170</v>
      </c>
      <c r="G1056" s="68" t="s">
        <v>2845</v>
      </c>
      <c r="H1056" s="26" t="s">
        <v>296</v>
      </c>
      <c r="I1056" s="68" t="s">
        <v>251</v>
      </c>
      <c r="J1056" s="66" t="s">
        <v>37</v>
      </c>
      <c r="K1056" s="70" t="s">
        <v>63</v>
      </c>
      <c r="L1056" s="70" t="s">
        <v>206</v>
      </c>
      <c r="M1056" s="37" t="s">
        <v>2867</v>
      </c>
      <c r="N1056" s="37" t="s">
        <v>44</v>
      </c>
      <c r="O1056" s="37">
        <v>2223000158</v>
      </c>
      <c r="P1056" s="37">
        <v>4509845063</v>
      </c>
      <c r="Q1056" s="303">
        <f t="shared" si="96"/>
        <v>20</v>
      </c>
      <c r="R1056" s="303">
        <f t="shared" si="97"/>
        <v>267</v>
      </c>
      <c r="S1056" s="37">
        <v>20</v>
      </c>
      <c r="T1056" s="38">
        <f>293-26</f>
        <v>267</v>
      </c>
      <c r="U1056" s="37">
        <v>0</v>
      </c>
      <c r="V1056" s="37">
        <v>0</v>
      </c>
      <c r="W1056" s="38">
        <v>180</v>
      </c>
      <c r="X1056" s="37">
        <v>55</v>
      </c>
      <c r="Y1056" s="37">
        <v>36</v>
      </c>
      <c r="Z1056" s="37">
        <v>30</v>
      </c>
      <c r="AA1056" s="37">
        <v>20</v>
      </c>
      <c r="AB1056" s="300">
        <f t="shared" si="98"/>
        <v>198</v>
      </c>
      <c r="AC1056" s="300">
        <f t="shared" si="99"/>
        <v>1.1927710843373494</v>
      </c>
      <c r="AD1056" s="37">
        <v>3750</v>
      </c>
      <c r="AE1056" s="68" t="s">
        <v>109</v>
      </c>
      <c r="AF1056" s="68" t="s">
        <v>317</v>
      </c>
      <c r="AG1056" s="68" t="s">
        <v>317</v>
      </c>
      <c r="AH1056" s="37" t="s">
        <v>2868</v>
      </c>
      <c r="AI1056" s="309"/>
      <c r="AJ1056" s="309"/>
      <c r="AK1056" s="37" t="s">
        <v>48</v>
      </c>
      <c r="AL1056" s="37" t="s">
        <v>39</v>
      </c>
      <c r="AM1056" s="299">
        <f t="shared" ca="1" si="95"/>
        <v>1.0069444444452529</v>
      </c>
      <c r="AN1056" s="51"/>
      <c r="AO1056" s="104" t="s">
        <v>466</v>
      </c>
      <c r="AP1056" s="106" t="s">
        <v>2867</v>
      </c>
      <c r="AQ1056" s="106" t="s">
        <v>2992</v>
      </c>
      <c r="AR1056" s="111">
        <v>44898.489583333336</v>
      </c>
      <c r="AS1056" s="109" t="s">
        <v>136</v>
      </c>
      <c r="AT1056" s="109" t="s">
        <v>225</v>
      </c>
      <c r="AU1056" s="110">
        <v>0.48958333333333331</v>
      </c>
      <c r="AV1056" s="104">
        <v>1</v>
      </c>
      <c r="AW1056" s="109" t="s">
        <v>66</v>
      </c>
      <c r="AX1056" s="52"/>
      <c r="AY1056" s="52"/>
      <c r="AZ1056" s="52"/>
      <c r="BA1056" s="52"/>
    </row>
    <row r="1057" spans="1:53" x14ac:dyDescent="0.25">
      <c r="A1057" s="48">
        <v>34</v>
      </c>
      <c r="B1057" s="72">
        <v>44897.482638888891</v>
      </c>
      <c r="C1057" s="67">
        <v>0.4861111111111111</v>
      </c>
      <c r="D1057" s="67">
        <v>0.49652777777777773</v>
      </c>
      <c r="E1057" s="67">
        <v>0.53125</v>
      </c>
      <c r="F1057" s="68" t="s">
        <v>170</v>
      </c>
      <c r="G1057" s="68" t="s">
        <v>2845</v>
      </c>
      <c r="H1057" s="26" t="s">
        <v>156</v>
      </c>
      <c r="I1057" s="26" t="s">
        <v>110</v>
      </c>
      <c r="J1057" s="66" t="s">
        <v>37</v>
      </c>
      <c r="K1057" s="66" t="s">
        <v>63</v>
      </c>
      <c r="L1057" s="66" t="s">
        <v>212</v>
      </c>
      <c r="M1057" s="37" t="s">
        <v>2869</v>
      </c>
      <c r="N1057" s="37" t="s">
        <v>186</v>
      </c>
      <c r="O1057" s="37" t="s">
        <v>2870</v>
      </c>
      <c r="P1057" s="37" t="s">
        <v>364</v>
      </c>
      <c r="Q1057" s="303">
        <f t="shared" si="96"/>
        <v>2</v>
      </c>
      <c r="R1057" s="303">
        <f t="shared" si="97"/>
        <v>137</v>
      </c>
      <c r="S1057" s="37">
        <v>0</v>
      </c>
      <c r="T1057" s="37">
        <v>0</v>
      </c>
      <c r="U1057" s="37">
        <v>2</v>
      </c>
      <c r="V1057" s="38">
        <f>89+48</f>
        <v>137</v>
      </c>
      <c r="W1057" s="38">
        <v>105</v>
      </c>
      <c r="X1057" s="37">
        <v>35</v>
      </c>
      <c r="Y1057" s="37">
        <v>35</v>
      </c>
      <c r="Z1057" s="37">
        <v>39</v>
      </c>
      <c r="AA1057" s="37">
        <v>1</v>
      </c>
      <c r="AB1057" s="300">
        <f t="shared" si="98"/>
        <v>7.9625000000000004</v>
      </c>
      <c r="AC1057" s="300">
        <f t="shared" si="99"/>
        <v>4.7966867469879521E-2</v>
      </c>
      <c r="AD1057" s="37">
        <v>757.98</v>
      </c>
      <c r="AE1057" s="68" t="s">
        <v>109</v>
      </c>
      <c r="AF1057" s="68" t="s">
        <v>317</v>
      </c>
      <c r="AG1057" s="68" t="s">
        <v>317</v>
      </c>
      <c r="AH1057" s="37" t="s">
        <v>2871</v>
      </c>
      <c r="AI1057" s="309"/>
      <c r="AJ1057" s="309"/>
      <c r="AK1057" s="37" t="s">
        <v>37</v>
      </c>
      <c r="AL1057" s="68" t="s">
        <v>39</v>
      </c>
      <c r="AM1057" s="299">
        <f t="shared" ca="1" si="95"/>
        <v>1.0069444444452529</v>
      </c>
      <c r="AN1057" s="51"/>
      <c r="AO1057" s="104" t="s">
        <v>131</v>
      </c>
      <c r="AP1057" s="106" t="s">
        <v>2869</v>
      </c>
      <c r="AQ1057" s="104" t="s">
        <v>2989</v>
      </c>
      <c r="AR1057" s="111">
        <v>44898.489583333336</v>
      </c>
      <c r="AS1057" s="109" t="s">
        <v>136</v>
      </c>
      <c r="AT1057" s="109" t="s">
        <v>225</v>
      </c>
      <c r="AU1057" s="110">
        <v>0.48958333333333331</v>
      </c>
      <c r="AV1057" s="104">
        <v>1</v>
      </c>
      <c r="AW1057" s="109" t="s">
        <v>66</v>
      </c>
      <c r="AX1057" s="52"/>
      <c r="AY1057" s="52"/>
      <c r="AZ1057" s="52"/>
      <c r="BA1057" s="52"/>
    </row>
    <row r="1058" spans="1:53" x14ac:dyDescent="0.25">
      <c r="A1058" s="73">
        <v>34</v>
      </c>
      <c r="B1058" s="72">
        <v>44897.482638888891</v>
      </c>
      <c r="C1058" s="67">
        <v>0.4861111111111111</v>
      </c>
      <c r="D1058" s="67">
        <v>0.49652777777777773</v>
      </c>
      <c r="E1058" s="67">
        <v>0.53125</v>
      </c>
      <c r="F1058" s="68" t="s">
        <v>170</v>
      </c>
      <c r="G1058" s="68" t="s">
        <v>2845</v>
      </c>
      <c r="H1058" s="60" t="s">
        <v>156</v>
      </c>
      <c r="I1058" s="60" t="s">
        <v>110</v>
      </c>
      <c r="J1058" s="66" t="s">
        <v>37</v>
      </c>
      <c r="K1058" s="66" t="s">
        <v>63</v>
      </c>
      <c r="L1058" s="66" t="s">
        <v>212</v>
      </c>
      <c r="M1058" s="68" t="s">
        <v>2869</v>
      </c>
      <c r="N1058" s="68" t="s">
        <v>186</v>
      </c>
      <c r="O1058" s="68" t="s">
        <v>2870</v>
      </c>
      <c r="P1058" s="68" t="s">
        <v>364</v>
      </c>
      <c r="Q1058" s="303">
        <f t="shared" si="96"/>
        <v>0</v>
      </c>
      <c r="R1058" s="303">
        <f t="shared" si="97"/>
        <v>0</v>
      </c>
      <c r="S1058" s="68">
        <v>0</v>
      </c>
      <c r="T1058" s="68">
        <v>0</v>
      </c>
      <c r="U1058" s="68">
        <v>0</v>
      </c>
      <c r="V1058" s="68">
        <v>0</v>
      </c>
      <c r="W1058" s="68">
        <v>0</v>
      </c>
      <c r="X1058" s="37">
        <v>65</v>
      </c>
      <c r="Y1058" s="37">
        <v>34</v>
      </c>
      <c r="Z1058" s="37">
        <v>42</v>
      </c>
      <c r="AA1058" s="37">
        <v>1</v>
      </c>
      <c r="AB1058" s="300">
        <f t="shared" si="98"/>
        <v>15.47</v>
      </c>
      <c r="AC1058" s="300">
        <f t="shared" si="99"/>
        <v>9.319277108433735E-2</v>
      </c>
      <c r="AD1058" s="37">
        <v>0</v>
      </c>
      <c r="AE1058" s="37">
        <v>0</v>
      </c>
      <c r="AF1058" s="68" t="s">
        <v>317</v>
      </c>
      <c r="AG1058" s="68" t="s">
        <v>317</v>
      </c>
      <c r="AH1058" s="68" t="s">
        <v>2871</v>
      </c>
      <c r="AI1058" s="309"/>
      <c r="AJ1058" s="309"/>
      <c r="AK1058" s="68" t="s">
        <v>37</v>
      </c>
      <c r="AL1058" s="68" t="s">
        <v>39</v>
      </c>
      <c r="AM1058" s="299">
        <f t="shared" ca="1" si="95"/>
        <v>1.0069444444452529</v>
      </c>
      <c r="AN1058" s="51"/>
      <c r="AO1058" s="104" t="s">
        <v>131</v>
      </c>
      <c r="AP1058" s="106" t="s">
        <v>2869</v>
      </c>
      <c r="AQ1058" s="104" t="s">
        <v>2989</v>
      </c>
      <c r="AR1058" s="111">
        <v>44898.489583333336</v>
      </c>
      <c r="AS1058" s="109" t="s">
        <v>136</v>
      </c>
      <c r="AT1058" s="109" t="s">
        <v>225</v>
      </c>
      <c r="AU1058" s="110">
        <v>0.48958333333333331</v>
      </c>
      <c r="AV1058" s="104">
        <v>1</v>
      </c>
      <c r="AW1058" s="109" t="s">
        <v>66</v>
      </c>
      <c r="AX1058" s="52"/>
      <c r="AY1058" s="52"/>
      <c r="AZ1058" s="52"/>
      <c r="BA1058" s="52"/>
    </row>
    <row r="1059" spans="1:53" x14ac:dyDescent="0.25">
      <c r="A1059" s="48">
        <v>35</v>
      </c>
      <c r="B1059" s="46">
        <v>44897.597222222219</v>
      </c>
      <c r="C1059" s="36">
        <v>0.60069444444444442</v>
      </c>
      <c r="D1059" s="36">
        <v>0.60416666666666663</v>
      </c>
      <c r="E1059" s="36">
        <v>0.60416666666666663</v>
      </c>
      <c r="F1059" s="37" t="s">
        <v>171</v>
      </c>
      <c r="G1059" s="37" t="s">
        <v>200</v>
      </c>
      <c r="H1059" s="26" t="s">
        <v>234</v>
      </c>
      <c r="I1059" s="60" t="s">
        <v>234</v>
      </c>
      <c r="J1059" s="60" t="s">
        <v>37</v>
      </c>
      <c r="K1059" s="60" t="s">
        <v>233</v>
      </c>
      <c r="L1059" s="65" t="s">
        <v>206</v>
      </c>
      <c r="M1059" s="37" t="s">
        <v>2872</v>
      </c>
      <c r="N1059" s="37" t="s">
        <v>42</v>
      </c>
      <c r="O1059" s="37" t="s">
        <v>2873</v>
      </c>
      <c r="P1059" s="37" t="s">
        <v>468</v>
      </c>
      <c r="Q1059" s="303">
        <f t="shared" si="96"/>
        <v>1</v>
      </c>
      <c r="R1059" s="303">
        <f t="shared" si="97"/>
        <v>236</v>
      </c>
      <c r="S1059" s="37">
        <v>0</v>
      </c>
      <c r="T1059" s="37">
        <v>0</v>
      </c>
      <c r="U1059" s="37">
        <v>1</v>
      </c>
      <c r="V1059" s="37">
        <v>236</v>
      </c>
      <c r="W1059" s="37">
        <v>236</v>
      </c>
      <c r="X1059" s="37">
        <v>122</v>
      </c>
      <c r="Y1059" s="37">
        <v>69</v>
      </c>
      <c r="Z1059" s="37">
        <v>62</v>
      </c>
      <c r="AA1059" s="37">
        <v>1</v>
      </c>
      <c r="AB1059" s="300">
        <f t="shared" si="98"/>
        <v>86.986000000000004</v>
      </c>
      <c r="AC1059" s="300">
        <f t="shared" si="99"/>
        <v>0.52401204819277114</v>
      </c>
      <c r="AD1059" s="37">
        <v>218.46</v>
      </c>
      <c r="AE1059" s="37" t="s">
        <v>109</v>
      </c>
      <c r="AF1059" s="68" t="s">
        <v>317</v>
      </c>
      <c r="AG1059" s="68" t="s">
        <v>317</v>
      </c>
      <c r="AH1059" s="37" t="s">
        <v>2874</v>
      </c>
      <c r="AI1059" s="309"/>
      <c r="AJ1059" s="309"/>
      <c r="AK1059" s="37" t="s">
        <v>41</v>
      </c>
      <c r="AL1059" s="37" t="s">
        <v>39</v>
      </c>
      <c r="AM1059" s="299">
        <f t="shared" ca="1" si="95"/>
        <v>6.9722222222262644</v>
      </c>
      <c r="AN1059" s="51"/>
      <c r="AO1059" s="104" t="s">
        <v>120</v>
      </c>
      <c r="AP1059" s="106" t="s">
        <v>2872</v>
      </c>
      <c r="AQ1059" s="104" t="s">
        <v>3370</v>
      </c>
      <c r="AR1059" s="111">
        <v>44904.569444444445</v>
      </c>
      <c r="AS1059" s="109" t="s">
        <v>1203</v>
      </c>
      <c r="AT1059" s="109" t="s">
        <v>65</v>
      </c>
      <c r="AU1059" s="110">
        <v>0.56944444444444442</v>
      </c>
      <c r="AV1059" s="104">
        <v>1</v>
      </c>
      <c r="AW1059" s="109" t="s">
        <v>66</v>
      </c>
      <c r="AX1059" s="52"/>
      <c r="AY1059" s="52"/>
      <c r="AZ1059" s="52"/>
      <c r="BA1059" s="52"/>
    </row>
    <row r="1060" spans="1:53" x14ac:dyDescent="0.25">
      <c r="A1060" s="48">
        <v>36</v>
      </c>
      <c r="B1060" s="46">
        <v>44897.600694444445</v>
      </c>
      <c r="C1060" s="36">
        <v>0.60416666666666663</v>
      </c>
      <c r="D1060" s="36">
        <v>0.60763888888888895</v>
      </c>
      <c r="E1060" s="36">
        <v>0.60763888888888895</v>
      </c>
      <c r="F1060" s="68" t="s">
        <v>169</v>
      </c>
      <c r="G1060" s="37" t="s">
        <v>1373</v>
      </c>
      <c r="H1060" s="26" t="s">
        <v>1374</v>
      </c>
      <c r="I1060" s="26" t="s">
        <v>2875</v>
      </c>
      <c r="J1060" s="26" t="s">
        <v>41</v>
      </c>
      <c r="K1060" s="60" t="s">
        <v>241</v>
      </c>
      <c r="L1060" s="60">
        <v>0</v>
      </c>
      <c r="M1060" s="37" t="s">
        <v>2876</v>
      </c>
      <c r="N1060" s="37" t="s">
        <v>42</v>
      </c>
      <c r="O1060" s="37" t="s">
        <v>2877</v>
      </c>
      <c r="P1060" s="37" t="s">
        <v>2878</v>
      </c>
      <c r="Q1060" s="303">
        <f t="shared" si="96"/>
        <v>8</v>
      </c>
      <c r="R1060" s="303">
        <f t="shared" si="97"/>
        <v>106</v>
      </c>
      <c r="S1060" s="37">
        <v>8</v>
      </c>
      <c r="T1060" s="37">
        <f>133-27</f>
        <v>106</v>
      </c>
      <c r="U1060" s="37">
        <v>0</v>
      </c>
      <c r="V1060" s="37">
        <v>0</v>
      </c>
      <c r="W1060" s="37">
        <v>101</v>
      </c>
      <c r="X1060" s="37">
        <v>61</v>
      </c>
      <c r="Y1060" s="37">
        <v>36</v>
      </c>
      <c r="Z1060" s="37">
        <v>35</v>
      </c>
      <c r="AA1060" s="37">
        <v>8</v>
      </c>
      <c r="AB1060" s="300">
        <f t="shared" si="98"/>
        <v>102.48</v>
      </c>
      <c r="AC1060" s="300">
        <f t="shared" si="99"/>
        <v>0.61734939759036145</v>
      </c>
      <c r="AD1060" s="37">
        <v>6124.65</v>
      </c>
      <c r="AE1060" s="68" t="s">
        <v>109</v>
      </c>
      <c r="AF1060" s="37" t="s">
        <v>2879</v>
      </c>
      <c r="AG1060" s="37" t="s">
        <v>2771</v>
      </c>
      <c r="AH1060" s="37" t="s">
        <v>2880</v>
      </c>
      <c r="AI1060" s="309"/>
      <c r="AJ1060" s="309"/>
      <c r="AK1060" s="37" t="s">
        <v>48</v>
      </c>
      <c r="AL1060" s="37" t="s">
        <v>50</v>
      </c>
      <c r="AM1060" s="299">
        <f t="shared" ca="1" si="95"/>
        <v>4.1215277777737356</v>
      </c>
      <c r="AN1060" s="51"/>
      <c r="AO1060" s="104" t="s">
        <v>1516</v>
      </c>
      <c r="AP1060" s="106" t="s">
        <v>2876</v>
      </c>
      <c r="AQ1060" s="104" t="s">
        <v>3137</v>
      </c>
      <c r="AR1060" s="64">
        <v>44901.722222222219</v>
      </c>
      <c r="AS1060" s="104" t="s">
        <v>117</v>
      </c>
      <c r="AT1060" s="109" t="s">
        <v>225</v>
      </c>
      <c r="AU1060" s="110">
        <v>0.72222222222222221</v>
      </c>
      <c r="AV1060" s="109">
        <v>2</v>
      </c>
      <c r="AW1060" s="109" t="s">
        <v>66</v>
      </c>
      <c r="AX1060" s="52"/>
      <c r="AY1060" s="52"/>
      <c r="AZ1060" s="52"/>
      <c r="BA1060" s="52"/>
    </row>
    <row r="1061" spans="1:53" x14ac:dyDescent="0.25">
      <c r="A1061" s="48">
        <v>37</v>
      </c>
      <c r="B1061" s="46">
        <v>44897.618055555555</v>
      </c>
      <c r="C1061" s="36">
        <v>0.62152777777777779</v>
      </c>
      <c r="D1061" s="36">
        <v>0.62847222222222221</v>
      </c>
      <c r="E1061" s="36">
        <v>0.64236111111111105</v>
      </c>
      <c r="F1061" s="37" t="s">
        <v>170</v>
      </c>
      <c r="G1061" s="37" t="s">
        <v>554</v>
      </c>
      <c r="H1061" s="26" t="s">
        <v>227</v>
      </c>
      <c r="I1061" s="26" t="s">
        <v>189</v>
      </c>
      <c r="J1061" s="26" t="s">
        <v>37</v>
      </c>
      <c r="K1061" s="66" t="s">
        <v>63</v>
      </c>
      <c r="L1061" s="70" t="s">
        <v>206</v>
      </c>
      <c r="M1061" s="37" t="s">
        <v>2881</v>
      </c>
      <c r="N1061" s="37" t="s">
        <v>42</v>
      </c>
      <c r="O1061" s="37">
        <v>1009</v>
      </c>
      <c r="P1061" s="37">
        <v>3728</v>
      </c>
      <c r="Q1061" s="303">
        <f t="shared" si="96"/>
        <v>3</v>
      </c>
      <c r="R1061" s="303">
        <f t="shared" si="97"/>
        <v>641</v>
      </c>
      <c r="S1061" s="37">
        <v>0</v>
      </c>
      <c r="T1061" s="37">
        <v>0</v>
      </c>
      <c r="U1061" s="37">
        <v>3</v>
      </c>
      <c r="V1061" s="37">
        <f>215+213+213</f>
        <v>641</v>
      </c>
      <c r="W1061" s="37">
        <v>585</v>
      </c>
      <c r="X1061" s="37">
        <v>170</v>
      </c>
      <c r="Y1061" s="37">
        <v>97</v>
      </c>
      <c r="Z1061" s="37">
        <v>95</v>
      </c>
      <c r="AA1061" s="37">
        <v>3</v>
      </c>
      <c r="AB1061" s="300">
        <f t="shared" si="98"/>
        <v>783.27499999999998</v>
      </c>
      <c r="AC1061" s="300">
        <f t="shared" si="99"/>
        <v>4.7185240963855417</v>
      </c>
      <c r="AD1061" s="37">
        <v>5475</v>
      </c>
      <c r="AE1061" s="68" t="s">
        <v>109</v>
      </c>
      <c r="AF1061" s="37" t="s">
        <v>317</v>
      </c>
      <c r="AG1061" s="37" t="s">
        <v>317</v>
      </c>
      <c r="AH1061" s="37" t="s">
        <v>2882</v>
      </c>
      <c r="AI1061" s="309"/>
      <c r="AJ1061" s="309"/>
      <c r="AK1061" s="37" t="s">
        <v>37</v>
      </c>
      <c r="AL1061" s="37" t="s">
        <v>47</v>
      </c>
      <c r="AM1061" s="299">
        <f t="shared" ca="1" si="95"/>
        <v>6.25E-2</v>
      </c>
      <c r="AN1061" s="51"/>
      <c r="AO1061" s="57" t="s">
        <v>89</v>
      </c>
      <c r="AP1061" s="24" t="s">
        <v>2881</v>
      </c>
      <c r="AQ1061" s="57" t="s">
        <v>2899</v>
      </c>
      <c r="AR1061" s="29">
        <v>44897.680555555555</v>
      </c>
      <c r="AS1061" s="61" t="s">
        <v>2900</v>
      </c>
      <c r="AT1061" s="61" t="s">
        <v>65</v>
      </c>
      <c r="AU1061" s="59">
        <v>0.68055555555555547</v>
      </c>
      <c r="AV1061" s="57">
        <v>1</v>
      </c>
      <c r="AW1061" s="61" t="s">
        <v>66</v>
      </c>
      <c r="AX1061" s="52"/>
      <c r="AY1061" s="52"/>
      <c r="AZ1061" s="52"/>
      <c r="BA1061" s="52"/>
    </row>
    <row r="1062" spans="1:53" x14ac:dyDescent="0.25">
      <c r="A1062" s="48">
        <v>38</v>
      </c>
      <c r="B1062" s="72">
        <v>44897.618055555555</v>
      </c>
      <c r="C1062" s="67">
        <v>0.62152777777777779</v>
      </c>
      <c r="D1062" s="67">
        <v>0.62847222222222221</v>
      </c>
      <c r="E1062" s="67">
        <v>0.64236111111111105</v>
      </c>
      <c r="F1062" s="68" t="s">
        <v>170</v>
      </c>
      <c r="G1062" s="68" t="s">
        <v>554</v>
      </c>
      <c r="H1062" s="60" t="s">
        <v>227</v>
      </c>
      <c r="I1062" s="60" t="s">
        <v>189</v>
      </c>
      <c r="J1062" s="60" t="s">
        <v>37</v>
      </c>
      <c r="K1062" s="66" t="s">
        <v>63</v>
      </c>
      <c r="L1062" s="70" t="s">
        <v>206</v>
      </c>
      <c r="M1062" s="37" t="s">
        <v>2883</v>
      </c>
      <c r="N1062" s="37" t="s">
        <v>43</v>
      </c>
      <c r="O1062" s="77" t="s">
        <v>2884</v>
      </c>
      <c r="P1062" s="37">
        <v>29017</v>
      </c>
      <c r="Q1062" s="303">
        <f t="shared" si="96"/>
        <v>7</v>
      </c>
      <c r="R1062" s="303">
        <f t="shared" si="97"/>
        <v>70</v>
      </c>
      <c r="S1062" s="37">
        <v>7</v>
      </c>
      <c r="T1062" s="37">
        <f>92-22</f>
        <v>70</v>
      </c>
      <c r="U1062" s="37">
        <v>0</v>
      </c>
      <c r="V1062" s="37">
        <v>0</v>
      </c>
      <c r="W1062" s="38">
        <v>141.6</v>
      </c>
      <c r="X1062" s="37">
        <v>35</v>
      </c>
      <c r="Y1062" s="37">
        <v>31</v>
      </c>
      <c r="Z1062" s="37">
        <v>19</v>
      </c>
      <c r="AA1062" s="37">
        <v>1</v>
      </c>
      <c r="AB1062" s="300">
        <f t="shared" si="98"/>
        <v>3.4358333333333335</v>
      </c>
      <c r="AC1062" s="300">
        <f t="shared" si="99"/>
        <v>2.0697791164658634E-2</v>
      </c>
      <c r="AD1062" s="37" t="s">
        <v>48</v>
      </c>
      <c r="AE1062" s="68" t="s">
        <v>48</v>
      </c>
      <c r="AF1062" s="68" t="s">
        <v>317</v>
      </c>
      <c r="AG1062" s="68" t="s">
        <v>317</v>
      </c>
      <c r="AH1062" s="37" t="s">
        <v>2885</v>
      </c>
      <c r="AI1062" s="309"/>
      <c r="AJ1062" s="309"/>
      <c r="AK1062" s="37" t="s">
        <v>48</v>
      </c>
      <c r="AL1062" s="37" t="s">
        <v>50</v>
      </c>
      <c r="AM1062" s="299">
        <f t="shared" ca="1" si="95"/>
        <v>6.25E-2</v>
      </c>
      <c r="AN1062" s="51"/>
      <c r="AO1062" s="57" t="s">
        <v>179</v>
      </c>
      <c r="AP1062" s="24" t="s">
        <v>2897</v>
      </c>
      <c r="AQ1062" s="57" t="s">
        <v>2898</v>
      </c>
      <c r="AR1062" s="29">
        <v>44897.680555555555</v>
      </c>
      <c r="AS1062" s="61" t="s">
        <v>326</v>
      </c>
      <c r="AT1062" s="61" t="s">
        <v>65</v>
      </c>
      <c r="AU1062" s="59">
        <v>0.68055555555555547</v>
      </c>
      <c r="AV1062" s="57">
        <v>1</v>
      </c>
      <c r="AW1062" s="61" t="s">
        <v>66</v>
      </c>
      <c r="AX1062" s="52"/>
      <c r="AY1062" s="52"/>
      <c r="AZ1062" s="52"/>
      <c r="BA1062" s="52"/>
    </row>
    <row r="1063" spans="1:53" x14ac:dyDescent="0.25">
      <c r="A1063" s="73">
        <v>38</v>
      </c>
      <c r="B1063" s="72">
        <v>44897.618055555555</v>
      </c>
      <c r="C1063" s="67">
        <v>0.62152777777777779</v>
      </c>
      <c r="D1063" s="67">
        <v>0.62847222222222221</v>
      </c>
      <c r="E1063" s="67">
        <v>0.64236111111111105</v>
      </c>
      <c r="F1063" s="68" t="s">
        <v>170</v>
      </c>
      <c r="G1063" s="68" t="s">
        <v>554</v>
      </c>
      <c r="H1063" s="60" t="s">
        <v>227</v>
      </c>
      <c r="I1063" s="60" t="s">
        <v>189</v>
      </c>
      <c r="J1063" s="60" t="s">
        <v>37</v>
      </c>
      <c r="K1063" s="66" t="s">
        <v>63</v>
      </c>
      <c r="L1063" s="70" t="s">
        <v>206</v>
      </c>
      <c r="M1063" s="68" t="s">
        <v>2883</v>
      </c>
      <c r="N1063" s="68" t="s">
        <v>43</v>
      </c>
      <c r="O1063" s="77" t="s">
        <v>2884</v>
      </c>
      <c r="P1063" s="68">
        <v>29017</v>
      </c>
      <c r="Q1063" s="303">
        <f t="shared" si="96"/>
        <v>0</v>
      </c>
      <c r="R1063" s="303">
        <f t="shared" si="97"/>
        <v>0</v>
      </c>
      <c r="S1063" s="68">
        <v>0</v>
      </c>
      <c r="T1063" s="68">
        <v>0</v>
      </c>
      <c r="U1063" s="68">
        <v>0</v>
      </c>
      <c r="V1063" s="68">
        <v>0</v>
      </c>
      <c r="W1063" s="68">
        <v>0</v>
      </c>
      <c r="X1063" s="37">
        <v>89</v>
      </c>
      <c r="Y1063" s="37">
        <v>36</v>
      </c>
      <c r="Z1063" s="37">
        <v>59</v>
      </c>
      <c r="AA1063" s="37">
        <v>6</v>
      </c>
      <c r="AB1063" s="300">
        <f t="shared" si="98"/>
        <v>189.036</v>
      </c>
      <c r="AC1063" s="300">
        <f t="shared" si="99"/>
        <v>1.1387710843373493</v>
      </c>
      <c r="AD1063" s="37">
        <v>0</v>
      </c>
      <c r="AE1063" s="37">
        <v>0</v>
      </c>
      <c r="AF1063" s="68" t="s">
        <v>317</v>
      </c>
      <c r="AG1063" s="68" t="s">
        <v>317</v>
      </c>
      <c r="AH1063" s="68" t="s">
        <v>2885</v>
      </c>
      <c r="AI1063" s="309"/>
      <c r="AJ1063" s="309"/>
      <c r="AK1063" s="68" t="s">
        <v>48</v>
      </c>
      <c r="AL1063" s="68" t="s">
        <v>50</v>
      </c>
      <c r="AM1063" s="299">
        <f t="shared" ca="1" si="95"/>
        <v>6.25E-2</v>
      </c>
      <c r="AN1063" s="51"/>
      <c r="AO1063" s="57" t="s">
        <v>179</v>
      </c>
      <c r="AP1063" s="24" t="s">
        <v>2897</v>
      </c>
      <c r="AQ1063" s="57" t="s">
        <v>2898</v>
      </c>
      <c r="AR1063" s="29">
        <v>44897.680555555555</v>
      </c>
      <c r="AS1063" s="61" t="s">
        <v>326</v>
      </c>
      <c r="AT1063" s="61" t="s">
        <v>65</v>
      </c>
      <c r="AU1063" s="59">
        <v>0.68055555555555547</v>
      </c>
      <c r="AV1063" s="57">
        <v>1</v>
      </c>
      <c r="AW1063" s="61" t="s">
        <v>66</v>
      </c>
      <c r="AX1063" s="52"/>
      <c r="AY1063" s="52"/>
      <c r="AZ1063" s="52"/>
      <c r="BA1063" s="52"/>
    </row>
    <row r="1064" spans="1:53" x14ac:dyDescent="0.25">
      <c r="A1064" s="48">
        <v>39</v>
      </c>
      <c r="B1064" s="46">
        <v>44897.628472222219</v>
      </c>
      <c r="C1064" s="36">
        <v>0.62847222222222221</v>
      </c>
      <c r="D1064" s="36">
        <v>0.63541666666666663</v>
      </c>
      <c r="E1064" s="67">
        <v>0.64236111111111105</v>
      </c>
      <c r="F1064" s="68" t="s">
        <v>170</v>
      </c>
      <c r="G1064" s="68" t="s">
        <v>2886</v>
      </c>
      <c r="H1064" s="60" t="s">
        <v>227</v>
      </c>
      <c r="I1064" s="60" t="s">
        <v>189</v>
      </c>
      <c r="J1064" s="60" t="s">
        <v>37</v>
      </c>
      <c r="K1064" s="66" t="s">
        <v>63</v>
      </c>
      <c r="L1064" s="70" t="s">
        <v>206</v>
      </c>
      <c r="M1064" s="37" t="s">
        <v>2887</v>
      </c>
      <c r="N1064" s="37" t="s">
        <v>42</v>
      </c>
      <c r="O1064" s="37">
        <v>1008</v>
      </c>
      <c r="P1064" s="37">
        <v>3729</v>
      </c>
      <c r="Q1064" s="303">
        <f t="shared" si="96"/>
        <v>9</v>
      </c>
      <c r="R1064" s="303">
        <f t="shared" si="97"/>
        <v>2019</v>
      </c>
      <c r="S1064" s="37">
        <v>0</v>
      </c>
      <c r="T1064" s="37">
        <v>0</v>
      </c>
      <c r="U1064" s="37">
        <v>9</v>
      </c>
      <c r="V1064" s="37">
        <f>238+492+481+406+402</f>
        <v>2019</v>
      </c>
      <c r="W1064" s="37">
        <v>2070.42</v>
      </c>
      <c r="X1064" s="37">
        <v>160</v>
      </c>
      <c r="Y1064" s="37">
        <v>138</v>
      </c>
      <c r="Z1064" s="37">
        <v>78</v>
      </c>
      <c r="AA1064" s="37">
        <v>9</v>
      </c>
      <c r="AB1064" s="300">
        <f t="shared" si="98"/>
        <v>2583.36</v>
      </c>
      <c r="AC1064" s="300">
        <f t="shared" si="99"/>
        <v>15.562409638554218</v>
      </c>
      <c r="AD1064" s="37">
        <v>26525</v>
      </c>
      <c r="AE1064" s="37" t="s">
        <v>109</v>
      </c>
      <c r="AF1064" s="68" t="s">
        <v>317</v>
      </c>
      <c r="AG1064" s="68" t="s">
        <v>317</v>
      </c>
      <c r="AH1064" s="37" t="s">
        <v>2888</v>
      </c>
      <c r="AI1064" s="309"/>
      <c r="AJ1064" s="309"/>
      <c r="AK1064" s="37" t="s">
        <v>37</v>
      </c>
      <c r="AL1064" s="37" t="s">
        <v>54</v>
      </c>
      <c r="AM1064" s="299">
        <f t="shared" ref="AM1064:AM1127" ca="1" si="100">IF(AP1064="",NOW()-B1064,AR1064-B1064)</f>
        <v>5.2083333335758653E-2</v>
      </c>
      <c r="AN1064" s="51"/>
      <c r="AO1064" s="57" t="s">
        <v>89</v>
      </c>
      <c r="AP1064" s="24" t="s">
        <v>2881</v>
      </c>
      <c r="AQ1064" s="57" t="s">
        <v>2899</v>
      </c>
      <c r="AR1064" s="29">
        <v>44897.680555555555</v>
      </c>
      <c r="AS1064" s="61" t="s">
        <v>2900</v>
      </c>
      <c r="AT1064" s="61" t="s">
        <v>65</v>
      </c>
      <c r="AU1064" s="59">
        <v>0.68055555555555547</v>
      </c>
      <c r="AV1064" s="57">
        <v>1</v>
      </c>
      <c r="AW1064" s="61" t="s">
        <v>66</v>
      </c>
      <c r="AX1064" s="52"/>
      <c r="AY1064" s="52"/>
      <c r="AZ1064" s="52"/>
      <c r="BA1064" s="52"/>
    </row>
    <row r="1065" spans="1:53" x14ac:dyDescent="0.25">
      <c r="A1065" s="48">
        <v>40</v>
      </c>
      <c r="B1065" s="46">
        <v>44897.645833333336</v>
      </c>
      <c r="C1065" s="36">
        <v>0.64930555555555558</v>
      </c>
      <c r="D1065" s="36">
        <v>0.65625</v>
      </c>
      <c r="E1065" s="36">
        <v>0.68055555555555547</v>
      </c>
      <c r="F1065" s="37" t="s">
        <v>171</v>
      </c>
      <c r="G1065" s="37" t="s">
        <v>2891</v>
      </c>
      <c r="H1065" s="26" t="s">
        <v>339</v>
      </c>
      <c r="I1065" s="26" t="s">
        <v>198</v>
      </c>
      <c r="J1065" s="60" t="s">
        <v>37</v>
      </c>
      <c r="K1065" s="66" t="s">
        <v>180</v>
      </c>
      <c r="L1065" s="66">
        <v>0</v>
      </c>
      <c r="M1065" s="37" t="s">
        <v>2892</v>
      </c>
      <c r="N1065" s="37" t="s">
        <v>482</v>
      </c>
      <c r="O1065" s="37" t="s">
        <v>2893</v>
      </c>
      <c r="P1065" s="37">
        <v>50073402</v>
      </c>
      <c r="Q1065" s="303">
        <f t="shared" ref="Q1065:Q1128" si="101">S1065+U1065</f>
        <v>23</v>
      </c>
      <c r="R1065" s="303">
        <f t="shared" ref="R1065:R1128" si="102">T1065+V1065</f>
        <v>1524</v>
      </c>
      <c r="S1065" s="37">
        <v>0</v>
      </c>
      <c r="T1065" s="37">
        <v>0</v>
      </c>
      <c r="U1065" s="37">
        <v>23</v>
      </c>
      <c r="V1065" s="37">
        <f>202+200+198+200+200+130+132+132+130</f>
        <v>1524</v>
      </c>
      <c r="W1065" s="37">
        <v>1380</v>
      </c>
      <c r="X1065" s="37">
        <v>84</v>
      </c>
      <c r="Y1065" s="37">
        <v>84</v>
      </c>
      <c r="Z1065" s="37">
        <v>41</v>
      </c>
      <c r="AA1065" s="37">
        <v>23</v>
      </c>
      <c r="AB1065" s="300">
        <f t="shared" ref="AB1065:AB1128" si="103">X1065*Y1065*Z1065*AA1065/6000</f>
        <v>1108.9680000000001</v>
      </c>
      <c r="AC1065" s="300">
        <f t="shared" ref="AC1065:AC1128" si="104">AB1065/166</f>
        <v>6.6805301204819285</v>
      </c>
      <c r="AD1065" s="37">
        <v>21003.37</v>
      </c>
      <c r="AE1065" s="37" t="s">
        <v>109</v>
      </c>
      <c r="AF1065" s="68" t="s">
        <v>317</v>
      </c>
      <c r="AG1065" s="68" t="s">
        <v>317</v>
      </c>
      <c r="AH1065" s="37" t="s">
        <v>2894</v>
      </c>
      <c r="AI1065" s="309"/>
      <c r="AJ1065" s="309"/>
      <c r="AK1065" s="37" t="s">
        <v>37</v>
      </c>
      <c r="AL1065" s="37" t="s">
        <v>58</v>
      </c>
      <c r="AM1065" s="299">
        <f t="shared" ca="1" si="100"/>
        <v>1.0416666666642413</v>
      </c>
      <c r="AN1065" s="51"/>
      <c r="AO1065" s="104" t="s">
        <v>53</v>
      </c>
      <c r="AP1065" s="106" t="s">
        <v>2892</v>
      </c>
      <c r="AQ1065" s="104" t="s">
        <v>2994</v>
      </c>
      <c r="AR1065" s="111">
        <v>44898.6875</v>
      </c>
      <c r="AS1065" s="104" t="s">
        <v>2995</v>
      </c>
      <c r="AT1065" s="109" t="s">
        <v>225</v>
      </c>
      <c r="AU1065" s="110">
        <v>0.6875</v>
      </c>
      <c r="AV1065" s="104">
        <v>1</v>
      </c>
      <c r="AW1065" s="109" t="s">
        <v>66</v>
      </c>
      <c r="AX1065" s="52"/>
      <c r="AY1065" s="52"/>
      <c r="AZ1065" s="52"/>
      <c r="BA1065" s="52"/>
    </row>
    <row r="1066" spans="1:53" x14ac:dyDescent="0.25">
      <c r="A1066" s="48">
        <v>41</v>
      </c>
      <c r="B1066" s="72">
        <v>44897.645833333336</v>
      </c>
      <c r="C1066" s="67">
        <v>0.64930555555555558</v>
      </c>
      <c r="D1066" s="67">
        <v>0.65625</v>
      </c>
      <c r="E1066" s="67">
        <v>0.68055555555555547</v>
      </c>
      <c r="F1066" s="68" t="s">
        <v>171</v>
      </c>
      <c r="G1066" s="68" t="s">
        <v>2535</v>
      </c>
      <c r="H1066" s="60" t="s">
        <v>339</v>
      </c>
      <c r="I1066" s="60" t="s">
        <v>198</v>
      </c>
      <c r="J1066" s="60" t="s">
        <v>37</v>
      </c>
      <c r="K1066" s="66" t="s">
        <v>180</v>
      </c>
      <c r="L1066" s="66">
        <v>0</v>
      </c>
      <c r="M1066" s="68" t="s">
        <v>2892</v>
      </c>
      <c r="N1066" s="68" t="s">
        <v>482</v>
      </c>
      <c r="O1066" s="68" t="s">
        <v>2895</v>
      </c>
      <c r="P1066" s="68">
        <v>50073402</v>
      </c>
      <c r="Q1066" s="303">
        <f t="shared" si="101"/>
        <v>25</v>
      </c>
      <c r="R1066" s="303">
        <f t="shared" si="102"/>
        <v>1674</v>
      </c>
      <c r="S1066" s="37">
        <v>0</v>
      </c>
      <c r="T1066" s="37">
        <v>0</v>
      </c>
      <c r="U1066" s="37">
        <v>25</v>
      </c>
      <c r="V1066" s="37">
        <f>133+134+67+133+202+201+201+201+201+201</f>
        <v>1674</v>
      </c>
      <c r="W1066" s="37">
        <v>1500</v>
      </c>
      <c r="X1066" s="68">
        <v>84</v>
      </c>
      <c r="Y1066" s="68">
        <v>84</v>
      </c>
      <c r="Z1066" s="68">
        <v>41</v>
      </c>
      <c r="AA1066" s="37">
        <v>25</v>
      </c>
      <c r="AB1066" s="300">
        <f t="shared" si="103"/>
        <v>1205.4000000000001</v>
      </c>
      <c r="AC1066" s="300">
        <f t="shared" si="104"/>
        <v>7.2614457831325305</v>
      </c>
      <c r="AD1066" s="37">
        <v>22829.75</v>
      </c>
      <c r="AE1066" s="68" t="s">
        <v>109</v>
      </c>
      <c r="AF1066" s="68" t="s">
        <v>317</v>
      </c>
      <c r="AG1066" s="68" t="s">
        <v>317</v>
      </c>
      <c r="AH1066" s="37" t="s">
        <v>2896</v>
      </c>
      <c r="AI1066" s="309"/>
      <c r="AJ1066" s="309"/>
      <c r="AK1066" s="68" t="s">
        <v>37</v>
      </c>
      <c r="AL1066" s="37" t="s">
        <v>54</v>
      </c>
      <c r="AM1066" s="299">
        <f t="shared" ca="1" si="100"/>
        <v>1.0416666666642413</v>
      </c>
      <c r="AN1066" s="51"/>
      <c r="AO1066" s="104" t="s">
        <v>53</v>
      </c>
      <c r="AP1066" s="106" t="s">
        <v>2892</v>
      </c>
      <c r="AQ1066" s="104" t="s">
        <v>2994</v>
      </c>
      <c r="AR1066" s="111">
        <v>44898.6875</v>
      </c>
      <c r="AS1066" s="104" t="s">
        <v>2995</v>
      </c>
      <c r="AT1066" s="109" t="s">
        <v>225</v>
      </c>
      <c r="AU1066" s="110">
        <v>0.6875</v>
      </c>
      <c r="AV1066" s="104">
        <v>1</v>
      </c>
      <c r="AW1066" s="109" t="s">
        <v>66</v>
      </c>
      <c r="AX1066" s="52"/>
      <c r="AY1066" s="52"/>
      <c r="AZ1066" s="52"/>
      <c r="BA1066" s="52"/>
    </row>
    <row r="1067" spans="1:53" x14ac:dyDescent="0.25">
      <c r="A1067" s="48">
        <v>42</v>
      </c>
      <c r="B1067" s="46">
        <v>44897.708333333336</v>
      </c>
      <c r="C1067" s="36">
        <v>0.71180555555555547</v>
      </c>
      <c r="D1067" s="36">
        <v>0.71527777777777779</v>
      </c>
      <c r="E1067" s="36">
        <v>0.72916666666666663</v>
      </c>
      <c r="F1067" s="68" t="s">
        <v>171</v>
      </c>
      <c r="G1067" s="37" t="s">
        <v>279</v>
      </c>
      <c r="H1067" s="26" t="s">
        <v>383</v>
      </c>
      <c r="I1067" s="26" t="s">
        <v>384</v>
      </c>
      <c r="J1067" s="60" t="s">
        <v>37</v>
      </c>
      <c r="K1067" s="68" t="s">
        <v>233</v>
      </c>
      <c r="L1067" s="69" t="s">
        <v>206</v>
      </c>
      <c r="M1067" s="37" t="s">
        <v>2901</v>
      </c>
      <c r="N1067" s="37" t="s">
        <v>44</v>
      </c>
      <c r="O1067" s="37" t="s">
        <v>2902</v>
      </c>
      <c r="P1067" s="37">
        <v>5500320254</v>
      </c>
      <c r="Q1067" s="303">
        <f t="shared" si="101"/>
        <v>14</v>
      </c>
      <c r="R1067" s="303">
        <f t="shared" si="102"/>
        <v>110</v>
      </c>
      <c r="S1067" s="37">
        <v>14</v>
      </c>
      <c r="T1067" s="37">
        <f>135-25</f>
        <v>110</v>
      </c>
      <c r="U1067" s="37">
        <v>0</v>
      </c>
      <c r="V1067" s="37">
        <v>0</v>
      </c>
      <c r="W1067" s="37">
        <v>103.46</v>
      </c>
      <c r="X1067" s="37">
        <v>32</v>
      </c>
      <c r="Y1067" s="37">
        <v>32</v>
      </c>
      <c r="Z1067" s="37">
        <v>27</v>
      </c>
      <c r="AA1067" s="37">
        <v>14</v>
      </c>
      <c r="AB1067" s="300">
        <f t="shared" si="103"/>
        <v>64.512</v>
      </c>
      <c r="AC1067" s="300">
        <f t="shared" si="104"/>
        <v>0.38862650602409637</v>
      </c>
      <c r="AD1067" s="37">
        <v>1680</v>
      </c>
      <c r="AE1067" s="68" t="s">
        <v>109</v>
      </c>
      <c r="AF1067" s="68" t="s">
        <v>317</v>
      </c>
      <c r="AG1067" s="68" t="s">
        <v>317</v>
      </c>
      <c r="AH1067" s="37" t="s">
        <v>2903</v>
      </c>
      <c r="AI1067" s="309"/>
      <c r="AJ1067" s="309"/>
      <c r="AK1067" s="37" t="s">
        <v>48</v>
      </c>
      <c r="AL1067" s="37" t="s">
        <v>50</v>
      </c>
      <c r="AM1067" s="299">
        <f t="shared" ca="1" si="100"/>
        <v>1.0069444444452529</v>
      </c>
      <c r="AN1067" s="51"/>
      <c r="AO1067" s="104" t="s">
        <v>272</v>
      </c>
      <c r="AP1067" s="106" t="s">
        <v>2996</v>
      </c>
      <c r="AQ1067" s="104" t="s">
        <v>2994</v>
      </c>
      <c r="AR1067" s="111">
        <v>44898.715277777781</v>
      </c>
      <c r="AS1067" s="104" t="s">
        <v>1203</v>
      </c>
      <c r="AT1067" s="109" t="s">
        <v>65</v>
      </c>
      <c r="AU1067" s="110">
        <v>0.71527777777777779</v>
      </c>
      <c r="AV1067" s="104">
        <v>1</v>
      </c>
      <c r="AW1067" s="109" t="s">
        <v>66</v>
      </c>
      <c r="AX1067" s="52"/>
      <c r="AY1067" s="52"/>
      <c r="AZ1067" s="52"/>
      <c r="BA1067" s="52"/>
    </row>
    <row r="1068" spans="1:53" x14ac:dyDescent="0.25">
      <c r="A1068" s="48">
        <v>43</v>
      </c>
      <c r="B1068" s="46">
        <v>44897.711805555555</v>
      </c>
      <c r="C1068" s="36">
        <v>0.71527777777777779</v>
      </c>
      <c r="D1068" s="36">
        <v>0.72569444444444453</v>
      </c>
      <c r="E1068" s="36">
        <v>0.73611111111111116</v>
      </c>
      <c r="F1068" s="37" t="s">
        <v>169</v>
      </c>
      <c r="G1068" s="37" t="s">
        <v>2904</v>
      </c>
      <c r="H1068" s="26" t="s">
        <v>184</v>
      </c>
      <c r="I1068" s="26" t="s">
        <v>2905</v>
      </c>
      <c r="J1068" s="26" t="s">
        <v>41</v>
      </c>
      <c r="K1068" s="66" t="s">
        <v>82</v>
      </c>
      <c r="L1068" s="66" t="s">
        <v>220</v>
      </c>
      <c r="M1068" s="37" t="s">
        <v>2906</v>
      </c>
      <c r="N1068" s="37" t="s">
        <v>340</v>
      </c>
      <c r="O1068" s="37" t="s">
        <v>2907</v>
      </c>
      <c r="P1068" s="37" t="s">
        <v>2908</v>
      </c>
      <c r="Q1068" s="303">
        <f t="shared" si="101"/>
        <v>22</v>
      </c>
      <c r="R1068" s="303">
        <f t="shared" si="102"/>
        <v>199</v>
      </c>
      <c r="S1068" s="37">
        <v>22</v>
      </c>
      <c r="T1068" s="37">
        <f>222-23</f>
        <v>199</v>
      </c>
      <c r="U1068" s="37">
        <v>0</v>
      </c>
      <c r="V1068" s="37">
        <v>0</v>
      </c>
      <c r="W1068" s="37">
        <v>206.72</v>
      </c>
      <c r="X1068" s="37">
        <v>61</v>
      </c>
      <c r="Y1068" s="37">
        <v>38</v>
      </c>
      <c r="Z1068" s="37">
        <v>46</v>
      </c>
      <c r="AA1068" s="37">
        <v>14</v>
      </c>
      <c r="AB1068" s="300">
        <f t="shared" si="103"/>
        <v>248.79866666666666</v>
      </c>
      <c r="AC1068" s="300">
        <f t="shared" si="104"/>
        <v>1.4987871485943776</v>
      </c>
      <c r="AD1068" s="37">
        <v>22342.799999999999</v>
      </c>
      <c r="AE1068" s="68" t="s">
        <v>109</v>
      </c>
      <c r="AF1068" s="37">
        <v>5884804</v>
      </c>
      <c r="AG1068" s="37" t="s">
        <v>2909</v>
      </c>
      <c r="AH1068" s="37" t="s">
        <v>2910</v>
      </c>
      <c r="AI1068" s="309"/>
      <c r="AJ1068" s="309"/>
      <c r="AK1068" s="68" t="s">
        <v>48</v>
      </c>
      <c r="AL1068" s="37" t="s">
        <v>47</v>
      </c>
      <c r="AM1068" s="299">
        <f t="shared" ca="1" si="100"/>
        <v>1.0173611111094942</v>
      </c>
      <c r="AN1068" s="51"/>
      <c r="AO1068" s="104" t="s">
        <v>81</v>
      </c>
      <c r="AP1068" s="106" t="s">
        <v>2906</v>
      </c>
      <c r="AQ1068" s="104" t="s">
        <v>3003</v>
      </c>
      <c r="AR1068" s="111">
        <v>44898.729166666664</v>
      </c>
      <c r="AS1068" s="104" t="s">
        <v>3004</v>
      </c>
      <c r="AT1068" s="109" t="s">
        <v>65</v>
      </c>
      <c r="AU1068" s="110">
        <v>0.72916666666666663</v>
      </c>
      <c r="AV1068" s="104">
        <v>1</v>
      </c>
      <c r="AW1068" s="109" t="s">
        <v>66</v>
      </c>
      <c r="AX1068" s="52"/>
      <c r="AY1068" s="52"/>
      <c r="AZ1068" s="52"/>
      <c r="BA1068" s="52"/>
    </row>
    <row r="1069" spans="1:53" x14ac:dyDescent="0.25">
      <c r="A1069" s="73">
        <v>43</v>
      </c>
      <c r="B1069" s="72">
        <v>44897.711805555555</v>
      </c>
      <c r="C1069" s="67">
        <v>0.71527777777777779</v>
      </c>
      <c r="D1069" s="67">
        <v>0.72569444444444453</v>
      </c>
      <c r="E1069" s="67">
        <v>0.73611111111111116</v>
      </c>
      <c r="F1069" s="68" t="s">
        <v>169</v>
      </c>
      <c r="G1069" s="68" t="s">
        <v>2904</v>
      </c>
      <c r="H1069" s="60" t="s">
        <v>184</v>
      </c>
      <c r="I1069" s="60" t="s">
        <v>2905</v>
      </c>
      <c r="J1069" s="60" t="s">
        <v>41</v>
      </c>
      <c r="K1069" s="66" t="s">
        <v>82</v>
      </c>
      <c r="L1069" s="66" t="s">
        <v>220</v>
      </c>
      <c r="M1069" s="68" t="s">
        <v>2906</v>
      </c>
      <c r="N1069" s="68" t="s">
        <v>340</v>
      </c>
      <c r="O1069" s="68" t="s">
        <v>2907</v>
      </c>
      <c r="P1069" s="68" t="s">
        <v>2908</v>
      </c>
      <c r="Q1069" s="303">
        <f t="shared" si="101"/>
        <v>0</v>
      </c>
      <c r="R1069" s="303">
        <f t="shared" si="102"/>
        <v>0</v>
      </c>
      <c r="S1069" s="68">
        <v>0</v>
      </c>
      <c r="T1069" s="68">
        <v>0</v>
      </c>
      <c r="U1069" s="68">
        <v>0</v>
      </c>
      <c r="V1069" s="68">
        <v>0</v>
      </c>
      <c r="W1069" s="68">
        <v>0</v>
      </c>
      <c r="X1069" s="37">
        <v>51</v>
      </c>
      <c r="Y1069" s="37">
        <v>35</v>
      </c>
      <c r="Z1069" s="37">
        <v>45</v>
      </c>
      <c r="AA1069" s="37">
        <v>6</v>
      </c>
      <c r="AB1069" s="300">
        <f t="shared" si="103"/>
        <v>80.325000000000003</v>
      </c>
      <c r="AC1069" s="300">
        <f t="shared" si="104"/>
        <v>0.48388554216867474</v>
      </c>
      <c r="AD1069" s="68">
        <v>0</v>
      </c>
      <c r="AE1069" s="37">
        <v>0</v>
      </c>
      <c r="AF1069" s="68">
        <v>5884804</v>
      </c>
      <c r="AG1069" s="68" t="s">
        <v>2909</v>
      </c>
      <c r="AH1069" s="68" t="s">
        <v>2910</v>
      </c>
      <c r="AI1069" s="309"/>
      <c r="AJ1069" s="309"/>
      <c r="AK1069" s="68" t="s">
        <v>48</v>
      </c>
      <c r="AL1069" s="68" t="s">
        <v>47</v>
      </c>
      <c r="AM1069" s="299">
        <f t="shared" ca="1" si="100"/>
        <v>1.0173611111094942</v>
      </c>
      <c r="AN1069" s="51"/>
      <c r="AO1069" s="104" t="s">
        <v>81</v>
      </c>
      <c r="AP1069" s="106" t="s">
        <v>2906</v>
      </c>
      <c r="AQ1069" s="104" t="s">
        <v>3003</v>
      </c>
      <c r="AR1069" s="111">
        <v>44898.729166666664</v>
      </c>
      <c r="AS1069" s="104" t="s">
        <v>3004</v>
      </c>
      <c r="AT1069" s="109" t="s">
        <v>65</v>
      </c>
      <c r="AU1069" s="110">
        <v>0.72916666666666663</v>
      </c>
      <c r="AV1069" s="104">
        <v>1</v>
      </c>
      <c r="AW1069" s="109" t="s">
        <v>66</v>
      </c>
      <c r="AX1069" s="52"/>
      <c r="AY1069" s="52"/>
      <c r="AZ1069" s="52"/>
      <c r="BA1069" s="52"/>
    </row>
    <row r="1070" spans="1:53" x14ac:dyDescent="0.25">
      <c r="A1070" s="73">
        <v>43</v>
      </c>
      <c r="B1070" s="72">
        <v>44897.711805555555</v>
      </c>
      <c r="C1070" s="67">
        <v>0.71527777777777779</v>
      </c>
      <c r="D1070" s="67">
        <v>0.72569444444444453</v>
      </c>
      <c r="E1070" s="67">
        <v>0.73611111111111116</v>
      </c>
      <c r="F1070" s="68" t="s">
        <v>169</v>
      </c>
      <c r="G1070" s="68" t="s">
        <v>2904</v>
      </c>
      <c r="H1070" s="60" t="s">
        <v>184</v>
      </c>
      <c r="I1070" s="60" t="s">
        <v>2905</v>
      </c>
      <c r="J1070" s="60" t="s">
        <v>41</v>
      </c>
      <c r="K1070" s="66" t="s">
        <v>82</v>
      </c>
      <c r="L1070" s="66" t="s">
        <v>220</v>
      </c>
      <c r="M1070" s="68" t="s">
        <v>2906</v>
      </c>
      <c r="N1070" s="68" t="s">
        <v>340</v>
      </c>
      <c r="O1070" s="68" t="s">
        <v>2907</v>
      </c>
      <c r="P1070" s="68" t="s">
        <v>2908</v>
      </c>
      <c r="Q1070" s="303">
        <f t="shared" si="101"/>
        <v>0</v>
      </c>
      <c r="R1070" s="303">
        <f t="shared" si="102"/>
        <v>0</v>
      </c>
      <c r="S1070" s="68">
        <v>0</v>
      </c>
      <c r="T1070" s="68">
        <v>0</v>
      </c>
      <c r="U1070" s="68">
        <v>0</v>
      </c>
      <c r="V1070" s="68">
        <v>0</v>
      </c>
      <c r="W1070" s="68">
        <v>0</v>
      </c>
      <c r="X1070" s="37">
        <v>48</v>
      </c>
      <c r="Y1070" s="37">
        <v>42</v>
      </c>
      <c r="Z1070" s="37">
        <v>45</v>
      </c>
      <c r="AA1070" s="37">
        <v>2</v>
      </c>
      <c r="AB1070" s="300">
        <f t="shared" si="103"/>
        <v>30.24</v>
      </c>
      <c r="AC1070" s="300">
        <f t="shared" si="104"/>
        <v>0.18216867469879516</v>
      </c>
      <c r="AD1070" s="68">
        <v>0</v>
      </c>
      <c r="AE1070" s="68">
        <v>0</v>
      </c>
      <c r="AF1070" s="68">
        <v>5884804</v>
      </c>
      <c r="AG1070" s="68" t="s">
        <v>2909</v>
      </c>
      <c r="AH1070" s="68" t="s">
        <v>2910</v>
      </c>
      <c r="AI1070" s="309"/>
      <c r="AJ1070" s="309"/>
      <c r="AK1070" s="68" t="s">
        <v>48</v>
      </c>
      <c r="AL1070" s="68" t="s">
        <v>47</v>
      </c>
      <c r="AM1070" s="299">
        <f t="shared" ca="1" si="100"/>
        <v>1.0173611111094942</v>
      </c>
      <c r="AN1070" s="51"/>
      <c r="AO1070" s="104" t="s">
        <v>81</v>
      </c>
      <c r="AP1070" s="106" t="s">
        <v>2906</v>
      </c>
      <c r="AQ1070" s="104" t="s">
        <v>3003</v>
      </c>
      <c r="AR1070" s="111">
        <v>44898.729166666664</v>
      </c>
      <c r="AS1070" s="104" t="s">
        <v>3004</v>
      </c>
      <c r="AT1070" s="109" t="s">
        <v>65</v>
      </c>
      <c r="AU1070" s="110">
        <v>0.72916666666666663</v>
      </c>
      <c r="AV1070" s="104">
        <v>1</v>
      </c>
      <c r="AW1070" s="109" t="s">
        <v>66</v>
      </c>
      <c r="AX1070" s="52"/>
      <c r="AY1070" s="52"/>
      <c r="AZ1070" s="52"/>
      <c r="BA1070" s="52"/>
    </row>
    <row r="1071" spans="1:53" x14ac:dyDescent="0.25">
      <c r="A1071" s="48">
        <v>44</v>
      </c>
      <c r="B1071" s="72">
        <v>44897.711805555555</v>
      </c>
      <c r="C1071" s="67">
        <v>0.71527777777777779</v>
      </c>
      <c r="D1071" s="67">
        <v>0.72569444444444453</v>
      </c>
      <c r="E1071" s="67">
        <v>0.73611111111111116</v>
      </c>
      <c r="F1071" s="68" t="s">
        <v>169</v>
      </c>
      <c r="G1071" s="68" t="s">
        <v>2904</v>
      </c>
      <c r="H1071" s="60" t="s">
        <v>184</v>
      </c>
      <c r="I1071" s="60" t="s">
        <v>2905</v>
      </c>
      <c r="J1071" s="60" t="s">
        <v>41</v>
      </c>
      <c r="K1071" s="66" t="s">
        <v>82</v>
      </c>
      <c r="L1071" s="66" t="s">
        <v>220</v>
      </c>
      <c r="M1071" s="68" t="s">
        <v>2906</v>
      </c>
      <c r="N1071" s="68" t="s">
        <v>340</v>
      </c>
      <c r="O1071" s="68" t="s">
        <v>2911</v>
      </c>
      <c r="P1071" s="37" t="s">
        <v>2912</v>
      </c>
      <c r="Q1071" s="303">
        <f t="shared" si="101"/>
        <v>29</v>
      </c>
      <c r="R1071" s="303">
        <f t="shared" si="102"/>
        <v>404</v>
      </c>
      <c r="S1071" s="37">
        <v>29</v>
      </c>
      <c r="T1071" s="37">
        <f>237-21+209-21</f>
        <v>404</v>
      </c>
      <c r="U1071" s="37">
        <v>0</v>
      </c>
      <c r="V1071" s="37">
        <v>0</v>
      </c>
      <c r="W1071" s="37">
        <v>379.68</v>
      </c>
      <c r="X1071" s="37">
        <v>55</v>
      </c>
      <c r="Y1071" s="37">
        <v>39</v>
      </c>
      <c r="Z1071" s="37">
        <v>41</v>
      </c>
      <c r="AA1071" s="37">
        <v>7</v>
      </c>
      <c r="AB1071" s="300">
        <f t="shared" si="103"/>
        <v>102.60250000000001</v>
      </c>
      <c r="AC1071" s="300">
        <f t="shared" si="104"/>
        <v>0.61808734939759036</v>
      </c>
      <c r="AD1071" s="37">
        <v>41014.080000000002</v>
      </c>
      <c r="AE1071" s="37" t="s">
        <v>109</v>
      </c>
      <c r="AF1071" s="37">
        <v>5884798</v>
      </c>
      <c r="AG1071" s="68" t="s">
        <v>2909</v>
      </c>
      <c r="AH1071" s="37" t="s">
        <v>2913</v>
      </c>
      <c r="AI1071" s="309"/>
      <c r="AJ1071" s="309"/>
      <c r="AK1071" s="68" t="s">
        <v>48</v>
      </c>
      <c r="AL1071" s="68" t="s">
        <v>47</v>
      </c>
      <c r="AM1071" s="299">
        <f t="shared" ca="1" si="100"/>
        <v>1.0173611111094942</v>
      </c>
      <c r="AN1071" s="51"/>
      <c r="AO1071" s="104" t="s">
        <v>81</v>
      </c>
      <c r="AP1071" s="106" t="s">
        <v>2906</v>
      </c>
      <c r="AQ1071" s="104" t="s">
        <v>3003</v>
      </c>
      <c r="AR1071" s="111">
        <v>44898.729166666664</v>
      </c>
      <c r="AS1071" s="104" t="s">
        <v>3004</v>
      </c>
      <c r="AT1071" s="109" t="s">
        <v>65</v>
      </c>
      <c r="AU1071" s="110">
        <v>0.72916666666666663</v>
      </c>
      <c r="AV1071" s="104">
        <v>1</v>
      </c>
      <c r="AW1071" s="109" t="s">
        <v>66</v>
      </c>
      <c r="AX1071" s="52"/>
      <c r="AY1071" s="52"/>
      <c r="AZ1071" s="52"/>
      <c r="BA1071" s="52"/>
    </row>
    <row r="1072" spans="1:53" x14ac:dyDescent="0.25">
      <c r="A1072" s="73">
        <v>44</v>
      </c>
      <c r="B1072" s="72">
        <v>44897.711805555555</v>
      </c>
      <c r="C1072" s="67">
        <v>0.71527777777777779</v>
      </c>
      <c r="D1072" s="67">
        <v>0.72569444444444453</v>
      </c>
      <c r="E1072" s="67">
        <v>0.73611111111111116</v>
      </c>
      <c r="F1072" s="68" t="s">
        <v>169</v>
      </c>
      <c r="G1072" s="68" t="s">
        <v>2904</v>
      </c>
      <c r="H1072" s="60" t="s">
        <v>184</v>
      </c>
      <c r="I1072" s="60" t="s">
        <v>2905</v>
      </c>
      <c r="J1072" s="60" t="s">
        <v>41</v>
      </c>
      <c r="K1072" s="66" t="s">
        <v>82</v>
      </c>
      <c r="L1072" s="66" t="s">
        <v>220</v>
      </c>
      <c r="M1072" s="68" t="s">
        <v>2906</v>
      </c>
      <c r="N1072" s="68" t="s">
        <v>340</v>
      </c>
      <c r="O1072" s="68" t="s">
        <v>2911</v>
      </c>
      <c r="P1072" s="68" t="s">
        <v>2912</v>
      </c>
      <c r="Q1072" s="303">
        <f t="shared" si="101"/>
        <v>0</v>
      </c>
      <c r="R1072" s="303">
        <f t="shared" si="102"/>
        <v>0</v>
      </c>
      <c r="S1072" s="68">
        <v>0</v>
      </c>
      <c r="T1072" s="68">
        <v>0</v>
      </c>
      <c r="U1072" s="68">
        <v>0</v>
      </c>
      <c r="V1072" s="68">
        <v>0</v>
      </c>
      <c r="W1072" s="68">
        <v>0</v>
      </c>
      <c r="X1072" s="37">
        <v>49</v>
      </c>
      <c r="Y1072" s="37">
        <v>41</v>
      </c>
      <c r="Z1072" s="37">
        <v>44</v>
      </c>
      <c r="AA1072" s="37">
        <v>13</v>
      </c>
      <c r="AB1072" s="300">
        <f t="shared" si="103"/>
        <v>191.52466666666666</v>
      </c>
      <c r="AC1072" s="300">
        <f t="shared" si="104"/>
        <v>1.1537630522088353</v>
      </c>
      <c r="AD1072" s="37">
        <v>0</v>
      </c>
      <c r="AE1072" s="68">
        <v>0</v>
      </c>
      <c r="AF1072" s="68">
        <v>5884798</v>
      </c>
      <c r="AG1072" s="68" t="s">
        <v>2909</v>
      </c>
      <c r="AH1072" s="68" t="s">
        <v>2913</v>
      </c>
      <c r="AI1072" s="309"/>
      <c r="AJ1072" s="309"/>
      <c r="AK1072" s="68" t="s">
        <v>48</v>
      </c>
      <c r="AL1072" s="68" t="s">
        <v>47</v>
      </c>
      <c r="AM1072" s="299">
        <f t="shared" ca="1" si="100"/>
        <v>1.0173611111094942</v>
      </c>
      <c r="AN1072" s="51"/>
      <c r="AO1072" s="104" t="s">
        <v>81</v>
      </c>
      <c r="AP1072" s="106" t="s">
        <v>2906</v>
      </c>
      <c r="AQ1072" s="104" t="s">
        <v>3003</v>
      </c>
      <c r="AR1072" s="111">
        <v>44898.729166666664</v>
      </c>
      <c r="AS1072" s="104" t="s">
        <v>3004</v>
      </c>
      <c r="AT1072" s="109" t="s">
        <v>65</v>
      </c>
      <c r="AU1072" s="110">
        <v>0.72916666666666663</v>
      </c>
      <c r="AV1072" s="104">
        <v>1</v>
      </c>
      <c r="AW1072" s="109" t="s">
        <v>66</v>
      </c>
      <c r="AX1072" s="52"/>
      <c r="AY1072" s="52"/>
      <c r="AZ1072" s="52"/>
      <c r="BA1072" s="52"/>
    </row>
    <row r="1073" spans="1:53" x14ac:dyDescent="0.25">
      <c r="A1073" s="73">
        <v>44</v>
      </c>
      <c r="B1073" s="72">
        <v>44897.711805555555</v>
      </c>
      <c r="C1073" s="67">
        <v>0.71527777777777779</v>
      </c>
      <c r="D1073" s="67">
        <v>0.72569444444444453</v>
      </c>
      <c r="E1073" s="67">
        <v>0.73611111111111116</v>
      </c>
      <c r="F1073" s="68" t="s">
        <v>169</v>
      </c>
      <c r="G1073" s="68" t="s">
        <v>2904</v>
      </c>
      <c r="H1073" s="60" t="s">
        <v>184</v>
      </c>
      <c r="I1073" s="60" t="s">
        <v>2905</v>
      </c>
      <c r="J1073" s="60" t="s">
        <v>41</v>
      </c>
      <c r="K1073" s="66" t="s">
        <v>82</v>
      </c>
      <c r="L1073" s="66" t="s">
        <v>220</v>
      </c>
      <c r="M1073" s="68" t="s">
        <v>2906</v>
      </c>
      <c r="N1073" s="68" t="s">
        <v>340</v>
      </c>
      <c r="O1073" s="68" t="s">
        <v>2911</v>
      </c>
      <c r="P1073" s="68" t="s">
        <v>2912</v>
      </c>
      <c r="Q1073" s="303">
        <f t="shared" si="101"/>
        <v>0</v>
      </c>
      <c r="R1073" s="303">
        <f t="shared" si="102"/>
        <v>0</v>
      </c>
      <c r="S1073" s="68">
        <v>0</v>
      </c>
      <c r="T1073" s="68">
        <v>0</v>
      </c>
      <c r="U1073" s="68">
        <v>0</v>
      </c>
      <c r="V1073" s="68">
        <v>0</v>
      </c>
      <c r="W1073" s="68">
        <v>0</v>
      </c>
      <c r="X1073" s="37">
        <v>61</v>
      </c>
      <c r="Y1073" s="37">
        <v>37</v>
      </c>
      <c r="Z1073" s="37">
        <v>45</v>
      </c>
      <c r="AA1073" s="37">
        <v>5</v>
      </c>
      <c r="AB1073" s="300">
        <f t="shared" si="103"/>
        <v>84.637500000000003</v>
      </c>
      <c r="AC1073" s="300">
        <f t="shared" si="104"/>
        <v>0.50986445783132528</v>
      </c>
      <c r="AD1073" s="37">
        <v>0</v>
      </c>
      <c r="AE1073" s="68">
        <v>0</v>
      </c>
      <c r="AF1073" s="68">
        <v>5884798</v>
      </c>
      <c r="AG1073" s="68" t="s">
        <v>2909</v>
      </c>
      <c r="AH1073" s="68" t="s">
        <v>2913</v>
      </c>
      <c r="AI1073" s="309"/>
      <c r="AJ1073" s="309"/>
      <c r="AK1073" s="68" t="s">
        <v>48</v>
      </c>
      <c r="AL1073" s="68" t="s">
        <v>47</v>
      </c>
      <c r="AM1073" s="299">
        <f t="shared" ca="1" si="100"/>
        <v>1.0173611111094942</v>
      </c>
      <c r="AN1073" s="51"/>
      <c r="AO1073" s="104" t="s">
        <v>81</v>
      </c>
      <c r="AP1073" s="106" t="s">
        <v>2906</v>
      </c>
      <c r="AQ1073" s="104" t="s">
        <v>3003</v>
      </c>
      <c r="AR1073" s="111">
        <v>44898.729166666664</v>
      </c>
      <c r="AS1073" s="104" t="s">
        <v>3004</v>
      </c>
      <c r="AT1073" s="109" t="s">
        <v>65</v>
      </c>
      <c r="AU1073" s="110">
        <v>0.72916666666666663</v>
      </c>
      <c r="AV1073" s="104">
        <v>1</v>
      </c>
      <c r="AW1073" s="109" t="s">
        <v>66</v>
      </c>
      <c r="AX1073" s="52"/>
      <c r="AY1073" s="52"/>
      <c r="AZ1073" s="52"/>
      <c r="BA1073" s="52"/>
    </row>
    <row r="1074" spans="1:53" x14ac:dyDescent="0.25">
      <c r="A1074" s="73">
        <v>44</v>
      </c>
      <c r="B1074" s="72">
        <v>44897.711805555555</v>
      </c>
      <c r="C1074" s="67">
        <v>0.71527777777777779</v>
      </c>
      <c r="D1074" s="67">
        <v>0.72569444444444453</v>
      </c>
      <c r="E1074" s="67">
        <v>0.73611111111111116</v>
      </c>
      <c r="F1074" s="68" t="s">
        <v>169</v>
      </c>
      <c r="G1074" s="68" t="s">
        <v>2904</v>
      </c>
      <c r="H1074" s="60" t="s">
        <v>184</v>
      </c>
      <c r="I1074" s="60" t="s">
        <v>2905</v>
      </c>
      <c r="J1074" s="60" t="s">
        <v>41</v>
      </c>
      <c r="K1074" s="66" t="s">
        <v>82</v>
      </c>
      <c r="L1074" s="66" t="s">
        <v>220</v>
      </c>
      <c r="M1074" s="68" t="s">
        <v>2906</v>
      </c>
      <c r="N1074" s="68" t="s">
        <v>340</v>
      </c>
      <c r="O1074" s="68" t="s">
        <v>2911</v>
      </c>
      <c r="P1074" s="68" t="s">
        <v>2912</v>
      </c>
      <c r="Q1074" s="303">
        <f t="shared" si="101"/>
        <v>0</v>
      </c>
      <c r="R1074" s="303">
        <f t="shared" si="102"/>
        <v>0</v>
      </c>
      <c r="S1074" s="68">
        <v>0</v>
      </c>
      <c r="T1074" s="68">
        <v>0</v>
      </c>
      <c r="U1074" s="68">
        <v>0</v>
      </c>
      <c r="V1074" s="68">
        <v>0</v>
      </c>
      <c r="W1074" s="68">
        <v>0</v>
      </c>
      <c r="X1074" s="37">
        <v>48</v>
      </c>
      <c r="Y1074" s="37">
        <v>43</v>
      </c>
      <c r="Z1074" s="37">
        <v>43</v>
      </c>
      <c r="AA1074" s="37">
        <v>1</v>
      </c>
      <c r="AB1074" s="300">
        <f t="shared" si="103"/>
        <v>14.792</v>
      </c>
      <c r="AC1074" s="300">
        <f t="shared" si="104"/>
        <v>8.9108433734939763E-2</v>
      </c>
      <c r="AD1074" s="37">
        <v>0</v>
      </c>
      <c r="AE1074" s="68">
        <v>0</v>
      </c>
      <c r="AF1074" s="68">
        <v>5884798</v>
      </c>
      <c r="AG1074" s="68" t="s">
        <v>2909</v>
      </c>
      <c r="AH1074" s="68" t="s">
        <v>2913</v>
      </c>
      <c r="AI1074" s="309"/>
      <c r="AJ1074" s="309"/>
      <c r="AK1074" s="68" t="s">
        <v>48</v>
      </c>
      <c r="AL1074" s="68" t="s">
        <v>47</v>
      </c>
      <c r="AM1074" s="299">
        <f t="shared" ca="1" si="100"/>
        <v>1.0173611111094942</v>
      </c>
      <c r="AN1074" s="51"/>
      <c r="AO1074" s="104" t="s">
        <v>81</v>
      </c>
      <c r="AP1074" s="106" t="s">
        <v>2906</v>
      </c>
      <c r="AQ1074" s="104" t="s">
        <v>3003</v>
      </c>
      <c r="AR1074" s="111">
        <v>44898.729166666664</v>
      </c>
      <c r="AS1074" s="104" t="s">
        <v>3004</v>
      </c>
      <c r="AT1074" s="109" t="s">
        <v>65</v>
      </c>
      <c r="AU1074" s="110">
        <v>0.72916666666666663</v>
      </c>
      <c r="AV1074" s="104">
        <v>1</v>
      </c>
      <c r="AW1074" s="109" t="s">
        <v>66</v>
      </c>
      <c r="AX1074" s="52"/>
      <c r="AY1074" s="52"/>
      <c r="AZ1074" s="52"/>
      <c r="BA1074" s="52"/>
    </row>
    <row r="1075" spans="1:53" x14ac:dyDescent="0.25">
      <c r="A1075" s="73">
        <v>44</v>
      </c>
      <c r="B1075" s="72">
        <v>44897.711805555555</v>
      </c>
      <c r="C1075" s="67">
        <v>0.71527777777777779</v>
      </c>
      <c r="D1075" s="67">
        <v>0.72569444444444453</v>
      </c>
      <c r="E1075" s="67">
        <v>0.73611111111111116</v>
      </c>
      <c r="F1075" s="68" t="s">
        <v>169</v>
      </c>
      <c r="G1075" s="68" t="s">
        <v>2904</v>
      </c>
      <c r="H1075" s="60" t="s">
        <v>184</v>
      </c>
      <c r="I1075" s="60" t="s">
        <v>2905</v>
      </c>
      <c r="J1075" s="60" t="s">
        <v>41</v>
      </c>
      <c r="K1075" s="66" t="s">
        <v>82</v>
      </c>
      <c r="L1075" s="66" t="s">
        <v>220</v>
      </c>
      <c r="M1075" s="68" t="s">
        <v>2906</v>
      </c>
      <c r="N1075" s="68" t="s">
        <v>340</v>
      </c>
      <c r="O1075" s="68" t="s">
        <v>2911</v>
      </c>
      <c r="P1075" s="68" t="s">
        <v>2912</v>
      </c>
      <c r="Q1075" s="303">
        <f t="shared" si="101"/>
        <v>0</v>
      </c>
      <c r="R1075" s="303">
        <f t="shared" si="102"/>
        <v>0</v>
      </c>
      <c r="S1075" s="68">
        <v>0</v>
      </c>
      <c r="T1075" s="68">
        <v>0</v>
      </c>
      <c r="U1075" s="68">
        <v>0</v>
      </c>
      <c r="V1075" s="68">
        <v>0</v>
      </c>
      <c r="W1075" s="68">
        <v>0</v>
      </c>
      <c r="X1075" s="37">
        <v>50</v>
      </c>
      <c r="Y1075" s="37">
        <v>35</v>
      </c>
      <c r="Z1075" s="37">
        <v>46</v>
      </c>
      <c r="AA1075" s="37">
        <v>3</v>
      </c>
      <c r="AB1075" s="300">
        <f t="shared" si="103"/>
        <v>40.25</v>
      </c>
      <c r="AC1075" s="300">
        <f t="shared" si="104"/>
        <v>0.24246987951807228</v>
      </c>
      <c r="AD1075" s="37">
        <v>0</v>
      </c>
      <c r="AE1075" s="68">
        <v>0</v>
      </c>
      <c r="AF1075" s="68">
        <v>5884798</v>
      </c>
      <c r="AG1075" s="68" t="s">
        <v>2909</v>
      </c>
      <c r="AH1075" s="68" t="s">
        <v>2913</v>
      </c>
      <c r="AI1075" s="309"/>
      <c r="AJ1075" s="309"/>
      <c r="AK1075" s="68" t="s">
        <v>48</v>
      </c>
      <c r="AL1075" s="68" t="s">
        <v>47</v>
      </c>
      <c r="AM1075" s="299">
        <f t="shared" ca="1" si="100"/>
        <v>1.0173611111094942</v>
      </c>
      <c r="AN1075" s="51"/>
      <c r="AO1075" s="104" t="s">
        <v>81</v>
      </c>
      <c r="AP1075" s="106" t="s">
        <v>2906</v>
      </c>
      <c r="AQ1075" s="104" t="s">
        <v>3003</v>
      </c>
      <c r="AR1075" s="111">
        <v>44898.729166666664</v>
      </c>
      <c r="AS1075" s="104" t="s">
        <v>3004</v>
      </c>
      <c r="AT1075" s="109" t="s">
        <v>65</v>
      </c>
      <c r="AU1075" s="110">
        <v>0.72916666666666663</v>
      </c>
      <c r="AV1075" s="104">
        <v>1</v>
      </c>
      <c r="AW1075" s="109" t="s">
        <v>66</v>
      </c>
      <c r="AX1075" s="52"/>
      <c r="AY1075" s="52"/>
      <c r="AZ1075" s="52"/>
      <c r="BA1075" s="52"/>
    </row>
    <row r="1076" spans="1:53" x14ac:dyDescent="0.25">
      <c r="A1076" s="48">
        <v>45</v>
      </c>
      <c r="B1076" s="72">
        <v>44897.715277777781</v>
      </c>
      <c r="C1076" s="36">
        <v>0.71875</v>
      </c>
      <c r="D1076" s="36">
        <v>0.72569444444444453</v>
      </c>
      <c r="E1076" s="36">
        <v>0.73958333333333337</v>
      </c>
      <c r="F1076" s="68" t="s">
        <v>169</v>
      </c>
      <c r="G1076" s="37" t="s">
        <v>2914</v>
      </c>
      <c r="H1076" s="26" t="s">
        <v>248</v>
      </c>
      <c r="I1076" s="26" t="s">
        <v>2915</v>
      </c>
      <c r="J1076" s="60" t="s">
        <v>41</v>
      </c>
      <c r="K1076" s="66" t="s">
        <v>241</v>
      </c>
      <c r="L1076" s="66" t="s">
        <v>249</v>
      </c>
      <c r="M1076" s="37" t="s">
        <v>2916</v>
      </c>
      <c r="N1076" s="37" t="s">
        <v>42</v>
      </c>
      <c r="O1076" s="37" t="s">
        <v>2917</v>
      </c>
      <c r="P1076" s="37" t="s">
        <v>2918</v>
      </c>
      <c r="Q1076" s="303">
        <f t="shared" si="101"/>
        <v>34</v>
      </c>
      <c r="R1076" s="303">
        <f t="shared" si="102"/>
        <v>219</v>
      </c>
      <c r="S1076" s="37">
        <v>34</v>
      </c>
      <c r="T1076" s="37">
        <f>241-22</f>
        <v>219</v>
      </c>
      <c r="U1076" s="37">
        <v>0</v>
      </c>
      <c r="V1076" s="37">
        <v>0</v>
      </c>
      <c r="W1076" s="37" t="s">
        <v>48</v>
      </c>
      <c r="X1076" s="37">
        <v>53</v>
      </c>
      <c r="Y1076" s="37">
        <v>43</v>
      </c>
      <c r="Z1076" s="37">
        <v>27</v>
      </c>
      <c r="AA1076" s="37">
        <v>34</v>
      </c>
      <c r="AB1076" s="300">
        <f t="shared" si="103"/>
        <v>348.68700000000001</v>
      </c>
      <c r="AC1076" s="300">
        <f t="shared" si="104"/>
        <v>2.1005240963855423</v>
      </c>
      <c r="AD1076" s="37">
        <v>5535.84</v>
      </c>
      <c r="AE1076" s="37" t="s">
        <v>109</v>
      </c>
      <c r="AF1076" s="37">
        <v>5886918</v>
      </c>
      <c r="AG1076" s="68" t="s">
        <v>2909</v>
      </c>
      <c r="AH1076" s="37" t="s">
        <v>2919</v>
      </c>
      <c r="AI1076" s="309"/>
      <c r="AJ1076" s="309"/>
      <c r="AK1076" s="68" t="s">
        <v>48</v>
      </c>
      <c r="AL1076" s="68" t="s">
        <v>47</v>
      </c>
      <c r="AM1076" s="299">
        <f t="shared" ca="1" si="100"/>
        <v>4.0069444444379769</v>
      </c>
      <c r="AN1076" s="51"/>
      <c r="AO1076" s="109" t="s">
        <v>255</v>
      </c>
      <c r="AP1076" s="109" t="s">
        <v>2916</v>
      </c>
      <c r="AQ1076" s="109" t="s">
        <v>3140</v>
      </c>
      <c r="AR1076" s="64">
        <v>44901.722222222219</v>
      </c>
      <c r="AS1076" s="104" t="s">
        <v>117</v>
      </c>
      <c r="AT1076" s="109" t="s">
        <v>225</v>
      </c>
      <c r="AU1076" s="110">
        <v>0.72222222222222221</v>
      </c>
      <c r="AV1076" s="109">
        <v>2</v>
      </c>
      <c r="AW1076" s="109" t="s">
        <v>66</v>
      </c>
      <c r="AX1076" s="52"/>
      <c r="AY1076" s="52"/>
      <c r="AZ1076" s="52"/>
      <c r="BA1076" s="52"/>
    </row>
    <row r="1077" spans="1:53" x14ac:dyDescent="0.25">
      <c r="A1077" s="48">
        <v>46</v>
      </c>
      <c r="B1077" s="46">
        <v>44897.736111111109</v>
      </c>
      <c r="C1077" s="36">
        <v>0.73958333333333337</v>
      </c>
      <c r="D1077" s="36">
        <v>0.74652777777777779</v>
      </c>
      <c r="E1077" s="36">
        <v>0.74652777777777779</v>
      </c>
      <c r="F1077" s="37" t="s">
        <v>171</v>
      </c>
      <c r="G1077" s="37" t="s">
        <v>244</v>
      </c>
      <c r="H1077" s="26" t="s">
        <v>75</v>
      </c>
      <c r="I1077" s="26" t="s">
        <v>110</v>
      </c>
      <c r="J1077" s="26" t="s">
        <v>37</v>
      </c>
      <c r="K1077" s="66" t="s">
        <v>180</v>
      </c>
      <c r="L1077" s="66" t="s">
        <v>209</v>
      </c>
      <c r="M1077" s="37" t="s">
        <v>2920</v>
      </c>
      <c r="N1077" s="37" t="s">
        <v>76</v>
      </c>
      <c r="O1077" s="37" t="s">
        <v>2921</v>
      </c>
      <c r="P1077" s="37">
        <v>555705704</v>
      </c>
      <c r="Q1077" s="303">
        <f t="shared" si="101"/>
        <v>1</v>
      </c>
      <c r="R1077" s="303">
        <f t="shared" si="102"/>
        <v>57</v>
      </c>
      <c r="S1077" s="37">
        <v>0</v>
      </c>
      <c r="T1077" s="37">
        <v>0</v>
      </c>
      <c r="U1077" s="37">
        <v>1</v>
      </c>
      <c r="V1077" s="37">
        <v>57</v>
      </c>
      <c r="W1077" s="37">
        <v>56</v>
      </c>
      <c r="X1077" s="37">
        <v>56</v>
      </c>
      <c r="Y1077" s="37">
        <v>56</v>
      </c>
      <c r="Z1077" s="37">
        <v>45</v>
      </c>
      <c r="AA1077" s="37">
        <v>1</v>
      </c>
      <c r="AB1077" s="300">
        <f t="shared" si="103"/>
        <v>23.52</v>
      </c>
      <c r="AC1077" s="300">
        <f t="shared" si="104"/>
        <v>0.14168674698795181</v>
      </c>
      <c r="AD1077" s="37">
        <v>1445.4</v>
      </c>
      <c r="AE1077" s="68" t="s">
        <v>109</v>
      </c>
      <c r="AF1077" s="37" t="s">
        <v>317</v>
      </c>
      <c r="AG1077" s="37" t="s">
        <v>317</v>
      </c>
      <c r="AH1077" s="37" t="s">
        <v>2922</v>
      </c>
      <c r="AI1077" s="309"/>
      <c r="AJ1077" s="309"/>
      <c r="AK1077" s="37" t="s">
        <v>37</v>
      </c>
      <c r="AL1077" s="37" t="s">
        <v>49</v>
      </c>
      <c r="AM1077" s="299">
        <f t="shared" ca="1" si="100"/>
        <v>11.951388888890506</v>
      </c>
      <c r="AN1077" s="51"/>
      <c r="AO1077" s="104" t="s">
        <v>3553</v>
      </c>
      <c r="AP1077" s="106" t="s">
        <v>2920</v>
      </c>
      <c r="AQ1077" s="104" t="s">
        <v>3554</v>
      </c>
      <c r="AR1077" s="111">
        <v>44909.6875</v>
      </c>
      <c r="AS1077" s="104" t="s">
        <v>117</v>
      </c>
      <c r="AT1077" s="134" t="s">
        <v>225</v>
      </c>
      <c r="AU1077" s="110">
        <v>0.6875</v>
      </c>
      <c r="AV1077" s="104">
        <v>1</v>
      </c>
      <c r="AW1077" s="134" t="s">
        <v>66</v>
      </c>
      <c r="AX1077" s="52"/>
      <c r="AY1077" s="52"/>
      <c r="AZ1077" s="52"/>
      <c r="BA1077" s="52"/>
    </row>
    <row r="1078" spans="1:53" x14ac:dyDescent="0.25">
      <c r="A1078" s="121">
        <v>47</v>
      </c>
      <c r="B1078" s="120">
        <v>44898.392361111109</v>
      </c>
      <c r="C1078" s="114">
        <v>0.39583333333333331</v>
      </c>
      <c r="D1078" s="114">
        <v>0.40625</v>
      </c>
      <c r="E1078" s="114">
        <v>0.45833333333333331</v>
      </c>
      <c r="F1078" s="115" t="s">
        <v>171</v>
      </c>
      <c r="G1078" s="115" t="s">
        <v>136</v>
      </c>
      <c r="H1078" s="107" t="s">
        <v>342</v>
      </c>
      <c r="I1078" s="107" t="s">
        <v>342</v>
      </c>
      <c r="J1078" s="107" t="s">
        <v>37</v>
      </c>
      <c r="K1078" s="115" t="s">
        <v>180</v>
      </c>
      <c r="L1078" s="115">
        <v>0</v>
      </c>
      <c r="M1078" s="115" t="s">
        <v>2923</v>
      </c>
      <c r="N1078" s="115" t="s">
        <v>42</v>
      </c>
      <c r="O1078" s="115" t="s">
        <v>2924</v>
      </c>
      <c r="P1078" s="115">
        <v>29545469</v>
      </c>
      <c r="Q1078" s="303">
        <f t="shared" si="101"/>
        <v>18</v>
      </c>
      <c r="R1078" s="303">
        <f t="shared" si="102"/>
        <v>11102</v>
      </c>
      <c r="S1078" s="115">
        <v>0</v>
      </c>
      <c r="T1078" s="115">
        <v>0</v>
      </c>
      <c r="U1078" s="115">
        <v>18</v>
      </c>
      <c r="V1078" s="115">
        <v>11102</v>
      </c>
      <c r="W1078" s="115">
        <v>10800</v>
      </c>
      <c r="X1078" s="115">
        <v>99</v>
      </c>
      <c r="Y1078" s="115">
        <v>97</v>
      </c>
      <c r="Z1078" s="115">
        <v>81</v>
      </c>
      <c r="AA1078" s="115">
        <v>1</v>
      </c>
      <c r="AB1078" s="300">
        <f t="shared" si="103"/>
        <v>129.6405</v>
      </c>
      <c r="AC1078" s="300">
        <f t="shared" si="104"/>
        <v>0.78096686746987953</v>
      </c>
      <c r="AD1078" s="115">
        <v>119249.28</v>
      </c>
      <c r="AE1078" s="115" t="s">
        <v>109</v>
      </c>
      <c r="AF1078" s="115" t="s">
        <v>317</v>
      </c>
      <c r="AG1078" s="115" t="s">
        <v>317</v>
      </c>
      <c r="AH1078" s="115" t="s">
        <v>2925</v>
      </c>
      <c r="AI1078" s="309"/>
      <c r="AJ1078" s="309"/>
      <c r="AK1078" s="115" t="s">
        <v>37</v>
      </c>
      <c r="AL1078" s="115" t="s">
        <v>49</v>
      </c>
      <c r="AM1078" s="299">
        <f t="shared" ca="1" si="100"/>
        <v>0.34722222222626442</v>
      </c>
      <c r="AN1078" s="122" t="s">
        <v>2988</v>
      </c>
      <c r="AO1078" s="104" t="s">
        <v>107</v>
      </c>
      <c r="AP1078" s="106" t="s">
        <v>2923</v>
      </c>
      <c r="AQ1078" s="104" t="s">
        <v>3005</v>
      </c>
      <c r="AR1078" s="111">
        <v>44898.739583333336</v>
      </c>
      <c r="AS1078" s="104" t="s">
        <v>3006</v>
      </c>
      <c r="AT1078" s="109" t="s">
        <v>225</v>
      </c>
      <c r="AU1078" s="110">
        <v>0.73958333333333337</v>
      </c>
      <c r="AV1078" s="104">
        <v>2</v>
      </c>
      <c r="AW1078" s="109" t="s">
        <v>66</v>
      </c>
      <c r="AX1078" s="123"/>
      <c r="AY1078" s="123"/>
      <c r="AZ1078" s="123"/>
      <c r="BA1078" s="123"/>
    </row>
    <row r="1079" spans="1:53" x14ac:dyDescent="0.25">
      <c r="A1079" s="121">
        <v>47</v>
      </c>
      <c r="B1079" s="120">
        <v>44898.392361111109</v>
      </c>
      <c r="C1079" s="114">
        <v>0.39583333333333331</v>
      </c>
      <c r="D1079" s="114">
        <v>0.40625</v>
      </c>
      <c r="E1079" s="114">
        <v>0.45833333333333331</v>
      </c>
      <c r="F1079" s="115" t="s">
        <v>171</v>
      </c>
      <c r="G1079" s="115" t="s">
        <v>136</v>
      </c>
      <c r="H1079" s="107" t="s">
        <v>342</v>
      </c>
      <c r="I1079" s="107" t="s">
        <v>342</v>
      </c>
      <c r="J1079" s="107" t="s">
        <v>37</v>
      </c>
      <c r="K1079" s="115" t="s">
        <v>180</v>
      </c>
      <c r="L1079" s="115">
        <v>0</v>
      </c>
      <c r="M1079" s="115" t="s">
        <v>2923</v>
      </c>
      <c r="N1079" s="115" t="s">
        <v>42</v>
      </c>
      <c r="O1079" s="115" t="s">
        <v>2924</v>
      </c>
      <c r="P1079" s="115">
        <v>29545469</v>
      </c>
      <c r="Q1079" s="303">
        <f t="shared" si="101"/>
        <v>0</v>
      </c>
      <c r="R1079" s="303">
        <f t="shared" si="102"/>
        <v>0</v>
      </c>
      <c r="S1079" s="115">
        <v>0</v>
      </c>
      <c r="T1079" s="115">
        <v>0</v>
      </c>
      <c r="U1079" s="115">
        <v>0</v>
      </c>
      <c r="V1079" s="115">
        <v>0</v>
      </c>
      <c r="W1079" s="115">
        <v>0</v>
      </c>
      <c r="X1079" s="115">
        <v>99</v>
      </c>
      <c r="Y1079" s="115">
        <v>99</v>
      </c>
      <c r="Z1079" s="115">
        <v>77</v>
      </c>
      <c r="AA1079" s="115">
        <v>17</v>
      </c>
      <c r="AB1079" s="300">
        <f t="shared" si="103"/>
        <v>2138.2514999999999</v>
      </c>
      <c r="AC1079" s="300">
        <f t="shared" si="104"/>
        <v>12.881033132530119</v>
      </c>
      <c r="AD1079" s="115">
        <v>0</v>
      </c>
      <c r="AE1079" s="115">
        <v>0</v>
      </c>
      <c r="AF1079" s="115" t="s">
        <v>317</v>
      </c>
      <c r="AG1079" s="115" t="s">
        <v>317</v>
      </c>
      <c r="AH1079" s="115" t="s">
        <v>2925</v>
      </c>
      <c r="AI1079" s="309"/>
      <c r="AJ1079" s="309"/>
      <c r="AK1079" s="115" t="s">
        <v>37</v>
      </c>
      <c r="AL1079" s="115" t="s">
        <v>49</v>
      </c>
      <c r="AM1079" s="299">
        <f t="shared" ca="1" si="100"/>
        <v>0.34722222222626442</v>
      </c>
      <c r="AN1079" s="122" t="s">
        <v>2988</v>
      </c>
      <c r="AO1079" s="104" t="s">
        <v>107</v>
      </c>
      <c r="AP1079" s="106" t="s">
        <v>2923</v>
      </c>
      <c r="AQ1079" s="104" t="s">
        <v>3005</v>
      </c>
      <c r="AR1079" s="111">
        <v>44898.739583333336</v>
      </c>
      <c r="AS1079" s="104" t="s">
        <v>3006</v>
      </c>
      <c r="AT1079" s="109" t="s">
        <v>225</v>
      </c>
      <c r="AU1079" s="110">
        <v>0.73958333333333337</v>
      </c>
      <c r="AV1079" s="104">
        <v>2</v>
      </c>
      <c r="AW1079" s="109" t="s">
        <v>66</v>
      </c>
      <c r="AX1079" s="123"/>
      <c r="AY1079" s="123"/>
      <c r="AZ1079" s="123"/>
      <c r="BA1079" s="123"/>
    </row>
    <row r="1080" spans="1:53" x14ac:dyDescent="0.25">
      <c r="A1080" s="121">
        <v>48</v>
      </c>
      <c r="B1080" s="120">
        <v>44898.392361111109</v>
      </c>
      <c r="C1080" s="114">
        <v>0.39583333333333331</v>
      </c>
      <c r="D1080" s="114">
        <v>0.40625</v>
      </c>
      <c r="E1080" s="114">
        <v>0.45833333333333331</v>
      </c>
      <c r="F1080" s="115" t="s">
        <v>171</v>
      </c>
      <c r="G1080" s="115" t="s">
        <v>449</v>
      </c>
      <c r="H1080" s="107" t="s">
        <v>342</v>
      </c>
      <c r="I1080" s="107" t="s">
        <v>342</v>
      </c>
      <c r="J1080" s="107" t="s">
        <v>37</v>
      </c>
      <c r="K1080" s="115" t="s">
        <v>180</v>
      </c>
      <c r="L1080" s="115">
        <v>0</v>
      </c>
      <c r="M1080" s="115" t="s">
        <v>2926</v>
      </c>
      <c r="N1080" s="115" t="s">
        <v>44</v>
      </c>
      <c r="O1080" s="115" t="s">
        <v>2927</v>
      </c>
      <c r="P1080" s="115">
        <v>29542280</v>
      </c>
      <c r="Q1080" s="303">
        <f t="shared" si="101"/>
        <v>4</v>
      </c>
      <c r="R1080" s="303">
        <f t="shared" si="102"/>
        <v>1714</v>
      </c>
      <c r="S1080" s="115">
        <v>0</v>
      </c>
      <c r="T1080" s="115">
        <v>0</v>
      </c>
      <c r="U1080" s="115">
        <v>4</v>
      </c>
      <c r="V1080" s="115">
        <v>1714</v>
      </c>
      <c r="W1080" s="115">
        <v>1800</v>
      </c>
      <c r="X1080" s="115">
        <v>85</v>
      </c>
      <c r="Y1080" s="115">
        <v>83</v>
      </c>
      <c r="Z1080" s="115">
        <v>78</v>
      </c>
      <c r="AA1080" s="115">
        <v>4</v>
      </c>
      <c r="AB1080" s="300">
        <f t="shared" si="103"/>
        <v>366.86</v>
      </c>
      <c r="AC1080" s="300">
        <f t="shared" si="104"/>
        <v>2.21</v>
      </c>
      <c r="AD1080" s="115">
        <v>9441.6</v>
      </c>
      <c r="AE1080" s="115" t="s">
        <v>109</v>
      </c>
      <c r="AF1080" s="115" t="s">
        <v>317</v>
      </c>
      <c r="AG1080" s="115" t="s">
        <v>317</v>
      </c>
      <c r="AH1080" s="115" t="s">
        <v>2928</v>
      </c>
      <c r="AI1080" s="309"/>
      <c r="AJ1080" s="309"/>
      <c r="AK1080" s="115" t="s">
        <v>37</v>
      </c>
      <c r="AL1080" s="115" t="s">
        <v>49</v>
      </c>
      <c r="AM1080" s="299">
        <f t="shared" ca="1" si="100"/>
        <v>0.32291666667151731</v>
      </c>
      <c r="AN1080" s="122"/>
      <c r="AO1080" s="104" t="s">
        <v>53</v>
      </c>
      <c r="AP1080" s="106" t="s">
        <v>2926</v>
      </c>
      <c r="AQ1080" s="104" t="s">
        <v>2997</v>
      </c>
      <c r="AR1080" s="111">
        <v>44898.715277777781</v>
      </c>
      <c r="AS1080" s="104" t="s">
        <v>1203</v>
      </c>
      <c r="AT1080" s="109" t="s">
        <v>65</v>
      </c>
      <c r="AU1080" s="110">
        <v>0.71527777777777779</v>
      </c>
      <c r="AV1080" s="104">
        <v>1</v>
      </c>
      <c r="AW1080" s="109" t="s">
        <v>66</v>
      </c>
      <c r="AX1080" s="123"/>
      <c r="AY1080" s="123"/>
      <c r="AZ1080" s="123"/>
      <c r="BA1080" s="123"/>
    </row>
    <row r="1081" spans="1:53" x14ac:dyDescent="0.25">
      <c r="A1081" s="121">
        <v>49</v>
      </c>
      <c r="B1081" s="120">
        <v>44898.423611111109</v>
      </c>
      <c r="C1081" s="114">
        <v>0.42708333333333331</v>
      </c>
      <c r="D1081" s="114">
        <v>0.4375</v>
      </c>
      <c r="E1081" s="114">
        <v>0.46527777777777773</v>
      </c>
      <c r="F1081" s="115" t="s">
        <v>171</v>
      </c>
      <c r="G1081" s="115" t="s">
        <v>293</v>
      </c>
      <c r="H1081" s="107" t="s">
        <v>195</v>
      </c>
      <c r="I1081" s="107" t="s">
        <v>195</v>
      </c>
      <c r="J1081" s="107" t="s">
        <v>37</v>
      </c>
      <c r="K1081" s="113" t="s">
        <v>180</v>
      </c>
      <c r="L1081" s="113" t="s">
        <v>209</v>
      </c>
      <c r="M1081" s="115" t="s">
        <v>2929</v>
      </c>
      <c r="N1081" s="115" t="s">
        <v>42</v>
      </c>
      <c r="O1081" s="115" t="s">
        <v>2930</v>
      </c>
      <c r="P1081" s="115">
        <v>2101088564</v>
      </c>
      <c r="Q1081" s="303">
        <f t="shared" si="101"/>
        <v>1</v>
      </c>
      <c r="R1081" s="303">
        <f t="shared" si="102"/>
        <v>169</v>
      </c>
      <c r="S1081" s="115">
        <v>0</v>
      </c>
      <c r="T1081" s="115">
        <v>0</v>
      </c>
      <c r="U1081" s="115">
        <v>1</v>
      </c>
      <c r="V1081" s="115">
        <v>169</v>
      </c>
      <c r="W1081" s="115">
        <v>173</v>
      </c>
      <c r="X1081" s="115">
        <v>114</v>
      </c>
      <c r="Y1081" s="115">
        <v>80</v>
      </c>
      <c r="Z1081" s="115">
        <v>85</v>
      </c>
      <c r="AA1081" s="115">
        <v>1</v>
      </c>
      <c r="AB1081" s="300">
        <f t="shared" si="103"/>
        <v>129.19999999999999</v>
      </c>
      <c r="AC1081" s="300">
        <f t="shared" si="104"/>
        <v>0.77831325301204812</v>
      </c>
      <c r="AD1081" s="115" t="s">
        <v>48</v>
      </c>
      <c r="AE1081" s="115" t="s">
        <v>48</v>
      </c>
      <c r="AF1081" s="115" t="s">
        <v>317</v>
      </c>
      <c r="AG1081" s="115" t="s">
        <v>317</v>
      </c>
      <c r="AH1081" s="115" t="s">
        <v>2931</v>
      </c>
      <c r="AI1081" s="309"/>
      <c r="AJ1081" s="309"/>
      <c r="AK1081" s="115" t="s">
        <v>41</v>
      </c>
      <c r="AL1081" s="115" t="s">
        <v>58</v>
      </c>
      <c r="AM1081" s="299">
        <f t="shared" ca="1" si="100"/>
        <v>0.12152777778101154</v>
      </c>
      <c r="AN1081" s="122"/>
      <c r="AO1081" s="104" t="s">
        <v>128</v>
      </c>
      <c r="AP1081" s="106" t="s">
        <v>2929</v>
      </c>
      <c r="AQ1081" s="106" t="s">
        <v>2993</v>
      </c>
      <c r="AR1081" s="111">
        <v>44898.545138888891</v>
      </c>
      <c r="AS1081" s="104" t="s">
        <v>173</v>
      </c>
      <c r="AT1081" s="109" t="s">
        <v>225</v>
      </c>
      <c r="AU1081" s="110">
        <v>0.54513888888888895</v>
      </c>
      <c r="AV1081" s="104">
        <v>1</v>
      </c>
      <c r="AW1081" s="109" t="s">
        <v>66</v>
      </c>
      <c r="AX1081" s="123"/>
      <c r="AY1081" s="123"/>
      <c r="AZ1081" s="123"/>
      <c r="BA1081" s="123"/>
    </row>
    <row r="1082" spans="1:53" x14ac:dyDescent="0.25">
      <c r="A1082" s="121">
        <v>50</v>
      </c>
      <c r="B1082" s="120">
        <v>44898.423611111109</v>
      </c>
      <c r="C1082" s="114">
        <v>0.42708333333333331</v>
      </c>
      <c r="D1082" s="114">
        <v>0.4375</v>
      </c>
      <c r="E1082" s="114">
        <v>0.46527777777777773</v>
      </c>
      <c r="F1082" s="115" t="s">
        <v>171</v>
      </c>
      <c r="G1082" s="115" t="s">
        <v>293</v>
      </c>
      <c r="H1082" s="107" t="s">
        <v>195</v>
      </c>
      <c r="I1082" s="107" t="s">
        <v>195</v>
      </c>
      <c r="J1082" s="107" t="s">
        <v>37</v>
      </c>
      <c r="K1082" s="113" t="s">
        <v>180</v>
      </c>
      <c r="L1082" s="113" t="s">
        <v>209</v>
      </c>
      <c r="M1082" s="115" t="s">
        <v>2929</v>
      </c>
      <c r="N1082" s="115" t="s">
        <v>42</v>
      </c>
      <c r="O1082" s="115" t="s">
        <v>2932</v>
      </c>
      <c r="P1082" s="115">
        <v>2101088565</v>
      </c>
      <c r="Q1082" s="303">
        <f t="shared" si="101"/>
        <v>4</v>
      </c>
      <c r="R1082" s="303">
        <f t="shared" si="102"/>
        <v>310</v>
      </c>
      <c r="S1082" s="115">
        <v>3</v>
      </c>
      <c r="T1082" s="115">
        <v>36</v>
      </c>
      <c r="U1082" s="115">
        <v>1</v>
      </c>
      <c r="V1082" s="115">
        <v>274</v>
      </c>
      <c r="W1082" s="115">
        <v>318.00099999999998</v>
      </c>
      <c r="X1082" s="115">
        <v>41</v>
      </c>
      <c r="Y1082" s="115">
        <v>40</v>
      </c>
      <c r="Z1082" s="115">
        <v>29</v>
      </c>
      <c r="AA1082" s="115">
        <v>3</v>
      </c>
      <c r="AB1082" s="300">
        <f t="shared" si="103"/>
        <v>23.78</v>
      </c>
      <c r="AC1082" s="300">
        <f t="shared" si="104"/>
        <v>0.14325301204819277</v>
      </c>
      <c r="AD1082" s="115" t="s">
        <v>48</v>
      </c>
      <c r="AE1082" s="115" t="s">
        <v>48</v>
      </c>
      <c r="AF1082" s="115" t="s">
        <v>317</v>
      </c>
      <c r="AG1082" s="115" t="s">
        <v>317</v>
      </c>
      <c r="AH1082" s="115" t="s">
        <v>2933</v>
      </c>
      <c r="AI1082" s="309"/>
      <c r="AJ1082" s="309"/>
      <c r="AK1082" s="115" t="s">
        <v>41</v>
      </c>
      <c r="AL1082" s="115" t="s">
        <v>58</v>
      </c>
      <c r="AM1082" s="299">
        <f t="shared" ca="1" si="100"/>
        <v>0.12152777778101154</v>
      </c>
      <c r="AN1082" s="122"/>
      <c r="AO1082" s="104" t="s">
        <v>128</v>
      </c>
      <c r="AP1082" s="106" t="s">
        <v>2929</v>
      </c>
      <c r="AQ1082" s="106" t="s">
        <v>2993</v>
      </c>
      <c r="AR1082" s="111">
        <v>44898.545138888891</v>
      </c>
      <c r="AS1082" s="104" t="s">
        <v>173</v>
      </c>
      <c r="AT1082" s="109" t="s">
        <v>225</v>
      </c>
      <c r="AU1082" s="110">
        <v>0.54513888888888895</v>
      </c>
      <c r="AV1082" s="104">
        <v>1</v>
      </c>
      <c r="AW1082" s="109" t="s">
        <v>66</v>
      </c>
      <c r="AX1082" s="123"/>
      <c r="AY1082" s="123"/>
      <c r="AZ1082" s="123"/>
      <c r="BA1082" s="123"/>
    </row>
    <row r="1083" spans="1:53" x14ac:dyDescent="0.25">
      <c r="A1083" s="121">
        <v>50</v>
      </c>
      <c r="B1083" s="120">
        <v>44898.423611111109</v>
      </c>
      <c r="C1083" s="114">
        <v>0.42708333333333331</v>
      </c>
      <c r="D1083" s="114">
        <v>0.4375</v>
      </c>
      <c r="E1083" s="114">
        <v>0.46527777777777773</v>
      </c>
      <c r="F1083" s="115" t="s">
        <v>171</v>
      </c>
      <c r="G1083" s="115" t="s">
        <v>293</v>
      </c>
      <c r="H1083" s="107" t="s">
        <v>195</v>
      </c>
      <c r="I1083" s="107" t="s">
        <v>195</v>
      </c>
      <c r="J1083" s="107" t="s">
        <v>37</v>
      </c>
      <c r="K1083" s="113" t="s">
        <v>180</v>
      </c>
      <c r="L1083" s="113" t="s">
        <v>209</v>
      </c>
      <c r="M1083" s="115" t="s">
        <v>2929</v>
      </c>
      <c r="N1083" s="115" t="s">
        <v>42</v>
      </c>
      <c r="O1083" s="115" t="s">
        <v>2932</v>
      </c>
      <c r="P1083" s="115">
        <v>2101088565</v>
      </c>
      <c r="Q1083" s="303">
        <f t="shared" si="101"/>
        <v>0</v>
      </c>
      <c r="R1083" s="303">
        <f t="shared" si="102"/>
        <v>0</v>
      </c>
      <c r="S1083" s="115">
        <v>0</v>
      </c>
      <c r="T1083" s="115">
        <v>0</v>
      </c>
      <c r="U1083" s="115">
        <v>0</v>
      </c>
      <c r="V1083" s="115">
        <v>0</v>
      </c>
      <c r="W1083" s="115">
        <v>0</v>
      </c>
      <c r="X1083" s="115">
        <v>114</v>
      </c>
      <c r="Y1083" s="115">
        <v>80</v>
      </c>
      <c r="Z1083" s="115">
        <v>131</v>
      </c>
      <c r="AA1083" s="115">
        <v>1</v>
      </c>
      <c r="AB1083" s="300">
        <f t="shared" si="103"/>
        <v>199.12</v>
      </c>
      <c r="AC1083" s="300">
        <f t="shared" si="104"/>
        <v>1.1995180722891567</v>
      </c>
      <c r="AD1083" s="115">
        <v>0</v>
      </c>
      <c r="AE1083" s="115">
        <v>0</v>
      </c>
      <c r="AF1083" s="115" t="s">
        <v>317</v>
      </c>
      <c r="AG1083" s="115" t="s">
        <v>317</v>
      </c>
      <c r="AH1083" s="115" t="s">
        <v>2933</v>
      </c>
      <c r="AI1083" s="309"/>
      <c r="AJ1083" s="309"/>
      <c r="AK1083" s="115" t="s">
        <v>41</v>
      </c>
      <c r="AL1083" s="115" t="s">
        <v>58</v>
      </c>
      <c r="AM1083" s="299">
        <f t="shared" ca="1" si="100"/>
        <v>0.12152777778101154</v>
      </c>
      <c r="AN1083" s="122"/>
      <c r="AO1083" s="104" t="s">
        <v>128</v>
      </c>
      <c r="AP1083" s="106" t="s">
        <v>2929</v>
      </c>
      <c r="AQ1083" s="106" t="s">
        <v>2993</v>
      </c>
      <c r="AR1083" s="111">
        <v>44898.545138888891</v>
      </c>
      <c r="AS1083" s="104" t="s">
        <v>173</v>
      </c>
      <c r="AT1083" s="109" t="s">
        <v>225</v>
      </c>
      <c r="AU1083" s="110">
        <v>0.54513888888888895</v>
      </c>
      <c r="AV1083" s="104">
        <v>1</v>
      </c>
      <c r="AW1083" s="109" t="s">
        <v>66</v>
      </c>
      <c r="AX1083" s="123"/>
      <c r="AY1083" s="123"/>
      <c r="AZ1083" s="123"/>
      <c r="BA1083" s="123"/>
    </row>
    <row r="1084" spans="1:53" x14ac:dyDescent="0.25">
      <c r="A1084" s="121">
        <v>51</v>
      </c>
      <c r="B1084" s="120">
        <v>44898.423611111109</v>
      </c>
      <c r="C1084" s="114">
        <v>0.42708333333333331</v>
      </c>
      <c r="D1084" s="114">
        <v>0.4375</v>
      </c>
      <c r="E1084" s="114">
        <v>0.46527777777777773</v>
      </c>
      <c r="F1084" s="115" t="s">
        <v>171</v>
      </c>
      <c r="G1084" s="115" t="s">
        <v>293</v>
      </c>
      <c r="H1084" s="107" t="s">
        <v>195</v>
      </c>
      <c r="I1084" s="107" t="s">
        <v>195</v>
      </c>
      <c r="J1084" s="107" t="s">
        <v>37</v>
      </c>
      <c r="K1084" s="113" t="s">
        <v>180</v>
      </c>
      <c r="L1084" s="113" t="s">
        <v>209</v>
      </c>
      <c r="M1084" s="115" t="s">
        <v>2934</v>
      </c>
      <c r="N1084" s="115" t="s">
        <v>42</v>
      </c>
      <c r="O1084" s="115" t="s">
        <v>2935</v>
      </c>
      <c r="P1084" s="115">
        <v>2101088559</v>
      </c>
      <c r="Q1084" s="303">
        <f t="shared" si="101"/>
        <v>2</v>
      </c>
      <c r="R1084" s="303">
        <f t="shared" si="102"/>
        <v>479</v>
      </c>
      <c r="S1084" s="115">
        <v>0</v>
      </c>
      <c r="T1084" s="115">
        <v>0</v>
      </c>
      <c r="U1084" s="115">
        <v>2</v>
      </c>
      <c r="V1084" s="115">
        <v>479</v>
      </c>
      <c r="W1084" s="115">
        <v>490</v>
      </c>
      <c r="X1084" s="115">
        <v>114</v>
      </c>
      <c r="Y1084" s="115">
        <v>80</v>
      </c>
      <c r="Z1084" s="115">
        <v>126</v>
      </c>
      <c r="AA1084" s="115">
        <v>2</v>
      </c>
      <c r="AB1084" s="300">
        <f t="shared" si="103"/>
        <v>383.04</v>
      </c>
      <c r="AC1084" s="300">
        <f t="shared" si="104"/>
        <v>2.3074698795180724</v>
      </c>
      <c r="AD1084" s="115">
        <v>20371.2</v>
      </c>
      <c r="AE1084" s="115" t="s">
        <v>109</v>
      </c>
      <c r="AF1084" s="115" t="s">
        <v>317</v>
      </c>
      <c r="AG1084" s="115" t="s">
        <v>317</v>
      </c>
      <c r="AH1084" s="115" t="s">
        <v>2936</v>
      </c>
      <c r="AI1084" s="309"/>
      <c r="AJ1084" s="309"/>
      <c r="AK1084" s="115" t="s">
        <v>41</v>
      </c>
      <c r="AL1084" s="115" t="s">
        <v>58</v>
      </c>
      <c r="AM1084" s="299">
        <f t="shared" ca="1" si="100"/>
        <v>0.12152777778101154</v>
      </c>
      <c r="AN1084" s="122"/>
      <c r="AO1084" s="104" t="s">
        <v>132</v>
      </c>
      <c r="AP1084" s="106" t="s">
        <v>2934</v>
      </c>
      <c r="AQ1084" s="106" t="s">
        <v>2993</v>
      </c>
      <c r="AR1084" s="111">
        <v>44898.545138888891</v>
      </c>
      <c r="AS1084" s="104" t="s">
        <v>173</v>
      </c>
      <c r="AT1084" s="109" t="s">
        <v>225</v>
      </c>
      <c r="AU1084" s="110">
        <v>0.54513888888888895</v>
      </c>
      <c r="AV1084" s="104">
        <v>1</v>
      </c>
      <c r="AW1084" s="109" t="s">
        <v>66</v>
      </c>
      <c r="AX1084" s="123"/>
      <c r="AY1084" s="123"/>
      <c r="AZ1084" s="123"/>
      <c r="BA1084" s="123"/>
    </row>
    <row r="1085" spans="1:53" x14ac:dyDescent="0.25">
      <c r="A1085" s="121">
        <v>52</v>
      </c>
      <c r="B1085" s="120">
        <v>44898.423611111109</v>
      </c>
      <c r="C1085" s="114">
        <v>0.42708333333333331</v>
      </c>
      <c r="D1085" s="114">
        <v>0.4375</v>
      </c>
      <c r="E1085" s="114">
        <v>0.46527777777777773</v>
      </c>
      <c r="F1085" s="115" t="s">
        <v>171</v>
      </c>
      <c r="G1085" s="115" t="s">
        <v>293</v>
      </c>
      <c r="H1085" s="107" t="s">
        <v>195</v>
      </c>
      <c r="I1085" s="107" t="s">
        <v>195</v>
      </c>
      <c r="J1085" s="107" t="s">
        <v>37</v>
      </c>
      <c r="K1085" s="113" t="s">
        <v>180</v>
      </c>
      <c r="L1085" s="113" t="s">
        <v>209</v>
      </c>
      <c r="M1085" s="115" t="s">
        <v>2934</v>
      </c>
      <c r="N1085" s="115" t="s">
        <v>42</v>
      </c>
      <c r="O1085" s="115" t="s">
        <v>2937</v>
      </c>
      <c r="P1085" s="115">
        <v>2101088560</v>
      </c>
      <c r="Q1085" s="303">
        <f t="shared" si="101"/>
        <v>6</v>
      </c>
      <c r="R1085" s="303">
        <f t="shared" si="102"/>
        <v>1250</v>
      </c>
      <c r="S1085" s="115">
        <v>0</v>
      </c>
      <c r="T1085" s="115">
        <v>0</v>
      </c>
      <c r="U1085" s="115">
        <v>6</v>
      </c>
      <c r="V1085" s="115">
        <v>1250</v>
      </c>
      <c r="W1085" s="115">
        <v>1262.001</v>
      </c>
      <c r="X1085" s="115">
        <v>114</v>
      </c>
      <c r="Y1085" s="115">
        <v>80</v>
      </c>
      <c r="Z1085" s="115">
        <v>99</v>
      </c>
      <c r="AA1085" s="115">
        <v>2</v>
      </c>
      <c r="AB1085" s="300">
        <f t="shared" si="103"/>
        <v>300.95999999999998</v>
      </c>
      <c r="AC1085" s="300">
        <f t="shared" si="104"/>
        <v>1.813012048192771</v>
      </c>
      <c r="AD1085" s="115" t="s">
        <v>48</v>
      </c>
      <c r="AE1085" s="115" t="s">
        <v>48</v>
      </c>
      <c r="AF1085" s="115" t="s">
        <v>317</v>
      </c>
      <c r="AG1085" s="115" t="s">
        <v>317</v>
      </c>
      <c r="AH1085" s="115" t="s">
        <v>2938</v>
      </c>
      <c r="AI1085" s="309"/>
      <c r="AJ1085" s="309"/>
      <c r="AK1085" s="115" t="s">
        <v>41</v>
      </c>
      <c r="AL1085" s="115" t="s">
        <v>58</v>
      </c>
      <c r="AM1085" s="299">
        <f t="shared" ca="1" si="100"/>
        <v>0.12152777778101154</v>
      </c>
      <c r="AN1085" s="122"/>
      <c r="AO1085" s="104" t="s">
        <v>132</v>
      </c>
      <c r="AP1085" s="106" t="s">
        <v>2934</v>
      </c>
      <c r="AQ1085" s="106" t="s">
        <v>2993</v>
      </c>
      <c r="AR1085" s="111">
        <v>44898.545138888891</v>
      </c>
      <c r="AS1085" s="104" t="s">
        <v>173</v>
      </c>
      <c r="AT1085" s="109" t="s">
        <v>225</v>
      </c>
      <c r="AU1085" s="110">
        <v>0.54513888888888895</v>
      </c>
      <c r="AV1085" s="104">
        <v>1</v>
      </c>
      <c r="AW1085" s="109" t="s">
        <v>66</v>
      </c>
      <c r="AX1085" s="123"/>
      <c r="AY1085" s="123"/>
      <c r="AZ1085" s="123"/>
      <c r="BA1085" s="123"/>
    </row>
    <row r="1086" spans="1:53" x14ac:dyDescent="0.25">
      <c r="A1086" s="121">
        <v>52</v>
      </c>
      <c r="B1086" s="120">
        <v>44898.423611111109</v>
      </c>
      <c r="C1086" s="114">
        <v>0.42708333333333331</v>
      </c>
      <c r="D1086" s="114">
        <v>0.4375</v>
      </c>
      <c r="E1086" s="114">
        <v>0.46527777777777773</v>
      </c>
      <c r="F1086" s="115" t="s">
        <v>171</v>
      </c>
      <c r="G1086" s="115" t="s">
        <v>293</v>
      </c>
      <c r="H1086" s="107" t="s">
        <v>195</v>
      </c>
      <c r="I1086" s="107" t="s">
        <v>195</v>
      </c>
      <c r="J1086" s="107" t="s">
        <v>37</v>
      </c>
      <c r="K1086" s="113" t="s">
        <v>180</v>
      </c>
      <c r="L1086" s="113" t="s">
        <v>209</v>
      </c>
      <c r="M1086" s="115" t="s">
        <v>2934</v>
      </c>
      <c r="N1086" s="115" t="s">
        <v>42</v>
      </c>
      <c r="O1086" s="115" t="s">
        <v>2937</v>
      </c>
      <c r="P1086" s="115">
        <v>2101088560</v>
      </c>
      <c r="Q1086" s="303">
        <f t="shared" si="101"/>
        <v>0</v>
      </c>
      <c r="R1086" s="303">
        <f t="shared" si="102"/>
        <v>0</v>
      </c>
      <c r="S1086" s="115">
        <v>0</v>
      </c>
      <c r="T1086" s="115">
        <v>0</v>
      </c>
      <c r="U1086" s="115">
        <v>0</v>
      </c>
      <c r="V1086" s="115">
        <v>0</v>
      </c>
      <c r="W1086" s="115">
        <v>0</v>
      </c>
      <c r="X1086" s="115">
        <v>114</v>
      </c>
      <c r="Y1086" s="115">
        <v>80</v>
      </c>
      <c r="Z1086" s="115">
        <v>111</v>
      </c>
      <c r="AA1086" s="115">
        <v>3</v>
      </c>
      <c r="AB1086" s="300">
        <f t="shared" si="103"/>
        <v>506.16</v>
      </c>
      <c r="AC1086" s="300">
        <f t="shared" si="104"/>
        <v>3.0491566265060244</v>
      </c>
      <c r="AD1086" s="115">
        <v>0</v>
      </c>
      <c r="AE1086" s="115">
        <v>0</v>
      </c>
      <c r="AF1086" s="115" t="s">
        <v>317</v>
      </c>
      <c r="AG1086" s="115" t="s">
        <v>317</v>
      </c>
      <c r="AH1086" s="115" t="s">
        <v>2938</v>
      </c>
      <c r="AI1086" s="309"/>
      <c r="AJ1086" s="309"/>
      <c r="AK1086" s="115" t="s">
        <v>41</v>
      </c>
      <c r="AL1086" s="115" t="s">
        <v>58</v>
      </c>
      <c r="AM1086" s="299">
        <f t="shared" ca="1" si="100"/>
        <v>0.12152777778101154</v>
      </c>
      <c r="AN1086" s="122"/>
      <c r="AO1086" s="104" t="s">
        <v>132</v>
      </c>
      <c r="AP1086" s="106" t="s">
        <v>2934</v>
      </c>
      <c r="AQ1086" s="106" t="s">
        <v>2993</v>
      </c>
      <c r="AR1086" s="111">
        <v>44898.545138888891</v>
      </c>
      <c r="AS1086" s="104" t="s">
        <v>173</v>
      </c>
      <c r="AT1086" s="109" t="s">
        <v>225</v>
      </c>
      <c r="AU1086" s="110">
        <v>0.54513888888888895</v>
      </c>
      <c r="AV1086" s="104">
        <v>1</v>
      </c>
      <c r="AW1086" s="109" t="s">
        <v>66</v>
      </c>
      <c r="AX1086" s="123"/>
      <c r="AY1086" s="123"/>
      <c r="AZ1086" s="123"/>
      <c r="BA1086" s="123"/>
    </row>
    <row r="1087" spans="1:53" x14ac:dyDescent="0.25">
      <c r="A1087" s="121">
        <v>52</v>
      </c>
      <c r="B1087" s="120">
        <v>44898.423611111109</v>
      </c>
      <c r="C1087" s="114">
        <v>0.42708333333333331</v>
      </c>
      <c r="D1087" s="114">
        <v>0.4375</v>
      </c>
      <c r="E1087" s="114">
        <v>0.46527777777777773</v>
      </c>
      <c r="F1087" s="115" t="s">
        <v>171</v>
      </c>
      <c r="G1087" s="115" t="s">
        <v>293</v>
      </c>
      <c r="H1087" s="107" t="s">
        <v>195</v>
      </c>
      <c r="I1087" s="107" t="s">
        <v>195</v>
      </c>
      <c r="J1087" s="107" t="s">
        <v>37</v>
      </c>
      <c r="K1087" s="113" t="s">
        <v>180</v>
      </c>
      <c r="L1087" s="113" t="s">
        <v>209</v>
      </c>
      <c r="M1087" s="115" t="s">
        <v>2934</v>
      </c>
      <c r="N1087" s="115" t="s">
        <v>42</v>
      </c>
      <c r="O1087" s="115" t="s">
        <v>2937</v>
      </c>
      <c r="P1087" s="115">
        <v>2101088560</v>
      </c>
      <c r="Q1087" s="303">
        <f t="shared" si="101"/>
        <v>0</v>
      </c>
      <c r="R1087" s="303">
        <f t="shared" si="102"/>
        <v>0</v>
      </c>
      <c r="S1087" s="115">
        <v>0</v>
      </c>
      <c r="T1087" s="115">
        <v>0</v>
      </c>
      <c r="U1087" s="115">
        <v>0</v>
      </c>
      <c r="V1087" s="115">
        <v>0</v>
      </c>
      <c r="W1087" s="115">
        <v>0</v>
      </c>
      <c r="X1087" s="115">
        <v>114</v>
      </c>
      <c r="Y1087" s="115">
        <v>80</v>
      </c>
      <c r="Z1087" s="115">
        <v>131</v>
      </c>
      <c r="AA1087" s="115">
        <v>1</v>
      </c>
      <c r="AB1087" s="300">
        <f t="shared" si="103"/>
        <v>199.12</v>
      </c>
      <c r="AC1087" s="300">
        <f t="shared" si="104"/>
        <v>1.1995180722891567</v>
      </c>
      <c r="AD1087" s="115">
        <v>0</v>
      </c>
      <c r="AE1087" s="115">
        <v>0</v>
      </c>
      <c r="AF1087" s="115" t="s">
        <v>317</v>
      </c>
      <c r="AG1087" s="115" t="s">
        <v>317</v>
      </c>
      <c r="AH1087" s="115" t="s">
        <v>2938</v>
      </c>
      <c r="AI1087" s="309"/>
      <c r="AJ1087" s="309"/>
      <c r="AK1087" s="115" t="s">
        <v>41</v>
      </c>
      <c r="AL1087" s="115" t="s">
        <v>58</v>
      </c>
      <c r="AM1087" s="299">
        <f t="shared" ca="1" si="100"/>
        <v>0.12152777778101154</v>
      </c>
      <c r="AN1087" s="122"/>
      <c r="AO1087" s="104" t="s">
        <v>132</v>
      </c>
      <c r="AP1087" s="106" t="s">
        <v>2934</v>
      </c>
      <c r="AQ1087" s="106" t="s">
        <v>2993</v>
      </c>
      <c r="AR1087" s="111">
        <v>44898.545138888891</v>
      </c>
      <c r="AS1087" s="104" t="s">
        <v>173</v>
      </c>
      <c r="AT1087" s="109" t="s">
        <v>225</v>
      </c>
      <c r="AU1087" s="110">
        <v>0.54513888888888895</v>
      </c>
      <c r="AV1087" s="104">
        <v>1</v>
      </c>
      <c r="AW1087" s="109" t="s">
        <v>66</v>
      </c>
      <c r="AX1087" s="123"/>
      <c r="AY1087" s="123"/>
      <c r="AZ1087" s="123"/>
      <c r="BA1087" s="123"/>
    </row>
    <row r="1088" spans="1:53" x14ac:dyDescent="0.25">
      <c r="A1088" s="121">
        <v>53</v>
      </c>
      <c r="B1088" s="120">
        <v>44898.434027777781</v>
      </c>
      <c r="C1088" s="114">
        <v>0.44097222222222227</v>
      </c>
      <c r="D1088" s="114">
        <v>0.44444444444444442</v>
      </c>
      <c r="E1088" s="114">
        <v>0.46875</v>
      </c>
      <c r="F1088" s="115" t="s">
        <v>171</v>
      </c>
      <c r="G1088" s="115" t="s">
        <v>165</v>
      </c>
      <c r="H1088" s="107" t="s">
        <v>91</v>
      </c>
      <c r="I1088" s="107" t="s">
        <v>287</v>
      </c>
      <c r="J1088" s="107" t="s">
        <v>41</v>
      </c>
      <c r="K1088" s="115" t="s">
        <v>233</v>
      </c>
      <c r="L1088" s="117" t="s">
        <v>206</v>
      </c>
      <c r="M1088" s="115" t="s">
        <v>2939</v>
      </c>
      <c r="N1088" s="115" t="s">
        <v>175</v>
      </c>
      <c r="O1088" s="115">
        <v>1054969636</v>
      </c>
      <c r="P1088" s="115">
        <v>1213979241</v>
      </c>
      <c r="Q1088" s="303">
        <f t="shared" si="101"/>
        <v>1</v>
      </c>
      <c r="R1088" s="303">
        <f t="shared" si="102"/>
        <v>30</v>
      </c>
      <c r="S1088" s="115">
        <v>0</v>
      </c>
      <c r="T1088" s="115">
        <v>0</v>
      </c>
      <c r="U1088" s="115">
        <v>1</v>
      </c>
      <c r="V1088" s="115">
        <v>30</v>
      </c>
      <c r="W1088" s="115">
        <v>31</v>
      </c>
      <c r="X1088" s="115">
        <v>99</v>
      </c>
      <c r="Y1088" s="115">
        <v>76</v>
      </c>
      <c r="Z1088" s="115">
        <v>54</v>
      </c>
      <c r="AA1088" s="115">
        <v>1</v>
      </c>
      <c r="AB1088" s="300">
        <f t="shared" si="103"/>
        <v>67.715999999999994</v>
      </c>
      <c r="AC1088" s="300">
        <f t="shared" si="104"/>
        <v>0.40792771084337348</v>
      </c>
      <c r="AD1088" s="115">
        <v>2807.23</v>
      </c>
      <c r="AE1088" s="115" t="s">
        <v>109</v>
      </c>
      <c r="AF1088" s="115" t="s">
        <v>317</v>
      </c>
      <c r="AG1088" s="115" t="s">
        <v>317</v>
      </c>
      <c r="AH1088" s="115" t="s">
        <v>2940</v>
      </c>
      <c r="AI1088" s="309"/>
      <c r="AJ1088" s="309"/>
      <c r="AK1088" s="115" t="s">
        <v>37</v>
      </c>
      <c r="AL1088" s="115" t="s">
        <v>39</v>
      </c>
      <c r="AM1088" s="299">
        <f t="shared" ca="1" si="100"/>
        <v>5.2569444444379769</v>
      </c>
      <c r="AN1088" s="122"/>
      <c r="AO1088" s="104" t="s">
        <v>181</v>
      </c>
      <c r="AP1088" s="106" t="s">
        <v>2939</v>
      </c>
      <c r="AQ1088" s="104" t="s">
        <v>3315</v>
      </c>
      <c r="AR1088" s="111">
        <v>44903.690972222219</v>
      </c>
      <c r="AS1088" s="104" t="s">
        <v>117</v>
      </c>
      <c r="AT1088" s="109" t="s">
        <v>225</v>
      </c>
      <c r="AU1088" s="110">
        <v>0.69097222222222221</v>
      </c>
      <c r="AV1088" s="104">
        <v>2</v>
      </c>
      <c r="AW1088" s="109" t="s">
        <v>66</v>
      </c>
      <c r="AX1088" s="123"/>
      <c r="AY1088" s="123"/>
      <c r="AZ1088" s="123"/>
      <c r="BA1088" s="123"/>
    </row>
    <row r="1089" spans="1:53" x14ac:dyDescent="0.25">
      <c r="A1089" s="121">
        <v>54</v>
      </c>
      <c r="B1089" s="120">
        <v>44898.451388888891</v>
      </c>
      <c r="C1089" s="114">
        <v>0.4548611111111111</v>
      </c>
      <c r="D1089" s="114">
        <v>0.45833333333333331</v>
      </c>
      <c r="E1089" s="114">
        <v>0.46875</v>
      </c>
      <c r="F1089" s="115" t="s">
        <v>171</v>
      </c>
      <c r="G1089" s="115" t="s">
        <v>329</v>
      </c>
      <c r="H1089" s="107" t="s">
        <v>339</v>
      </c>
      <c r="I1089" s="107" t="s">
        <v>91</v>
      </c>
      <c r="J1089" s="107" t="s">
        <v>37</v>
      </c>
      <c r="K1089" s="113" t="s">
        <v>180</v>
      </c>
      <c r="L1089" s="113">
        <v>0</v>
      </c>
      <c r="M1089" s="115" t="s">
        <v>2941</v>
      </c>
      <c r="N1089" s="115" t="s">
        <v>44</v>
      </c>
      <c r="O1089" s="115" t="s">
        <v>2942</v>
      </c>
      <c r="P1089" s="115">
        <v>69993</v>
      </c>
      <c r="Q1089" s="303">
        <f t="shared" si="101"/>
        <v>1</v>
      </c>
      <c r="R1089" s="303">
        <f t="shared" si="102"/>
        <v>74</v>
      </c>
      <c r="S1089" s="115">
        <v>0</v>
      </c>
      <c r="T1089" s="115">
        <v>0</v>
      </c>
      <c r="U1089" s="115">
        <v>1</v>
      </c>
      <c r="V1089" s="115">
        <v>74</v>
      </c>
      <c r="W1089" s="115">
        <v>74</v>
      </c>
      <c r="X1089" s="115">
        <v>120</v>
      </c>
      <c r="Y1089" s="115">
        <v>80</v>
      </c>
      <c r="Z1089" s="115">
        <v>81</v>
      </c>
      <c r="AA1089" s="115">
        <v>1</v>
      </c>
      <c r="AB1089" s="300">
        <f t="shared" si="103"/>
        <v>129.6</v>
      </c>
      <c r="AC1089" s="300">
        <f t="shared" si="104"/>
        <v>0.78072289156626506</v>
      </c>
      <c r="AD1089" s="115">
        <v>93661</v>
      </c>
      <c r="AE1089" s="115" t="s">
        <v>109</v>
      </c>
      <c r="AF1089" s="115" t="s">
        <v>317</v>
      </c>
      <c r="AG1089" s="115" t="s">
        <v>317</v>
      </c>
      <c r="AH1089" s="115" t="s">
        <v>2943</v>
      </c>
      <c r="AI1089" s="309"/>
      <c r="AJ1089" s="309"/>
      <c r="AK1089" s="115" t="s">
        <v>37</v>
      </c>
      <c r="AL1089" s="115" t="s">
        <v>39</v>
      </c>
      <c r="AM1089" s="299">
        <f t="shared" ca="1" si="100"/>
        <v>0.26388888889050577</v>
      </c>
      <c r="AN1089" s="122"/>
      <c r="AO1089" s="104" t="s">
        <v>323</v>
      </c>
      <c r="AP1089" s="106" t="s">
        <v>2941</v>
      </c>
      <c r="AQ1089" s="104" t="s">
        <v>2997</v>
      </c>
      <c r="AR1089" s="111">
        <v>44898.715277777781</v>
      </c>
      <c r="AS1089" s="104" t="s">
        <v>1203</v>
      </c>
      <c r="AT1089" s="109" t="s">
        <v>65</v>
      </c>
      <c r="AU1089" s="110">
        <v>0.71527777777777779</v>
      </c>
      <c r="AV1089" s="104">
        <v>1</v>
      </c>
      <c r="AW1089" s="109" t="s">
        <v>66</v>
      </c>
      <c r="AX1089" s="123"/>
      <c r="AY1089" s="123"/>
      <c r="AZ1089" s="123"/>
      <c r="BA1089" s="123"/>
    </row>
    <row r="1090" spans="1:53" x14ac:dyDescent="0.25">
      <c r="A1090" s="121">
        <v>55</v>
      </c>
      <c r="B1090" s="120">
        <v>44898.5</v>
      </c>
      <c r="C1090" s="114">
        <v>0.50347222222222221</v>
      </c>
      <c r="D1090" s="114">
        <v>0.51041666666666663</v>
      </c>
      <c r="E1090" s="114">
        <v>0.53472222222222221</v>
      </c>
      <c r="F1090" s="115" t="s">
        <v>170</v>
      </c>
      <c r="G1090" s="115" t="s">
        <v>2944</v>
      </c>
      <c r="H1090" s="107" t="s">
        <v>2945</v>
      </c>
      <c r="I1090" s="107" t="s">
        <v>299</v>
      </c>
      <c r="J1090" s="107" t="s">
        <v>37</v>
      </c>
      <c r="K1090" s="107" t="s">
        <v>63</v>
      </c>
      <c r="L1090" s="107">
        <v>0</v>
      </c>
      <c r="M1090" s="115" t="s">
        <v>2946</v>
      </c>
      <c r="N1090" s="115" t="s">
        <v>2947</v>
      </c>
      <c r="O1090" s="115" t="s">
        <v>2948</v>
      </c>
      <c r="P1090" s="115" t="s">
        <v>2949</v>
      </c>
      <c r="Q1090" s="303">
        <f t="shared" si="101"/>
        <v>5</v>
      </c>
      <c r="R1090" s="303">
        <f t="shared" si="102"/>
        <v>146</v>
      </c>
      <c r="S1090" s="115">
        <v>5</v>
      </c>
      <c r="T1090" s="115">
        <v>146</v>
      </c>
      <c r="U1090" s="115">
        <v>0</v>
      </c>
      <c r="V1090" s="115">
        <v>0</v>
      </c>
      <c r="W1090" s="115">
        <v>142.9</v>
      </c>
      <c r="X1090" s="115">
        <v>57</v>
      </c>
      <c r="Y1090" s="115">
        <v>41</v>
      </c>
      <c r="Z1090" s="115">
        <v>57</v>
      </c>
      <c r="AA1090" s="115">
        <v>4</v>
      </c>
      <c r="AB1090" s="300">
        <f t="shared" si="103"/>
        <v>88.805999999999997</v>
      </c>
      <c r="AC1090" s="300">
        <f t="shared" si="104"/>
        <v>0.53497590361445779</v>
      </c>
      <c r="AD1090" s="115">
        <v>909.1</v>
      </c>
      <c r="AE1090" s="115" t="s">
        <v>109</v>
      </c>
      <c r="AF1090" s="115" t="s">
        <v>317</v>
      </c>
      <c r="AG1090" s="115" t="s">
        <v>317</v>
      </c>
      <c r="AH1090" s="115" t="s">
        <v>2950</v>
      </c>
      <c r="AI1090" s="309"/>
      <c r="AJ1090" s="309"/>
      <c r="AK1090" s="115" t="s">
        <v>48</v>
      </c>
      <c r="AL1090" s="115" t="s">
        <v>47</v>
      </c>
      <c r="AM1090" s="299">
        <f t="shared" ca="1" si="100"/>
        <v>4.9722222222189885</v>
      </c>
      <c r="AN1090" s="122"/>
      <c r="AO1090" s="104" t="s">
        <v>246</v>
      </c>
      <c r="AP1090" s="106" t="s">
        <v>2946</v>
      </c>
      <c r="AQ1090" s="104" t="s">
        <v>3306</v>
      </c>
      <c r="AR1090" s="111">
        <v>44903.472222222219</v>
      </c>
      <c r="AS1090" s="109" t="s">
        <v>136</v>
      </c>
      <c r="AT1090" s="109" t="s">
        <v>225</v>
      </c>
      <c r="AU1090" s="110">
        <v>0.47222222222222227</v>
      </c>
      <c r="AV1090" s="104">
        <v>1</v>
      </c>
      <c r="AW1090" s="109" t="s">
        <v>66</v>
      </c>
      <c r="AX1090" s="123"/>
      <c r="AY1090" s="123"/>
      <c r="AZ1090" s="123"/>
      <c r="BA1090" s="123"/>
    </row>
    <row r="1091" spans="1:53" x14ac:dyDescent="0.25">
      <c r="A1091" s="121">
        <v>55</v>
      </c>
      <c r="B1091" s="120">
        <v>44898.5</v>
      </c>
      <c r="C1091" s="114">
        <v>0.50347222222222221</v>
      </c>
      <c r="D1091" s="114">
        <v>0.51041666666666663</v>
      </c>
      <c r="E1091" s="114">
        <v>0.53472222222222221</v>
      </c>
      <c r="F1091" s="115" t="s">
        <v>170</v>
      </c>
      <c r="G1091" s="115" t="s">
        <v>2944</v>
      </c>
      <c r="H1091" s="107" t="s">
        <v>2945</v>
      </c>
      <c r="I1091" s="107" t="s">
        <v>299</v>
      </c>
      <c r="J1091" s="107" t="s">
        <v>37</v>
      </c>
      <c r="K1091" s="107" t="s">
        <v>63</v>
      </c>
      <c r="L1091" s="107">
        <v>0</v>
      </c>
      <c r="M1091" s="115" t="s">
        <v>2946</v>
      </c>
      <c r="N1091" s="115" t="s">
        <v>2947</v>
      </c>
      <c r="O1091" s="115" t="s">
        <v>2948</v>
      </c>
      <c r="P1091" s="115" t="s">
        <v>2949</v>
      </c>
      <c r="Q1091" s="303">
        <f t="shared" si="101"/>
        <v>0</v>
      </c>
      <c r="R1091" s="303">
        <f t="shared" si="102"/>
        <v>0</v>
      </c>
      <c r="S1091" s="115">
        <v>0</v>
      </c>
      <c r="T1091" s="115">
        <v>0</v>
      </c>
      <c r="U1091" s="115">
        <v>0</v>
      </c>
      <c r="V1091" s="115">
        <v>0</v>
      </c>
      <c r="W1091" s="115">
        <v>0</v>
      </c>
      <c r="X1091" s="115">
        <v>60</v>
      </c>
      <c r="Y1091" s="115">
        <v>40</v>
      </c>
      <c r="Z1091" s="115">
        <v>72</v>
      </c>
      <c r="AA1091" s="115">
        <v>1</v>
      </c>
      <c r="AB1091" s="300">
        <f t="shared" si="103"/>
        <v>28.8</v>
      </c>
      <c r="AC1091" s="300">
        <f t="shared" si="104"/>
        <v>0.17349397590361446</v>
      </c>
      <c r="AD1091" s="115">
        <v>0</v>
      </c>
      <c r="AE1091" s="115">
        <v>0</v>
      </c>
      <c r="AF1091" s="115" t="s">
        <v>317</v>
      </c>
      <c r="AG1091" s="115" t="s">
        <v>317</v>
      </c>
      <c r="AH1091" s="115" t="s">
        <v>2950</v>
      </c>
      <c r="AI1091" s="309"/>
      <c r="AJ1091" s="309"/>
      <c r="AK1091" s="115" t="s">
        <v>48</v>
      </c>
      <c r="AL1091" s="115" t="s">
        <v>47</v>
      </c>
      <c r="AM1091" s="299">
        <f t="shared" ca="1" si="100"/>
        <v>4.9722222222189885</v>
      </c>
      <c r="AN1091" s="122"/>
      <c r="AO1091" s="104" t="s">
        <v>246</v>
      </c>
      <c r="AP1091" s="106" t="s">
        <v>2946</v>
      </c>
      <c r="AQ1091" s="104" t="s">
        <v>3306</v>
      </c>
      <c r="AR1091" s="111">
        <v>44903.472222222219</v>
      </c>
      <c r="AS1091" s="109" t="s">
        <v>136</v>
      </c>
      <c r="AT1091" s="109" t="s">
        <v>225</v>
      </c>
      <c r="AU1091" s="110">
        <v>0.47222222222222227</v>
      </c>
      <c r="AV1091" s="104">
        <v>1</v>
      </c>
      <c r="AW1091" s="109" t="s">
        <v>66</v>
      </c>
      <c r="AX1091" s="123"/>
      <c r="AY1091" s="123"/>
      <c r="AZ1091" s="123"/>
      <c r="BA1091" s="123"/>
    </row>
    <row r="1092" spans="1:53" x14ac:dyDescent="0.25">
      <c r="A1092" s="121">
        <v>56</v>
      </c>
      <c r="B1092" s="120">
        <v>44898.5</v>
      </c>
      <c r="C1092" s="114">
        <v>0.50347222222222221</v>
      </c>
      <c r="D1092" s="114">
        <v>0.51041666666666663</v>
      </c>
      <c r="E1092" s="114">
        <v>0.53472222222222221</v>
      </c>
      <c r="F1092" s="115" t="s">
        <v>170</v>
      </c>
      <c r="G1092" s="115" t="s">
        <v>2944</v>
      </c>
      <c r="H1092" s="107" t="s">
        <v>687</v>
      </c>
      <c r="I1092" s="107" t="s">
        <v>377</v>
      </c>
      <c r="J1092" s="107" t="s">
        <v>37</v>
      </c>
      <c r="K1092" s="125" t="s">
        <v>63</v>
      </c>
      <c r="L1092" s="125">
        <v>0</v>
      </c>
      <c r="M1092" s="115" t="s">
        <v>2951</v>
      </c>
      <c r="N1092" s="115" t="s">
        <v>76</v>
      </c>
      <c r="O1092" s="115">
        <v>1222200321</v>
      </c>
      <c r="P1092" s="115">
        <v>69000012</v>
      </c>
      <c r="Q1092" s="303">
        <f t="shared" si="101"/>
        <v>8</v>
      </c>
      <c r="R1092" s="303">
        <f t="shared" si="102"/>
        <v>56</v>
      </c>
      <c r="S1092" s="115">
        <v>8</v>
      </c>
      <c r="T1092" s="115">
        <v>56</v>
      </c>
      <c r="U1092" s="115">
        <v>0</v>
      </c>
      <c r="V1092" s="115">
        <v>0</v>
      </c>
      <c r="W1092" s="115">
        <v>58</v>
      </c>
      <c r="X1092" s="115">
        <v>55</v>
      </c>
      <c r="Y1092" s="115">
        <v>29</v>
      </c>
      <c r="Z1092" s="115">
        <v>10</v>
      </c>
      <c r="AA1092" s="115">
        <v>8</v>
      </c>
      <c r="AB1092" s="300">
        <f t="shared" si="103"/>
        <v>21.266666666666666</v>
      </c>
      <c r="AC1092" s="300">
        <f t="shared" si="104"/>
        <v>0.12811244979919678</v>
      </c>
      <c r="AD1092" s="115">
        <v>604</v>
      </c>
      <c r="AE1092" s="115" t="s">
        <v>109</v>
      </c>
      <c r="AF1092" s="115" t="s">
        <v>317</v>
      </c>
      <c r="AG1092" s="115" t="s">
        <v>317</v>
      </c>
      <c r="AH1092" s="115" t="s">
        <v>2952</v>
      </c>
      <c r="AI1092" s="309"/>
      <c r="AJ1092" s="309"/>
      <c r="AK1092" s="115" t="s">
        <v>48</v>
      </c>
      <c r="AL1092" s="115" t="s">
        <v>47</v>
      </c>
      <c r="AM1092" s="299">
        <f t="shared" ca="1" si="100"/>
        <v>4.1493055555547471</v>
      </c>
      <c r="AN1092" s="122"/>
      <c r="AO1092" s="104" t="s">
        <v>123</v>
      </c>
      <c r="AP1092" s="104" t="s">
        <v>2951</v>
      </c>
      <c r="AQ1092" s="104" t="s">
        <v>3211</v>
      </c>
      <c r="AR1092" s="111">
        <v>44902.649305555555</v>
      </c>
      <c r="AS1092" s="109" t="s">
        <v>136</v>
      </c>
      <c r="AT1092" s="109" t="s">
        <v>225</v>
      </c>
      <c r="AU1092" s="110">
        <v>0.64930555555555558</v>
      </c>
      <c r="AV1092" s="104">
        <v>1</v>
      </c>
      <c r="AW1092" s="109" t="s">
        <v>66</v>
      </c>
      <c r="AX1092" s="123"/>
      <c r="AY1092" s="123"/>
      <c r="AZ1092" s="123"/>
      <c r="BA1092" s="123"/>
    </row>
    <row r="1093" spans="1:53" x14ac:dyDescent="0.25">
      <c r="A1093" s="121">
        <v>57</v>
      </c>
      <c r="B1093" s="120">
        <v>44898.5</v>
      </c>
      <c r="C1093" s="114">
        <v>0.50347222222222221</v>
      </c>
      <c r="D1093" s="114">
        <v>0.51041666666666663</v>
      </c>
      <c r="E1093" s="114">
        <v>0.53472222222222221</v>
      </c>
      <c r="F1093" s="115" t="s">
        <v>170</v>
      </c>
      <c r="G1093" s="115" t="s">
        <v>2944</v>
      </c>
      <c r="H1093" s="107" t="s">
        <v>55</v>
      </c>
      <c r="I1093" s="107" t="s">
        <v>73</v>
      </c>
      <c r="J1093" s="107" t="s">
        <v>37</v>
      </c>
      <c r="K1093" s="119" t="s">
        <v>63</v>
      </c>
      <c r="L1093" s="119" t="s">
        <v>216</v>
      </c>
      <c r="M1093" s="115" t="s">
        <v>2953</v>
      </c>
      <c r="N1093" s="115" t="s">
        <v>59</v>
      </c>
      <c r="O1093" s="115">
        <v>92200869</v>
      </c>
      <c r="P1093" s="115" t="s">
        <v>2954</v>
      </c>
      <c r="Q1093" s="303">
        <f t="shared" si="101"/>
        <v>1</v>
      </c>
      <c r="R1093" s="303">
        <f t="shared" si="102"/>
        <v>168</v>
      </c>
      <c r="S1093" s="115">
        <v>0</v>
      </c>
      <c r="T1093" s="115">
        <v>0</v>
      </c>
      <c r="U1093" s="115">
        <v>1</v>
      </c>
      <c r="V1093" s="115">
        <v>168</v>
      </c>
      <c r="W1093" s="115">
        <v>165.9</v>
      </c>
      <c r="X1093" s="115">
        <v>60</v>
      </c>
      <c r="Y1093" s="115">
        <v>60</v>
      </c>
      <c r="Z1093" s="115">
        <v>44</v>
      </c>
      <c r="AA1093" s="115">
        <v>1</v>
      </c>
      <c r="AB1093" s="300">
        <f t="shared" si="103"/>
        <v>26.4</v>
      </c>
      <c r="AC1093" s="300">
        <f t="shared" si="104"/>
        <v>0.15903614457831325</v>
      </c>
      <c r="AD1093" s="115">
        <v>2944.27</v>
      </c>
      <c r="AE1093" s="115" t="s">
        <v>109</v>
      </c>
      <c r="AF1093" s="115" t="s">
        <v>317</v>
      </c>
      <c r="AG1093" s="115" t="s">
        <v>317</v>
      </c>
      <c r="AH1093" s="115" t="s">
        <v>2955</v>
      </c>
      <c r="AI1093" s="309"/>
      <c r="AJ1093" s="309"/>
      <c r="AK1093" s="115" t="s">
        <v>37</v>
      </c>
      <c r="AL1093" s="115" t="s">
        <v>39</v>
      </c>
      <c r="AM1093" s="299">
        <f t="shared" ca="1" si="100"/>
        <v>2.9548611111094942</v>
      </c>
      <c r="AN1093" s="122"/>
      <c r="AO1093" s="104" t="s">
        <v>70</v>
      </c>
      <c r="AP1093" s="106" t="s">
        <v>2953</v>
      </c>
      <c r="AQ1093" s="104" t="s">
        <v>3072</v>
      </c>
      <c r="AR1093" s="111">
        <v>44901.454861111109</v>
      </c>
      <c r="AS1093" s="104" t="s">
        <v>117</v>
      </c>
      <c r="AT1093" s="109" t="s">
        <v>225</v>
      </c>
      <c r="AU1093" s="110">
        <v>0.4548611111111111</v>
      </c>
      <c r="AV1093" s="104">
        <v>1</v>
      </c>
      <c r="AW1093" s="109" t="s">
        <v>66</v>
      </c>
      <c r="AX1093" s="123"/>
      <c r="AY1093" s="123"/>
      <c r="AZ1093" s="123"/>
      <c r="BA1093" s="123"/>
    </row>
    <row r="1094" spans="1:53" x14ac:dyDescent="0.25">
      <c r="A1094" s="121">
        <v>58</v>
      </c>
      <c r="B1094" s="120">
        <v>44898.5</v>
      </c>
      <c r="C1094" s="114">
        <v>0.50347222222222221</v>
      </c>
      <c r="D1094" s="114">
        <v>0.51041666666666663</v>
      </c>
      <c r="E1094" s="114">
        <v>0.53472222222222221</v>
      </c>
      <c r="F1094" s="115" t="s">
        <v>170</v>
      </c>
      <c r="G1094" s="115" t="s">
        <v>2944</v>
      </c>
      <c r="H1094" s="107" t="s">
        <v>156</v>
      </c>
      <c r="I1094" s="107" t="s">
        <v>162</v>
      </c>
      <c r="J1094" s="107" t="s">
        <v>37</v>
      </c>
      <c r="K1094" s="113" t="s">
        <v>63</v>
      </c>
      <c r="L1094" s="113" t="s">
        <v>212</v>
      </c>
      <c r="M1094" s="115" t="s">
        <v>2956</v>
      </c>
      <c r="N1094" s="115" t="s">
        <v>158</v>
      </c>
      <c r="O1094" s="115" t="s">
        <v>2957</v>
      </c>
      <c r="P1094" s="115" t="s">
        <v>363</v>
      </c>
      <c r="Q1094" s="303">
        <f t="shared" si="101"/>
        <v>1</v>
      </c>
      <c r="R1094" s="303">
        <f t="shared" si="102"/>
        <v>91</v>
      </c>
      <c r="S1094" s="115">
        <v>0</v>
      </c>
      <c r="T1094" s="115">
        <v>0</v>
      </c>
      <c r="U1094" s="115">
        <v>1</v>
      </c>
      <c r="V1094" s="115">
        <v>91</v>
      </c>
      <c r="W1094" s="115">
        <v>89.5</v>
      </c>
      <c r="X1094" s="115">
        <v>53</v>
      </c>
      <c r="Y1094" s="115">
        <v>51</v>
      </c>
      <c r="Z1094" s="115">
        <v>58</v>
      </c>
      <c r="AA1094" s="115">
        <v>1</v>
      </c>
      <c r="AB1094" s="300">
        <f t="shared" si="103"/>
        <v>26.129000000000001</v>
      </c>
      <c r="AC1094" s="300">
        <f t="shared" si="104"/>
        <v>0.15740361445783133</v>
      </c>
      <c r="AD1094" s="115">
        <v>3406.77</v>
      </c>
      <c r="AE1094" s="115" t="s">
        <v>109</v>
      </c>
      <c r="AF1094" s="115" t="s">
        <v>317</v>
      </c>
      <c r="AG1094" s="115" t="s">
        <v>317</v>
      </c>
      <c r="AH1094" s="115" t="s">
        <v>2958</v>
      </c>
      <c r="AI1094" s="309"/>
      <c r="AJ1094" s="309"/>
      <c r="AK1094" s="115" t="s">
        <v>37</v>
      </c>
      <c r="AL1094" s="115" t="s">
        <v>39</v>
      </c>
      <c r="AM1094" s="299">
        <f t="shared" ca="1" si="100"/>
        <v>2.9548611111094942</v>
      </c>
      <c r="AN1094" s="122"/>
      <c r="AO1094" s="104" t="s">
        <v>159</v>
      </c>
      <c r="AP1094" s="106" t="s">
        <v>2956</v>
      </c>
      <c r="AQ1094" s="104" t="s">
        <v>3074</v>
      </c>
      <c r="AR1094" s="111">
        <v>44901.454861111109</v>
      </c>
      <c r="AS1094" s="104" t="s">
        <v>117</v>
      </c>
      <c r="AT1094" s="109" t="s">
        <v>225</v>
      </c>
      <c r="AU1094" s="110">
        <v>0.4548611111111111</v>
      </c>
      <c r="AV1094" s="104">
        <v>1</v>
      </c>
      <c r="AW1094" s="109" t="s">
        <v>66</v>
      </c>
      <c r="AX1094" s="123"/>
      <c r="AY1094" s="123"/>
      <c r="AZ1094" s="123"/>
      <c r="BA1094" s="123"/>
    </row>
    <row r="1095" spans="1:53" x14ac:dyDescent="0.25">
      <c r="A1095" s="121">
        <v>59</v>
      </c>
      <c r="B1095" s="120">
        <v>44898.5</v>
      </c>
      <c r="C1095" s="114">
        <v>0.50347222222222221</v>
      </c>
      <c r="D1095" s="114">
        <v>0.51041666666666663</v>
      </c>
      <c r="E1095" s="114">
        <v>0.53472222222222221</v>
      </c>
      <c r="F1095" s="115" t="s">
        <v>170</v>
      </c>
      <c r="G1095" s="115" t="s">
        <v>2944</v>
      </c>
      <c r="H1095" s="107" t="s">
        <v>2959</v>
      </c>
      <c r="I1095" s="107" t="s">
        <v>2960</v>
      </c>
      <c r="J1095" s="107" t="s">
        <v>37</v>
      </c>
      <c r="K1095" s="113" t="s">
        <v>63</v>
      </c>
      <c r="L1095" s="107">
        <v>0</v>
      </c>
      <c r="M1095" s="115" t="s">
        <v>2961</v>
      </c>
      <c r="N1095" s="115" t="s">
        <v>2962</v>
      </c>
      <c r="O1095" s="115">
        <v>154</v>
      </c>
      <c r="P1095" s="115">
        <v>134487</v>
      </c>
      <c r="Q1095" s="303">
        <f t="shared" si="101"/>
        <v>4</v>
      </c>
      <c r="R1095" s="303">
        <f t="shared" si="102"/>
        <v>375</v>
      </c>
      <c r="S1095" s="115">
        <v>0</v>
      </c>
      <c r="T1095" s="115">
        <v>0</v>
      </c>
      <c r="U1095" s="115">
        <v>4</v>
      </c>
      <c r="V1095" s="115">
        <v>375</v>
      </c>
      <c r="W1095" s="115">
        <v>376</v>
      </c>
      <c r="X1095" s="115">
        <v>52</v>
      </c>
      <c r="Y1095" s="115">
        <v>51</v>
      </c>
      <c r="Z1095" s="115">
        <v>49</v>
      </c>
      <c r="AA1095" s="115">
        <v>4</v>
      </c>
      <c r="AB1095" s="300">
        <f t="shared" si="103"/>
        <v>86.632000000000005</v>
      </c>
      <c r="AC1095" s="300">
        <f t="shared" si="104"/>
        <v>0.52187951807228916</v>
      </c>
      <c r="AD1095" s="115">
        <v>11817.96</v>
      </c>
      <c r="AE1095" s="115" t="s">
        <v>109</v>
      </c>
      <c r="AF1095" s="115" t="s">
        <v>317</v>
      </c>
      <c r="AG1095" s="115" t="s">
        <v>317</v>
      </c>
      <c r="AH1095" s="115" t="s">
        <v>2963</v>
      </c>
      <c r="AI1095" s="309"/>
      <c r="AJ1095" s="309"/>
      <c r="AK1095" s="115" t="s">
        <v>37</v>
      </c>
      <c r="AL1095" s="115" t="s">
        <v>39</v>
      </c>
      <c r="AM1095" s="299">
        <f t="shared" ca="1" si="100"/>
        <v>4.0138888888905058</v>
      </c>
      <c r="AN1095" s="122"/>
      <c r="AO1095" s="104" t="s">
        <v>161</v>
      </c>
      <c r="AP1095" s="106" t="s">
        <v>2961</v>
      </c>
      <c r="AQ1095" s="104" t="s">
        <v>3208</v>
      </c>
      <c r="AR1095" s="111">
        <v>44902.513888888891</v>
      </c>
      <c r="AS1095" s="104" t="s">
        <v>117</v>
      </c>
      <c r="AT1095" s="109" t="s">
        <v>225</v>
      </c>
      <c r="AU1095" s="110">
        <v>0.54166666666666663</v>
      </c>
      <c r="AV1095" s="104">
        <v>1</v>
      </c>
      <c r="AW1095" s="109" t="s">
        <v>66</v>
      </c>
      <c r="AX1095" s="123"/>
      <c r="AY1095" s="123"/>
      <c r="AZ1095" s="123"/>
      <c r="BA1095" s="123"/>
    </row>
    <row r="1096" spans="1:53" x14ac:dyDescent="0.25">
      <c r="A1096" s="121">
        <v>60</v>
      </c>
      <c r="B1096" s="120">
        <v>44898.53125</v>
      </c>
      <c r="C1096" s="114">
        <v>0.53472222222222221</v>
      </c>
      <c r="D1096" s="114">
        <v>0.53819444444444442</v>
      </c>
      <c r="E1096" s="114">
        <v>0.54166666666666663</v>
      </c>
      <c r="F1096" s="115" t="s">
        <v>171</v>
      </c>
      <c r="G1096" s="115" t="s">
        <v>811</v>
      </c>
      <c r="H1096" s="107" t="s">
        <v>2964</v>
      </c>
      <c r="I1096" s="107" t="s">
        <v>2965</v>
      </c>
      <c r="J1096" s="107" t="s">
        <v>37</v>
      </c>
      <c r="K1096" s="107" t="s">
        <v>241</v>
      </c>
      <c r="L1096" s="107">
        <v>0</v>
      </c>
      <c r="M1096" s="115" t="s">
        <v>2966</v>
      </c>
      <c r="N1096" s="115" t="s">
        <v>155</v>
      </c>
      <c r="O1096" s="115" t="s">
        <v>2967</v>
      </c>
      <c r="P1096" s="115" t="s">
        <v>2968</v>
      </c>
      <c r="Q1096" s="303">
        <f t="shared" si="101"/>
        <v>1</v>
      </c>
      <c r="R1096" s="303">
        <f t="shared" si="102"/>
        <v>70</v>
      </c>
      <c r="S1096" s="115">
        <v>0</v>
      </c>
      <c r="T1096" s="115">
        <v>0</v>
      </c>
      <c r="U1096" s="115">
        <v>1</v>
      </c>
      <c r="V1096" s="116">
        <v>70</v>
      </c>
      <c r="W1096" s="116">
        <v>50</v>
      </c>
      <c r="X1096" s="115">
        <v>108</v>
      </c>
      <c r="Y1096" s="115">
        <v>79</v>
      </c>
      <c r="Z1096" s="115">
        <v>74</v>
      </c>
      <c r="AA1096" s="115">
        <v>1</v>
      </c>
      <c r="AB1096" s="300">
        <f t="shared" si="103"/>
        <v>105.22799999999999</v>
      </c>
      <c r="AC1096" s="300">
        <f t="shared" si="104"/>
        <v>0.63390361445783128</v>
      </c>
      <c r="AD1096" s="115">
        <v>1828.75</v>
      </c>
      <c r="AE1096" s="115" t="s">
        <v>109</v>
      </c>
      <c r="AF1096" s="115" t="s">
        <v>317</v>
      </c>
      <c r="AG1096" s="115" t="s">
        <v>317</v>
      </c>
      <c r="AH1096" s="115" t="s">
        <v>2969</v>
      </c>
      <c r="AI1096" s="309"/>
      <c r="AJ1096" s="309"/>
      <c r="AK1096" s="115" t="s">
        <v>37</v>
      </c>
      <c r="AL1096" s="115" t="s">
        <v>58</v>
      </c>
      <c r="AM1096" s="299">
        <f t="shared" ca="1" si="100"/>
        <v>16.993055555554747</v>
      </c>
      <c r="AN1096" s="122" t="s">
        <v>2970</v>
      </c>
      <c r="AO1096" s="189" t="s">
        <v>446</v>
      </c>
      <c r="AP1096" s="190" t="s">
        <v>2966</v>
      </c>
      <c r="AQ1096" s="191" t="s">
        <v>3982</v>
      </c>
      <c r="AR1096" s="192">
        <v>44915.524305555555</v>
      </c>
      <c r="AS1096" s="186" t="s">
        <v>173</v>
      </c>
      <c r="AT1096" s="189" t="s">
        <v>225</v>
      </c>
      <c r="AU1096" s="191">
        <v>0.52430555555555558</v>
      </c>
      <c r="AV1096" s="189">
        <v>1</v>
      </c>
      <c r="AW1096" s="189" t="s">
        <v>66</v>
      </c>
      <c r="AX1096" s="123"/>
      <c r="AY1096" s="123"/>
      <c r="AZ1096" s="123"/>
      <c r="BA1096" s="123"/>
    </row>
    <row r="1097" spans="1:53" x14ac:dyDescent="0.25">
      <c r="A1097" s="121">
        <v>61</v>
      </c>
      <c r="B1097" s="120">
        <v>44898.520833333336</v>
      </c>
      <c r="C1097" s="114">
        <v>0.52430555555555558</v>
      </c>
      <c r="D1097" s="114">
        <v>0.53819444444444442</v>
      </c>
      <c r="E1097" s="114">
        <v>0.61805555555555558</v>
      </c>
      <c r="F1097" s="115" t="s">
        <v>170</v>
      </c>
      <c r="G1097" s="115" t="s">
        <v>435</v>
      </c>
      <c r="H1097" s="107" t="s">
        <v>227</v>
      </c>
      <c r="I1097" s="107" t="s">
        <v>189</v>
      </c>
      <c r="J1097" s="107" t="s">
        <v>37</v>
      </c>
      <c r="K1097" s="113" t="s">
        <v>63</v>
      </c>
      <c r="L1097" s="118" t="s">
        <v>206</v>
      </c>
      <c r="M1097" s="115" t="s">
        <v>2971</v>
      </c>
      <c r="N1097" s="115" t="s">
        <v>43</v>
      </c>
      <c r="O1097" s="124" t="s">
        <v>2972</v>
      </c>
      <c r="P1097" s="115">
        <v>28192</v>
      </c>
      <c r="Q1097" s="303">
        <f t="shared" si="101"/>
        <v>10</v>
      </c>
      <c r="R1097" s="303">
        <f t="shared" si="102"/>
        <v>179</v>
      </c>
      <c r="S1097" s="115">
        <v>10</v>
      </c>
      <c r="T1097" s="115">
        <v>179</v>
      </c>
      <c r="U1097" s="115">
        <v>0</v>
      </c>
      <c r="V1097" s="115">
        <v>0</v>
      </c>
      <c r="W1097" s="115">
        <v>170</v>
      </c>
      <c r="X1097" s="115">
        <v>83</v>
      </c>
      <c r="Y1097" s="115">
        <v>52</v>
      </c>
      <c r="Z1097" s="115">
        <v>63</v>
      </c>
      <c r="AA1097" s="115">
        <v>10</v>
      </c>
      <c r="AB1097" s="300">
        <f t="shared" si="103"/>
        <v>453.18</v>
      </c>
      <c r="AC1097" s="300">
        <f t="shared" si="104"/>
        <v>2.73</v>
      </c>
      <c r="AD1097" s="115" t="s">
        <v>48</v>
      </c>
      <c r="AE1097" s="115" t="s">
        <v>48</v>
      </c>
      <c r="AF1097" s="115" t="s">
        <v>317</v>
      </c>
      <c r="AG1097" s="115" t="s">
        <v>317</v>
      </c>
      <c r="AH1097" s="115" t="s">
        <v>2973</v>
      </c>
      <c r="AI1097" s="309"/>
      <c r="AJ1097" s="309"/>
      <c r="AK1097" s="115" t="s">
        <v>48</v>
      </c>
      <c r="AL1097" s="115" t="s">
        <v>47</v>
      </c>
      <c r="AM1097" s="299">
        <f t="shared" ca="1" si="100"/>
        <v>0.19444444444525288</v>
      </c>
      <c r="AN1097" s="122"/>
      <c r="AO1097" s="104" t="s">
        <v>179</v>
      </c>
      <c r="AP1097" s="106" t="s">
        <v>2998</v>
      </c>
      <c r="AQ1097" s="104" t="s">
        <v>2999</v>
      </c>
      <c r="AR1097" s="111">
        <v>44898.715277777781</v>
      </c>
      <c r="AS1097" s="104" t="s">
        <v>1203</v>
      </c>
      <c r="AT1097" s="109" t="s">
        <v>65</v>
      </c>
      <c r="AU1097" s="110">
        <v>0.71527777777777779</v>
      </c>
      <c r="AV1097" s="104">
        <v>1</v>
      </c>
      <c r="AW1097" s="109" t="s">
        <v>66</v>
      </c>
      <c r="AX1097" s="123"/>
      <c r="AY1097" s="123"/>
      <c r="AZ1097" s="123"/>
      <c r="BA1097" s="123"/>
    </row>
    <row r="1098" spans="1:53" x14ac:dyDescent="0.25">
      <c r="A1098" s="121">
        <v>62</v>
      </c>
      <c r="B1098" s="120">
        <v>44898.520833333336</v>
      </c>
      <c r="C1098" s="114">
        <v>0.52430555555555558</v>
      </c>
      <c r="D1098" s="114">
        <v>0.60763888888888895</v>
      </c>
      <c r="E1098" s="114">
        <v>0.61805555555555558</v>
      </c>
      <c r="F1098" s="115" t="s">
        <v>170</v>
      </c>
      <c r="G1098" s="115" t="s">
        <v>2974</v>
      </c>
      <c r="H1098" s="107" t="s">
        <v>227</v>
      </c>
      <c r="I1098" s="107" t="s">
        <v>189</v>
      </c>
      <c r="J1098" s="107" t="s">
        <v>37</v>
      </c>
      <c r="K1098" s="113" t="s">
        <v>63</v>
      </c>
      <c r="L1098" s="118" t="s">
        <v>206</v>
      </c>
      <c r="M1098" s="115" t="s">
        <v>2975</v>
      </c>
      <c r="N1098" s="115" t="s">
        <v>42</v>
      </c>
      <c r="O1098" s="124" t="s">
        <v>2976</v>
      </c>
      <c r="P1098" s="115">
        <v>3729</v>
      </c>
      <c r="Q1098" s="303">
        <f t="shared" si="101"/>
        <v>9</v>
      </c>
      <c r="R1098" s="303">
        <f t="shared" si="102"/>
        <v>1852</v>
      </c>
      <c r="S1098" s="115">
        <v>0</v>
      </c>
      <c r="T1098" s="115">
        <v>0</v>
      </c>
      <c r="U1098" s="115">
        <v>9</v>
      </c>
      <c r="V1098" s="115">
        <v>1852</v>
      </c>
      <c r="W1098" s="115">
        <v>1766</v>
      </c>
      <c r="X1098" s="115">
        <v>170</v>
      </c>
      <c r="Y1098" s="115">
        <v>97</v>
      </c>
      <c r="Z1098" s="115">
        <v>94</v>
      </c>
      <c r="AA1098" s="115">
        <v>7</v>
      </c>
      <c r="AB1098" s="300">
        <f t="shared" si="103"/>
        <v>1808.4033333333334</v>
      </c>
      <c r="AC1098" s="300">
        <f t="shared" si="104"/>
        <v>10.893995983935744</v>
      </c>
      <c r="AD1098" s="115" t="s">
        <v>48</v>
      </c>
      <c r="AE1098" s="115" t="s">
        <v>48</v>
      </c>
      <c r="AF1098" s="115" t="s">
        <v>317</v>
      </c>
      <c r="AG1098" s="115" t="s">
        <v>317</v>
      </c>
      <c r="AH1098" s="115" t="s">
        <v>2977</v>
      </c>
      <c r="AI1098" s="309"/>
      <c r="AJ1098" s="309"/>
      <c r="AK1098" s="115" t="s">
        <v>37</v>
      </c>
      <c r="AL1098" s="115" t="s">
        <v>56</v>
      </c>
      <c r="AM1098" s="299">
        <f t="shared" ca="1" si="100"/>
        <v>0.20138888888322981</v>
      </c>
      <c r="AN1098" s="122"/>
      <c r="AO1098" s="104" t="s">
        <v>89</v>
      </c>
      <c r="AP1098" s="106" t="s">
        <v>3000</v>
      </c>
      <c r="AQ1098" s="104" t="s">
        <v>3001</v>
      </c>
      <c r="AR1098" s="111">
        <v>44898.722222222219</v>
      </c>
      <c r="AS1098" s="104" t="s">
        <v>3002</v>
      </c>
      <c r="AT1098" s="109" t="s">
        <v>65</v>
      </c>
      <c r="AU1098" s="110">
        <v>0.72222222222222221</v>
      </c>
      <c r="AV1098" s="104">
        <v>1</v>
      </c>
      <c r="AW1098" s="109" t="s">
        <v>66</v>
      </c>
      <c r="AX1098" s="123"/>
      <c r="AY1098" s="123"/>
      <c r="AZ1098" s="123"/>
      <c r="BA1098" s="123"/>
    </row>
    <row r="1099" spans="1:53" x14ac:dyDescent="0.25">
      <c r="A1099" s="121">
        <v>62</v>
      </c>
      <c r="B1099" s="120">
        <v>44898.520833333336</v>
      </c>
      <c r="C1099" s="114">
        <v>0.52430555555555558</v>
      </c>
      <c r="D1099" s="114">
        <v>0.60763888888888895</v>
      </c>
      <c r="E1099" s="114">
        <v>0.61805555555555558</v>
      </c>
      <c r="F1099" s="115" t="s">
        <v>170</v>
      </c>
      <c r="G1099" s="115" t="s">
        <v>2974</v>
      </c>
      <c r="H1099" s="107" t="s">
        <v>227</v>
      </c>
      <c r="I1099" s="107" t="s">
        <v>189</v>
      </c>
      <c r="J1099" s="107" t="s">
        <v>37</v>
      </c>
      <c r="K1099" s="113" t="s">
        <v>63</v>
      </c>
      <c r="L1099" s="118" t="s">
        <v>206</v>
      </c>
      <c r="M1099" s="115" t="s">
        <v>2975</v>
      </c>
      <c r="N1099" s="115" t="s">
        <v>42</v>
      </c>
      <c r="O1099" s="124" t="s">
        <v>2976</v>
      </c>
      <c r="P1099" s="115">
        <v>3729</v>
      </c>
      <c r="Q1099" s="303">
        <f t="shared" si="101"/>
        <v>0</v>
      </c>
      <c r="R1099" s="303">
        <f t="shared" si="102"/>
        <v>0</v>
      </c>
      <c r="S1099" s="115">
        <v>0</v>
      </c>
      <c r="T1099" s="115">
        <v>0</v>
      </c>
      <c r="U1099" s="115">
        <v>0</v>
      </c>
      <c r="V1099" s="115">
        <v>0</v>
      </c>
      <c r="W1099" s="115">
        <v>0</v>
      </c>
      <c r="X1099" s="115">
        <v>160</v>
      </c>
      <c r="Y1099" s="115">
        <v>138</v>
      </c>
      <c r="Z1099" s="115">
        <v>79</v>
      </c>
      <c r="AA1099" s="115">
        <v>2</v>
      </c>
      <c r="AB1099" s="300">
        <f t="shared" si="103"/>
        <v>581.44000000000005</v>
      </c>
      <c r="AC1099" s="300">
        <f t="shared" si="104"/>
        <v>3.5026506024096391</v>
      </c>
      <c r="AD1099" s="115">
        <v>0</v>
      </c>
      <c r="AE1099" s="115">
        <v>0</v>
      </c>
      <c r="AF1099" s="115" t="s">
        <v>317</v>
      </c>
      <c r="AG1099" s="115" t="s">
        <v>317</v>
      </c>
      <c r="AH1099" s="115" t="s">
        <v>2977</v>
      </c>
      <c r="AI1099" s="309"/>
      <c r="AJ1099" s="309"/>
      <c r="AK1099" s="115" t="s">
        <v>37</v>
      </c>
      <c r="AL1099" s="115" t="s">
        <v>56</v>
      </c>
      <c r="AM1099" s="299">
        <f t="shared" ca="1" si="100"/>
        <v>0.20138888888322981</v>
      </c>
      <c r="AN1099" s="122"/>
      <c r="AO1099" s="104" t="s">
        <v>89</v>
      </c>
      <c r="AP1099" s="106" t="s">
        <v>3000</v>
      </c>
      <c r="AQ1099" s="104" t="s">
        <v>3001</v>
      </c>
      <c r="AR1099" s="111">
        <v>44898.722222222219</v>
      </c>
      <c r="AS1099" s="104" t="s">
        <v>3002</v>
      </c>
      <c r="AT1099" s="109" t="s">
        <v>65</v>
      </c>
      <c r="AU1099" s="110">
        <v>0.72222222222222221</v>
      </c>
      <c r="AV1099" s="104">
        <v>1</v>
      </c>
      <c r="AW1099" s="109" t="s">
        <v>66</v>
      </c>
      <c r="AX1099" s="123"/>
      <c r="AY1099" s="123"/>
      <c r="AZ1099" s="123"/>
      <c r="BA1099" s="123"/>
    </row>
    <row r="1100" spans="1:53" x14ac:dyDescent="0.25">
      <c r="A1100" s="121">
        <v>63</v>
      </c>
      <c r="B1100" s="120">
        <v>44898.600694444445</v>
      </c>
      <c r="C1100" s="114">
        <v>0.60416666666666663</v>
      </c>
      <c r="D1100" s="114">
        <v>0.60763888888888895</v>
      </c>
      <c r="E1100" s="114">
        <v>0.625</v>
      </c>
      <c r="F1100" s="115" t="s">
        <v>170</v>
      </c>
      <c r="G1100" s="115" t="s">
        <v>333</v>
      </c>
      <c r="H1100" s="107" t="s">
        <v>204</v>
      </c>
      <c r="I1100" s="107" t="s">
        <v>92</v>
      </c>
      <c r="J1100" s="107" t="s">
        <v>37</v>
      </c>
      <c r="K1100" s="113" t="s">
        <v>63</v>
      </c>
      <c r="L1100" s="113" t="s">
        <v>212</v>
      </c>
      <c r="M1100" s="115" t="s">
        <v>2978</v>
      </c>
      <c r="N1100" s="115" t="s">
        <v>42</v>
      </c>
      <c r="O1100" s="115" t="s">
        <v>2979</v>
      </c>
      <c r="P1100" s="115">
        <v>5051989842</v>
      </c>
      <c r="Q1100" s="303">
        <f t="shared" si="101"/>
        <v>1</v>
      </c>
      <c r="R1100" s="303">
        <f t="shared" si="102"/>
        <v>109</v>
      </c>
      <c r="S1100" s="115">
        <v>0</v>
      </c>
      <c r="T1100" s="115">
        <v>0</v>
      </c>
      <c r="U1100" s="115">
        <v>1</v>
      </c>
      <c r="V1100" s="115">
        <v>109</v>
      </c>
      <c r="W1100" s="115">
        <v>114</v>
      </c>
      <c r="X1100" s="115">
        <v>61</v>
      </c>
      <c r="Y1100" s="115">
        <v>40</v>
      </c>
      <c r="Z1100" s="115">
        <v>60</v>
      </c>
      <c r="AA1100" s="115">
        <v>1</v>
      </c>
      <c r="AB1100" s="300">
        <f t="shared" si="103"/>
        <v>24.4</v>
      </c>
      <c r="AC1100" s="300">
        <f t="shared" si="104"/>
        <v>0.1469879518072289</v>
      </c>
      <c r="AD1100" s="115">
        <v>1198.57</v>
      </c>
      <c r="AE1100" s="115" t="s">
        <v>109</v>
      </c>
      <c r="AF1100" s="115" t="s">
        <v>317</v>
      </c>
      <c r="AG1100" s="115" t="s">
        <v>317</v>
      </c>
      <c r="AH1100" s="115" t="s">
        <v>2980</v>
      </c>
      <c r="AI1100" s="309"/>
      <c r="AJ1100" s="309"/>
      <c r="AK1100" s="115" t="s">
        <v>41</v>
      </c>
      <c r="AL1100" s="115" t="s">
        <v>39</v>
      </c>
      <c r="AM1100" s="299">
        <f t="shared" ca="1" si="100"/>
        <v>5.9027777777737356</v>
      </c>
      <c r="AN1100" s="122"/>
      <c r="AO1100" s="104" t="s">
        <v>120</v>
      </c>
      <c r="AP1100" s="106" t="s">
        <v>2978</v>
      </c>
      <c r="AQ1100" s="104" t="s">
        <v>3365</v>
      </c>
      <c r="AR1100" s="111">
        <v>44904.503472222219</v>
      </c>
      <c r="AS1100" s="104" t="s">
        <v>173</v>
      </c>
      <c r="AT1100" s="109" t="s">
        <v>225</v>
      </c>
      <c r="AU1100" s="110">
        <v>0.50347222222222221</v>
      </c>
      <c r="AV1100" s="104">
        <v>1</v>
      </c>
      <c r="AW1100" s="109" t="s">
        <v>66</v>
      </c>
      <c r="AX1100" s="123"/>
      <c r="AY1100" s="123"/>
      <c r="AZ1100" s="123"/>
      <c r="BA1100" s="123"/>
    </row>
    <row r="1101" spans="1:53" x14ac:dyDescent="0.25">
      <c r="A1101" s="121">
        <v>64</v>
      </c>
      <c r="B1101" s="120">
        <v>44898.659722222219</v>
      </c>
      <c r="C1101" s="114">
        <v>0.66319444444444442</v>
      </c>
      <c r="D1101" s="114">
        <v>0.69097222222222221</v>
      </c>
      <c r="E1101" s="114">
        <v>0.70138888888888884</v>
      </c>
      <c r="F1101" s="115" t="s">
        <v>169</v>
      </c>
      <c r="G1101" s="115" t="s">
        <v>397</v>
      </c>
      <c r="H1101" s="115" t="s">
        <v>416</v>
      </c>
      <c r="I1101" s="115" t="s">
        <v>2789</v>
      </c>
      <c r="J1101" s="115" t="s">
        <v>41</v>
      </c>
      <c r="K1101" s="115" t="s">
        <v>233</v>
      </c>
      <c r="L1101" s="115" t="s">
        <v>417</v>
      </c>
      <c r="M1101" s="115" t="s">
        <v>2982</v>
      </c>
      <c r="N1101" s="115" t="s">
        <v>42</v>
      </c>
      <c r="O1101" s="115" t="s">
        <v>2983</v>
      </c>
      <c r="P1101" s="115" t="s">
        <v>2984</v>
      </c>
      <c r="Q1101" s="303">
        <f t="shared" si="101"/>
        <v>159</v>
      </c>
      <c r="R1101" s="303">
        <f t="shared" si="102"/>
        <v>1972</v>
      </c>
      <c r="S1101" s="115">
        <v>159</v>
      </c>
      <c r="T1101" s="115">
        <v>1972</v>
      </c>
      <c r="U1101" s="115">
        <v>0</v>
      </c>
      <c r="V1101" s="115">
        <v>0</v>
      </c>
      <c r="W1101" s="115" t="s">
        <v>48</v>
      </c>
      <c r="X1101" s="115">
        <v>60</v>
      </c>
      <c r="Y1101" s="115">
        <v>39</v>
      </c>
      <c r="Z1101" s="115">
        <v>36</v>
      </c>
      <c r="AA1101" s="115">
        <v>122</v>
      </c>
      <c r="AB1101" s="300">
        <f t="shared" si="103"/>
        <v>1712.88</v>
      </c>
      <c r="AC1101" s="300">
        <f t="shared" si="104"/>
        <v>10.31855421686747</v>
      </c>
      <c r="AD1101" s="115">
        <v>53761.82</v>
      </c>
      <c r="AE1101" s="115" t="s">
        <v>109</v>
      </c>
      <c r="AF1101" s="115" t="s">
        <v>2985</v>
      </c>
      <c r="AG1101" s="115" t="s">
        <v>2986</v>
      </c>
      <c r="AH1101" s="115" t="s">
        <v>2987</v>
      </c>
      <c r="AI1101" s="309"/>
      <c r="AJ1101" s="309"/>
      <c r="AK1101" s="115" t="s">
        <v>48</v>
      </c>
      <c r="AL1101" s="115" t="s">
        <v>56</v>
      </c>
      <c r="AM1101" s="299">
        <f t="shared" ca="1" si="100"/>
        <v>0.10416666667151731</v>
      </c>
      <c r="AN1101" s="122"/>
      <c r="AO1101" s="104" t="s">
        <v>93</v>
      </c>
      <c r="AP1101" s="106" t="s">
        <v>2982</v>
      </c>
      <c r="AQ1101" s="104" t="s">
        <v>3007</v>
      </c>
      <c r="AR1101" s="111">
        <v>44898.763888888891</v>
      </c>
      <c r="AS1101" s="104" t="s">
        <v>3008</v>
      </c>
      <c r="AT1101" s="109" t="s">
        <v>65</v>
      </c>
      <c r="AU1101" s="110">
        <v>0.76388888888888884</v>
      </c>
      <c r="AV1101" s="104">
        <v>1</v>
      </c>
      <c r="AW1101" s="109" t="s">
        <v>66</v>
      </c>
      <c r="AX1101" s="123"/>
      <c r="AY1101" s="123"/>
      <c r="AZ1101" s="123"/>
      <c r="BA1101" s="123"/>
    </row>
    <row r="1102" spans="1:53" x14ac:dyDescent="0.25">
      <c r="A1102" s="121">
        <v>64</v>
      </c>
      <c r="B1102" s="120">
        <v>44898.659722222219</v>
      </c>
      <c r="C1102" s="114">
        <v>0.66319444444444442</v>
      </c>
      <c r="D1102" s="114">
        <v>0.69097222222222221</v>
      </c>
      <c r="E1102" s="114">
        <v>0.70138888888888884</v>
      </c>
      <c r="F1102" s="115" t="s">
        <v>169</v>
      </c>
      <c r="G1102" s="115" t="s">
        <v>397</v>
      </c>
      <c r="H1102" s="115" t="s">
        <v>416</v>
      </c>
      <c r="I1102" s="115" t="s">
        <v>2789</v>
      </c>
      <c r="J1102" s="115" t="s">
        <v>41</v>
      </c>
      <c r="K1102" s="115" t="s">
        <v>233</v>
      </c>
      <c r="L1102" s="115" t="s">
        <v>417</v>
      </c>
      <c r="M1102" s="115" t="s">
        <v>2982</v>
      </c>
      <c r="N1102" s="115" t="s">
        <v>42</v>
      </c>
      <c r="O1102" s="115" t="s">
        <v>2983</v>
      </c>
      <c r="P1102" s="115" t="s">
        <v>2984</v>
      </c>
      <c r="Q1102" s="303">
        <f t="shared" si="101"/>
        <v>0</v>
      </c>
      <c r="R1102" s="303">
        <f t="shared" si="102"/>
        <v>0</v>
      </c>
      <c r="S1102" s="115">
        <v>0</v>
      </c>
      <c r="T1102" s="115">
        <v>0</v>
      </c>
      <c r="U1102" s="115">
        <v>0</v>
      </c>
      <c r="V1102" s="115">
        <v>0</v>
      </c>
      <c r="W1102" s="115">
        <v>0</v>
      </c>
      <c r="X1102" s="115">
        <v>60</v>
      </c>
      <c r="Y1102" s="115">
        <v>39</v>
      </c>
      <c r="Z1102" s="115">
        <v>19</v>
      </c>
      <c r="AA1102" s="115">
        <v>37</v>
      </c>
      <c r="AB1102" s="300">
        <f t="shared" si="103"/>
        <v>274.17</v>
      </c>
      <c r="AC1102" s="300">
        <f t="shared" si="104"/>
        <v>1.6516265060240964</v>
      </c>
      <c r="AD1102" s="115">
        <v>0</v>
      </c>
      <c r="AE1102" s="115">
        <v>0</v>
      </c>
      <c r="AF1102" s="115" t="s">
        <v>2985</v>
      </c>
      <c r="AG1102" s="115" t="s">
        <v>2986</v>
      </c>
      <c r="AH1102" s="115" t="s">
        <v>2987</v>
      </c>
      <c r="AI1102" s="309"/>
      <c r="AJ1102" s="309"/>
      <c r="AK1102" s="115" t="s">
        <v>48</v>
      </c>
      <c r="AL1102" s="115" t="s">
        <v>56</v>
      </c>
      <c r="AM1102" s="299">
        <f t="shared" ca="1" si="100"/>
        <v>0.10416666667151731</v>
      </c>
      <c r="AN1102" s="122"/>
      <c r="AO1102" s="104" t="s">
        <v>93</v>
      </c>
      <c r="AP1102" s="106" t="s">
        <v>2982</v>
      </c>
      <c r="AQ1102" s="104" t="s">
        <v>3007</v>
      </c>
      <c r="AR1102" s="111">
        <v>44898.763888888891</v>
      </c>
      <c r="AS1102" s="104" t="s">
        <v>3008</v>
      </c>
      <c r="AT1102" s="109" t="s">
        <v>65</v>
      </c>
      <c r="AU1102" s="110">
        <v>0.76388888888888884</v>
      </c>
      <c r="AV1102" s="104">
        <v>1</v>
      </c>
      <c r="AW1102" s="109" t="s">
        <v>66</v>
      </c>
      <c r="AX1102" s="52"/>
      <c r="AY1102" s="52"/>
      <c r="AZ1102" s="52"/>
      <c r="BA1102" s="52"/>
    </row>
    <row r="1103" spans="1:53" x14ac:dyDescent="0.25">
      <c r="A1103" s="48">
        <v>65</v>
      </c>
      <c r="B1103" s="120">
        <v>44900.392361111109</v>
      </c>
      <c r="C1103" s="36">
        <v>0.3923611111111111</v>
      </c>
      <c r="D1103" s="36">
        <v>0.39583333333333331</v>
      </c>
      <c r="E1103" s="36">
        <v>0.42708333333333331</v>
      </c>
      <c r="F1103" s="37" t="s">
        <v>171</v>
      </c>
      <c r="G1103" s="37" t="s">
        <v>136</v>
      </c>
      <c r="H1103" s="26" t="s">
        <v>350</v>
      </c>
      <c r="I1103" s="107" t="s">
        <v>350</v>
      </c>
      <c r="J1103" s="115" t="s">
        <v>37</v>
      </c>
      <c r="K1103" s="115" t="s">
        <v>233</v>
      </c>
      <c r="L1103" s="119" t="s">
        <v>209</v>
      </c>
      <c r="M1103" s="37" t="s">
        <v>3013</v>
      </c>
      <c r="N1103" s="115" t="s">
        <v>42</v>
      </c>
      <c r="O1103" s="37" t="s">
        <v>3014</v>
      </c>
      <c r="P1103" s="37">
        <v>4503720249</v>
      </c>
      <c r="Q1103" s="303">
        <f t="shared" si="101"/>
        <v>1</v>
      </c>
      <c r="R1103" s="303">
        <f t="shared" si="102"/>
        <v>248</v>
      </c>
      <c r="S1103" s="37">
        <v>0</v>
      </c>
      <c r="T1103" s="37">
        <v>0</v>
      </c>
      <c r="U1103" s="37">
        <v>1</v>
      </c>
      <c r="V1103" s="116">
        <f>248</f>
        <v>248</v>
      </c>
      <c r="W1103" s="116">
        <f>270.6+17.66</f>
        <v>288.26000000000005</v>
      </c>
      <c r="X1103" s="37">
        <v>125</v>
      </c>
      <c r="Y1103" s="37">
        <v>80</v>
      </c>
      <c r="Z1103" s="37">
        <v>99</v>
      </c>
      <c r="AA1103" s="37">
        <v>1</v>
      </c>
      <c r="AB1103" s="300">
        <f t="shared" si="103"/>
        <v>165</v>
      </c>
      <c r="AC1103" s="300">
        <f t="shared" si="104"/>
        <v>0.99397590361445787</v>
      </c>
      <c r="AD1103" s="37">
        <f>12075+966</f>
        <v>13041</v>
      </c>
      <c r="AE1103" s="37" t="s">
        <v>109</v>
      </c>
      <c r="AF1103" s="115" t="s">
        <v>317</v>
      </c>
      <c r="AG1103" s="115" t="s">
        <v>317</v>
      </c>
      <c r="AH1103" s="37" t="s">
        <v>3015</v>
      </c>
      <c r="AI1103" s="309"/>
      <c r="AJ1103" s="309"/>
      <c r="AK1103" s="37" t="s">
        <v>37</v>
      </c>
      <c r="AL1103" s="37" t="s">
        <v>39</v>
      </c>
      <c r="AM1103" s="299">
        <f t="shared" ca="1" si="100"/>
        <v>18.295138888890506</v>
      </c>
      <c r="AN1103" s="122"/>
      <c r="AO1103" s="189" t="s">
        <v>213</v>
      </c>
      <c r="AP1103" s="190" t="s">
        <v>3013</v>
      </c>
      <c r="AQ1103" s="189" t="s">
        <v>4239</v>
      </c>
      <c r="AR1103" s="192">
        <v>44918.6875</v>
      </c>
      <c r="AS1103" s="186" t="s">
        <v>173</v>
      </c>
      <c r="AT1103" s="189" t="s">
        <v>225</v>
      </c>
      <c r="AU1103" s="191">
        <v>0.6875</v>
      </c>
      <c r="AV1103" s="189">
        <v>2</v>
      </c>
      <c r="AW1103" s="189" t="s">
        <v>66</v>
      </c>
      <c r="AX1103" s="52"/>
      <c r="AY1103" s="52"/>
      <c r="AZ1103" s="52"/>
      <c r="BA1103" s="52"/>
    </row>
    <row r="1104" spans="1:53" x14ac:dyDescent="0.25">
      <c r="A1104" s="48">
        <v>66</v>
      </c>
      <c r="B1104" s="120">
        <v>44900.392361111109</v>
      </c>
      <c r="C1104" s="114">
        <v>0.3923611111111111</v>
      </c>
      <c r="D1104" s="114">
        <v>0.39583333333333331</v>
      </c>
      <c r="E1104" s="114">
        <v>0.42708333333333331</v>
      </c>
      <c r="F1104" s="115" t="s">
        <v>171</v>
      </c>
      <c r="G1104" s="115" t="s">
        <v>136</v>
      </c>
      <c r="H1104" s="107" t="s">
        <v>350</v>
      </c>
      <c r="I1104" s="107" t="s">
        <v>350</v>
      </c>
      <c r="J1104" s="115" t="s">
        <v>37</v>
      </c>
      <c r="K1104" s="115" t="s">
        <v>233</v>
      </c>
      <c r="L1104" s="119" t="s">
        <v>209</v>
      </c>
      <c r="M1104" s="115" t="s">
        <v>3013</v>
      </c>
      <c r="N1104" s="115" t="s">
        <v>42</v>
      </c>
      <c r="O1104" s="37" t="s">
        <v>3016</v>
      </c>
      <c r="P1104" s="37" t="s">
        <v>3017</v>
      </c>
      <c r="Q1104" s="303">
        <f t="shared" si="101"/>
        <v>1</v>
      </c>
      <c r="R1104" s="303">
        <f t="shared" si="102"/>
        <v>130</v>
      </c>
      <c r="S1104" s="37">
        <v>0</v>
      </c>
      <c r="T1104" s="37">
        <v>0</v>
      </c>
      <c r="U1104" s="37">
        <v>1</v>
      </c>
      <c r="V1104" s="116">
        <v>130</v>
      </c>
      <c r="W1104" s="116">
        <f>8.86+106.32+26.58</f>
        <v>141.76</v>
      </c>
      <c r="X1104" s="37">
        <v>127</v>
      </c>
      <c r="Y1104" s="37">
        <v>83</v>
      </c>
      <c r="Z1104" s="37">
        <v>70</v>
      </c>
      <c r="AA1104" s="37">
        <v>1</v>
      </c>
      <c r="AB1104" s="300">
        <f t="shared" si="103"/>
        <v>122.97833333333334</v>
      </c>
      <c r="AC1104" s="300">
        <f t="shared" si="104"/>
        <v>0.74083333333333334</v>
      </c>
      <c r="AD1104" s="37">
        <f>740+6120+2590</f>
        <v>9450</v>
      </c>
      <c r="AE1104" s="115" t="s">
        <v>109</v>
      </c>
      <c r="AF1104" s="115" t="s">
        <v>317</v>
      </c>
      <c r="AG1104" s="115" t="s">
        <v>317</v>
      </c>
      <c r="AH1104" s="37" t="s">
        <v>3018</v>
      </c>
      <c r="AI1104" s="309"/>
      <c r="AJ1104" s="309"/>
      <c r="AK1104" s="115" t="s">
        <v>37</v>
      </c>
      <c r="AL1104" s="151" t="s">
        <v>39</v>
      </c>
      <c r="AM1104" s="299">
        <f t="shared" ca="1" si="100"/>
        <v>18.295138888890506</v>
      </c>
      <c r="AN1104" s="122"/>
      <c r="AO1104" s="189" t="s">
        <v>213</v>
      </c>
      <c r="AP1104" s="190" t="s">
        <v>3013</v>
      </c>
      <c r="AQ1104" s="189" t="s">
        <v>4239</v>
      </c>
      <c r="AR1104" s="192">
        <v>44918.6875</v>
      </c>
      <c r="AS1104" s="186" t="s">
        <v>173</v>
      </c>
      <c r="AT1104" s="189" t="s">
        <v>225</v>
      </c>
      <c r="AU1104" s="191">
        <v>0.6875</v>
      </c>
      <c r="AV1104" s="189">
        <v>2</v>
      </c>
      <c r="AW1104" s="189" t="s">
        <v>66</v>
      </c>
      <c r="AX1104" s="52"/>
      <c r="AY1104" s="52"/>
      <c r="AZ1104" s="52"/>
      <c r="BA1104" s="52"/>
    </row>
    <row r="1105" spans="1:53" x14ac:dyDescent="0.25">
      <c r="A1105" s="48">
        <v>67</v>
      </c>
      <c r="B1105" s="120">
        <v>44900.392361111109</v>
      </c>
      <c r="C1105" s="36">
        <v>0.40625</v>
      </c>
      <c r="D1105" s="36">
        <v>0.40972222222222227</v>
      </c>
      <c r="E1105" s="36">
        <v>0.44444444444444442</v>
      </c>
      <c r="F1105" s="37" t="s">
        <v>170</v>
      </c>
      <c r="G1105" s="37" t="s">
        <v>3019</v>
      </c>
      <c r="H1105" s="26" t="s">
        <v>46</v>
      </c>
      <c r="I1105" s="26" t="s">
        <v>124</v>
      </c>
      <c r="J1105" s="113" t="s">
        <v>41</v>
      </c>
      <c r="K1105" s="113" t="s">
        <v>63</v>
      </c>
      <c r="L1105" s="113" t="s">
        <v>214</v>
      </c>
      <c r="M1105" s="37" t="s">
        <v>3012</v>
      </c>
      <c r="N1105" s="115" t="s">
        <v>42</v>
      </c>
      <c r="O1105" s="37" t="s">
        <v>3011</v>
      </c>
      <c r="P1105" s="37" t="s">
        <v>3020</v>
      </c>
      <c r="Q1105" s="303">
        <f t="shared" si="101"/>
        <v>3</v>
      </c>
      <c r="R1105" s="303">
        <f t="shared" si="102"/>
        <v>290</v>
      </c>
      <c r="S1105" s="37">
        <v>0</v>
      </c>
      <c r="T1105" s="37">
        <v>0</v>
      </c>
      <c r="U1105" s="37">
        <v>3</v>
      </c>
      <c r="V1105" s="37">
        <f>86+155+49</f>
        <v>290</v>
      </c>
      <c r="W1105" s="37">
        <v>293.3</v>
      </c>
      <c r="X1105" s="37">
        <v>69</v>
      </c>
      <c r="Y1105" s="37">
        <v>38</v>
      </c>
      <c r="Z1105" s="37">
        <v>48</v>
      </c>
      <c r="AA1105" s="37">
        <v>2</v>
      </c>
      <c r="AB1105" s="300">
        <f t="shared" si="103"/>
        <v>41.951999999999998</v>
      </c>
      <c r="AC1105" s="300">
        <f t="shared" si="104"/>
        <v>0.25272289156626504</v>
      </c>
      <c r="AD1105" s="37">
        <v>243447</v>
      </c>
      <c r="AE1105" s="37" t="s">
        <v>3021</v>
      </c>
      <c r="AF1105" s="115" t="s">
        <v>317</v>
      </c>
      <c r="AG1105" s="115" t="s">
        <v>317</v>
      </c>
      <c r="AH1105" s="37" t="s">
        <v>3022</v>
      </c>
      <c r="AI1105" s="309"/>
      <c r="AJ1105" s="309"/>
      <c r="AK1105" s="37" t="s">
        <v>41</v>
      </c>
      <c r="AL1105" s="37" t="s">
        <v>54</v>
      </c>
      <c r="AM1105" s="299">
        <f t="shared" ca="1" si="100"/>
        <v>1.0625</v>
      </c>
      <c r="AN1105" s="51"/>
      <c r="AO1105" s="104" t="s">
        <v>120</v>
      </c>
      <c r="AP1105" s="106" t="s">
        <v>3012</v>
      </c>
      <c r="AQ1105" s="104" t="s">
        <v>3073</v>
      </c>
      <c r="AR1105" s="111">
        <v>44901.454861111109</v>
      </c>
      <c r="AS1105" s="104" t="s">
        <v>117</v>
      </c>
      <c r="AT1105" s="109" t="s">
        <v>225</v>
      </c>
      <c r="AU1105" s="110">
        <v>0.4548611111111111</v>
      </c>
      <c r="AV1105" s="104">
        <v>1</v>
      </c>
      <c r="AW1105" s="109" t="s">
        <v>66</v>
      </c>
      <c r="AX1105" s="52"/>
      <c r="AY1105" s="52"/>
      <c r="AZ1105" s="52"/>
      <c r="BA1105" s="52"/>
    </row>
    <row r="1106" spans="1:53" x14ac:dyDescent="0.25">
      <c r="A1106" s="121">
        <v>67</v>
      </c>
      <c r="B1106" s="120">
        <v>44900.392361111109</v>
      </c>
      <c r="C1106" s="114">
        <v>0.40625</v>
      </c>
      <c r="D1106" s="114">
        <v>0.40972222222222227</v>
      </c>
      <c r="E1106" s="114">
        <v>0.44444444444444442</v>
      </c>
      <c r="F1106" s="115" t="s">
        <v>170</v>
      </c>
      <c r="G1106" s="115" t="s">
        <v>3019</v>
      </c>
      <c r="H1106" s="107" t="s">
        <v>46</v>
      </c>
      <c r="I1106" s="107" t="s">
        <v>124</v>
      </c>
      <c r="J1106" s="113" t="s">
        <v>41</v>
      </c>
      <c r="K1106" s="113" t="s">
        <v>63</v>
      </c>
      <c r="L1106" s="113" t="s">
        <v>214</v>
      </c>
      <c r="M1106" s="115" t="s">
        <v>3012</v>
      </c>
      <c r="N1106" s="115" t="s">
        <v>42</v>
      </c>
      <c r="O1106" s="115" t="s">
        <v>3011</v>
      </c>
      <c r="P1106" s="115" t="s">
        <v>3020</v>
      </c>
      <c r="Q1106" s="303">
        <f t="shared" si="101"/>
        <v>0</v>
      </c>
      <c r="R1106" s="303">
        <f t="shared" si="102"/>
        <v>0</v>
      </c>
      <c r="S1106" s="37">
        <v>0</v>
      </c>
      <c r="T1106" s="37">
        <v>0</v>
      </c>
      <c r="U1106" s="37">
        <v>0</v>
      </c>
      <c r="V1106" s="37">
        <v>0</v>
      </c>
      <c r="W1106" s="37">
        <v>0</v>
      </c>
      <c r="X1106" s="37">
        <v>59</v>
      </c>
      <c r="Y1106" s="37">
        <v>59</v>
      </c>
      <c r="Z1106" s="37">
        <v>57</v>
      </c>
      <c r="AA1106" s="37">
        <v>1</v>
      </c>
      <c r="AB1106" s="300">
        <f t="shared" si="103"/>
        <v>33.069499999999998</v>
      </c>
      <c r="AC1106" s="300">
        <f t="shared" si="104"/>
        <v>0.19921385542168674</v>
      </c>
      <c r="AD1106" s="37">
        <v>0</v>
      </c>
      <c r="AE1106" s="37">
        <v>0</v>
      </c>
      <c r="AF1106" s="115" t="s">
        <v>317</v>
      </c>
      <c r="AG1106" s="115" t="s">
        <v>317</v>
      </c>
      <c r="AH1106" s="37">
        <v>0</v>
      </c>
      <c r="AI1106" s="309"/>
      <c r="AJ1106" s="309"/>
      <c r="AK1106" s="37">
        <v>0</v>
      </c>
      <c r="AL1106" s="115" t="s">
        <v>54</v>
      </c>
      <c r="AM1106" s="299">
        <f t="shared" ca="1" si="100"/>
        <v>1.0625</v>
      </c>
      <c r="AN1106" s="51"/>
      <c r="AO1106" s="104" t="s">
        <v>120</v>
      </c>
      <c r="AP1106" s="106" t="s">
        <v>3012</v>
      </c>
      <c r="AQ1106" s="104" t="s">
        <v>3073</v>
      </c>
      <c r="AR1106" s="111">
        <v>44901.454861111109</v>
      </c>
      <c r="AS1106" s="104" t="s">
        <v>117</v>
      </c>
      <c r="AT1106" s="109" t="s">
        <v>225</v>
      </c>
      <c r="AU1106" s="110">
        <v>0.4548611111111111</v>
      </c>
      <c r="AV1106" s="104">
        <v>1</v>
      </c>
      <c r="AW1106" s="109" t="s">
        <v>66</v>
      </c>
      <c r="AX1106" s="52"/>
      <c r="AY1106" s="52"/>
      <c r="AZ1106" s="52"/>
      <c r="BA1106" s="52"/>
    </row>
    <row r="1107" spans="1:53" x14ac:dyDescent="0.25">
      <c r="A1107" s="48">
        <v>68</v>
      </c>
      <c r="B1107" s="120">
        <v>44900.392361111109</v>
      </c>
      <c r="C1107" s="114">
        <v>0.40625</v>
      </c>
      <c r="D1107" s="114">
        <v>0.40972222222222227</v>
      </c>
      <c r="E1107" s="114">
        <v>0.44444444444444442</v>
      </c>
      <c r="F1107" s="115" t="s">
        <v>170</v>
      </c>
      <c r="G1107" s="115" t="s">
        <v>3019</v>
      </c>
      <c r="H1107" s="26" t="s">
        <v>57</v>
      </c>
      <c r="I1107" s="107" t="s">
        <v>124</v>
      </c>
      <c r="J1107" s="113" t="s">
        <v>37</v>
      </c>
      <c r="K1107" s="113" t="s">
        <v>63</v>
      </c>
      <c r="L1107" s="113" t="s">
        <v>209</v>
      </c>
      <c r="M1107" s="37" t="s">
        <v>3010</v>
      </c>
      <c r="N1107" s="37" t="s">
        <v>158</v>
      </c>
      <c r="O1107" s="37" t="s">
        <v>3009</v>
      </c>
      <c r="P1107" s="37">
        <v>81975119</v>
      </c>
      <c r="Q1107" s="303">
        <f t="shared" si="101"/>
        <v>3</v>
      </c>
      <c r="R1107" s="303">
        <f t="shared" si="102"/>
        <v>648</v>
      </c>
      <c r="S1107" s="37">
        <v>0</v>
      </c>
      <c r="T1107" s="37">
        <v>0</v>
      </c>
      <c r="U1107" s="37">
        <v>3</v>
      </c>
      <c r="V1107" s="37">
        <f>283-68+278-62+284-67</f>
        <v>648</v>
      </c>
      <c r="W1107" s="37">
        <v>645</v>
      </c>
      <c r="X1107" s="37">
        <v>198</v>
      </c>
      <c r="Y1107" s="37">
        <v>84</v>
      </c>
      <c r="Z1107" s="37">
        <v>93</v>
      </c>
      <c r="AA1107" s="37">
        <v>3</v>
      </c>
      <c r="AB1107" s="300">
        <f t="shared" si="103"/>
        <v>773.38800000000003</v>
      </c>
      <c r="AC1107" s="300">
        <f t="shared" si="104"/>
        <v>4.6589638554216872</v>
      </c>
      <c r="AD1107" s="37">
        <v>11733</v>
      </c>
      <c r="AE1107" s="37" t="s">
        <v>109</v>
      </c>
      <c r="AF1107" s="115" t="s">
        <v>317</v>
      </c>
      <c r="AG1107" s="115" t="s">
        <v>317</v>
      </c>
      <c r="AH1107" s="37" t="s">
        <v>3023</v>
      </c>
      <c r="AI1107" s="309"/>
      <c r="AJ1107" s="309"/>
      <c r="AK1107" s="37" t="s">
        <v>37</v>
      </c>
      <c r="AL1107" s="115" t="s">
        <v>54</v>
      </c>
      <c r="AM1107" s="299">
        <f t="shared" ca="1" si="100"/>
        <v>1.0625</v>
      </c>
      <c r="AN1107" s="51"/>
      <c r="AO1107" s="104" t="s">
        <v>159</v>
      </c>
      <c r="AP1107" s="106" t="s">
        <v>3010</v>
      </c>
      <c r="AQ1107" s="104" t="s">
        <v>3074</v>
      </c>
      <c r="AR1107" s="111">
        <v>44901.454861111109</v>
      </c>
      <c r="AS1107" s="104" t="s">
        <v>117</v>
      </c>
      <c r="AT1107" s="109" t="s">
        <v>225</v>
      </c>
      <c r="AU1107" s="110">
        <v>0.4548611111111111</v>
      </c>
      <c r="AV1107" s="104">
        <v>1</v>
      </c>
      <c r="AW1107" s="109" t="s">
        <v>66</v>
      </c>
      <c r="AX1107" s="52"/>
      <c r="AY1107" s="52"/>
      <c r="AZ1107" s="52"/>
      <c r="BA1107" s="52"/>
    </row>
    <row r="1108" spans="1:53" x14ac:dyDescent="0.25">
      <c r="A1108" s="48">
        <v>69</v>
      </c>
      <c r="B1108" s="120">
        <v>44900.586805555555</v>
      </c>
      <c r="C1108" s="36">
        <v>0.58680555555555558</v>
      </c>
      <c r="D1108" s="36">
        <v>0.59375</v>
      </c>
      <c r="E1108" s="36">
        <v>0.64930555555555558</v>
      </c>
      <c r="F1108" s="115" t="s">
        <v>170</v>
      </c>
      <c r="G1108" s="37" t="s">
        <v>1599</v>
      </c>
      <c r="H1108" s="26" t="s">
        <v>227</v>
      </c>
      <c r="I1108" s="26" t="s">
        <v>189</v>
      </c>
      <c r="J1108" s="113" t="s">
        <v>37</v>
      </c>
      <c r="K1108" s="113" t="s">
        <v>63</v>
      </c>
      <c r="L1108" s="118" t="s">
        <v>206</v>
      </c>
      <c r="M1108" s="37" t="s">
        <v>3027</v>
      </c>
      <c r="N1108" s="37" t="s">
        <v>42</v>
      </c>
      <c r="O1108" s="37" t="s">
        <v>3024</v>
      </c>
      <c r="P1108" s="37" t="s">
        <v>3025</v>
      </c>
      <c r="Q1108" s="303">
        <f t="shared" si="101"/>
        <v>7</v>
      </c>
      <c r="R1108" s="303">
        <f t="shared" si="102"/>
        <v>1421</v>
      </c>
      <c r="S1108" s="37">
        <v>0</v>
      </c>
      <c r="T1108" s="37">
        <v>0</v>
      </c>
      <c r="U1108" s="37">
        <v>7</v>
      </c>
      <c r="V1108" s="37">
        <f>204+208+205+207+395+202</f>
        <v>1421</v>
      </c>
      <c r="W1108" s="37">
        <v>1384.1</v>
      </c>
      <c r="X1108" s="37">
        <v>160</v>
      </c>
      <c r="Y1108" s="37">
        <v>38</v>
      </c>
      <c r="Z1108" s="37">
        <v>79</v>
      </c>
      <c r="AA1108" s="37">
        <v>3</v>
      </c>
      <c r="AB1108" s="300">
        <f t="shared" si="103"/>
        <v>240.16</v>
      </c>
      <c r="AC1108" s="300">
        <f t="shared" si="104"/>
        <v>1.4467469879518071</v>
      </c>
      <c r="AD1108" s="37">
        <v>652855.06000000006</v>
      </c>
      <c r="AE1108" s="115" t="s">
        <v>109</v>
      </c>
      <c r="AF1108" s="115" t="s">
        <v>317</v>
      </c>
      <c r="AG1108" s="115" t="s">
        <v>317</v>
      </c>
      <c r="AH1108" s="37" t="s">
        <v>3026</v>
      </c>
      <c r="AI1108" s="309"/>
      <c r="AJ1108" s="309"/>
      <c r="AK1108" s="115" t="s">
        <v>37</v>
      </c>
      <c r="AL1108" s="37" t="s">
        <v>58</v>
      </c>
      <c r="AM1108" s="299">
        <f t="shared" ca="1" si="100"/>
        <v>0.17013888889050577</v>
      </c>
      <c r="AN1108" s="51"/>
      <c r="AO1108" s="104" t="s">
        <v>89</v>
      </c>
      <c r="AP1108" s="106" t="s">
        <v>3027</v>
      </c>
      <c r="AQ1108" s="104" t="s">
        <v>3068</v>
      </c>
      <c r="AR1108" s="64">
        <v>44900.756944444445</v>
      </c>
      <c r="AS1108" s="109" t="s">
        <v>3069</v>
      </c>
      <c r="AT1108" s="109" t="s">
        <v>65</v>
      </c>
      <c r="AU1108" s="110">
        <v>0.75694444444444453</v>
      </c>
      <c r="AV1108" s="104">
        <v>6</v>
      </c>
      <c r="AW1108" s="109" t="s">
        <v>66</v>
      </c>
      <c r="AX1108" s="52"/>
      <c r="AY1108" s="52"/>
      <c r="AZ1108" s="52"/>
      <c r="BA1108" s="52"/>
    </row>
    <row r="1109" spans="1:53" x14ac:dyDescent="0.25">
      <c r="A1109" s="121">
        <v>69</v>
      </c>
      <c r="B1109" s="120">
        <v>44900.586805555555</v>
      </c>
      <c r="C1109" s="114">
        <v>0.58680555555555558</v>
      </c>
      <c r="D1109" s="114">
        <v>0.59375</v>
      </c>
      <c r="E1109" s="114">
        <v>0.64930555555555558</v>
      </c>
      <c r="F1109" s="115" t="s">
        <v>170</v>
      </c>
      <c r="G1109" s="115" t="s">
        <v>1599</v>
      </c>
      <c r="H1109" s="107" t="s">
        <v>227</v>
      </c>
      <c r="I1109" s="107" t="s">
        <v>189</v>
      </c>
      <c r="J1109" s="113" t="s">
        <v>37</v>
      </c>
      <c r="K1109" s="113" t="s">
        <v>63</v>
      </c>
      <c r="L1109" s="118" t="s">
        <v>206</v>
      </c>
      <c r="M1109" s="115" t="s">
        <v>3027</v>
      </c>
      <c r="N1109" s="115" t="s">
        <v>42</v>
      </c>
      <c r="O1109" s="115" t="s">
        <v>3024</v>
      </c>
      <c r="P1109" s="115" t="s">
        <v>3025</v>
      </c>
      <c r="Q1109" s="303">
        <f t="shared" si="101"/>
        <v>0</v>
      </c>
      <c r="R1109" s="303">
        <f t="shared" si="102"/>
        <v>0</v>
      </c>
      <c r="S1109" s="37">
        <v>0</v>
      </c>
      <c r="T1109" s="37">
        <v>0</v>
      </c>
      <c r="U1109" s="37">
        <v>0</v>
      </c>
      <c r="V1109" s="37">
        <v>0</v>
      </c>
      <c r="W1109" s="37">
        <v>0</v>
      </c>
      <c r="X1109" s="37">
        <v>170</v>
      </c>
      <c r="Y1109" s="37">
        <v>97</v>
      </c>
      <c r="Z1109" s="37">
        <v>95</v>
      </c>
      <c r="AA1109" s="37">
        <v>4</v>
      </c>
      <c r="AB1109" s="300">
        <f t="shared" si="103"/>
        <v>1044.3666666666666</v>
      </c>
      <c r="AC1109" s="300">
        <f t="shared" si="104"/>
        <v>6.2913654618473887</v>
      </c>
      <c r="AD1109" s="37">
        <v>0</v>
      </c>
      <c r="AE1109" s="115" t="s">
        <v>109</v>
      </c>
      <c r="AF1109" s="115" t="s">
        <v>317</v>
      </c>
      <c r="AG1109" s="115" t="s">
        <v>317</v>
      </c>
      <c r="AH1109" s="37">
        <v>0</v>
      </c>
      <c r="AI1109" s="309"/>
      <c r="AJ1109" s="309"/>
      <c r="AK1109" s="115" t="s">
        <v>37</v>
      </c>
      <c r="AL1109" s="115" t="s">
        <v>58</v>
      </c>
      <c r="AM1109" s="299">
        <f t="shared" ca="1" si="100"/>
        <v>0.17013888889050577</v>
      </c>
      <c r="AN1109" s="51"/>
      <c r="AO1109" s="104" t="s">
        <v>89</v>
      </c>
      <c r="AP1109" s="106" t="s">
        <v>3027</v>
      </c>
      <c r="AQ1109" s="104" t="s">
        <v>3068</v>
      </c>
      <c r="AR1109" s="64">
        <v>44900.756944444445</v>
      </c>
      <c r="AS1109" s="109" t="s">
        <v>3069</v>
      </c>
      <c r="AT1109" s="109" t="s">
        <v>65</v>
      </c>
      <c r="AU1109" s="110">
        <v>0.75694444444444453</v>
      </c>
      <c r="AV1109" s="104">
        <v>6</v>
      </c>
      <c r="AW1109" s="109" t="s">
        <v>66</v>
      </c>
      <c r="AX1109" s="52"/>
      <c r="AY1109" s="52"/>
      <c r="AZ1109" s="52"/>
      <c r="BA1109" s="52"/>
    </row>
    <row r="1110" spans="1:53" x14ac:dyDescent="0.25">
      <c r="A1110" s="48">
        <v>70</v>
      </c>
      <c r="B1110" s="120">
        <v>44900.586805555555</v>
      </c>
      <c r="C1110" s="114">
        <v>0.58680555555555558</v>
      </c>
      <c r="D1110" s="114">
        <v>0.59375</v>
      </c>
      <c r="E1110" s="114">
        <v>0.64930555555555558</v>
      </c>
      <c r="F1110" s="115" t="s">
        <v>170</v>
      </c>
      <c r="G1110" s="115" t="s">
        <v>1599</v>
      </c>
      <c r="H1110" s="107" t="s">
        <v>227</v>
      </c>
      <c r="I1110" s="107" t="s">
        <v>189</v>
      </c>
      <c r="J1110" s="113" t="s">
        <v>37</v>
      </c>
      <c r="K1110" s="113" t="s">
        <v>63</v>
      </c>
      <c r="L1110" s="118" t="s">
        <v>206</v>
      </c>
      <c r="M1110" s="37" t="s">
        <v>3027</v>
      </c>
      <c r="N1110" s="115" t="s">
        <v>42</v>
      </c>
      <c r="O1110" s="37" t="s">
        <v>3028</v>
      </c>
      <c r="P1110" s="37" t="s">
        <v>3029</v>
      </c>
      <c r="Q1110" s="303">
        <f t="shared" si="101"/>
        <v>1</v>
      </c>
      <c r="R1110" s="303">
        <f t="shared" si="102"/>
        <v>258</v>
      </c>
      <c r="S1110" s="37">
        <v>0</v>
      </c>
      <c r="T1110" s="37">
        <v>0</v>
      </c>
      <c r="U1110" s="37">
        <v>1</v>
      </c>
      <c r="V1110" s="37">
        <v>258</v>
      </c>
      <c r="W1110" s="37">
        <v>307</v>
      </c>
      <c r="X1110" s="37">
        <v>160</v>
      </c>
      <c r="Y1110" s="37">
        <v>74</v>
      </c>
      <c r="Z1110" s="37">
        <v>79</v>
      </c>
      <c r="AA1110" s="37">
        <v>1</v>
      </c>
      <c r="AB1110" s="300">
        <f t="shared" si="103"/>
        <v>155.89333333333335</v>
      </c>
      <c r="AC1110" s="300">
        <f t="shared" si="104"/>
        <v>0.93911646586345388</v>
      </c>
      <c r="AD1110" s="37">
        <v>8827.3557999999994</v>
      </c>
      <c r="AE1110" s="115" t="s">
        <v>109</v>
      </c>
      <c r="AF1110" s="115" t="s">
        <v>317</v>
      </c>
      <c r="AG1110" s="115" t="s">
        <v>317</v>
      </c>
      <c r="AH1110" s="37" t="s">
        <v>3030</v>
      </c>
      <c r="AI1110" s="309"/>
      <c r="AJ1110" s="309"/>
      <c r="AK1110" s="115" t="s">
        <v>37</v>
      </c>
      <c r="AL1110" s="115" t="s">
        <v>58</v>
      </c>
      <c r="AM1110" s="299">
        <f t="shared" ca="1" si="100"/>
        <v>0.17013888889050577</v>
      </c>
      <c r="AN1110" s="122"/>
      <c r="AO1110" s="104" t="s">
        <v>89</v>
      </c>
      <c r="AP1110" s="106" t="s">
        <v>3027</v>
      </c>
      <c r="AQ1110" s="104" t="s">
        <v>3068</v>
      </c>
      <c r="AR1110" s="64">
        <v>44900.756944444445</v>
      </c>
      <c r="AS1110" s="109" t="s">
        <v>3069</v>
      </c>
      <c r="AT1110" s="109" t="s">
        <v>65</v>
      </c>
      <c r="AU1110" s="110">
        <v>0.75694444444444453</v>
      </c>
      <c r="AV1110" s="104">
        <v>6</v>
      </c>
      <c r="AW1110" s="109" t="s">
        <v>66</v>
      </c>
      <c r="AX1110" s="52"/>
      <c r="AY1110" s="52"/>
      <c r="AZ1110" s="52"/>
      <c r="BA1110" s="52"/>
    </row>
    <row r="1111" spans="1:53" x14ac:dyDescent="0.25">
      <c r="A1111" s="48">
        <v>71</v>
      </c>
      <c r="B1111" s="120">
        <v>44900.586805555555</v>
      </c>
      <c r="C1111" s="114">
        <v>0.58680555555555558</v>
      </c>
      <c r="D1111" s="114">
        <v>0.59375</v>
      </c>
      <c r="E1111" s="114">
        <v>0.64930555555555558</v>
      </c>
      <c r="F1111" s="115" t="s">
        <v>170</v>
      </c>
      <c r="G1111" s="115" t="s">
        <v>1599</v>
      </c>
      <c r="H1111" s="107" t="s">
        <v>227</v>
      </c>
      <c r="I1111" s="107" t="s">
        <v>189</v>
      </c>
      <c r="J1111" s="113" t="s">
        <v>37</v>
      </c>
      <c r="K1111" s="113" t="s">
        <v>63</v>
      </c>
      <c r="L1111" s="118" t="s">
        <v>206</v>
      </c>
      <c r="M1111" s="37" t="s">
        <v>3027</v>
      </c>
      <c r="N1111" s="115" t="s">
        <v>42</v>
      </c>
      <c r="O1111" s="37" t="s">
        <v>3031</v>
      </c>
      <c r="P1111" s="37">
        <v>3719</v>
      </c>
      <c r="Q1111" s="303">
        <f t="shared" si="101"/>
        <v>9</v>
      </c>
      <c r="R1111" s="303">
        <f t="shared" si="102"/>
        <v>168</v>
      </c>
      <c r="S1111" s="37">
        <v>9</v>
      </c>
      <c r="T1111" s="37">
        <f>188-20</f>
        <v>168</v>
      </c>
      <c r="U1111" s="37">
        <v>0</v>
      </c>
      <c r="V1111" s="37">
        <v>0</v>
      </c>
      <c r="W1111" s="37">
        <v>162</v>
      </c>
      <c r="X1111" s="37">
        <v>83</v>
      </c>
      <c r="Y1111" s="37">
        <v>53</v>
      </c>
      <c r="Z1111" s="37">
        <v>62</v>
      </c>
      <c r="AA1111" s="37">
        <v>9</v>
      </c>
      <c r="AB1111" s="300">
        <f t="shared" si="103"/>
        <v>409.10700000000003</v>
      </c>
      <c r="AC1111" s="300">
        <f t="shared" si="104"/>
        <v>2.4645000000000001</v>
      </c>
      <c r="AD1111" s="37">
        <v>6308.28</v>
      </c>
      <c r="AE1111" s="115" t="s">
        <v>109</v>
      </c>
      <c r="AF1111" s="115" t="s">
        <v>317</v>
      </c>
      <c r="AG1111" s="115" t="s">
        <v>317</v>
      </c>
      <c r="AH1111" s="37" t="s">
        <v>3032</v>
      </c>
      <c r="AI1111" s="309"/>
      <c r="AJ1111" s="309"/>
      <c r="AK1111" s="115" t="s">
        <v>37</v>
      </c>
      <c r="AL1111" s="115" t="s">
        <v>58</v>
      </c>
      <c r="AM1111" s="299">
        <f t="shared" ca="1" si="100"/>
        <v>0.17013888889050577</v>
      </c>
      <c r="AN1111" s="122"/>
      <c r="AO1111" s="104" t="s">
        <v>89</v>
      </c>
      <c r="AP1111" s="106" t="s">
        <v>3027</v>
      </c>
      <c r="AQ1111" s="104" t="s">
        <v>3068</v>
      </c>
      <c r="AR1111" s="64">
        <v>44900.756944444445</v>
      </c>
      <c r="AS1111" s="109" t="s">
        <v>3069</v>
      </c>
      <c r="AT1111" s="109" t="s">
        <v>65</v>
      </c>
      <c r="AU1111" s="110">
        <v>0.75694444444444453</v>
      </c>
      <c r="AV1111" s="104">
        <v>6</v>
      </c>
      <c r="AW1111" s="109" t="s">
        <v>66</v>
      </c>
      <c r="AX1111" s="52"/>
      <c r="AY1111" s="52"/>
      <c r="AZ1111" s="52"/>
      <c r="BA1111" s="52"/>
    </row>
    <row r="1112" spans="1:53" x14ac:dyDescent="0.25">
      <c r="A1112" s="48">
        <v>72</v>
      </c>
      <c r="B1112" s="120">
        <v>44900.586805555555</v>
      </c>
      <c r="C1112" s="114">
        <v>0.58680555555555558</v>
      </c>
      <c r="D1112" s="114">
        <v>0.59375</v>
      </c>
      <c r="E1112" s="114">
        <v>0.64930555555555558</v>
      </c>
      <c r="F1112" s="115" t="s">
        <v>170</v>
      </c>
      <c r="G1112" s="115" t="s">
        <v>1599</v>
      </c>
      <c r="H1112" s="107" t="s">
        <v>227</v>
      </c>
      <c r="I1112" s="107" t="s">
        <v>189</v>
      </c>
      <c r="J1112" s="113" t="s">
        <v>37</v>
      </c>
      <c r="K1112" s="113" t="s">
        <v>63</v>
      </c>
      <c r="L1112" s="118" t="s">
        <v>206</v>
      </c>
      <c r="M1112" s="115" t="s">
        <v>3033</v>
      </c>
      <c r="N1112" s="37" t="s">
        <v>43</v>
      </c>
      <c r="O1112" s="37" t="s">
        <v>3034</v>
      </c>
      <c r="P1112" s="37">
        <v>28957</v>
      </c>
      <c r="Q1112" s="303">
        <f t="shared" si="101"/>
        <v>1</v>
      </c>
      <c r="R1112" s="303">
        <f t="shared" si="102"/>
        <v>346</v>
      </c>
      <c r="S1112" s="115">
        <v>0</v>
      </c>
      <c r="T1112" s="37">
        <v>0</v>
      </c>
      <c r="U1112" s="37">
        <v>1</v>
      </c>
      <c r="V1112" s="37">
        <v>346</v>
      </c>
      <c r="W1112" s="37">
        <v>355</v>
      </c>
      <c r="X1112" s="37">
        <v>160</v>
      </c>
      <c r="Y1112" s="37">
        <v>74</v>
      </c>
      <c r="Z1112" s="37">
        <v>79</v>
      </c>
      <c r="AA1112" s="37">
        <v>1</v>
      </c>
      <c r="AB1112" s="300">
        <f t="shared" si="103"/>
        <v>155.89333333333335</v>
      </c>
      <c r="AC1112" s="300">
        <f t="shared" si="104"/>
        <v>0.93911646586345388</v>
      </c>
      <c r="AD1112" s="37">
        <f>7363.554+9451.682</f>
        <v>16815.236000000001</v>
      </c>
      <c r="AE1112" s="115" t="s">
        <v>109</v>
      </c>
      <c r="AF1112" s="115" t="s">
        <v>317</v>
      </c>
      <c r="AG1112" s="115" t="s">
        <v>317</v>
      </c>
      <c r="AH1112" s="37" t="s">
        <v>3035</v>
      </c>
      <c r="AI1112" s="309"/>
      <c r="AJ1112" s="309"/>
      <c r="AK1112" s="115" t="s">
        <v>37</v>
      </c>
      <c r="AL1112" s="115" t="s">
        <v>58</v>
      </c>
      <c r="AM1112" s="299">
        <f t="shared" ca="1" si="100"/>
        <v>0.19444444444525288</v>
      </c>
      <c r="AN1112" s="51"/>
      <c r="AO1112" s="104" t="s">
        <v>179</v>
      </c>
      <c r="AP1112" s="106" t="s">
        <v>3033</v>
      </c>
      <c r="AQ1112" s="104" t="s">
        <v>3071</v>
      </c>
      <c r="AR1112" s="64">
        <v>44900.78125</v>
      </c>
      <c r="AS1112" s="104" t="s">
        <v>173</v>
      </c>
      <c r="AT1112" s="109" t="s">
        <v>225</v>
      </c>
      <c r="AU1112" s="110">
        <v>0.78125</v>
      </c>
      <c r="AV1112" s="104">
        <v>6</v>
      </c>
      <c r="AW1112" s="109" t="s">
        <v>66</v>
      </c>
      <c r="AX1112" s="52"/>
      <c r="AY1112" s="52"/>
      <c r="AZ1112" s="52"/>
      <c r="BA1112" s="52"/>
    </row>
    <row r="1113" spans="1:53" x14ac:dyDescent="0.25">
      <c r="A1113" s="48">
        <v>73</v>
      </c>
      <c r="B1113" s="120">
        <v>44900.586805555555</v>
      </c>
      <c r="C1113" s="36">
        <v>0.60069444444444442</v>
      </c>
      <c r="D1113" s="36">
        <v>0.60416666666666663</v>
      </c>
      <c r="E1113" s="36">
        <v>0.65625</v>
      </c>
      <c r="F1113" s="37" t="s">
        <v>170</v>
      </c>
      <c r="G1113" s="37" t="s">
        <v>3036</v>
      </c>
      <c r="H1113" s="107" t="s">
        <v>227</v>
      </c>
      <c r="I1113" s="107" t="s">
        <v>189</v>
      </c>
      <c r="J1113" s="113" t="s">
        <v>37</v>
      </c>
      <c r="K1113" s="113" t="s">
        <v>63</v>
      </c>
      <c r="L1113" s="118" t="s">
        <v>206</v>
      </c>
      <c r="M1113" s="37" t="s">
        <v>3033</v>
      </c>
      <c r="N1113" s="37" t="s">
        <v>43</v>
      </c>
      <c r="O1113" s="37" t="s">
        <v>3037</v>
      </c>
      <c r="P1113" s="37">
        <v>29852</v>
      </c>
      <c r="Q1113" s="303">
        <f t="shared" si="101"/>
        <v>5</v>
      </c>
      <c r="R1113" s="303">
        <f t="shared" si="102"/>
        <v>1000</v>
      </c>
      <c r="S1113" s="37">
        <v>0</v>
      </c>
      <c r="T1113" s="37">
        <v>0</v>
      </c>
      <c r="U1113" s="37">
        <v>5</v>
      </c>
      <c r="V1113" s="37">
        <f>399+401+200</f>
        <v>1000</v>
      </c>
      <c r="W1113" s="37">
        <v>910.55</v>
      </c>
      <c r="X1113" s="37">
        <v>160</v>
      </c>
      <c r="Y1113" s="37">
        <v>138</v>
      </c>
      <c r="Z1113" s="37">
        <v>79</v>
      </c>
      <c r="AA1113" s="37">
        <v>5</v>
      </c>
      <c r="AB1113" s="300">
        <f t="shared" si="103"/>
        <v>1453.6</v>
      </c>
      <c r="AC1113" s="300">
        <f t="shared" si="104"/>
        <v>8.7566265060240962</v>
      </c>
      <c r="AD1113" s="37">
        <v>15606.68</v>
      </c>
      <c r="AE1113" s="115" t="s">
        <v>109</v>
      </c>
      <c r="AF1113" s="115" t="s">
        <v>317</v>
      </c>
      <c r="AG1113" s="115" t="s">
        <v>317</v>
      </c>
      <c r="AH1113" s="37" t="s">
        <v>3038</v>
      </c>
      <c r="AI1113" s="309"/>
      <c r="AJ1113" s="309"/>
      <c r="AK1113" s="115" t="s">
        <v>37</v>
      </c>
      <c r="AL1113" s="115" t="s">
        <v>58</v>
      </c>
      <c r="AM1113" s="299">
        <f t="shared" ca="1" si="100"/>
        <v>0.19444444444525288</v>
      </c>
      <c r="AN1113" s="51"/>
      <c r="AO1113" s="104" t="s">
        <v>179</v>
      </c>
      <c r="AP1113" s="106" t="s">
        <v>3033</v>
      </c>
      <c r="AQ1113" s="104" t="s">
        <v>3071</v>
      </c>
      <c r="AR1113" s="64">
        <v>44900.78125</v>
      </c>
      <c r="AS1113" s="104" t="s">
        <v>173</v>
      </c>
      <c r="AT1113" s="109" t="s">
        <v>225</v>
      </c>
      <c r="AU1113" s="110">
        <v>0.78125</v>
      </c>
      <c r="AV1113" s="104">
        <v>6</v>
      </c>
      <c r="AW1113" s="109" t="s">
        <v>66</v>
      </c>
      <c r="AX1113" s="52"/>
      <c r="AY1113" s="52"/>
      <c r="AZ1113" s="52"/>
      <c r="BA1113" s="52"/>
    </row>
    <row r="1114" spans="1:53" x14ac:dyDescent="0.25">
      <c r="A1114" s="48">
        <v>74</v>
      </c>
      <c r="B1114" s="120">
        <v>44900.597222222219</v>
      </c>
      <c r="C1114" s="36">
        <v>0.60416666666666663</v>
      </c>
      <c r="D1114" s="36">
        <v>0.60763888888888895</v>
      </c>
      <c r="E1114" s="36">
        <v>0.65972222222222221</v>
      </c>
      <c r="F1114" s="37" t="s">
        <v>171</v>
      </c>
      <c r="G1114" s="37" t="s">
        <v>165</v>
      </c>
      <c r="H1114" s="26" t="s">
        <v>234</v>
      </c>
      <c r="I1114" s="107" t="s">
        <v>234</v>
      </c>
      <c r="J1114" s="113" t="s">
        <v>37</v>
      </c>
      <c r="K1114" s="113" t="s">
        <v>180</v>
      </c>
      <c r="L1114" s="118" t="s">
        <v>206</v>
      </c>
      <c r="M1114" s="37" t="s">
        <v>3039</v>
      </c>
      <c r="N1114" s="37" t="s">
        <v>42</v>
      </c>
      <c r="O1114" s="37" t="s">
        <v>3040</v>
      </c>
      <c r="P1114" s="37">
        <v>1035540</v>
      </c>
      <c r="Q1114" s="303">
        <f t="shared" si="101"/>
        <v>1</v>
      </c>
      <c r="R1114" s="303">
        <f t="shared" si="102"/>
        <v>258</v>
      </c>
      <c r="S1114" s="37">
        <v>0</v>
      </c>
      <c r="T1114" s="37">
        <v>0</v>
      </c>
      <c r="U1114" s="37">
        <v>1</v>
      </c>
      <c r="V1114" s="37">
        <v>258</v>
      </c>
      <c r="W1114" s="37">
        <v>250</v>
      </c>
      <c r="X1114" s="37">
        <v>120</v>
      </c>
      <c r="Y1114" s="37">
        <v>51</v>
      </c>
      <c r="Z1114" s="37">
        <v>60</v>
      </c>
      <c r="AA1114" s="37">
        <v>1</v>
      </c>
      <c r="AB1114" s="300">
        <f t="shared" si="103"/>
        <v>61.2</v>
      </c>
      <c r="AC1114" s="300">
        <f t="shared" si="104"/>
        <v>0.36867469879518072</v>
      </c>
      <c r="AD1114" s="37">
        <v>2576.6999999999998</v>
      </c>
      <c r="AE1114" s="115" t="s">
        <v>109</v>
      </c>
      <c r="AF1114" s="115" t="s">
        <v>317</v>
      </c>
      <c r="AG1114" s="115" t="s">
        <v>317</v>
      </c>
      <c r="AH1114" s="37" t="s">
        <v>3041</v>
      </c>
      <c r="AI1114" s="309"/>
      <c r="AJ1114" s="309"/>
      <c r="AK1114" s="37" t="s">
        <v>41</v>
      </c>
      <c r="AL1114" s="115" t="s">
        <v>58</v>
      </c>
      <c r="AM1114" s="299">
        <f t="shared" ca="1" si="100"/>
        <v>3.9722222222262644</v>
      </c>
      <c r="AN1114" s="51"/>
      <c r="AO1114" s="104" t="s">
        <v>120</v>
      </c>
      <c r="AP1114" s="106" t="s">
        <v>3039</v>
      </c>
      <c r="AQ1114" s="104" t="s">
        <v>3370</v>
      </c>
      <c r="AR1114" s="111">
        <v>44904.569444444445</v>
      </c>
      <c r="AS1114" s="109" t="s">
        <v>1203</v>
      </c>
      <c r="AT1114" s="109" t="s">
        <v>65</v>
      </c>
      <c r="AU1114" s="110">
        <v>0.56944444444444442</v>
      </c>
      <c r="AV1114" s="104">
        <v>1</v>
      </c>
      <c r="AW1114" s="109" t="s">
        <v>66</v>
      </c>
      <c r="AX1114" s="52"/>
      <c r="AY1114" s="52"/>
      <c r="AZ1114" s="52"/>
      <c r="BA1114" s="52"/>
    </row>
    <row r="1115" spans="1:53" x14ac:dyDescent="0.25">
      <c r="A1115" s="48">
        <v>75</v>
      </c>
      <c r="B1115" s="120">
        <v>44900.597222222219</v>
      </c>
      <c r="C1115" s="36">
        <v>0.60763888888888895</v>
      </c>
      <c r="D1115" s="36">
        <v>0.61458333333333337</v>
      </c>
      <c r="E1115" s="36">
        <v>0.66319444444444442</v>
      </c>
      <c r="F1115" s="37" t="s">
        <v>169</v>
      </c>
      <c r="G1115" s="37" t="s">
        <v>397</v>
      </c>
      <c r="H1115" s="26" t="s">
        <v>436</v>
      </c>
      <c r="I1115" s="26" t="s">
        <v>3042</v>
      </c>
      <c r="J1115" s="115" t="s">
        <v>37</v>
      </c>
      <c r="K1115" s="115" t="s">
        <v>241</v>
      </c>
      <c r="L1115" s="115" t="s">
        <v>219</v>
      </c>
      <c r="M1115" s="37" t="s">
        <v>3043</v>
      </c>
      <c r="N1115" s="115" t="s">
        <v>42</v>
      </c>
      <c r="O1115" s="37" t="s">
        <v>3044</v>
      </c>
      <c r="P1115" s="37">
        <v>2422043</v>
      </c>
      <c r="Q1115" s="303">
        <f t="shared" si="101"/>
        <v>51</v>
      </c>
      <c r="R1115" s="303">
        <f t="shared" si="102"/>
        <v>276</v>
      </c>
      <c r="S1115" s="37">
        <v>51</v>
      </c>
      <c r="T1115" s="37">
        <f>297-21</f>
        <v>276</v>
      </c>
      <c r="U1115" s="37">
        <v>0</v>
      </c>
      <c r="V1115" s="37">
        <v>0</v>
      </c>
      <c r="W1115" s="37">
        <v>293.3</v>
      </c>
      <c r="X1115" s="37">
        <v>30</v>
      </c>
      <c r="Y1115" s="37">
        <v>26</v>
      </c>
      <c r="Z1115" s="37">
        <v>25</v>
      </c>
      <c r="AA1115" s="37">
        <v>28</v>
      </c>
      <c r="AB1115" s="300">
        <f t="shared" si="103"/>
        <v>91</v>
      </c>
      <c r="AC1115" s="300">
        <f t="shared" si="104"/>
        <v>0.54819277108433739</v>
      </c>
      <c r="AD1115" s="37">
        <v>3819.5</v>
      </c>
      <c r="AE1115" s="115" t="s">
        <v>109</v>
      </c>
      <c r="AF1115" s="37">
        <v>5875746</v>
      </c>
      <c r="AG1115" s="37" t="s">
        <v>2909</v>
      </c>
      <c r="AH1115" s="37" t="s">
        <v>3045</v>
      </c>
      <c r="AI1115" s="309"/>
      <c r="AJ1115" s="309"/>
      <c r="AK1115" s="37" t="s">
        <v>48</v>
      </c>
      <c r="AL1115" s="37" t="s">
        <v>50</v>
      </c>
      <c r="AM1115" s="299">
        <f t="shared" ca="1" si="100"/>
        <v>43.205429050925886</v>
      </c>
      <c r="AN1115" s="126" t="s">
        <v>3135</v>
      </c>
      <c r="AO1115" s="127"/>
      <c r="AP1115" s="127"/>
      <c r="AQ1115" s="127"/>
      <c r="AR1115" s="129">
        <v>44901.729166666664</v>
      </c>
      <c r="AS1115" s="127" t="s">
        <v>3136</v>
      </c>
      <c r="AT1115" s="127" t="s">
        <v>3144</v>
      </c>
      <c r="AU1115" s="128">
        <v>0.72916666666666663</v>
      </c>
      <c r="AV1115" s="52"/>
      <c r="AW1115" s="52"/>
      <c r="AX1115" s="52"/>
      <c r="AY1115" s="52"/>
      <c r="AZ1115" s="52"/>
      <c r="BA1115" s="52"/>
    </row>
    <row r="1116" spans="1:53" x14ac:dyDescent="0.25">
      <c r="A1116" s="121">
        <v>75</v>
      </c>
      <c r="B1116" s="120">
        <v>44900.597222222219</v>
      </c>
      <c r="C1116" s="114">
        <v>0.60763888888888895</v>
      </c>
      <c r="D1116" s="114">
        <v>0.61458333333333337</v>
      </c>
      <c r="E1116" s="114">
        <v>0.66319444444444442</v>
      </c>
      <c r="F1116" s="115" t="s">
        <v>169</v>
      </c>
      <c r="G1116" s="115" t="s">
        <v>397</v>
      </c>
      <c r="H1116" s="107" t="s">
        <v>436</v>
      </c>
      <c r="I1116" s="107" t="s">
        <v>3042</v>
      </c>
      <c r="J1116" s="115" t="s">
        <v>37</v>
      </c>
      <c r="K1116" s="115" t="s">
        <v>241</v>
      </c>
      <c r="L1116" s="115" t="s">
        <v>219</v>
      </c>
      <c r="M1116" s="115" t="s">
        <v>3043</v>
      </c>
      <c r="N1116" s="115" t="s">
        <v>42</v>
      </c>
      <c r="O1116" s="115" t="s">
        <v>3044</v>
      </c>
      <c r="P1116" s="115">
        <v>2422043</v>
      </c>
      <c r="Q1116" s="303">
        <f t="shared" si="101"/>
        <v>0</v>
      </c>
      <c r="R1116" s="303">
        <f t="shared" si="102"/>
        <v>0</v>
      </c>
      <c r="S1116" s="37">
        <v>0</v>
      </c>
      <c r="T1116" s="37">
        <v>0</v>
      </c>
      <c r="U1116" s="37">
        <v>0</v>
      </c>
      <c r="V1116" s="37">
        <v>0</v>
      </c>
      <c r="W1116" s="37">
        <v>0</v>
      </c>
      <c r="X1116" s="37">
        <v>36</v>
      </c>
      <c r="Y1116" s="37">
        <v>26</v>
      </c>
      <c r="Z1116" s="37">
        <v>19</v>
      </c>
      <c r="AA1116" s="37">
        <v>23</v>
      </c>
      <c r="AB1116" s="300">
        <f t="shared" si="103"/>
        <v>68.171999999999997</v>
      </c>
      <c r="AC1116" s="300">
        <f t="shared" si="104"/>
        <v>0.4106746987951807</v>
      </c>
      <c r="AD1116" s="37">
        <v>0</v>
      </c>
      <c r="AE1116" s="37">
        <v>0</v>
      </c>
      <c r="AF1116" s="37">
        <v>0</v>
      </c>
      <c r="AG1116" s="37">
        <v>0</v>
      </c>
      <c r="AH1116" s="37">
        <v>0</v>
      </c>
      <c r="AI1116" s="309"/>
      <c r="AJ1116" s="309"/>
      <c r="AK1116" s="115" t="s">
        <v>48</v>
      </c>
      <c r="AL1116" s="115" t="s">
        <v>50</v>
      </c>
      <c r="AM1116" s="299">
        <f t="shared" ca="1" si="100"/>
        <v>43.205429050925886</v>
      </c>
      <c r="AN1116" s="126" t="s">
        <v>3135</v>
      </c>
      <c r="AO1116" s="127"/>
      <c r="AP1116" s="127"/>
      <c r="AQ1116" s="127"/>
      <c r="AR1116" s="129">
        <v>44901.729166666664</v>
      </c>
      <c r="AS1116" s="127" t="s">
        <v>3136</v>
      </c>
      <c r="AT1116" s="127" t="s">
        <v>3144</v>
      </c>
      <c r="AU1116" s="128">
        <v>0.72916666666666663</v>
      </c>
      <c r="AV1116" s="52"/>
      <c r="AW1116" s="52"/>
      <c r="AX1116" s="52"/>
      <c r="AY1116" s="52"/>
      <c r="AZ1116" s="52"/>
      <c r="BA1116" s="52"/>
    </row>
    <row r="1117" spans="1:53" x14ac:dyDescent="0.25">
      <c r="A1117" s="48">
        <v>76</v>
      </c>
      <c r="B1117" s="46">
        <v>44900.697916666664</v>
      </c>
      <c r="C1117" s="36">
        <v>0.70138888888888884</v>
      </c>
      <c r="D1117" s="36">
        <v>0.70833333333333337</v>
      </c>
      <c r="E1117" s="36">
        <v>0.70833333333333337</v>
      </c>
      <c r="F1117" s="115" t="s">
        <v>169</v>
      </c>
      <c r="G1117" s="37" t="s">
        <v>3046</v>
      </c>
      <c r="H1117" s="26" t="s">
        <v>422</v>
      </c>
      <c r="I1117" s="26" t="s">
        <v>423</v>
      </c>
      <c r="J1117" s="26" t="s">
        <v>41</v>
      </c>
      <c r="K1117" s="113" t="s">
        <v>241</v>
      </c>
      <c r="L1117" s="113" t="s">
        <v>425</v>
      </c>
      <c r="M1117" s="37" t="s">
        <v>3047</v>
      </c>
      <c r="N1117" s="37" t="s">
        <v>424</v>
      </c>
      <c r="O1117" s="37">
        <v>231</v>
      </c>
      <c r="P1117" s="37" t="s">
        <v>3048</v>
      </c>
      <c r="Q1117" s="303">
        <f t="shared" si="101"/>
        <v>8</v>
      </c>
      <c r="R1117" s="303">
        <f t="shared" si="102"/>
        <v>370</v>
      </c>
      <c r="S1117" s="37">
        <v>8</v>
      </c>
      <c r="T1117" s="37">
        <f>394-24</f>
        <v>370</v>
      </c>
      <c r="U1117" s="37">
        <v>0</v>
      </c>
      <c r="V1117" s="37">
        <v>0</v>
      </c>
      <c r="W1117" s="37">
        <v>315</v>
      </c>
      <c r="X1117" s="37">
        <v>97</v>
      </c>
      <c r="Y1117" s="37">
        <v>51</v>
      </c>
      <c r="Z1117" s="37">
        <v>26</v>
      </c>
      <c r="AA1117" s="37">
        <v>8</v>
      </c>
      <c r="AB1117" s="300">
        <f t="shared" si="103"/>
        <v>171.49600000000001</v>
      </c>
      <c r="AC1117" s="300">
        <f t="shared" si="104"/>
        <v>1.0331084337349399</v>
      </c>
      <c r="AD1117" s="37">
        <v>8683.7999999999993</v>
      </c>
      <c r="AE1117" s="37" t="s">
        <v>109</v>
      </c>
      <c r="AF1117" s="37" t="s">
        <v>3049</v>
      </c>
      <c r="AG1117" s="37" t="s">
        <v>2909</v>
      </c>
      <c r="AH1117" s="37" t="s">
        <v>3050</v>
      </c>
      <c r="AI1117" s="309"/>
      <c r="AJ1117" s="309"/>
      <c r="AK1117" s="115" t="s">
        <v>48</v>
      </c>
      <c r="AL1117" s="37" t="s">
        <v>50</v>
      </c>
      <c r="AM1117" s="299">
        <f t="shared" ca="1" si="100"/>
        <v>0.79861111111677019</v>
      </c>
      <c r="AN1117" s="51"/>
      <c r="AO1117" s="104" t="s">
        <v>428</v>
      </c>
      <c r="AP1117" s="106" t="s">
        <v>3047</v>
      </c>
      <c r="AQ1117" s="104" t="s">
        <v>3077</v>
      </c>
      <c r="AR1117" s="111">
        <v>44901.496527777781</v>
      </c>
      <c r="AS1117" s="104" t="s">
        <v>173</v>
      </c>
      <c r="AT1117" s="109" t="s">
        <v>225</v>
      </c>
      <c r="AU1117" s="110">
        <v>0.49652777777777773</v>
      </c>
      <c r="AV1117" s="104">
        <v>1</v>
      </c>
      <c r="AW1117" s="109" t="s">
        <v>66</v>
      </c>
      <c r="AX1117" s="52"/>
      <c r="AY1117" s="52"/>
      <c r="AZ1117" s="52"/>
      <c r="BA1117" s="52"/>
    </row>
    <row r="1118" spans="1:53" x14ac:dyDescent="0.25">
      <c r="A1118" s="48">
        <v>77</v>
      </c>
      <c r="B1118" s="46">
        <v>44900.763888888891</v>
      </c>
      <c r="C1118" s="36">
        <v>0.76736111111111116</v>
      </c>
      <c r="D1118" s="36">
        <v>0.77777777777777779</v>
      </c>
      <c r="E1118" s="36">
        <v>0.78472222222222221</v>
      </c>
      <c r="F1118" s="37" t="s">
        <v>171</v>
      </c>
      <c r="G1118" s="37" t="s">
        <v>173</v>
      </c>
      <c r="H1118" s="26" t="s">
        <v>91</v>
      </c>
      <c r="I1118" s="26" t="s">
        <v>318</v>
      </c>
      <c r="J1118" s="26" t="s">
        <v>41</v>
      </c>
      <c r="K1118" s="113" t="s">
        <v>180</v>
      </c>
      <c r="L1118" s="113" t="s">
        <v>206</v>
      </c>
      <c r="M1118" s="37" t="s">
        <v>3052</v>
      </c>
      <c r="N1118" s="37" t="s">
        <v>44</v>
      </c>
      <c r="O1118" s="37">
        <v>1054969746</v>
      </c>
      <c r="P1118" s="37">
        <v>1214008828</v>
      </c>
      <c r="Q1118" s="303">
        <f t="shared" si="101"/>
        <v>5</v>
      </c>
      <c r="R1118" s="303">
        <f t="shared" si="102"/>
        <v>1054</v>
      </c>
      <c r="S1118" s="37">
        <v>0</v>
      </c>
      <c r="T1118" s="37">
        <v>0</v>
      </c>
      <c r="U1118" s="37">
        <v>5</v>
      </c>
      <c r="V1118" s="37">
        <f>420+424+210</f>
        <v>1054</v>
      </c>
      <c r="W1118" s="37">
        <v>1070</v>
      </c>
      <c r="X1118" s="37">
        <v>120</v>
      </c>
      <c r="Y1118" s="37">
        <v>80</v>
      </c>
      <c r="Z1118" s="37">
        <v>78</v>
      </c>
      <c r="AA1118" s="37">
        <v>5</v>
      </c>
      <c r="AB1118" s="300">
        <f t="shared" si="103"/>
        <v>624</v>
      </c>
      <c r="AC1118" s="300">
        <f t="shared" si="104"/>
        <v>3.7590361445783134</v>
      </c>
      <c r="AD1118" s="37">
        <v>58099.8</v>
      </c>
      <c r="AE1118" s="115" t="s">
        <v>109</v>
      </c>
      <c r="AF1118" s="37" t="s">
        <v>317</v>
      </c>
      <c r="AG1118" s="37" t="s">
        <v>317</v>
      </c>
      <c r="AH1118" s="37" t="s">
        <v>3053</v>
      </c>
      <c r="AI1118" s="309"/>
      <c r="AJ1118" s="309"/>
      <c r="AK1118" s="37" t="s">
        <v>37</v>
      </c>
      <c r="AL1118" s="37" t="s">
        <v>49</v>
      </c>
      <c r="AM1118" s="299">
        <f t="shared" ca="1" si="100"/>
        <v>0.72222222221898846</v>
      </c>
      <c r="AN1118" s="51"/>
      <c r="AO1118" s="104" t="s">
        <v>323</v>
      </c>
      <c r="AP1118" s="106" t="s">
        <v>3052</v>
      </c>
      <c r="AQ1118" s="104" t="s">
        <v>3076</v>
      </c>
      <c r="AR1118" s="111">
        <v>44901.486111111109</v>
      </c>
      <c r="AS1118" s="109" t="s">
        <v>136</v>
      </c>
      <c r="AT1118" s="109" t="s">
        <v>225</v>
      </c>
      <c r="AU1118" s="110">
        <v>0.4861111111111111</v>
      </c>
      <c r="AV1118" s="104">
        <v>1</v>
      </c>
      <c r="AW1118" s="109" t="s">
        <v>66</v>
      </c>
      <c r="AX1118" s="52"/>
      <c r="AY1118" s="52"/>
      <c r="AZ1118" s="52"/>
      <c r="BA1118" s="52"/>
    </row>
    <row r="1119" spans="1:53" x14ac:dyDescent="0.25">
      <c r="A1119" s="48">
        <v>78</v>
      </c>
      <c r="B1119" s="120">
        <v>44900.763888888891</v>
      </c>
      <c r="C1119" s="114">
        <v>0.76736111111111116</v>
      </c>
      <c r="D1119" s="114">
        <v>0.77777777777777779</v>
      </c>
      <c r="E1119" s="114">
        <v>0.78472222222222221</v>
      </c>
      <c r="F1119" s="115" t="s">
        <v>171</v>
      </c>
      <c r="G1119" s="115" t="s">
        <v>173</v>
      </c>
      <c r="H1119" s="107" t="s">
        <v>91</v>
      </c>
      <c r="I1119" s="107" t="s">
        <v>318</v>
      </c>
      <c r="J1119" s="107" t="s">
        <v>41</v>
      </c>
      <c r="K1119" s="113" t="s">
        <v>180</v>
      </c>
      <c r="L1119" s="113" t="s">
        <v>206</v>
      </c>
      <c r="M1119" s="115" t="s">
        <v>3052</v>
      </c>
      <c r="N1119" s="115" t="s">
        <v>44</v>
      </c>
      <c r="O1119" s="115">
        <v>1054969744</v>
      </c>
      <c r="P1119" s="37">
        <v>1214008747</v>
      </c>
      <c r="Q1119" s="303">
        <f t="shared" si="101"/>
        <v>5</v>
      </c>
      <c r="R1119" s="303">
        <f t="shared" si="102"/>
        <v>1058</v>
      </c>
      <c r="S1119" s="37">
        <v>0</v>
      </c>
      <c r="T1119" s="37">
        <v>0</v>
      </c>
      <c r="U1119" s="37">
        <v>5</v>
      </c>
      <c r="V1119" s="37">
        <f>423+424+211</f>
        <v>1058</v>
      </c>
      <c r="W1119" s="37">
        <v>1068</v>
      </c>
      <c r="X1119" s="37">
        <v>120</v>
      </c>
      <c r="Y1119" s="37">
        <v>80</v>
      </c>
      <c r="Z1119" s="37">
        <v>78</v>
      </c>
      <c r="AA1119" s="37">
        <v>5</v>
      </c>
      <c r="AB1119" s="300">
        <f t="shared" si="103"/>
        <v>624</v>
      </c>
      <c r="AC1119" s="300">
        <f t="shared" si="104"/>
        <v>3.7590361445783134</v>
      </c>
      <c r="AD1119" s="115">
        <v>58099.8</v>
      </c>
      <c r="AE1119" s="115" t="s">
        <v>109</v>
      </c>
      <c r="AF1119" s="115" t="s">
        <v>317</v>
      </c>
      <c r="AG1119" s="115" t="s">
        <v>317</v>
      </c>
      <c r="AH1119" s="37" t="s">
        <v>3054</v>
      </c>
      <c r="AI1119" s="309"/>
      <c r="AJ1119" s="309"/>
      <c r="AK1119" s="115" t="s">
        <v>37</v>
      </c>
      <c r="AL1119" s="115" t="s">
        <v>49</v>
      </c>
      <c r="AM1119" s="299">
        <f t="shared" ca="1" si="100"/>
        <v>0.72222222221898846</v>
      </c>
      <c r="AN1119" s="51"/>
      <c r="AO1119" s="104" t="s">
        <v>323</v>
      </c>
      <c r="AP1119" s="106" t="s">
        <v>3052</v>
      </c>
      <c r="AQ1119" s="104" t="s">
        <v>3076</v>
      </c>
      <c r="AR1119" s="111">
        <v>44901.486111111109</v>
      </c>
      <c r="AS1119" s="109" t="s">
        <v>136</v>
      </c>
      <c r="AT1119" s="109" t="s">
        <v>225</v>
      </c>
      <c r="AU1119" s="110">
        <v>0.4861111111111111</v>
      </c>
      <c r="AV1119" s="104">
        <v>1</v>
      </c>
      <c r="AW1119" s="109" t="s">
        <v>66</v>
      </c>
      <c r="AX1119" s="52"/>
      <c r="AY1119" s="52"/>
      <c r="AZ1119" s="52"/>
      <c r="BA1119" s="52"/>
    </row>
    <row r="1120" spans="1:53" x14ac:dyDescent="0.25">
      <c r="A1120" s="48">
        <v>79</v>
      </c>
      <c r="B1120" s="120">
        <v>44900.763888888891</v>
      </c>
      <c r="C1120" s="114">
        <v>0.76736111111111116</v>
      </c>
      <c r="D1120" s="114">
        <v>0.77777777777777779</v>
      </c>
      <c r="E1120" s="114">
        <v>0.78472222222222221</v>
      </c>
      <c r="F1120" s="115" t="s">
        <v>171</v>
      </c>
      <c r="G1120" s="115" t="s">
        <v>173</v>
      </c>
      <c r="H1120" s="107" t="s">
        <v>91</v>
      </c>
      <c r="I1120" s="107" t="s">
        <v>318</v>
      </c>
      <c r="J1120" s="107" t="s">
        <v>41</v>
      </c>
      <c r="K1120" s="113" t="s">
        <v>180</v>
      </c>
      <c r="L1120" s="113" t="s">
        <v>206</v>
      </c>
      <c r="M1120" s="115" t="s">
        <v>3052</v>
      </c>
      <c r="N1120" s="115" t="s">
        <v>44</v>
      </c>
      <c r="O1120" s="37">
        <v>1054969743</v>
      </c>
      <c r="P1120" s="37">
        <v>1214008547</v>
      </c>
      <c r="Q1120" s="303">
        <f t="shared" si="101"/>
        <v>5</v>
      </c>
      <c r="R1120" s="303">
        <f t="shared" si="102"/>
        <v>1056</v>
      </c>
      <c r="S1120" s="37">
        <v>0</v>
      </c>
      <c r="T1120" s="37">
        <v>0</v>
      </c>
      <c r="U1120" s="37">
        <v>5</v>
      </c>
      <c r="V1120" s="37">
        <f>422+422+212</f>
        <v>1056</v>
      </c>
      <c r="W1120" s="37">
        <v>1059</v>
      </c>
      <c r="X1120" s="37">
        <v>120</v>
      </c>
      <c r="Y1120" s="115">
        <v>80</v>
      </c>
      <c r="Z1120" s="115">
        <v>78</v>
      </c>
      <c r="AA1120" s="115">
        <v>5</v>
      </c>
      <c r="AB1120" s="300">
        <f t="shared" si="103"/>
        <v>624</v>
      </c>
      <c r="AC1120" s="300">
        <f t="shared" si="104"/>
        <v>3.7590361445783134</v>
      </c>
      <c r="AD1120" s="115">
        <v>58099.8</v>
      </c>
      <c r="AE1120" s="115" t="s">
        <v>109</v>
      </c>
      <c r="AF1120" s="115" t="s">
        <v>317</v>
      </c>
      <c r="AG1120" s="115" t="s">
        <v>317</v>
      </c>
      <c r="AH1120" s="37" t="s">
        <v>3055</v>
      </c>
      <c r="AI1120" s="309"/>
      <c r="AJ1120" s="309"/>
      <c r="AK1120" s="115" t="s">
        <v>37</v>
      </c>
      <c r="AL1120" s="115" t="s">
        <v>49</v>
      </c>
      <c r="AM1120" s="299">
        <f t="shared" ca="1" si="100"/>
        <v>0.72222222221898846</v>
      </c>
      <c r="AN1120" s="51"/>
      <c r="AO1120" s="104" t="s">
        <v>323</v>
      </c>
      <c r="AP1120" s="106" t="s">
        <v>3052</v>
      </c>
      <c r="AQ1120" s="104" t="s">
        <v>3076</v>
      </c>
      <c r="AR1120" s="111">
        <v>44901.486111111109</v>
      </c>
      <c r="AS1120" s="109" t="s">
        <v>136</v>
      </c>
      <c r="AT1120" s="109" t="s">
        <v>225</v>
      </c>
      <c r="AU1120" s="110">
        <v>0.4861111111111111</v>
      </c>
      <c r="AV1120" s="104">
        <v>1</v>
      </c>
      <c r="AW1120" s="109" t="s">
        <v>66</v>
      </c>
      <c r="AX1120" s="52"/>
      <c r="AY1120" s="52"/>
      <c r="AZ1120" s="52"/>
      <c r="BA1120" s="52"/>
    </row>
    <row r="1121" spans="1:53" x14ac:dyDescent="0.25">
      <c r="A1121" s="48">
        <v>80</v>
      </c>
      <c r="B1121" s="120">
        <v>44900.763888888891</v>
      </c>
      <c r="C1121" s="114">
        <v>0.76736111111111116</v>
      </c>
      <c r="D1121" s="114">
        <v>0.77777777777777779</v>
      </c>
      <c r="E1121" s="114">
        <v>0.78472222222222221</v>
      </c>
      <c r="F1121" s="115" t="s">
        <v>171</v>
      </c>
      <c r="G1121" s="115" t="s">
        <v>173</v>
      </c>
      <c r="H1121" s="107" t="s">
        <v>91</v>
      </c>
      <c r="I1121" s="107" t="s">
        <v>318</v>
      </c>
      <c r="J1121" s="107" t="s">
        <v>41</v>
      </c>
      <c r="K1121" s="113" t="s">
        <v>180</v>
      </c>
      <c r="L1121" s="113" t="s">
        <v>206</v>
      </c>
      <c r="M1121" s="115" t="s">
        <v>3052</v>
      </c>
      <c r="N1121" s="115" t="s">
        <v>44</v>
      </c>
      <c r="O1121" s="37">
        <v>1054969742</v>
      </c>
      <c r="P1121" s="37">
        <v>1214008546</v>
      </c>
      <c r="Q1121" s="303">
        <f t="shared" si="101"/>
        <v>5</v>
      </c>
      <c r="R1121" s="303">
        <f t="shared" si="102"/>
        <v>1058</v>
      </c>
      <c r="S1121" s="37">
        <v>0</v>
      </c>
      <c r="T1121" s="37">
        <v>0</v>
      </c>
      <c r="U1121" s="37">
        <v>5</v>
      </c>
      <c r="V1121" s="37">
        <f>423+424+211</f>
        <v>1058</v>
      </c>
      <c r="W1121" s="37">
        <v>1056</v>
      </c>
      <c r="X1121" s="115">
        <v>120</v>
      </c>
      <c r="Y1121" s="115">
        <v>80</v>
      </c>
      <c r="Z1121" s="115">
        <v>78</v>
      </c>
      <c r="AA1121" s="115">
        <v>5</v>
      </c>
      <c r="AB1121" s="300">
        <f t="shared" si="103"/>
        <v>624</v>
      </c>
      <c r="AC1121" s="300">
        <f t="shared" si="104"/>
        <v>3.7590361445783134</v>
      </c>
      <c r="AD1121" s="115">
        <v>58099.8</v>
      </c>
      <c r="AE1121" s="115" t="s">
        <v>109</v>
      </c>
      <c r="AF1121" s="115" t="s">
        <v>317</v>
      </c>
      <c r="AG1121" s="115" t="s">
        <v>317</v>
      </c>
      <c r="AH1121" s="37" t="s">
        <v>3056</v>
      </c>
      <c r="AI1121" s="309"/>
      <c r="AJ1121" s="309"/>
      <c r="AK1121" s="115" t="s">
        <v>37</v>
      </c>
      <c r="AL1121" s="115" t="s">
        <v>49</v>
      </c>
      <c r="AM1121" s="299">
        <f t="shared" ca="1" si="100"/>
        <v>0.72222222221898846</v>
      </c>
      <c r="AN1121" s="51"/>
      <c r="AO1121" s="104" t="s">
        <v>323</v>
      </c>
      <c r="AP1121" s="106" t="s">
        <v>3052</v>
      </c>
      <c r="AQ1121" s="104" t="s">
        <v>3076</v>
      </c>
      <c r="AR1121" s="111">
        <v>44901.486111111109</v>
      </c>
      <c r="AS1121" s="109" t="s">
        <v>136</v>
      </c>
      <c r="AT1121" s="109" t="s">
        <v>225</v>
      </c>
      <c r="AU1121" s="110">
        <v>0.4861111111111111</v>
      </c>
      <c r="AV1121" s="104">
        <v>1</v>
      </c>
      <c r="AW1121" s="109" t="s">
        <v>66</v>
      </c>
      <c r="AX1121" s="52"/>
      <c r="AY1121" s="52"/>
      <c r="AZ1121" s="52"/>
      <c r="BA1121" s="52"/>
    </row>
    <row r="1122" spans="1:53" x14ac:dyDescent="0.25">
      <c r="A1122" s="48">
        <v>81</v>
      </c>
      <c r="B1122" s="46">
        <v>44900.767361111109</v>
      </c>
      <c r="C1122" s="36">
        <v>0.77083333333333337</v>
      </c>
      <c r="D1122" s="36">
        <v>0.77430555555555547</v>
      </c>
      <c r="E1122" s="36">
        <v>0.78472222222222221</v>
      </c>
      <c r="F1122" s="115" t="s">
        <v>171</v>
      </c>
      <c r="G1122" s="37" t="s">
        <v>321</v>
      </c>
      <c r="H1122" s="26" t="s">
        <v>352</v>
      </c>
      <c r="I1122" s="107" t="s">
        <v>352</v>
      </c>
      <c r="J1122" s="26" t="s">
        <v>37</v>
      </c>
      <c r="K1122" s="115" t="s">
        <v>180</v>
      </c>
      <c r="L1122" s="115" t="s">
        <v>206</v>
      </c>
      <c r="M1122" s="115" t="s">
        <v>3057</v>
      </c>
      <c r="N1122" s="37" t="s">
        <v>451</v>
      </c>
      <c r="O1122" s="37">
        <v>17953</v>
      </c>
      <c r="P1122" s="37">
        <v>60057833</v>
      </c>
      <c r="Q1122" s="303">
        <f t="shared" si="101"/>
        <v>2</v>
      </c>
      <c r="R1122" s="303">
        <f t="shared" si="102"/>
        <v>10</v>
      </c>
      <c r="S1122" s="37">
        <v>2</v>
      </c>
      <c r="T1122" s="37">
        <v>10</v>
      </c>
      <c r="U1122" s="37">
        <v>0</v>
      </c>
      <c r="V1122" s="37">
        <v>0</v>
      </c>
      <c r="W1122" s="37">
        <v>8</v>
      </c>
      <c r="X1122" s="37">
        <v>63</v>
      </c>
      <c r="Y1122" s="37">
        <v>32</v>
      </c>
      <c r="Z1122" s="37">
        <v>30</v>
      </c>
      <c r="AA1122" s="37">
        <v>2</v>
      </c>
      <c r="AB1122" s="300">
        <f t="shared" si="103"/>
        <v>20.16</v>
      </c>
      <c r="AC1122" s="300">
        <f t="shared" si="104"/>
        <v>0.12144578313253013</v>
      </c>
      <c r="AD1122" s="37" t="s">
        <v>48</v>
      </c>
      <c r="AE1122" s="37" t="s">
        <v>48</v>
      </c>
      <c r="AF1122" s="115" t="s">
        <v>317</v>
      </c>
      <c r="AG1122" s="115" t="s">
        <v>317</v>
      </c>
      <c r="AH1122" s="37" t="s">
        <v>3058</v>
      </c>
      <c r="AI1122" s="309"/>
      <c r="AJ1122" s="309"/>
      <c r="AK1122" s="37" t="s">
        <v>48</v>
      </c>
      <c r="AL1122" s="37" t="s">
        <v>39</v>
      </c>
      <c r="AM1122" s="299">
        <f t="shared" ca="1" si="100"/>
        <v>0.97916666667151731</v>
      </c>
      <c r="AN1122" s="51"/>
      <c r="AO1122" s="104" t="s">
        <v>455</v>
      </c>
      <c r="AP1122" s="106" t="s">
        <v>3057</v>
      </c>
      <c r="AQ1122" s="104" t="s">
        <v>3075</v>
      </c>
      <c r="AR1122" s="111">
        <v>44901.746527777781</v>
      </c>
      <c r="AS1122" s="104" t="s">
        <v>3008</v>
      </c>
      <c r="AT1122" s="109" t="s">
        <v>65</v>
      </c>
      <c r="AU1122" s="110">
        <v>0.74652777777777779</v>
      </c>
      <c r="AV1122" s="104">
        <v>1</v>
      </c>
      <c r="AW1122" s="109" t="s">
        <v>66</v>
      </c>
      <c r="AX1122" s="52"/>
      <c r="AY1122" s="52"/>
      <c r="AZ1122" s="52"/>
      <c r="BA1122" s="52"/>
    </row>
    <row r="1123" spans="1:53" x14ac:dyDescent="0.25">
      <c r="A1123" s="48">
        <v>82</v>
      </c>
      <c r="B1123" s="46">
        <v>44900.777777777781</v>
      </c>
      <c r="C1123" s="36">
        <v>0.78125</v>
      </c>
      <c r="D1123" s="36">
        <v>0.78472222222222221</v>
      </c>
      <c r="E1123" s="36">
        <v>0.79861111111111116</v>
      </c>
      <c r="F1123" s="115" t="s">
        <v>171</v>
      </c>
      <c r="G1123" s="37" t="s">
        <v>3059</v>
      </c>
      <c r="H1123" s="26" t="s">
        <v>287</v>
      </c>
      <c r="I1123" s="26" t="s">
        <v>3060</v>
      </c>
      <c r="J1123" s="107" t="s">
        <v>37</v>
      </c>
      <c r="K1123" s="113" t="s">
        <v>180</v>
      </c>
      <c r="L1123" s="113">
        <v>0</v>
      </c>
      <c r="M1123" s="37" t="s">
        <v>3061</v>
      </c>
      <c r="N1123" s="37" t="s">
        <v>44</v>
      </c>
      <c r="O1123" s="37" t="s">
        <v>3062</v>
      </c>
      <c r="P1123" s="37">
        <v>400000236</v>
      </c>
      <c r="Q1123" s="303">
        <f t="shared" si="101"/>
        <v>3</v>
      </c>
      <c r="R1123" s="303">
        <f t="shared" si="102"/>
        <v>553</v>
      </c>
      <c r="S1123" s="37">
        <v>0</v>
      </c>
      <c r="T1123" s="37">
        <v>0</v>
      </c>
      <c r="U1123" s="37">
        <v>3</v>
      </c>
      <c r="V1123" s="37">
        <f>144+171+238</f>
        <v>553</v>
      </c>
      <c r="W1123" s="37">
        <v>543</v>
      </c>
      <c r="X1123" s="37">
        <v>120</v>
      </c>
      <c r="Y1123" s="37">
        <v>100</v>
      </c>
      <c r="Z1123" s="37">
        <v>99</v>
      </c>
      <c r="AA1123" s="37">
        <v>1</v>
      </c>
      <c r="AB1123" s="300">
        <f t="shared" si="103"/>
        <v>198</v>
      </c>
      <c r="AC1123" s="300">
        <f t="shared" si="104"/>
        <v>1.1927710843373494</v>
      </c>
      <c r="AD1123" s="37">
        <v>68508.3</v>
      </c>
      <c r="AE1123" s="37" t="s">
        <v>109</v>
      </c>
      <c r="AF1123" s="115" t="s">
        <v>317</v>
      </c>
      <c r="AG1123" s="115" t="s">
        <v>317</v>
      </c>
      <c r="AH1123" s="37" t="s">
        <v>3063</v>
      </c>
      <c r="AI1123" s="309"/>
      <c r="AJ1123" s="309"/>
      <c r="AK1123" s="37" t="s">
        <v>41</v>
      </c>
      <c r="AL1123" s="37" t="s">
        <v>39</v>
      </c>
      <c r="AM1123" s="299">
        <f t="shared" ca="1" si="100"/>
        <v>0.96527777777373558</v>
      </c>
      <c r="AN1123" s="51"/>
      <c r="AO1123" s="104" t="s">
        <v>81</v>
      </c>
      <c r="AP1123" s="106" t="s">
        <v>3061</v>
      </c>
      <c r="AQ1123" s="106" t="s">
        <v>3145</v>
      </c>
      <c r="AR1123" s="111">
        <v>44901.743055555555</v>
      </c>
      <c r="AS1123" s="109" t="s">
        <v>136</v>
      </c>
      <c r="AT1123" s="109" t="s">
        <v>225</v>
      </c>
      <c r="AU1123" s="110">
        <v>0.75347222222222221</v>
      </c>
      <c r="AV1123" s="52">
        <v>2</v>
      </c>
      <c r="AW1123" s="109" t="s">
        <v>66</v>
      </c>
      <c r="AX1123" s="52"/>
      <c r="AY1123" s="52"/>
      <c r="AZ1123" s="52"/>
      <c r="BA1123" s="52"/>
    </row>
    <row r="1124" spans="1:53" x14ac:dyDescent="0.25">
      <c r="A1124" s="121">
        <v>82</v>
      </c>
      <c r="B1124" s="120">
        <v>44900.777777777781</v>
      </c>
      <c r="C1124" s="114">
        <v>0.78125</v>
      </c>
      <c r="D1124" s="114">
        <v>0.78472222222222221</v>
      </c>
      <c r="E1124" s="114">
        <v>0.79861111111111116</v>
      </c>
      <c r="F1124" s="115" t="s">
        <v>171</v>
      </c>
      <c r="G1124" s="115" t="s">
        <v>3059</v>
      </c>
      <c r="H1124" s="107" t="s">
        <v>287</v>
      </c>
      <c r="I1124" s="107" t="s">
        <v>3060</v>
      </c>
      <c r="J1124" s="107" t="s">
        <v>37</v>
      </c>
      <c r="K1124" s="113" t="s">
        <v>180</v>
      </c>
      <c r="L1124" s="113">
        <v>0</v>
      </c>
      <c r="M1124" s="115" t="s">
        <v>3061</v>
      </c>
      <c r="N1124" s="115" t="s">
        <v>44</v>
      </c>
      <c r="O1124" s="115" t="s">
        <v>3062</v>
      </c>
      <c r="P1124" s="115">
        <v>400000236</v>
      </c>
      <c r="Q1124" s="303">
        <f t="shared" si="101"/>
        <v>0</v>
      </c>
      <c r="R1124" s="303">
        <f t="shared" si="102"/>
        <v>0</v>
      </c>
      <c r="S1124" s="115">
        <v>0</v>
      </c>
      <c r="T1124" s="115">
        <v>0</v>
      </c>
      <c r="U1124" s="115">
        <v>0</v>
      </c>
      <c r="V1124" s="115">
        <v>0</v>
      </c>
      <c r="W1124" s="115">
        <v>0</v>
      </c>
      <c r="X1124" s="37">
        <v>120</v>
      </c>
      <c r="Y1124" s="37">
        <v>100</v>
      </c>
      <c r="Z1124" s="37">
        <v>95</v>
      </c>
      <c r="AA1124" s="37">
        <v>1</v>
      </c>
      <c r="AB1124" s="300">
        <f t="shared" si="103"/>
        <v>190</v>
      </c>
      <c r="AC1124" s="300">
        <f t="shared" si="104"/>
        <v>1.1445783132530121</v>
      </c>
      <c r="AD1124" s="37">
        <v>0</v>
      </c>
      <c r="AE1124" s="115">
        <v>0</v>
      </c>
      <c r="AF1124" s="115" t="s">
        <v>317</v>
      </c>
      <c r="AG1124" s="115" t="s">
        <v>317</v>
      </c>
      <c r="AH1124" s="115" t="s">
        <v>3063</v>
      </c>
      <c r="AI1124" s="309"/>
      <c r="AJ1124" s="309"/>
      <c r="AK1124" s="115" t="s">
        <v>41</v>
      </c>
      <c r="AL1124" s="115" t="s">
        <v>39</v>
      </c>
      <c r="AM1124" s="299">
        <f t="shared" ca="1" si="100"/>
        <v>0.96527777777373558</v>
      </c>
      <c r="AN1124" s="51"/>
      <c r="AO1124" s="104" t="s">
        <v>81</v>
      </c>
      <c r="AP1124" s="106" t="s">
        <v>3061</v>
      </c>
      <c r="AQ1124" s="106" t="s">
        <v>3145</v>
      </c>
      <c r="AR1124" s="111">
        <v>44901.743055555555</v>
      </c>
      <c r="AS1124" s="109" t="s">
        <v>136</v>
      </c>
      <c r="AT1124" s="109" t="s">
        <v>225</v>
      </c>
      <c r="AU1124" s="110">
        <v>0.75347222222222221</v>
      </c>
      <c r="AV1124" s="123">
        <v>2</v>
      </c>
      <c r="AW1124" s="109" t="s">
        <v>66</v>
      </c>
      <c r="AX1124" s="52"/>
      <c r="AY1124" s="52"/>
      <c r="AZ1124" s="52"/>
      <c r="BA1124" s="52"/>
    </row>
    <row r="1125" spans="1:53" x14ac:dyDescent="0.25">
      <c r="A1125" s="121">
        <v>82</v>
      </c>
      <c r="B1125" s="120">
        <v>44900.777777777781</v>
      </c>
      <c r="C1125" s="114">
        <v>0.78125</v>
      </c>
      <c r="D1125" s="114">
        <v>0.78472222222222221</v>
      </c>
      <c r="E1125" s="114">
        <v>0.79861111111111116</v>
      </c>
      <c r="F1125" s="115" t="s">
        <v>171</v>
      </c>
      <c r="G1125" s="115" t="s">
        <v>3059</v>
      </c>
      <c r="H1125" s="107" t="s">
        <v>287</v>
      </c>
      <c r="I1125" s="107" t="s">
        <v>3060</v>
      </c>
      <c r="J1125" s="107" t="s">
        <v>37</v>
      </c>
      <c r="K1125" s="113" t="s">
        <v>180</v>
      </c>
      <c r="L1125" s="113">
        <v>0</v>
      </c>
      <c r="M1125" s="115" t="s">
        <v>3061</v>
      </c>
      <c r="N1125" s="115" t="s">
        <v>44</v>
      </c>
      <c r="O1125" s="115" t="s">
        <v>3062</v>
      </c>
      <c r="P1125" s="115">
        <v>400000236</v>
      </c>
      <c r="Q1125" s="303">
        <f t="shared" si="101"/>
        <v>0</v>
      </c>
      <c r="R1125" s="303">
        <f t="shared" si="102"/>
        <v>0</v>
      </c>
      <c r="S1125" s="115">
        <v>0</v>
      </c>
      <c r="T1125" s="115">
        <v>0</v>
      </c>
      <c r="U1125" s="115">
        <v>0</v>
      </c>
      <c r="V1125" s="115">
        <v>0</v>
      </c>
      <c r="W1125" s="115">
        <v>0</v>
      </c>
      <c r="X1125" s="37">
        <v>120</v>
      </c>
      <c r="Y1125" s="37">
        <v>100</v>
      </c>
      <c r="Z1125" s="37">
        <v>70</v>
      </c>
      <c r="AA1125" s="37">
        <v>1</v>
      </c>
      <c r="AB1125" s="300">
        <f t="shared" si="103"/>
        <v>140</v>
      </c>
      <c r="AC1125" s="300">
        <f t="shared" si="104"/>
        <v>0.84337349397590367</v>
      </c>
      <c r="AD1125" s="37">
        <v>0</v>
      </c>
      <c r="AE1125" s="115">
        <v>0</v>
      </c>
      <c r="AF1125" s="115" t="s">
        <v>317</v>
      </c>
      <c r="AG1125" s="115" t="s">
        <v>317</v>
      </c>
      <c r="AH1125" s="115" t="s">
        <v>3063</v>
      </c>
      <c r="AI1125" s="309"/>
      <c r="AJ1125" s="309"/>
      <c r="AK1125" s="115" t="s">
        <v>41</v>
      </c>
      <c r="AL1125" s="115" t="s">
        <v>39</v>
      </c>
      <c r="AM1125" s="299">
        <f t="shared" ca="1" si="100"/>
        <v>0.96527777777373558</v>
      </c>
      <c r="AN1125" s="51"/>
      <c r="AO1125" s="104" t="s">
        <v>81</v>
      </c>
      <c r="AP1125" s="106" t="s">
        <v>3061</v>
      </c>
      <c r="AQ1125" s="106" t="s">
        <v>3145</v>
      </c>
      <c r="AR1125" s="111">
        <v>44901.743055555555</v>
      </c>
      <c r="AS1125" s="109" t="s">
        <v>136</v>
      </c>
      <c r="AT1125" s="109" t="s">
        <v>225</v>
      </c>
      <c r="AU1125" s="110">
        <v>0.75347222222222221</v>
      </c>
      <c r="AV1125" s="123">
        <v>2</v>
      </c>
      <c r="AW1125" s="109" t="s">
        <v>66</v>
      </c>
      <c r="AX1125" s="52"/>
      <c r="AY1125" s="52"/>
      <c r="AZ1125" s="52"/>
      <c r="BA1125" s="52"/>
    </row>
    <row r="1126" spans="1:53" x14ac:dyDescent="0.25">
      <c r="A1126" s="48">
        <v>83</v>
      </c>
      <c r="B1126" s="46">
        <v>44900.784722222219</v>
      </c>
      <c r="C1126" s="36">
        <v>0.79166666666666663</v>
      </c>
      <c r="D1126" s="36">
        <v>0.79513888888888884</v>
      </c>
      <c r="E1126" s="36">
        <v>0.80208333333333337</v>
      </c>
      <c r="F1126" s="115" t="s">
        <v>171</v>
      </c>
      <c r="G1126" s="37" t="s">
        <v>101</v>
      </c>
      <c r="H1126" s="26" t="s">
        <v>502</v>
      </c>
      <c r="I1126" s="107" t="s">
        <v>502</v>
      </c>
      <c r="J1126" s="107" t="s">
        <v>37</v>
      </c>
      <c r="K1126" s="107" t="s">
        <v>180</v>
      </c>
      <c r="L1126" s="107" t="s">
        <v>206</v>
      </c>
      <c r="M1126" s="37" t="s">
        <v>3064</v>
      </c>
      <c r="N1126" s="37" t="s">
        <v>503</v>
      </c>
      <c r="O1126" s="37" t="s">
        <v>3065</v>
      </c>
      <c r="P1126" s="37">
        <v>470645557</v>
      </c>
      <c r="Q1126" s="303">
        <f t="shared" si="101"/>
        <v>6</v>
      </c>
      <c r="R1126" s="303">
        <f t="shared" si="102"/>
        <v>101</v>
      </c>
      <c r="S1126" s="37">
        <v>6</v>
      </c>
      <c r="T1126" s="37">
        <f>117-16</f>
        <v>101</v>
      </c>
      <c r="U1126" s="37">
        <v>0</v>
      </c>
      <c r="V1126" s="37">
        <v>0</v>
      </c>
      <c r="W1126" s="37">
        <v>96</v>
      </c>
      <c r="X1126" s="37">
        <v>52</v>
      </c>
      <c r="Y1126" s="37">
        <v>51</v>
      </c>
      <c r="Z1126" s="37">
        <v>37</v>
      </c>
      <c r="AA1126" s="37">
        <v>6</v>
      </c>
      <c r="AB1126" s="300">
        <f t="shared" si="103"/>
        <v>98.123999999999995</v>
      </c>
      <c r="AC1126" s="300">
        <f t="shared" si="104"/>
        <v>0.59110843373493971</v>
      </c>
      <c r="AD1126" s="37">
        <v>3864</v>
      </c>
      <c r="AE1126" s="37" t="s">
        <v>109</v>
      </c>
      <c r="AF1126" s="115" t="s">
        <v>317</v>
      </c>
      <c r="AG1126" s="115" t="s">
        <v>317</v>
      </c>
      <c r="AH1126" s="37" t="s">
        <v>3066</v>
      </c>
      <c r="AI1126" s="309"/>
      <c r="AJ1126" s="309"/>
      <c r="AK1126" s="37" t="s">
        <v>48</v>
      </c>
      <c r="AL1126" s="37" t="s">
        <v>39</v>
      </c>
      <c r="AM1126" s="299">
        <f t="shared" ca="1" si="100"/>
        <v>1.0104166666715173</v>
      </c>
      <c r="AN1126" s="51"/>
      <c r="AO1126" s="104" t="s">
        <v>522</v>
      </c>
      <c r="AP1126" s="106" t="s">
        <v>3064</v>
      </c>
      <c r="AQ1126" s="104" t="s">
        <v>3147</v>
      </c>
      <c r="AR1126" s="111">
        <v>44901.795138888891</v>
      </c>
      <c r="AS1126" s="110" t="s">
        <v>811</v>
      </c>
      <c r="AT1126" s="110" t="s">
        <v>3144</v>
      </c>
      <c r="AU1126" s="110">
        <v>0.79513888888888884</v>
      </c>
      <c r="AV1126" s="52">
        <v>1</v>
      </c>
      <c r="AW1126" s="109" t="s">
        <v>66</v>
      </c>
      <c r="AX1126" s="52"/>
      <c r="AY1126" s="52"/>
      <c r="AZ1126" s="52"/>
      <c r="BA1126" s="52"/>
    </row>
    <row r="1127" spans="1:53" x14ac:dyDescent="0.25">
      <c r="A1127" s="121">
        <v>84</v>
      </c>
      <c r="B1127" s="120">
        <v>44901.395833333336</v>
      </c>
      <c r="C1127" s="114">
        <v>0.39930555555555558</v>
      </c>
      <c r="D1127" s="114">
        <v>0.40625</v>
      </c>
      <c r="E1127" s="114">
        <v>0.4375</v>
      </c>
      <c r="F1127" s="115" t="s">
        <v>171</v>
      </c>
      <c r="G1127" s="115" t="s">
        <v>95</v>
      </c>
      <c r="H1127" s="119" t="s">
        <v>195</v>
      </c>
      <c r="I1127" s="119" t="s">
        <v>195</v>
      </c>
      <c r="J1127" s="119" t="s">
        <v>37</v>
      </c>
      <c r="K1127" s="113" t="s">
        <v>180</v>
      </c>
      <c r="L1127" s="113" t="s">
        <v>209</v>
      </c>
      <c r="M1127" s="115" t="s">
        <v>3091</v>
      </c>
      <c r="N1127" s="115" t="s">
        <v>42</v>
      </c>
      <c r="O1127" s="115" t="s">
        <v>3092</v>
      </c>
      <c r="P1127" s="115">
        <v>2101090232</v>
      </c>
      <c r="Q1127" s="303">
        <f t="shared" si="101"/>
        <v>4</v>
      </c>
      <c r="R1127" s="303">
        <f t="shared" si="102"/>
        <v>810</v>
      </c>
      <c r="S1127" s="115">
        <v>0</v>
      </c>
      <c r="T1127" s="115">
        <v>0</v>
      </c>
      <c r="U1127" s="115">
        <v>4</v>
      </c>
      <c r="V1127" s="115">
        <v>810</v>
      </c>
      <c r="W1127" s="115">
        <v>900</v>
      </c>
      <c r="X1127" s="115">
        <v>114</v>
      </c>
      <c r="Y1127" s="115">
        <v>80</v>
      </c>
      <c r="Z1127" s="115">
        <v>110</v>
      </c>
      <c r="AA1127" s="115">
        <v>1</v>
      </c>
      <c r="AB1127" s="300">
        <f t="shared" si="103"/>
        <v>167.2</v>
      </c>
      <c r="AC1127" s="300">
        <f t="shared" si="104"/>
        <v>1.0072289156626506</v>
      </c>
      <c r="AD1127" s="115">
        <v>33982.800000000003</v>
      </c>
      <c r="AE1127" s="115" t="s">
        <v>109</v>
      </c>
      <c r="AF1127" s="115" t="s">
        <v>317</v>
      </c>
      <c r="AG1127" s="115" t="s">
        <v>317</v>
      </c>
      <c r="AH1127" s="115" t="s">
        <v>3093</v>
      </c>
      <c r="AI1127" s="309"/>
      <c r="AJ1127" s="309"/>
      <c r="AK1127" s="115" t="s">
        <v>41</v>
      </c>
      <c r="AL1127" s="115" t="s">
        <v>54</v>
      </c>
      <c r="AM1127" s="299">
        <f t="shared" ca="1" si="100"/>
        <v>3.0659722222189885</v>
      </c>
      <c r="AN1127" s="51"/>
      <c r="AO1127" s="104" t="s">
        <v>132</v>
      </c>
      <c r="AP1127" s="106" t="s">
        <v>3091</v>
      </c>
      <c r="AQ1127" s="104" t="s">
        <v>3363</v>
      </c>
      <c r="AR1127" s="111">
        <v>44904.461805555555</v>
      </c>
      <c r="AS1127" s="104" t="s">
        <v>117</v>
      </c>
      <c r="AT1127" s="109" t="s">
        <v>225</v>
      </c>
      <c r="AU1127" s="110">
        <v>0.46180555555555558</v>
      </c>
      <c r="AV1127" s="104">
        <v>1</v>
      </c>
      <c r="AW1127" s="109" t="s">
        <v>66</v>
      </c>
      <c r="AX1127" s="52"/>
      <c r="AY1127" s="52"/>
      <c r="AZ1127" s="52"/>
      <c r="BA1127" s="52"/>
    </row>
    <row r="1128" spans="1:53" x14ac:dyDescent="0.25">
      <c r="A1128" s="121">
        <v>84</v>
      </c>
      <c r="B1128" s="120">
        <v>44901.395833333336</v>
      </c>
      <c r="C1128" s="114">
        <v>0.39930555555555558</v>
      </c>
      <c r="D1128" s="114">
        <v>0.40625</v>
      </c>
      <c r="E1128" s="114">
        <v>0.4375</v>
      </c>
      <c r="F1128" s="115" t="s">
        <v>171</v>
      </c>
      <c r="G1128" s="115" t="s">
        <v>95</v>
      </c>
      <c r="H1128" s="113" t="s">
        <v>195</v>
      </c>
      <c r="I1128" s="113" t="s">
        <v>195</v>
      </c>
      <c r="J1128" s="113" t="s">
        <v>37</v>
      </c>
      <c r="K1128" s="113" t="s">
        <v>180</v>
      </c>
      <c r="L1128" s="113" t="s">
        <v>209</v>
      </c>
      <c r="M1128" s="115" t="s">
        <v>3091</v>
      </c>
      <c r="N1128" s="115" t="s">
        <v>42</v>
      </c>
      <c r="O1128" s="115" t="s">
        <v>3092</v>
      </c>
      <c r="P1128" s="115">
        <v>2101090232</v>
      </c>
      <c r="Q1128" s="303">
        <f t="shared" si="101"/>
        <v>0</v>
      </c>
      <c r="R1128" s="303">
        <f t="shared" si="102"/>
        <v>0</v>
      </c>
      <c r="S1128" s="115">
        <v>0</v>
      </c>
      <c r="T1128" s="115">
        <v>0</v>
      </c>
      <c r="U1128" s="115">
        <v>0</v>
      </c>
      <c r="V1128" s="115">
        <v>0</v>
      </c>
      <c r="W1128" s="115">
        <v>0</v>
      </c>
      <c r="X1128" s="115">
        <v>114</v>
      </c>
      <c r="Y1128" s="115">
        <v>80</v>
      </c>
      <c r="Z1128" s="115">
        <v>100</v>
      </c>
      <c r="AA1128" s="115">
        <v>3</v>
      </c>
      <c r="AB1128" s="300">
        <f t="shared" si="103"/>
        <v>456</v>
      </c>
      <c r="AC1128" s="300">
        <f t="shared" si="104"/>
        <v>2.7469879518072289</v>
      </c>
      <c r="AD1128" s="115">
        <v>0</v>
      </c>
      <c r="AE1128" s="115">
        <v>0</v>
      </c>
      <c r="AF1128" s="115" t="s">
        <v>317</v>
      </c>
      <c r="AG1128" s="115" t="s">
        <v>317</v>
      </c>
      <c r="AH1128" s="115" t="s">
        <v>3093</v>
      </c>
      <c r="AI1128" s="309"/>
      <c r="AJ1128" s="309"/>
      <c r="AK1128" s="115" t="s">
        <v>41</v>
      </c>
      <c r="AL1128" s="115" t="s">
        <v>54</v>
      </c>
      <c r="AM1128" s="299">
        <f t="shared" ref="AM1128:AM1191" ca="1" si="105">IF(AP1128="",NOW()-B1128,AR1128-B1128)</f>
        <v>3.0659722222189885</v>
      </c>
      <c r="AN1128" s="51"/>
      <c r="AO1128" s="104" t="s">
        <v>132</v>
      </c>
      <c r="AP1128" s="106" t="s">
        <v>3091</v>
      </c>
      <c r="AQ1128" s="104" t="s">
        <v>3363</v>
      </c>
      <c r="AR1128" s="111">
        <v>44904.461805555555</v>
      </c>
      <c r="AS1128" s="104" t="s">
        <v>117</v>
      </c>
      <c r="AT1128" s="109" t="s">
        <v>225</v>
      </c>
      <c r="AU1128" s="110">
        <v>0.46180555555555558</v>
      </c>
      <c r="AV1128" s="104">
        <v>1</v>
      </c>
      <c r="AW1128" s="109" t="s">
        <v>66</v>
      </c>
      <c r="AX1128" s="52"/>
      <c r="AY1128" s="52"/>
      <c r="AZ1128" s="52"/>
      <c r="BA1128" s="52"/>
    </row>
    <row r="1129" spans="1:53" x14ac:dyDescent="0.25">
      <c r="A1129" s="121">
        <v>85</v>
      </c>
      <c r="B1129" s="120">
        <v>44901.395833333336</v>
      </c>
      <c r="C1129" s="114">
        <v>0.39930555555555558</v>
      </c>
      <c r="D1129" s="114">
        <v>0.40625</v>
      </c>
      <c r="E1129" s="114">
        <v>0.4375</v>
      </c>
      <c r="F1129" s="115" t="s">
        <v>171</v>
      </c>
      <c r="G1129" s="115" t="s">
        <v>95</v>
      </c>
      <c r="H1129" s="113" t="s">
        <v>195</v>
      </c>
      <c r="I1129" s="113" t="s">
        <v>195</v>
      </c>
      <c r="J1129" s="113" t="s">
        <v>37</v>
      </c>
      <c r="K1129" s="113" t="s">
        <v>180</v>
      </c>
      <c r="L1129" s="113" t="s">
        <v>209</v>
      </c>
      <c r="M1129" s="115" t="s">
        <v>3091</v>
      </c>
      <c r="N1129" s="115" t="s">
        <v>42</v>
      </c>
      <c r="O1129" s="115" t="s">
        <v>3094</v>
      </c>
      <c r="P1129" s="115">
        <v>2101090233</v>
      </c>
      <c r="Q1129" s="303">
        <f t="shared" ref="Q1129:Q1192" si="106">S1129+U1129</f>
        <v>2</v>
      </c>
      <c r="R1129" s="303">
        <f t="shared" ref="R1129:R1192" si="107">T1129+V1129</f>
        <v>415</v>
      </c>
      <c r="S1129" s="115">
        <v>0</v>
      </c>
      <c r="T1129" s="115">
        <v>0</v>
      </c>
      <c r="U1129" s="115">
        <v>2</v>
      </c>
      <c r="V1129" s="115">
        <v>415</v>
      </c>
      <c r="W1129" s="115">
        <v>455</v>
      </c>
      <c r="X1129" s="115">
        <v>114</v>
      </c>
      <c r="Y1129" s="115">
        <v>80</v>
      </c>
      <c r="Z1129" s="115">
        <v>79</v>
      </c>
      <c r="AA1129" s="115">
        <v>1</v>
      </c>
      <c r="AB1129" s="300">
        <f t="shared" ref="AB1129:AB1192" si="108">X1129*Y1129*Z1129*AA1129/6000</f>
        <v>120.08</v>
      </c>
      <c r="AC1129" s="300">
        <f t="shared" ref="AC1129:AC1192" si="109">AB1129/166</f>
        <v>0.72337349397590356</v>
      </c>
      <c r="AD1129" s="115">
        <v>15947.04</v>
      </c>
      <c r="AE1129" s="115" t="s">
        <v>109</v>
      </c>
      <c r="AF1129" s="115" t="s">
        <v>317</v>
      </c>
      <c r="AG1129" s="115" t="s">
        <v>317</v>
      </c>
      <c r="AH1129" s="115" t="s">
        <v>3095</v>
      </c>
      <c r="AI1129" s="309"/>
      <c r="AJ1129" s="309"/>
      <c r="AK1129" s="115" t="s">
        <v>41</v>
      </c>
      <c r="AL1129" s="115" t="s">
        <v>54</v>
      </c>
      <c r="AM1129" s="299">
        <f t="shared" ca="1" si="105"/>
        <v>3.0659722222189885</v>
      </c>
      <c r="AN1129" s="51"/>
      <c r="AO1129" s="104" t="s">
        <v>132</v>
      </c>
      <c r="AP1129" s="106" t="s">
        <v>3091</v>
      </c>
      <c r="AQ1129" s="104" t="s">
        <v>3363</v>
      </c>
      <c r="AR1129" s="111">
        <v>44904.461805555555</v>
      </c>
      <c r="AS1129" s="104" t="s">
        <v>117</v>
      </c>
      <c r="AT1129" s="109" t="s">
        <v>225</v>
      </c>
      <c r="AU1129" s="110">
        <v>0.46180555555555558</v>
      </c>
      <c r="AV1129" s="104">
        <v>1</v>
      </c>
      <c r="AW1129" s="109" t="s">
        <v>66</v>
      </c>
      <c r="AX1129" s="52"/>
      <c r="AY1129" s="52"/>
      <c r="AZ1129" s="52"/>
      <c r="BA1129" s="52"/>
    </row>
    <row r="1130" spans="1:53" x14ac:dyDescent="0.25">
      <c r="A1130" s="121">
        <v>85</v>
      </c>
      <c r="B1130" s="120">
        <v>44901.395833333336</v>
      </c>
      <c r="C1130" s="114">
        <v>0.39930555555555558</v>
      </c>
      <c r="D1130" s="114">
        <v>0.40625</v>
      </c>
      <c r="E1130" s="114">
        <v>0.4375</v>
      </c>
      <c r="F1130" s="115" t="s">
        <v>171</v>
      </c>
      <c r="G1130" s="115" t="s">
        <v>95</v>
      </c>
      <c r="H1130" s="113" t="s">
        <v>195</v>
      </c>
      <c r="I1130" s="113" t="s">
        <v>195</v>
      </c>
      <c r="J1130" s="113" t="s">
        <v>37</v>
      </c>
      <c r="K1130" s="113" t="s">
        <v>180</v>
      </c>
      <c r="L1130" s="113" t="s">
        <v>209</v>
      </c>
      <c r="M1130" s="115" t="s">
        <v>3091</v>
      </c>
      <c r="N1130" s="115" t="s">
        <v>42</v>
      </c>
      <c r="O1130" s="115" t="s">
        <v>3094</v>
      </c>
      <c r="P1130" s="115">
        <v>2101090233</v>
      </c>
      <c r="Q1130" s="303">
        <f t="shared" si="106"/>
        <v>0</v>
      </c>
      <c r="R1130" s="303">
        <f t="shared" si="107"/>
        <v>0</v>
      </c>
      <c r="S1130" s="115">
        <v>0</v>
      </c>
      <c r="T1130" s="115">
        <v>0</v>
      </c>
      <c r="U1130" s="115">
        <v>0</v>
      </c>
      <c r="V1130" s="115">
        <v>0</v>
      </c>
      <c r="W1130" s="115">
        <v>0</v>
      </c>
      <c r="X1130" s="115">
        <v>114</v>
      </c>
      <c r="Y1130" s="115">
        <v>80</v>
      </c>
      <c r="Z1130" s="115">
        <v>112</v>
      </c>
      <c r="AA1130" s="115">
        <v>1</v>
      </c>
      <c r="AB1130" s="300">
        <f t="shared" si="108"/>
        <v>170.24</v>
      </c>
      <c r="AC1130" s="300">
        <f t="shared" si="109"/>
        <v>1.0255421686746988</v>
      </c>
      <c r="AD1130" s="115">
        <v>0</v>
      </c>
      <c r="AE1130" s="115">
        <v>0</v>
      </c>
      <c r="AF1130" s="115" t="s">
        <v>317</v>
      </c>
      <c r="AG1130" s="115" t="s">
        <v>317</v>
      </c>
      <c r="AH1130" s="115" t="s">
        <v>3095</v>
      </c>
      <c r="AI1130" s="309"/>
      <c r="AJ1130" s="309"/>
      <c r="AK1130" s="115" t="s">
        <v>41</v>
      </c>
      <c r="AL1130" s="115" t="s">
        <v>54</v>
      </c>
      <c r="AM1130" s="299">
        <f t="shared" ca="1" si="105"/>
        <v>3.0659722222189885</v>
      </c>
      <c r="AN1130" s="51"/>
      <c r="AO1130" s="104" t="s">
        <v>132</v>
      </c>
      <c r="AP1130" s="106" t="s">
        <v>3091</v>
      </c>
      <c r="AQ1130" s="104" t="s">
        <v>3363</v>
      </c>
      <c r="AR1130" s="111">
        <v>44904.461805555555</v>
      </c>
      <c r="AS1130" s="104" t="s">
        <v>117</v>
      </c>
      <c r="AT1130" s="109" t="s">
        <v>225</v>
      </c>
      <c r="AU1130" s="110">
        <v>0.46180555555555558</v>
      </c>
      <c r="AV1130" s="104">
        <v>1</v>
      </c>
      <c r="AW1130" s="109" t="s">
        <v>66</v>
      </c>
      <c r="AX1130" s="52"/>
      <c r="AY1130" s="52"/>
      <c r="AZ1130" s="52"/>
      <c r="BA1130" s="52"/>
    </row>
    <row r="1131" spans="1:53" x14ac:dyDescent="0.25">
      <c r="A1131" s="121">
        <v>86</v>
      </c>
      <c r="B1131" s="120">
        <v>44901.395833333336</v>
      </c>
      <c r="C1131" s="114">
        <v>0.39930555555555558</v>
      </c>
      <c r="D1131" s="114">
        <v>0.40625</v>
      </c>
      <c r="E1131" s="114">
        <v>0.4375</v>
      </c>
      <c r="F1131" s="115" t="s">
        <v>171</v>
      </c>
      <c r="G1131" s="115" t="s">
        <v>95</v>
      </c>
      <c r="H1131" s="113" t="s">
        <v>195</v>
      </c>
      <c r="I1131" s="113" t="s">
        <v>195</v>
      </c>
      <c r="J1131" s="113" t="s">
        <v>37</v>
      </c>
      <c r="K1131" s="113" t="s">
        <v>180</v>
      </c>
      <c r="L1131" s="113" t="s">
        <v>209</v>
      </c>
      <c r="M1131" s="115" t="s">
        <v>3096</v>
      </c>
      <c r="N1131" s="115" t="s">
        <v>42</v>
      </c>
      <c r="O1131" s="115" t="s">
        <v>3097</v>
      </c>
      <c r="P1131" s="115">
        <v>2101090231</v>
      </c>
      <c r="Q1131" s="303">
        <f t="shared" si="106"/>
        <v>3</v>
      </c>
      <c r="R1131" s="303">
        <f t="shared" si="107"/>
        <v>554</v>
      </c>
      <c r="S1131" s="115">
        <v>0</v>
      </c>
      <c r="T1131" s="115">
        <v>0</v>
      </c>
      <c r="U1131" s="115">
        <v>3</v>
      </c>
      <c r="V1131" s="115">
        <v>554</v>
      </c>
      <c r="W1131" s="115">
        <v>555</v>
      </c>
      <c r="X1131" s="115">
        <v>114</v>
      </c>
      <c r="Y1131" s="115">
        <v>80</v>
      </c>
      <c r="Z1131" s="115">
        <v>110</v>
      </c>
      <c r="AA1131" s="115">
        <v>2</v>
      </c>
      <c r="AB1131" s="300">
        <f t="shared" si="108"/>
        <v>334.4</v>
      </c>
      <c r="AC1131" s="300">
        <f t="shared" si="109"/>
        <v>2.0144578313253012</v>
      </c>
      <c r="AD1131" s="115">
        <v>20570.12</v>
      </c>
      <c r="AE1131" s="115" t="s">
        <v>109</v>
      </c>
      <c r="AF1131" s="115" t="s">
        <v>317</v>
      </c>
      <c r="AG1131" s="115" t="s">
        <v>317</v>
      </c>
      <c r="AH1131" s="115" t="s">
        <v>3098</v>
      </c>
      <c r="AI1131" s="309"/>
      <c r="AJ1131" s="309"/>
      <c r="AK1131" s="115" t="s">
        <v>41</v>
      </c>
      <c r="AL1131" s="115" t="s">
        <v>54</v>
      </c>
      <c r="AM1131" s="299">
        <f t="shared" ca="1" si="105"/>
        <v>3.0659722222189885</v>
      </c>
      <c r="AN1131" s="51"/>
      <c r="AO1131" s="104" t="s">
        <v>128</v>
      </c>
      <c r="AP1131" s="106" t="s">
        <v>3096</v>
      </c>
      <c r="AQ1131" s="104" t="s">
        <v>3363</v>
      </c>
      <c r="AR1131" s="111">
        <v>44904.461805555555</v>
      </c>
      <c r="AS1131" s="104" t="s">
        <v>117</v>
      </c>
      <c r="AT1131" s="109" t="s">
        <v>225</v>
      </c>
      <c r="AU1131" s="110">
        <v>0.46180555555555558</v>
      </c>
      <c r="AV1131" s="104">
        <v>1</v>
      </c>
      <c r="AW1131" s="109" t="s">
        <v>66</v>
      </c>
      <c r="AX1131" s="52"/>
      <c r="AY1131" s="52"/>
      <c r="AZ1131" s="52"/>
      <c r="BA1131" s="52"/>
    </row>
    <row r="1132" spans="1:53" x14ac:dyDescent="0.25">
      <c r="A1132" s="121">
        <v>86</v>
      </c>
      <c r="B1132" s="120">
        <v>44901.395833333336</v>
      </c>
      <c r="C1132" s="114">
        <v>0.39930555555555558</v>
      </c>
      <c r="D1132" s="114">
        <v>0.40625</v>
      </c>
      <c r="E1132" s="114">
        <v>0.4375</v>
      </c>
      <c r="F1132" s="115" t="s">
        <v>171</v>
      </c>
      <c r="G1132" s="115" t="s">
        <v>95</v>
      </c>
      <c r="H1132" s="113" t="s">
        <v>195</v>
      </c>
      <c r="I1132" s="113" t="s">
        <v>195</v>
      </c>
      <c r="J1132" s="113" t="s">
        <v>37</v>
      </c>
      <c r="K1132" s="113" t="s">
        <v>180</v>
      </c>
      <c r="L1132" s="113" t="s">
        <v>209</v>
      </c>
      <c r="M1132" s="115" t="s">
        <v>3096</v>
      </c>
      <c r="N1132" s="115" t="s">
        <v>42</v>
      </c>
      <c r="O1132" s="115" t="s">
        <v>3097</v>
      </c>
      <c r="P1132" s="115">
        <v>2101090231</v>
      </c>
      <c r="Q1132" s="303">
        <f t="shared" si="106"/>
        <v>0</v>
      </c>
      <c r="R1132" s="303">
        <f t="shared" si="107"/>
        <v>0</v>
      </c>
      <c r="S1132" s="115">
        <v>0</v>
      </c>
      <c r="T1132" s="115">
        <v>0</v>
      </c>
      <c r="U1132" s="115">
        <v>0</v>
      </c>
      <c r="V1132" s="115">
        <v>0</v>
      </c>
      <c r="W1132" s="115">
        <v>0</v>
      </c>
      <c r="X1132" s="115">
        <v>114</v>
      </c>
      <c r="Y1132" s="115">
        <v>80</v>
      </c>
      <c r="Z1132" s="115">
        <v>82</v>
      </c>
      <c r="AA1132" s="115">
        <v>1</v>
      </c>
      <c r="AB1132" s="300">
        <f t="shared" si="108"/>
        <v>124.64</v>
      </c>
      <c r="AC1132" s="300">
        <f t="shared" si="109"/>
        <v>0.7508433734939759</v>
      </c>
      <c r="AD1132" s="115">
        <v>0</v>
      </c>
      <c r="AE1132" s="115">
        <v>0</v>
      </c>
      <c r="AF1132" s="115" t="s">
        <v>317</v>
      </c>
      <c r="AG1132" s="115" t="s">
        <v>317</v>
      </c>
      <c r="AH1132" s="115" t="s">
        <v>3098</v>
      </c>
      <c r="AI1132" s="309"/>
      <c r="AJ1132" s="309"/>
      <c r="AK1132" s="115" t="s">
        <v>41</v>
      </c>
      <c r="AL1132" s="115" t="s">
        <v>54</v>
      </c>
      <c r="AM1132" s="299">
        <f t="shared" ca="1" si="105"/>
        <v>3.0659722222189885</v>
      </c>
      <c r="AN1132" s="51"/>
      <c r="AO1132" s="104" t="s">
        <v>128</v>
      </c>
      <c r="AP1132" s="106" t="s">
        <v>3096</v>
      </c>
      <c r="AQ1132" s="104" t="s">
        <v>3363</v>
      </c>
      <c r="AR1132" s="111">
        <v>44904.461805555555</v>
      </c>
      <c r="AS1132" s="104" t="s">
        <v>117</v>
      </c>
      <c r="AT1132" s="109" t="s">
        <v>225</v>
      </c>
      <c r="AU1132" s="110">
        <v>0.46180555555555558</v>
      </c>
      <c r="AV1132" s="104">
        <v>1</v>
      </c>
      <c r="AW1132" s="109" t="s">
        <v>66</v>
      </c>
      <c r="AX1132" s="52"/>
      <c r="AY1132" s="52"/>
      <c r="AZ1132" s="52"/>
      <c r="BA1132" s="52"/>
    </row>
    <row r="1133" spans="1:53" x14ac:dyDescent="0.25">
      <c r="A1133" s="121">
        <v>87</v>
      </c>
      <c r="B1133" s="120">
        <v>44901.399305555555</v>
      </c>
      <c r="C1133" s="114">
        <v>0.40625</v>
      </c>
      <c r="D1133" s="114">
        <v>0.41319444444444442</v>
      </c>
      <c r="E1133" s="114">
        <v>0.45833333333333331</v>
      </c>
      <c r="F1133" s="115" t="s">
        <v>170</v>
      </c>
      <c r="G1133" s="115" t="s">
        <v>3099</v>
      </c>
      <c r="H1133" s="113" t="s">
        <v>204</v>
      </c>
      <c r="I1133" s="113" t="s">
        <v>110</v>
      </c>
      <c r="J1133" s="113" t="s">
        <v>37</v>
      </c>
      <c r="K1133" s="113" t="s">
        <v>63</v>
      </c>
      <c r="L1133" s="113" t="s">
        <v>212</v>
      </c>
      <c r="M1133" s="115" t="s">
        <v>3100</v>
      </c>
      <c r="N1133" s="115" t="s">
        <v>186</v>
      </c>
      <c r="O1133" s="115" t="s">
        <v>3101</v>
      </c>
      <c r="P1133" s="115">
        <v>5051984015</v>
      </c>
      <c r="Q1133" s="303">
        <f t="shared" si="106"/>
        <v>2</v>
      </c>
      <c r="R1133" s="303">
        <f t="shared" si="107"/>
        <v>78</v>
      </c>
      <c r="S1133" s="115">
        <v>0</v>
      </c>
      <c r="T1133" s="115">
        <v>0</v>
      </c>
      <c r="U1133" s="115">
        <v>2</v>
      </c>
      <c r="V1133" s="116">
        <v>78</v>
      </c>
      <c r="W1133" s="116">
        <v>104.1</v>
      </c>
      <c r="X1133" s="115">
        <v>38</v>
      </c>
      <c r="Y1133" s="115">
        <v>26</v>
      </c>
      <c r="Z1133" s="115">
        <v>39</v>
      </c>
      <c r="AA1133" s="115">
        <v>1</v>
      </c>
      <c r="AB1133" s="300">
        <f t="shared" si="108"/>
        <v>6.4219999999999997</v>
      </c>
      <c r="AC1133" s="300">
        <f t="shared" si="109"/>
        <v>3.8686746987951805E-2</v>
      </c>
      <c r="AD1133" s="115">
        <v>944.19</v>
      </c>
      <c r="AE1133" s="115" t="s">
        <v>109</v>
      </c>
      <c r="AF1133" s="115" t="s">
        <v>317</v>
      </c>
      <c r="AG1133" s="115" t="s">
        <v>317</v>
      </c>
      <c r="AH1133" s="115" t="s">
        <v>3102</v>
      </c>
      <c r="AI1133" s="309"/>
      <c r="AJ1133" s="309"/>
      <c r="AK1133" s="115" t="s">
        <v>41</v>
      </c>
      <c r="AL1133" s="115" t="s">
        <v>94</v>
      </c>
      <c r="AM1133" s="299">
        <f t="shared" ca="1" si="105"/>
        <v>3.1805555555547471</v>
      </c>
      <c r="AN1133" s="51"/>
      <c r="AO1133" s="104" t="s">
        <v>131</v>
      </c>
      <c r="AP1133" s="106" t="s">
        <v>3100</v>
      </c>
      <c r="AQ1133" s="104" t="s">
        <v>3372</v>
      </c>
      <c r="AR1133" s="111">
        <v>44904.579861111109</v>
      </c>
      <c r="AS1133" s="109" t="s">
        <v>3373</v>
      </c>
      <c r="AT1133" s="109" t="s">
        <v>65</v>
      </c>
      <c r="AU1133" s="110">
        <v>0.57986111111111105</v>
      </c>
      <c r="AV1133" s="104">
        <v>1</v>
      </c>
      <c r="AW1133" s="109" t="s">
        <v>66</v>
      </c>
      <c r="AX1133" s="52"/>
      <c r="AY1133" s="52"/>
      <c r="AZ1133" s="52"/>
      <c r="BA1133" s="52"/>
    </row>
    <row r="1134" spans="1:53" x14ac:dyDescent="0.25">
      <c r="A1134" s="121">
        <v>87</v>
      </c>
      <c r="B1134" s="120">
        <v>44901.399305555555</v>
      </c>
      <c r="C1134" s="114">
        <v>0.40625</v>
      </c>
      <c r="D1134" s="114">
        <v>0.41319444444444442</v>
      </c>
      <c r="E1134" s="114">
        <v>0.45833333333333331</v>
      </c>
      <c r="F1134" s="115" t="s">
        <v>170</v>
      </c>
      <c r="G1134" s="115" t="s">
        <v>3099</v>
      </c>
      <c r="H1134" s="113" t="s">
        <v>204</v>
      </c>
      <c r="I1134" s="113" t="s">
        <v>110</v>
      </c>
      <c r="J1134" s="113" t="s">
        <v>37</v>
      </c>
      <c r="K1134" s="113" t="s">
        <v>63</v>
      </c>
      <c r="L1134" s="113" t="s">
        <v>212</v>
      </c>
      <c r="M1134" s="115" t="s">
        <v>3100</v>
      </c>
      <c r="N1134" s="115" t="s">
        <v>186</v>
      </c>
      <c r="O1134" s="115" t="s">
        <v>3101</v>
      </c>
      <c r="P1134" s="115">
        <v>5051984015</v>
      </c>
      <c r="Q1134" s="303">
        <f t="shared" si="106"/>
        <v>0</v>
      </c>
      <c r="R1134" s="303">
        <f t="shared" si="107"/>
        <v>0</v>
      </c>
      <c r="S1134" s="115">
        <v>0</v>
      </c>
      <c r="T1134" s="115">
        <v>0</v>
      </c>
      <c r="U1134" s="115">
        <v>0</v>
      </c>
      <c r="V1134" s="115">
        <v>0</v>
      </c>
      <c r="W1134" s="115">
        <v>0</v>
      </c>
      <c r="X1134" s="115">
        <v>39</v>
      </c>
      <c r="Y1134" s="115">
        <v>32</v>
      </c>
      <c r="Z1134" s="115">
        <v>32</v>
      </c>
      <c r="AA1134" s="115">
        <v>1</v>
      </c>
      <c r="AB1134" s="300">
        <f t="shared" si="108"/>
        <v>6.6559999999999997</v>
      </c>
      <c r="AC1134" s="300">
        <f t="shared" si="109"/>
        <v>4.0096385542168676E-2</v>
      </c>
      <c r="AD1134" s="115">
        <v>0</v>
      </c>
      <c r="AE1134" s="115">
        <v>0</v>
      </c>
      <c r="AF1134" s="115" t="s">
        <v>317</v>
      </c>
      <c r="AG1134" s="115" t="s">
        <v>317</v>
      </c>
      <c r="AH1134" s="115" t="s">
        <v>3102</v>
      </c>
      <c r="AI1134" s="309"/>
      <c r="AJ1134" s="309"/>
      <c r="AK1134" s="115" t="s">
        <v>41</v>
      </c>
      <c r="AL1134" s="115" t="s">
        <v>94</v>
      </c>
      <c r="AM1134" s="299">
        <f t="shared" ca="1" si="105"/>
        <v>3.1805555555547471</v>
      </c>
      <c r="AN1134" s="51"/>
      <c r="AO1134" s="104" t="s">
        <v>131</v>
      </c>
      <c r="AP1134" s="106" t="s">
        <v>3100</v>
      </c>
      <c r="AQ1134" s="104" t="s">
        <v>3372</v>
      </c>
      <c r="AR1134" s="111">
        <v>44904.579861111109</v>
      </c>
      <c r="AS1134" s="109" t="s">
        <v>3373</v>
      </c>
      <c r="AT1134" s="109" t="s">
        <v>65</v>
      </c>
      <c r="AU1134" s="110">
        <v>0.57986111111111105</v>
      </c>
      <c r="AV1134" s="104">
        <v>1</v>
      </c>
      <c r="AW1134" s="109" t="s">
        <v>66</v>
      </c>
      <c r="AX1134" s="52"/>
      <c r="AY1134" s="52"/>
      <c r="AZ1134" s="52"/>
      <c r="BA1134" s="52"/>
    </row>
    <row r="1135" spans="1:53" x14ac:dyDescent="0.25">
      <c r="A1135" s="121">
        <v>88</v>
      </c>
      <c r="B1135" s="120">
        <v>44901.399305555555</v>
      </c>
      <c r="C1135" s="114">
        <v>0.40625</v>
      </c>
      <c r="D1135" s="114">
        <v>0.41319444444444442</v>
      </c>
      <c r="E1135" s="114">
        <v>0.45833333333333331</v>
      </c>
      <c r="F1135" s="115" t="s">
        <v>170</v>
      </c>
      <c r="G1135" s="115" t="s">
        <v>3099</v>
      </c>
      <c r="H1135" s="113" t="s">
        <v>204</v>
      </c>
      <c r="I1135" s="113" t="s">
        <v>110</v>
      </c>
      <c r="J1135" s="113" t="s">
        <v>37</v>
      </c>
      <c r="K1135" s="113" t="s">
        <v>63</v>
      </c>
      <c r="L1135" s="113" t="s">
        <v>212</v>
      </c>
      <c r="M1135" s="115" t="s">
        <v>3103</v>
      </c>
      <c r="N1135" s="115" t="s">
        <v>158</v>
      </c>
      <c r="O1135" s="115" t="s">
        <v>3104</v>
      </c>
      <c r="P1135" s="115">
        <v>5051915333</v>
      </c>
      <c r="Q1135" s="303">
        <f t="shared" si="106"/>
        <v>2</v>
      </c>
      <c r="R1135" s="303">
        <f t="shared" si="107"/>
        <v>444</v>
      </c>
      <c r="S1135" s="115">
        <v>0</v>
      </c>
      <c r="T1135" s="115">
        <v>0</v>
      </c>
      <c r="U1135" s="115">
        <v>2</v>
      </c>
      <c r="V1135" s="115">
        <v>444</v>
      </c>
      <c r="W1135" s="115">
        <v>398</v>
      </c>
      <c r="X1135" s="115">
        <v>67</v>
      </c>
      <c r="Y1135" s="115">
        <v>54</v>
      </c>
      <c r="Z1135" s="115">
        <v>85</v>
      </c>
      <c r="AA1135" s="115">
        <v>1</v>
      </c>
      <c r="AB1135" s="300">
        <f t="shared" si="108"/>
        <v>51.255000000000003</v>
      </c>
      <c r="AC1135" s="300">
        <f t="shared" si="109"/>
        <v>0.3087650602409639</v>
      </c>
      <c r="AD1135" s="115">
        <v>8243.27</v>
      </c>
      <c r="AE1135" s="115" t="s">
        <v>109</v>
      </c>
      <c r="AF1135" s="115" t="s">
        <v>317</v>
      </c>
      <c r="AG1135" s="115" t="s">
        <v>317</v>
      </c>
      <c r="AH1135" s="115" t="s">
        <v>3105</v>
      </c>
      <c r="AI1135" s="309"/>
      <c r="AJ1135" s="309"/>
      <c r="AK1135" s="115" t="s">
        <v>41</v>
      </c>
      <c r="AL1135" s="115" t="s">
        <v>94</v>
      </c>
      <c r="AM1135" s="299">
        <f t="shared" ca="1" si="105"/>
        <v>2.1423611111094942</v>
      </c>
      <c r="AN1135" s="51"/>
      <c r="AO1135" s="104" t="s">
        <v>159</v>
      </c>
      <c r="AP1135" s="106" t="s">
        <v>3103</v>
      </c>
      <c r="AQ1135" s="104" t="s">
        <v>3310</v>
      </c>
      <c r="AR1135" s="111">
        <v>44903.541666666664</v>
      </c>
      <c r="AS1135" s="104" t="s">
        <v>117</v>
      </c>
      <c r="AT1135" s="109" t="s">
        <v>225</v>
      </c>
      <c r="AU1135" s="110">
        <v>0.54166666666666663</v>
      </c>
      <c r="AV1135" s="104">
        <v>1</v>
      </c>
      <c r="AW1135" s="109" t="s">
        <v>66</v>
      </c>
      <c r="AX1135" s="52"/>
      <c r="AY1135" s="52"/>
      <c r="AZ1135" s="52"/>
      <c r="BA1135" s="52"/>
    </row>
    <row r="1136" spans="1:53" x14ac:dyDescent="0.25">
      <c r="A1136" s="121">
        <v>88</v>
      </c>
      <c r="B1136" s="120">
        <v>44901.399305555555</v>
      </c>
      <c r="C1136" s="114">
        <v>0.40625</v>
      </c>
      <c r="D1136" s="114">
        <v>0.41319444444444442</v>
      </c>
      <c r="E1136" s="114">
        <v>0.45833333333333331</v>
      </c>
      <c r="F1136" s="115" t="s">
        <v>170</v>
      </c>
      <c r="G1136" s="115" t="s">
        <v>3099</v>
      </c>
      <c r="H1136" s="113" t="s">
        <v>204</v>
      </c>
      <c r="I1136" s="113" t="s">
        <v>110</v>
      </c>
      <c r="J1136" s="113" t="s">
        <v>37</v>
      </c>
      <c r="K1136" s="113" t="s">
        <v>63</v>
      </c>
      <c r="L1136" s="113" t="s">
        <v>212</v>
      </c>
      <c r="M1136" s="115" t="s">
        <v>3103</v>
      </c>
      <c r="N1136" s="115" t="s">
        <v>158</v>
      </c>
      <c r="O1136" s="115" t="s">
        <v>3104</v>
      </c>
      <c r="P1136" s="115">
        <v>5051915333</v>
      </c>
      <c r="Q1136" s="303">
        <f t="shared" si="106"/>
        <v>0</v>
      </c>
      <c r="R1136" s="303">
        <f t="shared" si="107"/>
        <v>0</v>
      </c>
      <c r="S1136" s="115">
        <v>0</v>
      </c>
      <c r="T1136" s="115">
        <v>0</v>
      </c>
      <c r="U1136" s="115">
        <v>0</v>
      </c>
      <c r="V1136" s="115">
        <v>0</v>
      </c>
      <c r="W1136" s="115">
        <v>0</v>
      </c>
      <c r="X1136" s="115">
        <v>67</v>
      </c>
      <c r="Y1136" s="115">
        <v>50</v>
      </c>
      <c r="Z1136" s="115">
        <v>62</v>
      </c>
      <c r="AA1136" s="115">
        <v>1</v>
      </c>
      <c r="AB1136" s="300">
        <f t="shared" si="108"/>
        <v>34.616666666666667</v>
      </c>
      <c r="AC1136" s="300">
        <f t="shared" si="109"/>
        <v>0.20853413654618475</v>
      </c>
      <c r="AD1136" s="115">
        <v>0</v>
      </c>
      <c r="AE1136" s="115">
        <v>0</v>
      </c>
      <c r="AF1136" s="115" t="s">
        <v>317</v>
      </c>
      <c r="AG1136" s="115" t="s">
        <v>317</v>
      </c>
      <c r="AH1136" s="115" t="s">
        <v>3105</v>
      </c>
      <c r="AI1136" s="309"/>
      <c r="AJ1136" s="309"/>
      <c r="AK1136" s="115" t="s">
        <v>41</v>
      </c>
      <c r="AL1136" s="115" t="s">
        <v>94</v>
      </c>
      <c r="AM1136" s="299">
        <f t="shared" ca="1" si="105"/>
        <v>2.1423611111094942</v>
      </c>
      <c r="AN1136" s="51"/>
      <c r="AO1136" s="104" t="s">
        <v>159</v>
      </c>
      <c r="AP1136" s="106" t="s">
        <v>3103</v>
      </c>
      <c r="AQ1136" s="104" t="s">
        <v>3310</v>
      </c>
      <c r="AR1136" s="111">
        <v>44903.541666666664</v>
      </c>
      <c r="AS1136" s="104" t="s">
        <v>117</v>
      </c>
      <c r="AT1136" s="109" t="s">
        <v>225</v>
      </c>
      <c r="AU1136" s="110">
        <v>0.54166666666666663</v>
      </c>
      <c r="AV1136" s="104">
        <v>1</v>
      </c>
      <c r="AW1136" s="109" t="s">
        <v>66</v>
      </c>
      <c r="AX1136" s="52"/>
      <c r="AY1136" s="52"/>
      <c r="AZ1136" s="52"/>
      <c r="BA1136" s="52"/>
    </row>
    <row r="1137" spans="1:53" x14ac:dyDescent="0.25">
      <c r="A1137" s="121">
        <v>89</v>
      </c>
      <c r="B1137" s="120">
        <v>44901.399305555555</v>
      </c>
      <c r="C1137" s="114">
        <v>0.40625</v>
      </c>
      <c r="D1137" s="114">
        <v>0.41319444444444442</v>
      </c>
      <c r="E1137" s="114">
        <v>0.45833333333333331</v>
      </c>
      <c r="F1137" s="115" t="s">
        <v>170</v>
      </c>
      <c r="G1137" s="115" t="s">
        <v>3099</v>
      </c>
      <c r="H1137" s="113" t="s">
        <v>204</v>
      </c>
      <c r="I1137" s="113" t="s">
        <v>110</v>
      </c>
      <c r="J1137" s="113" t="s">
        <v>37</v>
      </c>
      <c r="K1137" s="113" t="s">
        <v>63</v>
      </c>
      <c r="L1137" s="113" t="s">
        <v>212</v>
      </c>
      <c r="M1137" s="115" t="s">
        <v>3106</v>
      </c>
      <c r="N1137" s="115" t="s">
        <v>59</v>
      </c>
      <c r="O1137" s="115" t="s">
        <v>3107</v>
      </c>
      <c r="P1137" s="115">
        <v>5051948620</v>
      </c>
      <c r="Q1137" s="303">
        <f t="shared" si="106"/>
        <v>1</v>
      </c>
      <c r="R1137" s="303">
        <f t="shared" si="107"/>
        <v>120</v>
      </c>
      <c r="S1137" s="115">
        <v>0</v>
      </c>
      <c r="T1137" s="115">
        <v>0</v>
      </c>
      <c r="U1137" s="115">
        <v>1</v>
      </c>
      <c r="V1137" s="116">
        <v>120</v>
      </c>
      <c r="W1137" s="116">
        <v>140</v>
      </c>
      <c r="X1137" s="115">
        <v>54</v>
      </c>
      <c r="Y1137" s="115">
        <v>52</v>
      </c>
      <c r="Z1137" s="115">
        <v>50</v>
      </c>
      <c r="AA1137" s="115">
        <v>1</v>
      </c>
      <c r="AB1137" s="300">
        <f t="shared" si="108"/>
        <v>23.4</v>
      </c>
      <c r="AC1137" s="300">
        <f t="shared" si="109"/>
        <v>0.14096385542168674</v>
      </c>
      <c r="AD1137" s="115">
        <v>4667</v>
      </c>
      <c r="AE1137" s="115" t="s">
        <v>109</v>
      </c>
      <c r="AF1137" s="115" t="s">
        <v>317</v>
      </c>
      <c r="AG1137" s="115" t="s">
        <v>317</v>
      </c>
      <c r="AH1137" s="115" t="s">
        <v>3108</v>
      </c>
      <c r="AI1137" s="309"/>
      <c r="AJ1137" s="309"/>
      <c r="AK1137" s="115" t="s">
        <v>41</v>
      </c>
      <c r="AL1137" s="115" t="s">
        <v>94</v>
      </c>
      <c r="AM1137" s="299">
        <f t="shared" ca="1" si="105"/>
        <v>3.4027777777810115</v>
      </c>
      <c r="AN1137" s="51"/>
      <c r="AO1137" s="104" t="s">
        <v>70</v>
      </c>
      <c r="AP1137" s="106" t="s">
        <v>3106</v>
      </c>
      <c r="AQ1137" s="104" t="s">
        <v>3384</v>
      </c>
      <c r="AR1137" s="111">
        <v>44904.802083333336</v>
      </c>
      <c r="AS1137" s="109" t="s">
        <v>1203</v>
      </c>
      <c r="AT1137" s="109" t="s">
        <v>122</v>
      </c>
      <c r="AU1137" s="110">
        <v>0.80208333333333337</v>
      </c>
      <c r="AV1137" s="104">
        <v>1</v>
      </c>
      <c r="AW1137" s="109" t="s">
        <v>66</v>
      </c>
      <c r="AX1137" s="52"/>
      <c r="AY1137" s="52"/>
      <c r="AZ1137" s="52"/>
      <c r="BA1137" s="52"/>
    </row>
    <row r="1138" spans="1:53" x14ac:dyDescent="0.25">
      <c r="A1138" s="121">
        <v>90</v>
      </c>
      <c r="B1138" s="120">
        <v>44901.416666666664</v>
      </c>
      <c r="C1138" s="114">
        <v>0.41666666666666669</v>
      </c>
      <c r="D1138" s="114">
        <v>0.4236111111111111</v>
      </c>
      <c r="E1138" s="114">
        <v>0.44791666666666669</v>
      </c>
      <c r="F1138" s="115" t="s">
        <v>171</v>
      </c>
      <c r="G1138" s="115" t="s">
        <v>3109</v>
      </c>
      <c r="H1138" s="113" t="s">
        <v>199</v>
      </c>
      <c r="I1138" s="113" t="s">
        <v>174</v>
      </c>
      <c r="J1138" s="113" t="s">
        <v>37</v>
      </c>
      <c r="K1138" s="113" t="s">
        <v>180</v>
      </c>
      <c r="L1138" s="118" t="s">
        <v>206</v>
      </c>
      <c r="M1138" s="115" t="s">
        <v>3110</v>
      </c>
      <c r="N1138" s="115" t="s">
        <v>42</v>
      </c>
      <c r="O1138" s="115">
        <v>274010787</v>
      </c>
      <c r="P1138" s="115" t="s">
        <v>3111</v>
      </c>
      <c r="Q1138" s="303">
        <f t="shared" si="106"/>
        <v>7</v>
      </c>
      <c r="R1138" s="303">
        <f t="shared" si="107"/>
        <v>828</v>
      </c>
      <c r="S1138" s="115">
        <v>2</v>
      </c>
      <c r="T1138" s="115">
        <v>34</v>
      </c>
      <c r="U1138" s="115">
        <v>5</v>
      </c>
      <c r="V1138" s="115">
        <v>794</v>
      </c>
      <c r="W1138" s="115">
        <v>834.66</v>
      </c>
      <c r="X1138" s="115">
        <v>123</v>
      </c>
      <c r="Y1138" s="115">
        <v>83</v>
      </c>
      <c r="Z1138" s="115">
        <v>77</v>
      </c>
      <c r="AA1138" s="115">
        <v>3</v>
      </c>
      <c r="AB1138" s="300">
        <f t="shared" si="108"/>
        <v>393.04649999999998</v>
      </c>
      <c r="AC1138" s="300">
        <f t="shared" si="109"/>
        <v>2.36775</v>
      </c>
      <c r="AD1138" s="115">
        <v>21779.759999999998</v>
      </c>
      <c r="AE1138" s="115" t="s">
        <v>109</v>
      </c>
      <c r="AF1138" s="115" t="s">
        <v>317</v>
      </c>
      <c r="AG1138" s="115" t="s">
        <v>317</v>
      </c>
      <c r="AH1138" s="115" t="s">
        <v>3112</v>
      </c>
      <c r="AI1138" s="309"/>
      <c r="AJ1138" s="309"/>
      <c r="AK1138" s="115" t="s">
        <v>37</v>
      </c>
      <c r="AL1138" s="115" t="s">
        <v>58</v>
      </c>
      <c r="AM1138" s="299">
        <f t="shared" ca="1" si="105"/>
        <v>0.30555555555474712</v>
      </c>
      <c r="AN1138" s="51"/>
      <c r="AO1138" s="104" t="s">
        <v>232</v>
      </c>
      <c r="AP1138" s="106" t="s">
        <v>3110</v>
      </c>
      <c r="AQ1138" s="104" t="s">
        <v>3137</v>
      </c>
      <c r="AR1138" s="64">
        <v>44901.722222222219</v>
      </c>
      <c r="AS1138" s="104" t="s">
        <v>117</v>
      </c>
      <c r="AT1138" s="109" t="s">
        <v>225</v>
      </c>
      <c r="AU1138" s="110">
        <v>0.72222222222222221</v>
      </c>
      <c r="AV1138" s="109">
        <v>2</v>
      </c>
      <c r="AW1138" s="109" t="s">
        <v>66</v>
      </c>
      <c r="AX1138" s="52"/>
      <c r="AY1138" s="52"/>
      <c r="AZ1138" s="52"/>
      <c r="BA1138" s="52"/>
    </row>
    <row r="1139" spans="1:53" x14ac:dyDescent="0.25">
      <c r="A1139" s="121">
        <v>90</v>
      </c>
      <c r="B1139" s="120">
        <v>44901.416666666664</v>
      </c>
      <c r="C1139" s="114">
        <v>0.41666666666666669</v>
      </c>
      <c r="D1139" s="114">
        <v>0.4236111111111111</v>
      </c>
      <c r="E1139" s="114">
        <v>0.44791666666666669</v>
      </c>
      <c r="F1139" s="115" t="s">
        <v>171</v>
      </c>
      <c r="G1139" s="115" t="s">
        <v>3109</v>
      </c>
      <c r="H1139" s="113" t="s">
        <v>199</v>
      </c>
      <c r="I1139" s="113" t="s">
        <v>174</v>
      </c>
      <c r="J1139" s="113" t="s">
        <v>37</v>
      </c>
      <c r="K1139" s="113" t="s">
        <v>180</v>
      </c>
      <c r="L1139" s="118" t="s">
        <v>206</v>
      </c>
      <c r="M1139" s="115" t="s">
        <v>3110</v>
      </c>
      <c r="N1139" s="115" t="s">
        <v>42</v>
      </c>
      <c r="O1139" s="115">
        <v>274010787</v>
      </c>
      <c r="P1139" s="115" t="s">
        <v>3111</v>
      </c>
      <c r="Q1139" s="303">
        <f t="shared" si="106"/>
        <v>0</v>
      </c>
      <c r="R1139" s="303">
        <f t="shared" si="107"/>
        <v>0</v>
      </c>
      <c r="S1139" s="115">
        <v>0</v>
      </c>
      <c r="T1139" s="115">
        <v>0</v>
      </c>
      <c r="U1139" s="115">
        <v>0</v>
      </c>
      <c r="V1139" s="115">
        <v>0</v>
      </c>
      <c r="W1139" s="115">
        <v>0</v>
      </c>
      <c r="X1139" s="115">
        <v>123</v>
      </c>
      <c r="Y1139" s="115">
        <v>83</v>
      </c>
      <c r="Z1139" s="115">
        <v>75</v>
      </c>
      <c r="AA1139" s="115">
        <v>2</v>
      </c>
      <c r="AB1139" s="300">
        <f t="shared" si="108"/>
        <v>255.22499999999999</v>
      </c>
      <c r="AC1139" s="300">
        <f t="shared" si="109"/>
        <v>1.5374999999999999</v>
      </c>
      <c r="AD1139" s="115">
        <v>0</v>
      </c>
      <c r="AE1139" s="115">
        <v>0</v>
      </c>
      <c r="AF1139" s="115" t="s">
        <v>317</v>
      </c>
      <c r="AG1139" s="115" t="s">
        <v>317</v>
      </c>
      <c r="AH1139" s="115" t="s">
        <v>3112</v>
      </c>
      <c r="AI1139" s="309"/>
      <c r="AJ1139" s="309"/>
      <c r="AK1139" s="115" t="s">
        <v>37</v>
      </c>
      <c r="AL1139" s="115" t="s">
        <v>58</v>
      </c>
      <c r="AM1139" s="299">
        <f t="shared" ca="1" si="105"/>
        <v>0.30555555555474712</v>
      </c>
      <c r="AN1139" s="51"/>
      <c r="AO1139" s="104" t="s">
        <v>232</v>
      </c>
      <c r="AP1139" s="106" t="s">
        <v>3110</v>
      </c>
      <c r="AQ1139" s="104" t="s">
        <v>3137</v>
      </c>
      <c r="AR1139" s="64">
        <v>44901.722222222219</v>
      </c>
      <c r="AS1139" s="104" t="s">
        <v>117</v>
      </c>
      <c r="AT1139" s="109" t="s">
        <v>225</v>
      </c>
      <c r="AU1139" s="110">
        <v>0.72222222222222221</v>
      </c>
      <c r="AV1139" s="109">
        <v>2</v>
      </c>
      <c r="AW1139" s="109" t="s">
        <v>66</v>
      </c>
      <c r="AX1139" s="52"/>
      <c r="AY1139" s="52"/>
      <c r="AZ1139" s="52"/>
      <c r="BA1139" s="52"/>
    </row>
    <row r="1140" spans="1:53" x14ac:dyDescent="0.25">
      <c r="A1140" s="121">
        <v>90</v>
      </c>
      <c r="B1140" s="120">
        <v>44901.416666666664</v>
      </c>
      <c r="C1140" s="114">
        <v>0.41666666666666669</v>
      </c>
      <c r="D1140" s="114">
        <v>0.4236111111111111</v>
      </c>
      <c r="E1140" s="114">
        <v>0.44791666666666669</v>
      </c>
      <c r="F1140" s="115" t="s">
        <v>171</v>
      </c>
      <c r="G1140" s="115" t="s">
        <v>3109</v>
      </c>
      <c r="H1140" s="113" t="s">
        <v>199</v>
      </c>
      <c r="I1140" s="113" t="s">
        <v>174</v>
      </c>
      <c r="J1140" s="113" t="s">
        <v>37</v>
      </c>
      <c r="K1140" s="113" t="s">
        <v>180</v>
      </c>
      <c r="L1140" s="118" t="s">
        <v>206</v>
      </c>
      <c r="M1140" s="115" t="s">
        <v>3110</v>
      </c>
      <c r="N1140" s="115" t="s">
        <v>42</v>
      </c>
      <c r="O1140" s="115">
        <v>274010787</v>
      </c>
      <c r="P1140" s="115" t="s">
        <v>3111</v>
      </c>
      <c r="Q1140" s="303">
        <f t="shared" si="106"/>
        <v>0</v>
      </c>
      <c r="R1140" s="303">
        <f t="shared" si="107"/>
        <v>0</v>
      </c>
      <c r="S1140" s="115">
        <v>0</v>
      </c>
      <c r="T1140" s="115">
        <v>0</v>
      </c>
      <c r="U1140" s="115">
        <v>0</v>
      </c>
      <c r="V1140" s="115">
        <v>0</v>
      </c>
      <c r="W1140" s="115">
        <v>0</v>
      </c>
      <c r="X1140" s="115">
        <v>60</v>
      </c>
      <c r="Y1140" s="115">
        <v>40</v>
      </c>
      <c r="Z1140" s="115">
        <v>30</v>
      </c>
      <c r="AA1140" s="115">
        <v>2</v>
      </c>
      <c r="AB1140" s="300">
        <f t="shared" si="108"/>
        <v>24</v>
      </c>
      <c r="AC1140" s="300">
        <f t="shared" si="109"/>
        <v>0.14457831325301204</v>
      </c>
      <c r="AD1140" s="115">
        <v>0</v>
      </c>
      <c r="AE1140" s="115">
        <v>0</v>
      </c>
      <c r="AF1140" s="115" t="s">
        <v>317</v>
      </c>
      <c r="AG1140" s="115" t="s">
        <v>317</v>
      </c>
      <c r="AH1140" s="115" t="s">
        <v>3112</v>
      </c>
      <c r="AI1140" s="309"/>
      <c r="AJ1140" s="309"/>
      <c r="AK1140" s="115" t="s">
        <v>48</v>
      </c>
      <c r="AL1140" s="115" t="s">
        <v>39</v>
      </c>
      <c r="AM1140" s="299">
        <f t="shared" ca="1" si="105"/>
        <v>0.30555555555474712</v>
      </c>
      <c r="AN1140" s="51"/>
      <c r="AO1140" s="104" t="s">
        <v>232</v>
      </c>
      <c r="AP1140" s="106" t="s">
        <v>3110</v>
      </c>
      <c r="AQ1140" s="104" t="s">
        <v>3137</v>
      </c>
      <c r="AR1140" s="64">
        <v>44901.722222222219</v>
      </c>
      <c r="AS1140" s="104" t="s">
        <v>117</v>
      </c>
      <c r="AT1140" s="109" t="s">
        <v>225</v>
      </c>
      <c r="AU1140" s="110">
        <v>0.72222222222222221</v>
      </c>
      <c r="AV1140" s="109">
        <v>2</v>
      </c>
      <c r="AW1140" s="109" t="s">
        <v>66</v>
      </c>
      <c r="AX1140" s="52"/>
      <c r="AY1140" s="52"/>
      <c r="AZ1140" s="52"/>
      <c r="BA1140" s="52"/>
    </row>
    <row r="1141" spans="1:53" x14ac:dyDescent="0.25">
      <c r="A1141" s="121">
        <v>91</v>
      </c>
      <c r="B1141" s="120">
        <v>44901.416666666664</v>
      </c>
      <c r="C1141" s="114">
        <v>0.41666666666666669</v>
      </c>
      <c r="D1141" s="114">
        <v>0.4236111111111111</v>
      </c>
      <c r="E1141" s="114">
        <v>0.44791666666666669</v>
      </c>
      <c r="F1141" s="115" t="s">
        <v>171</v>
      </c>
      <c r="G1141" s="115" t="s">
        <v>3109</v>
      </c>
      <c r="H1141" s="113" t="s">
        <v>199</v>
      </c>
      <c r="I1141" s="113" t="s">
        <v>174</v>
      </c>
      <c r="J1141" s="113" t="s">
        <v>37</v>
      </c>
      <c r="K1141" s="113" t="s">
        <v>180</v>
      </c>
      <c r="L1141" s="118" t="s">
        <v>206</v>
      </c>
      <c r="M1141" s="115" t="s">
        <v>3110</v>
      </c>
      <c r="N1141" s="115" t="s">
        <v>42</v>
      </c>
      <c r="O1141" s="115">
        <v>274010818</v>
      </c>
      <c r="P1141" s="115" t="s">
        <v>3113</v>
      </c>
      <c r="Q1141" s="303">
        <f t="shared" si="106"/>
        <v>6</v>
      </c>
      <c r="R1141" s="303">
        <f t="shared" si="107"/>
        <v>84</v>
      </c>
      <c r="S1141" s="115">
        <v>6</v>
      </c>
      <c r="T1141" s="115">
        <v>84</v>
      </c>
      <c r="U1141" s="115">
        <v>0</v>
      </c>
      <c r="V1141" s="115">
        <v>0</v>
      </c>
      <c r="W1141" s="115">
        <v>90.48</v>
      </c>
      <c r="X1141" s="115">
        <v>71</v>
      </c>
      <c r="Y1141" s="115">
        <v>37</v>
      </c>
      <c r="Z1141" s="115">
        <v>37</v>
      </c>
      <c r="AA1141" s="115">
        <v>6</v>
      </c>
      <c r="AB1141" s="300">
        <f t="shared" si="108"/>
        <v>97.198999999999998</v>
      </c>
      <c r="AC1141" s="300">
        <f t="shared" si="109"/>
        <v>0.58553614457831327</v>
      </c>
      <c r="AD1141" s="115">
        <v>5654.4</v>
      </c>
      <c r="AE1141" s="115" t="s">
        <v>109</v>
      </c>
      <c r="AF1141" s="115" t="s">
        <v>317</v>
      </c>
      <c r="AG1141" s="115" t="s">
        <v>317</v>
      </c>
      <c r="AH1141" s="115" t="s">
        <v>3114</v>
      </c>
      <c r="AI1141" s="309"/>
      <c r="AJ1141" s="309"/>
      <c r="AK1141" s="115" t="s">
        <v>48</v>
      </c>
      <c r="AL1141" s="115" t="s">
        <v>39</v>
      </c>
      <c r="AM1141" s="299">
        <f t="shared" ca="1" si="105"/>
        <v>0.30555555555474712</v>
      </c>
      <c r="AN1141" s="51"/>
      <c r="AO1141" s="104" t="s">
        <v>232</v>
      </c>
      <c r="AP1141" s="106" t="s">
        <v>3110</v>
      </c>
      <c r="AQ1141" s="104" t="s">
        <v>3137</v>
      </c>
      <c r="AR1141" s="64">
        <v>44901.722222222219</v>
      </c>
      <c r="AS1141" s="104" t="s">
        <v>117</v>
      </c>
      <c r="AT1141" s="109" t="s">
        <v>225</v>
      </c>
      <c r="AU1141" s="110">
        <v>0.72222222222222221</v>
      </c>
      <c r="AV1141" s="109">
        <v>2</v>
      </c>
      <c r="AW1141" s="109" t="s">
        <v>66</v>
      </c>
      <c r="AX1141" s="52"/>
      <c r="AY1141" s="52"/>
      <c r="AZ1141" s="52"/>
      <c r="BA1141" s="52"/>
    </row>
    <row r="1142" spans="1:53" x14ac:dyDescent="0.25">
      <c r="A1142" s="121">
        <v>92</v>
      </c>
      <c r="B1142" s="120">
        <v>44901.416666666664</v>
      </c>
      <c r="C1142" s="114">
        <v>0.4236111111111111</v>
      </c>
      <c r="D1142" s="114">
        <v>0.42708333333333331</v>
      </c>
      <c r="E1142" s="114">
        <v>0.4513888888888889</v>
      </c>
      <c r="F1142" s="115" t="s">
        <v>171</v>
      </c>
      <c r="G1142" s="115" t="s">
        <v>245</v>
      </c>
      <c r="H1142" s="113" t="s">
        <v>85</v>
      </c>
      <c r="I1142" s="113" t="s">
        <v>174</v>
      </c>
      <c r="J1142" s="113" t="s">
        <v>37</v>
      </c>
      <c r="K1142" s="113" t="s">
        <v>180</v>
      </c>
      <c r="L1142" s="113" t="s">
        <v>207</v>
      </c>
      <c r="M1142" s="115" t="s">
        <v>3115</v>
      </c>
      <c r="N1142" s="115" t="s">
        <v>42</v>
      </c>
      <c r="O1142" s="115" t="s">
        <v>3116</v>
      </c>
      <c r="P1142" s="115" t="s">
        <v>3117</v>
      </c>
      <c r="Q1142" s="303">
        <f t="shared" si="106"/>
        <v>3</v>
      </c>
      <c r="R1142" s="303">
        <f t="shared" si="107"/>
        <v>1135</v>
      </c>
      <c r="S1142" s="115">
        <v>0</v>
      </c>
      <c r="T1142" s="115">
        <v>0</v>
      </c>
      <c r="U1142" s="115">
        <v>3</v>
      </c>
      <c r="V1142" s="115">
        <v>1135</v>
      </c>
      <c r="W1142" s="115">
        <v>1112</v>
      </c>
      <c r="X1142" s="115">
        <v>120</v>
      </c>
      <c r="Y1142" s="115">
        <v>80</v>
      </c>
      <c r="Z1142" s="115">
        <v>70</v>
      </c>
      <c r="AA1142" s="115">
        <v>1</v>
      </c>
      <c r="AB1142" s="300">
        <f t="shared" si="108"/>
        <v>112</v>
      </c>
      <c r="AC1142" s="300">
        <f t="shared" si="109"/>
        <v>0.67469879518072284</v>
      </c>
      <c r="AD1142" s="115">
        <v>13170.66</v>
      </c>
      <c r="AE1142" s="115" t="s">
        <v>109</v>
      </c>
      <c r="AF1142" s="115" t="s">
        <v>317</v>
      </c>
      <c r="AG1142" s="115" t="s">
        <v>317</v>
      </c>
      <c r="AH1142" s="115" t="s">
        <v>3118</v>
      </c>
      <c r="AI1142" s="309"/>
      <c r="AJ1142" s="309"/>
      <c r="AK1142" s="115" t="s">
        <v>37</v>
      </c>
      <c r="AL1142" s="115" t="s">
        <v>49</v>
      </c>
      <c r="AM1142" s="299">
        <f t="shared" ca="1" si="105"/>
        <v>3.0451388888905058</v>
      </c>
      <c r="AN1142" s="51"/>
      <c r="AO1142" s="104" t="s">
        <v>87</v>
      </c>
      <c r="AP1142" s="106" t="s">
        <v>3115</v>
      </c>
      <c r="AQ1142" s="104" t="s">
        <v>3363</v>
      </c>
      <c r="AR1142" s="111">
        <v>44904.461805555555</v>
      </c>
      <c r="AS1142" s="104" t="s">
        <v>117</v>
      </c>
      <c r="AT1142" s="109" t="s">
        <v>225</v>
      </c>
      <c r="AU1142" s="110">
        <v>0.46180555555555558</v>
      </c>
      <c r="AV1142" s="104">
        <v>1</v>
      </c>
      <c r="AW1142" s="109" t="s">
        <v>66</v>
      </c>
      <c r="AX1142" s="52"/>
      <c r="AY1142" s="52"/>
      <c r="AZ1142" s="52"/>
      <c r="BA1142" s="52"/>
    </row>
    <row r="1143" spans="1:53" x14ac:dyDescent="0.25">
      <c r="A1143" s="121">
        <v>92</v>
      </c>
      <c r="B1143" s="120">
        <v>44901.416666666664</v>
      </c>
      <c r="C1143" s="114">
        <v>0.4236111111111111</v>
      </c>
      <c r="D1143" s="114">
        <v>0.42708333333333331</v>
      </c>
      <c r="E1143" s="114">
        <v>0.4513888888888889</v>
      </c>
      <c r="F1143" s="115" t="s">
        <v>171</v>
      </c>
      <c r="G1143" s="115" t="s">
        <v>245</v>
      </c>
      <c r="H1143" s="113" t="s">
        <v>85</v>
      </c>
      <c r="I1143" s="113" t="s">
        <v>174</v>
      </c>
      <c r="J1143" s="113" t="s">
        <v>37</v>
      </c>
      <c r="K1143" s="113" t="s">
        <v>180</v>
      </c>
      <c r="L1143" s="113" t="s">
        <v>207</v>
      </c>
      <c r="M1143" s="115" t="s">
        <v>3115</v>
      </c>
      <c r="N1143" s="115" t="s">
        <v>42</v>
      </c>
      <c r="O1143" s="115" t="s">
        <v>3116</v>
      </c>
      <c r="P1143" s="115" t="s">
        <v>3117</v>
      </c>
      <c r="Q1143" s="303">
        <f t="shared" si="106"/>
        <v>0</v>
      </c>
      <c r="R1143" s="303">
        <f t="shared" si="107"/>
        <v>0</v>
      </c>
      <c r="S1143" s="115">
        <v>0</v>
      </c>
      <c r="T1143" s="115">
        <v>0</v>
      </c>
      <c r="U1143" s="115">
        <v>0</v>
      </c>
      <c r="V1143" s="115">
        <v>0</v>
      </c>
      <c r="W1143" s="115">
        <v>0</v>
      </c>
      <c r="X1143" s="115">
        <v>120</v>
      </c>
      <c r="Y1143" s="115">
        <v>80</v>
      </c>
      <c r="Z1143" s="115">
        <v>79</v>
      </c>
      <c r="AA1143" s="115">
        <v>1</v>
      </c>
      <c r="AB1143" s="300">
        <f t="shared" si="108"/>
        <v>126.4</v>
      </c>
      <c r="AC1143" s="300">
        <f t="shared" si="109"/>
        <v>0.7614457831325302</v>
      </c>
      <c r="AD1143" s="115">
        <v>0</v>
      </c>
      <c r="AE1143" s="115">
        <v>0</v>
      </c>
      <c r="AF1143" s="115" t="s">
        <v>317</v>
      </c>
      <c r="AG1143" s="115" t="s">
        <v>317</v>
      </c>
      <c r="AH1143" s="115" t="s">
        <v>3118</v>
      </c>
      <c r="AI1143" s="309"/>
      <c r="AJ1143" s="309"/>
      <c r="AK1143" s="115" t="s">
        <v>37</v>
      </c>
      <c r="AL1143" s="115" t="s">
        <v>49</v>
      </c>
      <c r="AM1143" s="299">
        <f t="shared" ca="1" si="105"/>
        <v>3.0451388888905058</v>
      </c>
      <c r="AN1143" s="51"/>
      <c r="AO1143" s="104" t="s">
        <v>87</v>
      </c>
      <c r="AP1143" s="106" t="s">
        <v>3115</v>
      </c>
      <c r="AQ1143" s="104" t="s">
        <v>3363</v>
      </c>
      <c r="AR1143" s="111">
        <v>44904.461805555555</v>
      </c>
      <c r="AS1143" s="104" t="s">
        <v>117</v>
      </c>
      <c r="AT1143" s="109" t="s">
        <v>225</v>
      </c>
      <c r="AU1143" s="110">
        <v>0.46180555555555558</v>
      </c>
      <c r="AV1143" s="104">
        <v>1</v>
      </c>
      <c r="AW1143" s="109" t="s">
        <v>66</v>
      </c>
      <c r="AX1143" s="52"/>
      <c r="AY1143" s="52"/>
      <c r="AZ1143" s="52"/>
      <c r="BA1143" s="52"/>
    </row>
    <row r="1144" spans="1:53" x14ac:dyDescent="0.25">
      <c r="A1144" s="121">
        <v>92</v>
      </c>
      <c r="B1144" s="120">
        <v>44901.416666666664</v>
      </c>
      <c r="C1144" s="114">
        <v>0.4236111111111111</v>
      </c>
      <c r="D1144" s="114">
        <v>0.42708333333333331</v>
      </c>
      <c r="E1144" s="114">
        <v>0.4513888888888889</v>
      </c>
      <c r="F1144" s="115" t="s">
        <v>171</v>
      </c>
      <c r="G1144" s="115" t="s">
        <v>245</v>
      </c>
      <c r="H1144" s="113" t="s">
        <v>85</v>
      </c>
      <c r="I1144" s="113" t="s">
        <v>174</v>
      </c>
      <c r="J1144" s="113" t="s">
        <v>37</v>
      </c>
      <c r="K1144" s="113" t="s">
        <v>180</v>
      </c>
      <c r="L1144" s="113" t="s">
        <v>207</v>
      </c>
      <c r="M1144" s="115" t="s">
        <v>3115</v>
      </c>
      <c r="N1144" s="115" t="s">
        <v>42</v>
      </c>
      <c r="O1144" s="115" t="s">
        <v>3116</v>
      </c>
      <c r="P1144" s="115" t="s">
        <v>3117</v>
      </c>
      <c r="Q1144" s="303">
        <f t="shared" si="106"/>
        <v>0</v>
      </c>
      <c r="R1144" s="303">
        <f t="shared" si="107"/>
        <v>0</v>
      </c>
      <c r="S1144" s="115">
        <v>0</v>
      </c>
      <c r="T1144" s="115">
        <v>0</v>
      </c>
      <c r="U1144" s="115">
        <v>0</v>
      </c>
      <c r="V1144" s="115">
        <v>0</v>
      </c>
      <c r="W1144" s="115">
        <v>0</v>
      </c>
      <c r="X1144" s="115">
        <v>120</v>
      </c>
      <c r="Y1144" s="115">
        <v>80</v>
      </c>
      <c r="Z1144" s="115">
        <v>115</v>
      </c>
      <c r="AA1144" s="115">
        <v>1</v>
      </c>
      <c r="AB1144" s="300">
        <f t="shared" si="108"/>
        <v>184</v>
      </c>
      <c r="AC1144" s="300">
        <f t="shared" si="109"/>
        <v>1.1084337349397591</v>
      </c>
      <c r="AD1144" s="115">
        <v>0</v>
      </c>
      <c r="AE1144" s="115">
        <v>0</v>
      </c>
      <c r="AF1144" s="115" t="s">
        <v>317</v>
      </c>
      <c r="AG1144" s="115" t="s">
        <v>317</v>
      </c>
      <c r="AH1144" s="115" t="s">
        <v>3118</v>
      </c>
      <c r="AI1144" s="309"/>
      <c r="AJ1144" s="309"/>
      <c r="AK1144" s="115" t="s">
        <v>37</v>
      </c>
      <c r="AL1144" s="115" t="s">
        <v>49</v>
      </c>
      <c r="AM1144" s="299">
        <f t="shared" ca="1" si="105"/>
        <v>3.0451388888905058</v>
      </c>
      <c r="AN1144" s="51"/>
      <c r="AO1144" s="104" t="s">
        <v>87</v>
      </c>
      <c r="AP1144" s="106" t="s">
        <v>3115</v>
      </c>
      <c r="AQ1144" s="104" t="s">
        <v>3363</v>
      </c>
      <c r="AR1144" s="111">
        <v>44904.461805555555</v>
      </c>
      <c r="AS1144" s="104" t="s">
        <v>117</v>
      </c>
      <c r="AT1144" s="109" t="s">
        <v>225</v>
      </c>
      <c r="AU1144" s="110">
        <v>0.46180555555555558</v>
      </c>
      <c r="AV1144" s="104">
        <v>1</v>
      </c>
      <c r="AW1144" s="109" t="s">
        <v>66</v>
      </c>
      <c r="AX1144" s="52"/>
      <c r="AY1144" s="52"/>
      <c r="AZ1144" s="52"/>
      <c r="BA1144" s="52"/>
    </row>
    <row r="1145" spans="1:53" x14ac:dyDescent="0.25">
      <c r="A1145" s="121">
        <v>93</v>
      </c>
      <c r="B1145" s="120">
        <v>44901.427083333336</v>
      </c>
      <c r="C1145" s="114">
        <v>0.43055555555555558</v>
      </c>
      <c r="D1145" s="114">
        <v>0.4375</v>
      </c>
      <c r="E1145" s="114">
        <v>0.4548611111111111</v>
      </c>
      <c r="F1145" s="115" t="s">
        <v>171</v>
      </c>
      <c r="G1145" s="115" t="s">
        <v>165</v>
      </c>
      <c r="H1145" s="113" t="s">
        <v>3119</v>
      </c>
      <c r="I1145" s="113" t="s">
        <v>92</v>
      </c>
      <c r="J1145" s="113" t="s">
        <v>37</v>
      </c>
      <c r="K1145" s="113" t="s">
        <v>180</v>
      </c>
      <c r="L1145" s="113">
        <v>0</v>
      </c>
      <c r="M1145" s="115" t="s">
        <v>3120</v>
      </c>
      <c r="N1145" s="115" t="s">
        <v>42</v>
      </c>
      <c r="O1145" s="115" t="s">
        <v>3121</v>
      </c>
      <c r="P1145" s="115">
        <v>5051917173</v>
      </c>
      <c r="Q1145" s="303">
        <f t="shared" si="106"/>
        <v>2</v>
      </c>
      <c r="R1145" s="303">
        <f t="shared" si="107"/>
        <v>121</v>
      </c>
      <c r="S1145" s="115">
        <v>0</v>
      </c>
      <c r="T1145" s="115">
        <v>0</v>
      </c>
      <c r="U1145" s="115">
        <v>2</v>
      </c>
      <c r="V1145" s="115">
        <v>121</v>
      </c>
      <c r="W1145" s="115">
        <v>119.9</v>
      </c>
      <c r="X1145" s="115">
        <v>143</v>
      </c>
      <c r="Y1145" s="115">
        <v>46</v>
      </c>
      <c r="Z1145" s="115">
        <v>28</v>
      </c>
      <c r="AA1145" s="115">
        <v>1</v>
      </c>
      <c r="AB1145" s="300">
        <f t="shared" si="108"/>
        <v>30.697333333333333</v>
      </c>
      <c r="AC1145" s="300">
        <f t="shared" si="109"/>
        <v>0.18492369477911647</v>
      </c>
      <c r="AD1145" s="115">
        <v>9352.5300000000007</v>
      </c>
      <c r="AE1145" s="115" t="s">
        <v>109</v>
      </c>
      <c r="AF1145" s="115" t="s">
        <v>317</v>
      </c>
      <c r="AG1145" s="115" t="s">
        <v>317</v>
      </c>
      <c r="AH1145" s="115" t="s">
        <v>3122</v>
      </c>
      <c r="AI1145" s="309"/>
      <c r="AJ1145" s="309"/>
      <c r="AK1145" s="115" t="s">
        <v>37</v>
      </c>
      <c r="AL1145" s="115" t="s">
        <v>49</v>
      </c>
      <c r="AM1145" s="299">
        <f t="shared" ca="1" si="105"/>
        <v>0.29513888888322981</v>
      </c>
      <c r="AN1145" s="51"/>
      <c r="AO1145" s="109" t="s">
        <v>83</v>
      </c>
      <c r="AP1145" s="109" t="s">
        <v>3120</v>
      </c>
      <c r="AQ1145" s="109" t="s">
        <v>3140</v>
      </c>
      <c r="AR1145" s="64">
        <v>44901.722222222219</v>
      </c>
      <c r="AS1145" s="104" t="s">
        <v>117</v>
      </c>
      <c r="AT1145" s="109" t="s">
        <v>225</v>
      </c>
      <c r="AU1145" s="110">
        <v>0.72222222222222221</v>
      </c>
      <c r="AV1145" s="109">
        <v>2</v>
      </c>
      <c r="AW1145" s="109" t="s">
        <v>66</v>
      </c>
      <c r="AX1145" s="52"/>
      <c r="AY1145" s="52"/>
      <c r="AZ1145" s="52"/>
      <c r="BA1145" s="52"/>
    </row>
    <row r="1146" spans="1:53" x14ac:dyDescent="0.25">
      <c r="A1146" s="121">
        <v>93</v>
      </c>
      <c r="B1146" s="120">
        <v>44901.427083333336</v>
      </c>
      <c r="C1146" s="114">
        <v>0.43055555555555558</v>
      </c>
      <c r="D1146" s="114">
        <v>0.4375</v>
      </c>
      <c r="E1146" s="114">
        <v>0.4548611111111111</v>
      </c>
      <c r="F1146" s="115" t="s">
        <v>171</v>
      </c>
      <c r="G1146" s="115" t="s">
        <v>165</v>
      </c>
      <c r="H1146" s="113" t="s">
        <v>3119</v>
      </c>
      <c r="I1146" s="113" t="s">
        <v>92</v>
      </c>
      <c r="J1146" s="113" t="s">
        <v>37</v>
      </c>
      <c r="K1146" s="113" t="s">
        <v>180</v>
      </c>
      <c r="L1146" s="113">
        <v>0</v>
      </c>
      <c r="M1146" s="115" t="s">
        <v>3120</v>
      </c>
      <c r="N1146" s="115" t="s">
        <v>42</v>
      </c>
      <c r="O1146" s="115" t="s">
        <v>3121</v>
      </c>
      <c r="P1146" s="115">
        <v>5051917173</v>
      </c>
      <c r="Q1146" s="303">
        <f t="shared" si="106"/>
        <v>0</v>
      </c>
      <c r="R1146" s="303">
        <f t="shared" si="107"/>
        <v>0</v>
      </c>
      <c r="S1146" s="115">
        <v>0</v>
      </c>
      <c r="T1146" s="115">
        <v>0</v>
      </c>
      <c r="U1146" s="115">
        <v>0</v>
      </c>
      <c r="V1146" s="115">
        <v>0</v>
      </c>
      <c r="W1146" s="115">
        <v>0</v>
      </c>
      <c r="X1146" s="115">
        <v>93</v>
      </c>
      <c r="Y1146" s="115">
        <v>36</v>
      </c>
      <c r="Z1146" s="115">
        <v>44</v>
      </c>
      <c r="AA1146" s="115">
        <v>1</v>
      </c>
      <c r="AB1146" s="300">
        <f t="shared" si="108"/>
        <v>24.552</v>
      </c>
      <c r="AC1146" s="300">
        <f t="shared" si="109"/>
        <v>0.14790361445783132</v>
      </c>
      <c r="AD1146" s="115">
        <v>0</v>
      </c>
      <c r="AE1146" s="115">
        <v>0</v>
      </c>
      <c r="AF1146" s="115" t="s">
        <v>317</v>
      </c>
      <c r="AG1146" s="115" t="s">
        <v>317</v>
      </c>
      <c r="AH1146" s="115" t="s">
        <v>3122</v>
      </c>
      <c r="AI1146" s="309"/>
      <c r="AJ1146" s="309"/>
      <c r="AK1146" s="115" t="s">
        <v>37</v>
      </c>
      <c r="AL1146" s="115" t="s">
        <v>49</v>
      </c>
      <c r="AM1146" s="299">
        <f t="shared" ca="1" si="105"/>
        <v>0.29513888888322981</v>
      </c>
      <c r="AN1146" s="51"/>
      <c r="AO1146" s="109" t="s">
        <v>83</v>
      </c>
      <c r="AP1146" s="109" t="s">
        <v>3120</v>
      </c>
      <c r="AQ1146" s="109" t="s">
        <v>3140</v>
      </c>
      <c r="AR1146" s="64">
        <v>44901.722222222219</v>
      </c>
      <c r="AS1146" s="104" t="s">
        <v>117</v>
      </c>
      <c r="AT1146" s="109" t="s">
        <v>225</v>
      </c>
      <c r="AU1146" s="110">
        <v>0.72222222222222221</v>
      </c>
      <c r="AV1146" s="109">
        <v>2</v>
      </c>
      <c r="AW1146" s="109" t="s">
        <v>66</v>
      </c>
      <c r="AX1146" s="52"/>
      <c r="AY1146" s="52"/>
      <c r="AZ1146" s="52"/>
      <c r="BA1146" s="52"/>
    </row>
    <row r="1147" spans="1:53" s="105" customFormat="1" x14ac:dyDescent="0.25">
      <c r="A1147" s="121">
        <v>94</v>
      </c>
      <c r="B1147" s="120">
        <v>44901.534722222219</v>
      </c>
      <c r="C1147" s="114">
        <v>0.53472222222222221</v>
      </c>
      <c r="D1147" s="114">
        <v>0.53819444444444442</v>
      </c>
      <c r="E1147" s="114">
        <v>0.54166666666666663</v>
      </c>
      <c r="F1147" s="115" t="s">
        <v>170</v>
      </c>
      <c r="G1147" s="115" t="s">
        <v>3078</v>
      </c>
      <c r="H1147" s="107" t="s">
        <v>55</v>
      </c>
      <c r="I1147" s="107" t="s">
        <v>162</v>
      </c>
      <c r="J1147" s="107" t="s">
        <v>37</v>
      </c>
      <c r="K1147" s="119" t="s">
        <v>63</v>
      </c>
      <c r="L1147" s="119" t="s">
        <v>216</v>
      </c>
      <c r="M1147" s="115" t="s">
        <v>3079</v>
      </c>
      <c r="N1147" s="115" t="s">
        <v>158</v>
      </c>
      <c r="O1147" s="115">
        <v>92200889</v>
      </c>
      <c r="P1147" s="115" t="s">
        <v>3080</v>
      </c>
      <c r="Q1147" s="303">
        <f t="shared" si="106"/>
        <v>1</v>
      </c>
      <c r="R1147" s="303">
        <f t="shared" si="107"/>
        <v>151</v>
      </c>
      <c r="S1147" s="115">
        <v>0</v>
      </c>
      <c r="T1147" s="115">
        <v>0</v>
      </c>
      <c r="U1147" s="115">
        <v>1</v>
      </c>
      <c r="V1147" s="115">
        <v>151</v>
      </c>
      <c r="W1147" s="115">
        <v>155.97999999999999</v>
      </c>
      <c r="X1147" s="115">
        <v>86</v>
      </c>
      <c r="Y1147" s="115">
        <v>54</v>
      </c>
      <c r="Z1147" s="115">
        <v>45</v>
      </c>
      <c r="AA1147" s="115">
        <v>1</v>
      </c>
      <c r="AB1147" s="300">
        <f t="shared" si="108"/>
        <v>34.83</v>
      </c>
      <c r="AC1147" s="300">
        <f t="shared" si="109"/>
        <v>0.20981927710843373</v>
      </c>
      <c r="AD1147" s="115">
        <v>1417.89</v>
      </c>
      <c r="AE1147" s="115" t="s">
        <v>109</v>
      </c>
      <c r="AF1147" s="115" t="s">
        <v>317</v>
      </c>
      <c r="AG1147" s="115" t="s">
        <v>317</v>
      </c>
      <c r="AH1147" s="115" t="s">
        <v>3081</v>
      </c>
      <c r="AI1147" s="309"/>
      <c r="AJ1147" s="309"/>
      <c r="AK1147" s="115" t="s">
        <v>37</v>
      </c>
      <c r="AL1147" s="115" t="s">
        <v>49</v>
      </c>
      <c r="AM1147" s="299">
        <f t="shared" ca="1" si="105"/>
        <v>2.0069444444452529</v>
      </c>
      <c r="AN1147" s="122"/>
      <c r="AO1147" s="104" t="s">
        <v>159</v>
      </c>
      <c r="AP1147" s="106" t="s">
        <v>3079</v>
      </c>
      <c r="AQ1147" s="104" t="s">
        <v>3310</v>
      </c>
      <c r="AR1147" s="111">
        <v>44903.541666666664</v>
      </c>
      <c r="AS1147" s="104" t="s">
        <v>117</v>
      </c>
      <c r="AT1147" s="109" t="s">
        <v>225</v>
      </c>
      <c r="AU1147" s="110">
        <v>0.54166666666666663</v>
      </c>
      <c r="AV1147" s="104">
        <v>1</v>
      </c>
      <c r="AW1147" s="109" t="s">
        <v>66</v>
      </c>
      <c r="AX1147" s="123"/>
      <c r="AY1147" s="123"/>
      <c r="AZ1147" s="123"/>
      <c r="BA1147" s="123"/>
    </row>
    <row r="1148" spans="1:53" s="105" customFormat="1" x14ac:dyDescent="0.25">
      <c r="A1148" s="121">
        <v>95</v>
      </c>
      <c r="B1148" s="120">
        <v>44901.534722222219</v>
      </c>
      <c r="C1148" s="114">
        <v>0.53472222222222221</v>
      </c>
      <c r="D1148" s="114">
        <v>0.53819444444444442</v>
      </c>
      <c r="E1148" s="114">
        <v>0.54166666666666663</v>
      </c>
      <c r="F1148" s="115" t="s">
        <v>170</v>
      </c>
      <c r="G1148" s="115" t="s">
        <v>3078</v>
      </c>
      <c r="H1148" s="107" t="s">
        <v>55</v>
      </c>
      <c r="I1148" s="107" t="s">
        <v>162</v>
      </c>
      <c r="J1148" s="107" t="s">
        <v>37</v>
      </c>
      <c r="K1148" s="119" t="s">
        <v>63</v>
      </c>
      <c r="L1148" s="119" t="s">
        <v>216</v>
      </c>
      <c r="M1148" s="115" t="s">
        <v>3082</v>
      </c>
      <c r="N1148" s="115" t="s">
        <v>186</v>
      </c>
      <c r="O1148" s="115">
        <v>92200888</v>
      </c>
      <c r="P1148" s="115" t="s">
        <v>3083</v>
      </c>
      <c r="Q1148" s="303">
        <f t="shared" si="106"/>
        <v>1</v>
      </c>
      <c r="R1148" s="303">
        <f t="shared" si="107"/>
        <v>116</v>
      </c>
      <c r="S1148" s="115">
        <v>0</v>
      </c>
      <c r="T1148" s="115">
        <v>0</v>
      </c>
      <c r="U1148" s="115">
        <v>1</v>
      </c>
      <c r="V1148" s="115">
        <v>116</v>
      </c>
      <c r="W1148" s="115">
        <v>111.4</v>
      </c>
      <c r="X1148" s="115">
        <v>63</v>
      </c>
      <c r="Y1148" s="115">
        <v>60</v>
      </c>
      <c r="Z1148" s="115">
        <v>45</v>
      </c>
      <c r="AA1148" s="115">
        <v>1</v>
      </c>
      <c r="AB1148" s="300">
        <f t="shared" si="108"/>
        <v>28.35</v>
      </c>
      <c r="AC1148" s="300">
        <f t="shared" si="109"/>
        <v>0.17078313253012048</v>
      </c>
      <c r="AD1148" s="115">
        <v>896.51</v>
      </c>
      <c r="AE1148" s="115" t="s">
        <v>109</v>
      </c>
      <c r="AF1148" s="115" t="s">
        <v>317</v>
      </c>
      <c r="AG1148" s="115" t="s">
        <v>317</v>
      </c>
      <c r="AH1148" s="115" t="s">
        <v>3084</v>
      </c>
      <c r="AI1148" s="309"/>
      <c r="AJ1148" s="309"/>
      <c r="AK1148" s="115" t="s">
        <v>37</v>
      </c>
      <c r="AL1148" s="115" t="s">
        <v>49</v>
      </c>
      <c r="AM1148" s="299">
        <f t="shared" ca="1" si="105"/>
        <v>3.0451388888905058</v>
      </c>
      <c r="AN1148" s="122"/>
      <c r="AO1148" s="104" t="s">
        <v>131</v>
      </c>
      <c r="AP1148" s="106" t="s">
        <v>3082</v>
      </c>
      <c r="AQ1148" s="104" t="s">
        <v>3372</v>
      </c>
      <c r="AR1148" s="111">
        <v>44904.579861111109</v>
      </c>
      <c r="AS1148" s="109" t="s">
        <v>3373</v>
      </c>
      <c r="AT1148" s="109" t="s">
        <v>65</v>
      </c>
      <c r="AU1148" s="110">
        <v>0.57986111111111105</v>
      </c>
      <c r="AV1148" s="104">
        <v>1</v>
      </c>
      <c r="AW1148" s="109" t="s">
        <v>66</v>
      </c>
      <c r="AX1148" s="123"/>
      <c r="AY1148" s="123"/>
      <c r="AZ1148" s="123"/>
      <c r="BA1148" s="123"/>
    </row>
    <row r="1149" spans="1:53" s="105" customFormat="1" x14ac:dyDescent="0.25">
      <c r="A1149" s="121">
        <v>96</v>
      </c>
      <c r="B1149" s="120">
        <v>44901.534722222219</v>
      </c>
      <c r="C1149" s="114">
        <v>0.53472222222222221</v>
      </c>
      <c r="D1149" s="114">
        <v>0.53819444444444442</v>
      </c>
      <c r="E1149" s="114">
        <v>0.54166666666666663</v>
      </c>
      <c r="F1149" s="115" t="s">
        <v>170</v>
      </c>
      <c r="G1149" s="115" t="s">
        <v>3078</v>
      </c>
      <c r="H1149" s="107" t="s">
        <v>129</v>
      </c>
      <c r="I1149" s="107" t="s">
        <v>110</v>
      </c>
      <c r="J1149" s="107" t="s">
        <v>37</v>
      </c>
      <c r="K1149" s="113" t="s">
        <v>63</v>
      </c>
      <c r="L1149" s="113" t="s">
        <v>221</v>
      </c>
      <c r="M1149" s="115" t="s">
        <v>3085</v>
      </c>
      <c r="N1149" s="115" t="s">
        <v>186</v>
      </c>
      <c r="O1149" s="115" t="s">
        <v>3086</v>
      </c>
      <c r="P1149" s="115">
        <v>5051978677</v>
      </c>
      <c r="Q1149" s="303">
        <f t="shared" si="106"/>
        <v>1</v>
      </c>
      <c r="R1149" s="303">
        <f t="shared" si="107"/>
        <v>203</v>
      </c>
      <c r="S1149" s="115">
        <v>0</v>
      </c>
      <c r="T1149" s="115">
        <v>0</v>
      </c>
      <c r="U1149" s="115">
        <v>1</v>
      </c>
      <c r="V1149" s="115">
        <v>203</v>
      </c>
      <c r="W1149" s="115">
        <v>200</v>
      </c>
      <c r="X1149" s="115">
        <v>79</v>
      </c>
      <c r="Y1149" s="115">
        <v>79</v>
      </c>
      <c r="Z1149" s="115">
        <v>45</v>
      </c>
      <c r="AA1149" s="115">
        <v>1</v>
      </c>
      <c r="AB1149" s="300">
        <f t="shared" si="108"/>
        <v>46.807499999999997</v>
      </c>
      <c r="AC1149" s="300">
        <f t="shared" si="109"/>
        <v>0.28197289156626504</v>
      </c>
      <c r="AD1149" s="115">
        <v>870</v>
      </c>
      <c r="AE1149" s="115" t="s">
        <v>109</v>
      </c>
      <c r="AF1149" s="115" t="s">
        <v>317</v>
      </c>
      <c r="AG1149" s="115" t="s">
        <v>317</v>
      </c>
      <c r="AH1149" s="115" t="s">
        <v>3087</v>
      </c>
      <c r="AI1149" s="309"/>
      <c r="AJ1149" s="309"/>
      <c r="AK1149" s="115" t="s">
        <v>37</v>
      </c>
      <c r="AL1149" s="115" t="s">
        <v>49</v>
      </c>
      <c r="AM1149" s="299">
        <f t="shared" ca="1" si="105"/>
        <v>3.0451388888905058</v>
      </c>
      <c r="AN1149" s="122"/>
      <c r="AO1149" s="104" t="s">
        <v>131</v>
      </c>
      <c r="AP1149" s="106" t="s">
        <v>3085</v>
      </c>
      <c r="AQ1149" s="104" t="s">
        <v>3372</v>
      </c>
      <c r="AR1149" s="111">
        <v>44904.579861111109</v>
      </c>
      <c r="AS1149" s="109" t="s">
        <v>3373</v>
      </c>
      <c r="AT1149" s="109" t="s">
        <v>65</v>
      </c>
      <c r="AU1149" s="110">
        <v>0.57986111111111105</v>
      </c>
      <c r="AV1149" s="104">
        <v>1</v>
      </c>
      <c r="AW1149" s="109" t="s">
        <v>66</v>
      </c>
      <c r="AX1149" s="123"/>
      <c r="AY1149" s="123"/>
      <c r="AZ1149" s="123"/>
      <c r="BA1149" s="123"/>
    </row>
    <row r="1150" spans="1:53" s="105" customFormat="1" x14ac:dyDescent="0.25">
      <c r="A1150" s="121">
        <v>97</v>
      </c>
      <c r="B1150" s="120">
        <v>44901.534722222219</v>
      </c>
      <c r="C1150" s="114">
        <v>0.53472222222222221</v>
      </c>
      <c r="D1150" s="114">
        <v>0.53819444444444442</v>
      </c>
      <c r="E1150" s="114">
        <v>0.54166666666666663</v>
      </c>
      <c r="F1150" s="115" t="s">
        <v>170</v>
      </c>
      <c r="G1150" s="115" t="s">
        <v>3078</v>
      </c>
      <c r="H1150" s="107" t="s">
        <v>129</v>
      </c>
      <c r="I1150" s="107" t="s">
        <v>71</v>
      </c>
      <c r="J1150" s="107" t="s">
        <v>37</v>
      </c>
      <c r="K1150" s="113" t="s">
        <v>63</v>
      </c>
      <c r="L1150" s="113" t="s">
        <v>221</v>
      </c>
      <c r="M1150" s="115" t="s">
        <v>3088</v>
      </c>
      <c r="N1150" s="115" t="s">
        <v>139</v>
      </c>
      <c r="O1150" s="115" t="s">
        <v>3089</v>
      </c>
      <c r="P1150" s="115">
        <v>5051969151</v>
      </c>
      <c r="Q1150" s="303">
        <f t="shared" si="106"/>
        <v>1</v>
      </c>
      <c r="R1150" s="303">
        <f t="shared" si="107"/>
        <v>349</v>
      </c>
      <c r="S1150" s="115">
        <v>0</v>
      </c>
      <c r="T1150" s="115">
        <v>0</v>
      </c>
      <c r="U1150" s="115">
        <v>1</v>
      </c>
      <c r="V1150" s="115">
        <v>349</v>
      </c>
      <c r="W1150" s="115">
        <v>352</v>
      </c>
      <c r="X1150" s="115">
        <v>92</v>
      </c>
      <c r="Y1150" s="115">
        <v>92</v>
      </c>
      <c r="Z1150" s="115">
        <v>55</v>
      </c>
      <c r="AA1150" s="115">
        <v>1</v>
      </c>
      <c r="AB1150" s="300">
        <f t="shared" si="108"/>
        <v>77.586666666666673</v>
      </c>
      <c r="AC1150" s="300">
        <f t="shared" si="109"/>
        <v>0.46738955823293177</v>
      </c>
      <c r="AD1150" s="115">
        <v>2777.89</v>
      </c>
      <c r="AE1150" s="115" t="s">
        <v>109</v>
      </c>
      <c r="AF1150" s="115" t="s">
        <v>317</v>
      </c>
      <c r="AG1150" s="115" t="s">
        <v>317</v>
      </c>
      <c r="AH1150" s="115" t="s">
        <v>3090</v>
      </c>
      <c r="AI1150" s="309"/>
      <c r="AJ1150" s="309"/>
      <c r="AK1150" s="115" t="s">
        <v>37</v>
      </c>
      <c r="AL1150" s="115" t="s">
        <v>49</v>
      </c>
      <c r="AM1150" s="299">
        <f t="shared" ca="1" si="105"/>
        <v>0.97916666667151731</v>
      </c>
      <c r="AN1150" s="122"/>
      <c r="AO1150" s="104" t="s">
        <v>72</v>
      </c>
      <c r="AP1150" s="106" t="s">
        <v>3088</v>
      </c>
      <c r="AQ1150" s="104" t="s">
        <v>3207</v>
      </c>
      <c r="AR1150" s="111">
        <v>44902.513888888891</v>
      </c>
      <c r="AS1150" s="109" t="s">
        <v>136</v>
      </c>
      <c r="AT1150" s="109" t="s">
        <v>225</v>
      </c>
      <c r="AU1150" s="110">
        <v>0.51388888888888895</v>
      </c>
      <c r="AV1150" s="104">
        <v>1</v>
      </c>
      <c r="AW1150" s="109" t="s">
        <v>66</v>
      </c>
      <c r="AX1150" s="123"/>
      <c r="AY1150" s="123"/>
      <c r="AZ1150" s="123"/>
      <c r="BA1150" s="123"/>
    </row>
    <row r="1151" spans="1:53" x14ac:dyDescent="0.25">
      <c r="A1151" s="48">
        <v>98</v>
      </c>
      <c r="B1151" s="46">
        <v>44901.604166666664</v>
      </c>
      <c r="C1151" s="36">
        <v>0.60763888888888895</v>
      </c>
      <c r="D1151" s="36">
        <v>0.61458333333333337</v>
      </c>
      <c r="E1151" s="36">
        <v>0.625</v>
      </c>
      <c r="F1151" s="115" t="s">
        <v>170</v>
      </c>
      <c r="G1151" s="37" t="s">
        <v>3123</v>
      </c>
      <c r="H1151" s="26" t="s">
        <v>227</v>
      </c>
      <c r="I1151" s="26" t="s">
        <v>189</v>
      </c>
      <c r="J1151" s="107" t="s">
        <v>37</v>
      </c>
      <c r="K1151" s="113" t="s">
        <v>63</v>
      </c>
      <c r="L1151" s="118" t="s">
        <v>206</v>
      </c>
      <c r="M1151" s="37" t="s">
        <v>3124</v>
      </c>
      <c r="N1151" s="37" t="s">
        <v>43</v>
      </c>
      <c r="O1151" s="124" t="s">
        <v>3126</v>
      </c>
      <c r="P1151" s="37">
        <v>24557</v>
      </c>
      <c r="Q1151" s="303">
        <f t="shared" si="106"/>
        <v>8</v>
      </c>
      <c r="R1151" s="303">
        <f t="shared" si="107"/>
        <v>1302</v>
      </c>
      <c r="S1151" s="37">
        <v>0</v>
      </c>
      <c r="T1151" s="37">
        <v>0</v>
      </c>
      <c r="U1151" s="37">
        <v>8</v>
      </c>
      <c r="V1151" s="37">
        <f>206+101+210+399+386</f>
        <v>1302</v>
      </c>
      <c r="W1151" s="37">
        <v>1369.8</v>
      </c>
      <c r="X1151" s="37">
        <v>170</v>
      </c>
      <c r="Y1151" s="37">
        <v>94</v>
      </c>
      <c r="Z1151" s="37">
        <v>95</v>
      </c>
      <c r="AA1151" s="37">
        <v>1</v>
      </c>
      <c r="AB1151" s="300">
        <f t="shared" si="108"/>
        <v>253.01666666666668</v>
      </c>
      <c r="AC1151" s="300">
        <f t="shared" si="109"/>
        <v>1.5241967871485944</v>
      </c>
      <c r="AD1151" s="37" t="s">
        <v>48</v>
      </c>
      <c r="AE1151" s="115" t="s">
        <v>48</v>
      </c>
      <c r="AF1151" s="115" t="s">
        <v>317</v>
      </c>
      <c r="AG1151" s="115" t="s">
        <v>317</v>
      </c>
      <c r="AH1151" s="37" t="s">
        <v>3125</v>
      </c>
      <c r="AI1151" s="309"/>
      <c r="AJ1151" s="309"/>
      <c r="AK1151" s="115" t="s">
        <v>37</v>
      </c>
      <c r="AL1151" s="37" t="s">
        <v>54</v>
      </c>
      <c r="AM1151" s="299">
        <f t="shared" ca="1" si="105"/>
        <v>0.14236111111677019</v>
      </c>
      <c r="AN1151" s="51"/>
      <c r="AO1151" s="104" t="s">
        <v>179</v>
      </c>
      <c r="AP1151" s="106" t="s">
        <v>3124</v>
      </c>
      <c r="AQ1151" s="104" t="s">
        <v>3146</v>
      </c>
      <c r="AR1151" s="64">
        <v>44901.746527777781</v>
      </c>
      <c r="AS1151" s="104" t="s">
        <v>3008</v>
      </c>
      <c r="AT1151" s="109" t="s">
        <v>65</v>
      </c>
      <c r="AU1151" s="110">
        <v>0.74652777777777779</v>
      </c>
      <c r="AV1151" s="52">
        <v>1</v>
      </c>
      <c r="AW1151" s="52" t="s">
        <v>66</v>
      </c>
      <c r="AX1151" s="52"/>
      <c r="AY1151" s="52"/>
      <c r="AZ1151" s="52"/>
      <c r="BA1151" s="52"/>
    </row>
    <row r="1152" spans="1:53" x14ac:dyDescent="0.25">
      <c r="A1152" s="121">
        <v>98</v>
      </c>
      <c r="B1152" s="120">
        <v>44901.604166666664</v>
      </c>
      <c r="C1152" s="114">
        <v>0.60763888888888895</v>
      </c>
      <c r="D1152" s="114">
        <v>0.61458333333333337</v>
      </c>
      <c r="E1152" s="114">
        <v>0.625</v>
      </c>
      <c r="F1152" s="115" t="s">
        <v>170</v>
      </c>
      <c r="G1152" s="115" t="s">
        <v>3123</v>
      </c>
      <c r="H1152" s="107" t="s">
        <v>227</v>
      </c>
      <c r="I1152" s="107" t="s">
        <v>189</v>
      </c>
      <c r="J1152" s="107" t="s">
        <v>37</v>
      </c>
      <c r="K1152" s="113" t="s">
        <v>63</v>
      </c>
      <c r="L1152" s="118" t="s">
        <v>206</v>
      </c>
      <c r="M1152" s="115" t="s">
        <v>3124</v>
      </c>
      <c r="N1152" s="115" t="s">
        <v>43</v>
      </c>
      <c r="O1152" s="124" t="s">
        <v>3126</v>
      </c>
      <c r="P1152" s="115">
        <v>24557</v>
      </c>
      <c r="Q1152" s="303">
        <f t="shared" si="106"/>
        <v>0</v>
      </c>
      <c r="R1152" s="303">
        <f t="shared" si="107"/>
        <v>0</v>
      </c>
      <c r="S1152" s="115">
        <v>0</v>
      </c>
      <c r="T1152" s="115">
        <v>0</v>
      </c>
      <c r="U1152" s="115">
        <v>0</v>
      </c>
      <c r="V1152" s="115">
        <v>0</v>
      </c>
      <c r="W1152" s="115">
        <v>0</v>
      </c>
      <c r="X1152" s="37">
        <v>161</v>
      </c>
      <c r="Y1152" s="37">
        <v>74</v>
      </c>
      <c r="Z1152" s="37">
        <v>79</v>
      </c>
      <c r="AA1152" s="37">
        <v>3</v>
      </c>
      <c r="AB1152" s="300">
        <f t="shared" si="108"/>
        <v>470.60300000000001</v>
      </c>
      <c r="AC1152" s="300">
        <f t="shared" si="109"/>
        <v>2.8349578313253012</v>
      </c>
      <c r="AD1152" s="37">
        <v>0</v>
      </c>
      <c r="AE1152" s="115">
        <v>0</v>
      </c>
      <c r="AF1152" s="115" t="s">
        <v>317</v>
      </c>
      <c r="AG1152" s="115" t="s">
        <v>317</v>
      </c>
      <c r="AH1152" s="115" t="s">
        <v>3125</v>
      </c>
      <c r="AI1152" s="309"/>
      <c r="AJ1152" s="309"/>
      <c r="AK1152" s="115" t="s">
        <v>37</v>
      </c>
      <c r="AL1152" s="115" t="s">
        <v>54</v>
      </c>
      <c r="AM1152" s="299">
        <f t="shared" ca="1" si="105"/>
        <v>0.14236111111677019</v>
      </c>
      <c r="AN1152" s="51"/>
      <c r="AO1152" s="104" t="s">
        <v>179</v>
      </c>
      <c r="AP1152" s="106" t="s">
        <v>3124</v>
      </c>
      <c r="AQ1152" s="104" t="s">
        <v>3146</v>
      </c>
      <c r="AR1152" s="64">
        <v>44901.746527777781</v>
      </c>
      <c r="AS1152" s="104" t="s">
        <v>3008</v>
      </c>
      <c r="AT1152" s="109" t="s">
        <v>65</v>
      </c>
      <c r="AU1152" s="110">
        <v>0.74652777777777779</v>
      </c>
      <c r="AV1152" s="123">
        <v>1</v>
      </c>
      <c r="AW1152" s="123" t="s">
        <v>66</v>
      </c>
      <c r="AX1152" s="52"/>
      <c r="AY1152" s="52"/>
      <c r="AZ1152" s="52"/>
      <c r="BA1152" s="52"/>
    </row>
    <row r="1153" spans="1:53" x14ac:dyDescent="0.25">
      <c r="A1153" s="121">
        <v>98</v>
      </c>
      <c r="B1153" s="120">
        <v>44901.604166666664</v>
      </c>
      <c r="C1153" s="114">
        <v>0.60763888888888895</v>
      </c>
      <c r="D1153" s="114">
        <v>0.61458333333333337</v>
      </c>
      <c r="E1153" s="114">
        <v>0.625</v>
      </c>
      <c r="F1153" s="115" t="s">
        <v>170</v>
      </c>
      <c r="G1153" s="115" t="s">
        <v>3123</v>
      </c>
      <c r="H1153" s="107" t="s">
        <v>227</v>
      </c>
      <c r="I1153" s="107" t="s">
        <v>189</v>
      </c>
      <c r="J1153" s="107" t="s">
        <v>37</v>
      </c>
      <c r="K1153" s="113" t="s">
        <v>63</v>
      </c>
      <c r="L1153" s="118" t="s">
        <v>206</v>
      </c>
      <c r="M1153" s="115" t="s">
        <v>3124</v>
      </c>
      <c r="N1153" s="115" t="s">
        <v>43</v>
      </c>
      <c r="O1153" s="124" t="s">
        <v>3126</v>
      </c>
      <c r="P1153" s="115">
        <v>24557</v>
      </c>
      <c r="Q1153" s="303">
        <f t="shared" si="106"/>
        <v>0</v>
      </c>
      <c r="R1153" s="303">
        <f t="shared" si="107"/>
        <v>0</v>
      </c>
      <c r="S1153" s="115">
        <v>0</v>
      </c>
      <c r="T1153" s="115">
        <v>0</v>
      </c>
      <c r="U1153" s="115">
        <v>0</v>
      </c>
      <c r="V1153" s="115">
        <v>0</v>
      </c>
      <c r="W1153" s="115">
        <v>0</v>
      </c>
      <c r="X1153" s="37">
        <v>160</v>
      </c>
      <c r="Y1153" s="37">
        <v>138</v>
      </c>
      <c r="Z1153" s="37">
        <v>79</v>
      </c>
      <c r="AA1153" s="37">
        <v>4</v>
      </c>
      <c r="AB1153" s="300">
        <f t="shared" si="108"/>
        <v>1162.8800000000001</v>
      </c>
      <c r="AC1153" s="300">
        <f t="shared" si="109"/>
        <v>7.0053012048192782</v>
      </c>
      <c r="AD1153" s="37">
        <v>0</v>
      </c>
      <c r="AE1153" s="115">
        <v>0</v>
      </c>
      <c r="AF1153" s="115" t="s">
        <v>317</v>
      </c>
      <c r="AG1153" s="115" t="s">
        <v>317</v>
      </c>
      <c r="AH1153" s="115" t="s">
        <v>3125</v>
      </c>
      <c r="AI1153" s="309"/>
      <c r="AJ1153" s="309"/>
      <c r="AK1153" s="115" t="s">
        <v>37</v>
      </c>
      <c r="AL1153" s="115" t="s">
        <v>54</v>
      </c>
      <c r="AM1153" s="299">
        <f t="shared" ca="1" si="105"/>
        <v>0.14236111111677019</v>
      </c>
      <c r="AN1153" s="51"/>
      <c r="AO1153" s="104" t="s">
        <v>179</v>
      </c>
      <c r="AP1153" s="106" t="s">
        <v>3124</v>
      </c>
      <c r="AQ1153" s="104" t="s">
        <v>3146</v>
      </c>
      <c r="AR1153" s="64">
        <v>44901.746527777781</v>
      </c>
      <c r="AS1153" s="104" t="s">
        <v>3008</v>
      </c>
      <c r="AT1153" s="109" t="s">
        <v>65</v>
      </c>
      <c r="AU1153" s="110">
        <v>0.74652777777777779</v>
      </c>
      <c r="AV1153" s="123">
        <v>1</v>
      </c>
      <c r="AW1153" s="123" t="s">
        <v>66</v>
      </c>
      <c r="AX1153" s="52"/>
      <c r="AY1153" s="52"/>
      <c r="AZ1153" s="52"/>
      <c r="BA1153" s="52"/>
    </row>
    <row r="1154" spans="1:53" x14ac:dyDescent="0.25">
      <c r="A1154" s="48">
        <v>99</v>
      </c>
      <c r="B1154" s="120">
        <v>44901.604166666664</v>
      </c>
      <c r="C1154" s="114">
        <v>0.60763888888888895</v>
      </c>
      <c r="D1154" s="114">
        <v>0.61458333333333337</v>
      </c>
      <c r="E1154" s="114">
        <v>0.625</v>
      </c>
      <c r="F1154" s="115" t="s">
        <v>170</v>
      </c>
      <c r="G1154" s="115" t="s">
        <v>3123</v>
      </c>
      <c r="H1154" s="107" t="s">
        <v>227</v>
      </c>
      <c r="I1154" s="107" t="s">
        <v>189</v>
      </c>
      <c r="J1154" s="107" t="s">
        <v>37</v>
      </c>
      <c r="K1154" s="113" t="s">
        <v>63</v>
      </c>
      <c r="L1154" s="118" t="s">
        <v>206</v>
      </c>
      <c r="M1154" s="37" t="s">
        <v>3124</v>
      </c>
      <c r="N1154" s="115" t="s">
        <v>43</v>
      </c>
      <c r="O1154" s="37">
        <v>1038</v>
      </c>
      <c r="P1154" s="37">
        <v>29017</v>
      </c>
      <c r="Q1154" s="303">
        <f t="shared" si="106"/>
        <v>6</v>
      </c>
      <c r="R1154" s="303">
        <f t="shared" si="107"/>
        <v>112</v>
      </c>
      <c r="S1154" s="37">
        <v>6</v>
      </c>
      <c r="T1154" s="116">
        <f>136-24</f>
        <v>112</v>
      </c>
      <c r="U1154" s="37">
        <v>0</v>
      </c>
      <c r="V1154" s="37">
        <v>0</v>
      </c>
      <c r="W1154" s="116">
        <v>60.6</v>
      </c>
      <c r="X1154" s="37">
        <v>83</v>
      </c>
      <c r="Y1154" s="37">
        <v>53</v>
      </c>
      <c r="Z1154" s="37">
        <v>62</v>
      </c>
      <c r="AA1154" s="37">
        <v>6</v>
      </c>
      <c r="AB1154" s="300">
        <f t="shared" si="108"/>
        <v>272.738</v>
      </c>
      <c r="AC1154" s="300">
        <f t="shared" si="109"/>
        <v>1.643</v>
      </c>
      <c r="AD1154" s="37">
        <v>5734.8</v>
      </c>
      <c r="AE1154" s="37" t="s">
        <v>109</v>
      </c>
      <c r="AF1154" s="115" t="s">
        <v>317</v>
      </c>
      <c r="AG1154" s="115" t="s">
        <v>317</v>
      </c>
      <c r="AH1154" s="37" t="s">
        <v>3127</v>
      </c>
      <c r="AI1154" s="309"/>
      <c r="AJ1154" s="309"/>
      <c r="AK1154" s="37" t="s">
        <v>48</v>
      </c>
      <c r="AL1154" s="37" t="s">
        <v>50</v>
      </c>
      <c r="AM1154" s="299">
        <f t="shared" ca="1" si="105"/>
        <v>0.14236111111677019</v>
      </c>
      <c r="AN1154" s="51"/>
      <c r="AO1154" s="104" t="s">
        <v>179</v>
      </c>
      <c r="AP1154" s="106" t="s">
        <v>3124</v>
      </c>
      <c r="AQ1154" s="104" t="s">
        <v>3146</v>
      </c>
      <c r="AR1154" s="64">
        <v>44901.746527777781</v>
      </c>
      <c r="AS1154" s="104" t="s">
        <v>3008</v>
      </c>
      <c r="AT1154" s="109" t="s">
        <v>65</v>
      </c>
      <c r="AU1154" s="110">
        <v>0.74652777777777779</v>
      </c>
      <c r="AV1154" s="123">
        <v>1</v>
      </c>
      <c r="AW1154" s="123" t="s">
        <v>66</v>
      </c>
      <c r="AX1154" s="52"/>
      <c r="AY1154" s="52"/>
      <c r="AZ1154" s="52"/>
      <c r="BA1154" s="52"/>
    </row>
    <row r="1155" spans="1:53" x14ac:dyDescent="0.25">
      <c r="A1155" s="48">
        <v>100</v>
      </c>
      <c r="B1155" s="120">
        <v>44901.604166666664</v>
      </c>
      <c r="C1155" s="114">
        <v>0.60763888888888895</v>
      </c>
      <c r="D1155" s="114">
        <v>0.61458333333333337</v>
      </c>
      <c r="E1155" s="114">
        <v>0.625</v>
      </c>
      <c r="F1155" s="115" t="s">
        <v>170</v>
      </c>
      <c r="G1155" s="115" t="s">
        <v>3123</v>
      </c>
      <c r="H1155" s="107" t="s">
        <v>227</v>
      </c>
      <c r="I1155" s="107" t="s">
        <v>189</v>
      </c>
      <c r="J1155" s="107" t="s">
        <v>37</v>
      </c>
      <c r="K1155" s="113" t="s">
        <v>63</v>
      </c>
      <c r="L1155" s="118" t="s">
        <v>206</v>
      </c>
      <c r="M1155" s="115" t="s">
        <v>3131</v>
      </c>
      <c r="N1155" s="115" t="s">
        <v>42</v>
      </c>
      <c r="O1155" s="37">
        <v>1039</v>
      </c>
      <c r="P1155" s="37">
        <v>3719</v>
      </c>
      <c r="Q1155" s="303">
        <f t="shared" si="106"/>
        <v>3</v>
      </c>
      <c r="R1155" s="303">
        <f t="shared" si="107"/>
        <v>33</v>
      </c>
      <c r="S1155" s="37">
        <v>3</v>
      </c>
      <c r="T1155" s="37">
        <v>33</v>
      </c>
      <c r="U1155" s="37">
        <v>0</v>
      </c>
      <c r="V1155" s="37">
        <v>0</v>
      </c>
      <c r="W1155" s="37">
        <v>33.33</v>
      </c>
      <c r="X1155" s="37">
        <v>90</v>
      </c>
      <c r="Y1155" s="37">
        <v>37</v>
      </c>
      <c r="Z1155" s="37">
        <v>51</v>
      </c>
      <c r="AA1155" s="37">
        <v>3</v>
      </c>
      <c r="AB1155" s="300">
        <f t="shared" si="108"/>
        <v>84.915000000000006</v>
      </c>
      <c r="AC1155" s="300">
        <f t="shared" si="109"/>
        <v>0.51153614457831331</v>
      </c>
      <c r="AD1155" s="37">
        <v>2454.4</v>
      </c>
      <c r="AE1155" s="115" t="s">
        <v>109</v>
      </c>
      <c r="AF1155" s="115" t="s">
        <v>317</v>
      </c>
      <c r="AG1155" s="115" t="s">
        <v>317</v>
      </c>
      <c r="AH1155" s="37" t="s">
        <v>3128</v>
      </c>
      <c r="AI1155" s="309"/>
      <c r="AJ1155" s="309"/>
      <c r="AK1155" s="115" t="s">
        <v>48</v>
      </c>
      <c r="AL1155" s="115" t="s">
        <v>50</v>
      </c>
      <c r="AM1155" s="299">
        <f t="shared" ca="1" si="105"/>
        <v>1.8680555555547471</v>
      </c>
      <c r="AN1155" s="51"/>
      <c r="AO1155" s="104" t="s">
        <v>89</v>
      </c>
      <c r="AP1155" s="106" t="s">
        <v>3131</v>
      </c>
      <c r="AQ1155" s="104" t="s">
        <v>3308</v>
      </c>
      <c r="AR1155" s="111">
        <v>44903.472222222219</v>
      </c>
      <c r="AS1155" s="109" t="s">
        <v>136</v>
      </c>
      <c r="AT1155" s="109" t="s">
        <v>225</v>
      </c>
      <c r="AU1155" s="110">
        <v>0.47222222222222227</v>
      </c>
      <c r="AV1155" s="104">
        <v>1</v>
      </c>
      <c r="AW1155" s="109" t="s">
        <v>66</v>
      </c>
      <c r="AX1155" s="52"/>
      <c r="AY1155" s="52"/>
      <c r="AZ1155" s="52"/>
      <c r="BA1155" s="52"/>
    </row>
    <row r="1156" spans="1:53" x14ac:dyDescent="0.25">
      <c r="A1156" s="48">
        <v>101</v>
      </c>
      <c r="B1156" s="46">
        <v>44901.642361111109</v>
      </c>
      <c r="C1156" s="36">
        <v>0.64583333333333337</v>
      </c>
      <c r="D1156" s="36">
        <v>0.64930555555555558</v>
      </c>
      <c r="E1156" s="36">
        <v>0.65277777777777779</v>
      </c>
      <c r="F1156" s="37" t="s">
        <v>171</v>
      </c>
      <c r="G1156" s="37" t="s">
        <v>101</v>
      </c>
      <c r="H1156" s="26" t="s">
        <v>144</v>
      </c>
      <c r="I1156" s="26" t="s">
        <v>69</v>
      </c>
      <c r="J1156" s="107" t="s">
        <v>37</v>
      </c>
      <c r="K1156" s="113" t="s">
        <v>82</v>
      </c>
      <c r="L1156" s="118" t="s">
        <v>206</v>
      </c>
      <c r="M1156" s="37" t="s">
        <v>3129</v>
      </c>
      <c r="N1156" s="37" t="s">
        <v>42</v>
      </c>
      <c r="O1156" s="37">
        <v>75045870</v>
      </c>
      <c r="P1156" s="37">
        <v>87006685</v>
      </c>
      <c r="Q1156" s="303">
        <f t="shared" si="106"/>
        <v>20</v>
      </c>
      <c r="R1156" s="303">
        <f t="shared" si="107"/>
        <v>149</v>
      </c>
      <c r="S1156" s="37">
        <v>20</v>
      </c>
      <c r="T1156" s="37">
        <f>165-16</f>
        <v>149</v>
      </c>
      <c r="U1156" s="37">
        <v>0</v>
      </c>
      <c r="V1156" s="37">
        <v>0</v>
      </c>
      <c r="W1156" s="37">
        <v>120.8</v>
      </c>
      <c r="X1156" s="37">
        <v>72</v>
      </c>
      <c r="Y1156" s="37">
        <v>39</v>
      </c>
      <c r="Z1156" s="37">
        <v>14</v>
      </c>
      <c r="AA1156" s="37">
        <v>20</v>
      </c>
      <c r="AB1156" s="300">
        <f t="shared" si="108"/>
        <v>131.04</v>
      </c>
      <c r="AC1156" s="300">
        <f t="shared" si="109"/>
        <v>0.78939759036144574</v>
      </c>
      <c r="AD1156" s="37">
        <v>920</v>
      </c>
      <c r="AE1156" s="115" t="s">
        <v>109</v>
      </c>
      <c r="AF1156" s="115" t="s">
        <v>317</v>
      </c>
      <c r="AG1156" s="115" t="s">
        <v>317</v>
      </c>
      <c r="AH1156" s="37" t="s">
        <v>3130</v>
      </c>
      <c r="AI1156" s="309"/>
      <c r="AJ1156" s="309"/>
      <c r="AK1156" s="115" t="s">
        <v>48</v>
      </c>
      <c r="AL1156" s="115" t="s">
        <v>50</v>
      </c>
      <c r="AM1156" s="299">
        <f t="shared" ca="1" si="105"/>
        <v>7.9861111109494232E-2</v>
      </c>
      <c r="AN1156" s="51"/>
      <c r="AO1156" s="104" t="s">
        <v>247</v>
      </c>
      <c r="AP1156" s="104" t="s">
        <v>3129</v>
      </c>
      <c r="AQ1156" s="104" t="s">
        <v>3141</v>
      </c>
      <c r="AR1156" s="64">
        <v>44901.722222222219</v>
      </c>
      <c r="AS1156" s="104" t="s">
        <v>117</v>
      </c>
      <c r="AT1156" s="109" t="s">
        <v>225</v>
      </c>
      <c r="AU1156" s="110">
        <v>0.72222222222222221</v>
      </c>
      <c r="AV1156" s="109">
        <v>2</v>
      </c>
      <c r="AW1156" s="109" t="s">
        <v>66</v>
      </c>
      <c r="AX1156" s="52"/>
      <c r="AY1156" s="52"/>
      <c r="AZ1156" s="52"/>
      <c r="BA1156" s="52"/>
    </row>
    <row r="1157" spans="1:53" x14ac:dyDescent="0.25">
      <c r="A1157" s="48">
        <v>102</v>
      </c>
      <c r="B1157" s="46">
        <v>44901.694444444445</v>
      </c>
      <c r="C1157" s="36">
        <v>0.69791666666666663</v>
      </c>
      <c r="D1157" s="36">
        <v>0.70138888888888884</v>
      </c>
      <c r="E1157" s="36">
        <v>0.70138888888888884</v>
      </c>
      <c r="F1157" s="115" t="s">
        <v>171</v>
      </c>
      <c r="G1157" s="37" t="s">
        <v>200</v>
      </c>
      <c r="H1157" s="26" t="s">
        <v>75</v>
      </c>
      <c r="I1157" s="26" t="s">
        <v>166</v>
      </c>
      <c r="J1157" s="107" t="s">
        <v>37</v>
      </c>
      <c r="K1157" s="113" t="s">
        <v>180</v>
      </c>
      <c r="L1157" s="113" t="s">
        <v>209</v>
      </c>
      <c r="M1157" s="37" t="s">
        <v>3132</v>
      </c>
      <c r="N1157" s="37" t="s">
        <v>43</v>
      </c>
      <c r="O1157" s="37" t="s">
        <v>3133</v>
      </c>
      <c r="P1157" s="37">
        <v>17304</v>
      </c>
      <c r="Q1157" s="303">
        <f t="shared" si="106"/>
        <v>2</v>
      </c>
      <c r="R1157" s="303">
        <f t="shared" si="107"/>
        <v>72</v>
      </c>
      <c r="S1157" s="37">
        <v>2</v>
      </c>
      <c r="T1157" s="37">
        <f>87-15</f>
        <v>72</v>
      </c>
      <c r="U1157" s="37">
        <v>0</v>
      </c>
      <c r="V1157" s="37">
        <v>0</v>
      </c>
      <c r="W1157" s="37">
        <v>72</v>
      </c>
      <c r="X1157" s="37">
        <v>52</v>
      </c>
      <c r="Y1157" s="37">
        <v>50</v>
      </c>
      <c r="Z1157" s="37">
        <v>43</v>
      </c>
      <c r="AA1157" s="37">
        <v>1</v>
      </c>
      <c r="AB1157" s="300">
        <f t="shared" si="108"/>
        <v>18.633333333333333</v>
      </c>
      <c r="AC1157" s="300">
        <f t="shared" si="109"/>
        <v>0.11224899598393574</v>
      </c>
      <c r="AD1157" s="37">
        <v>817.88</v>
      </c>
      <c r="AE1157" s="115" t="s">
        <v>109</v>
      </c>
      <c r="AF1157" s="115" t="s">
        <v>317</v>
      </c>
      <c r="AG1157" s="115" t="s">
        <v>317</v>
      </c>
      <c r="AH1157" s="37" t="s">
        <v>3134</v>
      </c>
      <c r="AI1157" s="309"/>
      <c r="AJ1157" s="309"/>
      <c r="AK1157" s="37" t="s">
        <v>48</v>
      </c>
      <c r="AL1157" s="115" t="s">
        <v>50</v>
      </c>
      <c r="AM1157" s="299">
        <f t="shared" ca="1" si="105"/>
        <v>0.81944444444525288</v>
      </c>
      <c r="AN1157" s="51"/>
      <c r="AO1157" s="104" t="s">
        <v>161</v>
      </c>
      <c r="AP1157" s="106" t="s">
        <v>3132</v>
      </c>
      <c r="AQ1157" s="104" t="s">
        <v>3208</v>
      </c>
      <c r="AR1157" s="111">
        <v>44902.513888888891</v>
      </c>
      <c r="AS1157" s="104" t="s">
        <v>117</v>
      </c>
      <c r="AT1157" s="109" t="s">
        <v>225</v>
      </c>
      <c r="AU1157" s="110">
        <v>0.54166666666666663</v>
      </c>
      <c r="AV1157" s="104">
        <v>1</v>
      </c>
      <c r="AW1157" s="109" t="s">
        <v>66</v>
      </c>
      <c r="AX1157" s="52"/>
      <c r="AY1157" s="52"/>
      <c r="AZ1157" s="52"/>
      <c r="BA1157" s="52"/>
    </row>
    <row r="1158" spans="1:53" x14ac:dyDescent="0.25">
      <c r="A1158" s="121">
        <v>102</v>
      </c>
      <c r="B1158" s="120">
        <v>44901.694444444445</v>
      </c>
      <c r="C1158" s="114">
        <v>0.69791666666666663</v>
      </c>
      <c r="D1158" s="114">
        <v>0.70138888888888884</v>
      </c>
      <c r="E1158" s="114">
        <v>0.70138888888888884</v>
      </c>
      <c r="F1158" s="115" t="s">
        <v>171</v>
      </c>
      <c r="G1158" s="115" t="s">
        <v>200</v>
      </c>
      <c r="H1158" s="107" t="s">
        <v>75</v>
      </c>
      <c r="I1158" s="107" t="s">
        <v>166</v>
      </c>
      <c r="J1158" s="107" t="s">
        <v>37</v>
      </c>
      <c r="K1158" s="113" t="s">
        <v>180</v>
      </c>
      <c r="L1158" s="113" t="s">
        <v>209</v>
      </c>
      <c r="M1158" s="115" t="s">
        <v>3132</v>
      </c>
      <c r="N1158" s="115" t="s">
        <v>43</v>
      </c>
      <c r="O1158" s="115" t="s">
        <v>3133</v>
      </c>
      <c r="P1158" s="115">
        <v>17304</v>
      </c>
      <c r="Q1158" s="303">
        <f t="shared" si="106"/>
        <v>0</v>
      </c>
      <c r="R1158" s="303">
        <f t="shared" si="107"/>
        <v>0</v>
      </c>
      <c r="S1158" s="115">
        <v>0</v>
      </c>
      <c r="T1158" s="115">
        <v>0</v>
      </c>
      <c r="U1158" s="115">
        <v>0</v>
      </c>
      <c r="V1158" s="115">
        <v>0</v>
      </c>
      <c r="W1158" s="115">
        <v>0</v>
      </c>
      <c r="X1158" s="37">
        <v>30</v>
      </c>
      <c r="Y1158" s="37">
        <v>30</v>
      </c>
      <c r="Z1158" s="37">
        <v>26</v>
      </c>
      <c r="AA1158" s="37">
        <v>1</v>
      </c>
      <c r="AB1158" s="300">
        <f t="shared" si="108"/>
        <v>3.9</v>
      </c>
      <c r="AC1158" s="300">
        <f t="shared" si="109"/>
        <v>2.3493975903614458E-2</v>
      </c>
      <c r="AD1158" s="37">
        <v>0</v>
      </c>
      <c r="AE1158" s="37">
        <v>0</v>
      </c>
      <c r="AF1158" s="115" t="s">
        <v>317</v>
      </c>
      <c r="AG1158" s="115" t="s">
        <v>317</v>
      </c>
      <c r="AH1158" s="115" t="s">
        <v>3134</v>
      </c>
      <c r="AI1158" s="309"/>
      <c r="AJ1158" s="309"/>
      <c r="AK1158" s="115" t="s">
        <v>48</v>
      </c>
      <c r="AL1158" s="115" t="s">
        <v>50</v>
      </c>
      <c r="AM1158" s="299">
        <f t="shared" ca="1" si="105"/>
        <v>0.81944444444525288</v>
      </c>
      <c r="AN1158" s="51"/>
      <c r="AO1158" s="104" t="s">
        <v>161</v>
      </c>
      <c r="AP1158" s="106" t="s">
        <v>3132</v>
      </c>
      <c r="AQ1158" s="104" t="s">
        <v>3208</v>
      </c>
      <c r="AR1158" s="111">
        <v>44902.513888888891</v>
      </c>
      <c r="AS1158" s="104" t="s">
        <v>117</v>
      </c>
      <c r="AT1158" s="109" t="s">
        <v>225</v>
      </c>
      <c r="AU1158" s="110">
        <v>0.54166666666666663</v>
      </c>
      <c r="AV1158" s="104">
        <v>1</v>
      </c>
      <c r="AW1158" s="109" t="s">
        <v>66</v>
      </c>
      <c r="AX1158" s="52"/>
      <c r="AY1158" s="52"/>
      <c r="AZ1158" s="52"/>
      <c r="BA1158" s="52"/>
    </row>
    <row r="1159" spans="1:53" x14ac:dyDescent="0.25">
      <c r="A1159" s="48">
        <v>103</v>
      </c>
      <c r="B1159" s="120">
        <v>44901.770833333336</v>
      </c>
      <c r="C1159" s="36">
        <v>0.77083333333333337</v>
      </c>
      <c r="D1159" s="36">
        <v>0.77430555555555547</v>
      </c>
      <c r="E1159" s="36">
        <v>0.77430555555555547</v>
      </c>
      <c r="F1159" s="115" t="s">
        <v>171</v>
      </c>
      <c r="G1159" s="37" t="s">
        <v>811</v>
      </c>
      <c r="H1159" s="26" t="s">
        <v>292</v>
      </c>
      <c r="I1159" s="26" t="s">
        <v>118</v>
      </c>
      <c r="J1159" s="26" t="s">
        <v>37</v>
      </c>
      <c r="K1159" s="26" t="s">
        <v>180</v>
      </c>
      <c r="L1159" s="26" t="s">
        <v>206</v>
      </c>
      <c r="M1159" s="37" t="s">
        <v>3143</v>
      </c>
      <c r="N1159" s="37" t="s">
        <v>53</v>
      </c>
      <c r="O1159" s="37">
        <v>226076410</v>
      </c>
      <c r="P1159" s="37" t="s">
        <v>351</v>
      </c>
      <c r="Q1159" s="303">
        <f t="shared" si="106"/>
        <v>3</v>
      </c>
      <c r="R1159" s="303">
        <f t="shared" si="107"/>
        <v>47</v>
      </c>
      <c r="S1159" s="37">
        <v>3</v>
      </c>
      <c r="T1159" s="37">
        <v>47</v>
      </c>
      <c r="U1159" s="37">
        <v>0</v>
      </c>
      <c r="V1159" s="37">
        <v>0</v>
      </c>
      <c r="W1159" s="37">
        <v>46</v>
      </c>
      <c r="X1159" s="37">
        <v>44</v>
      </c>
      <c r="Y1159" s="37">
        <v>34</v>
      </c>
      <c r="Z1159" s="37">
        <v>35</v>
      </c>
      <c r="AA1159" s="37">
        <v>3</v>
      </c>
      <c r="AB1159" s="300">
        <f t="shared" si="108"/>
        <v>26.18</v>
      </c>
      <c r="AC1159" s="300">
        <f t="shared" si="109"/>
        <v>0.15771084337349398</v>
      </c>
      <c r="AD1159" s="37">
        <v>8562</v>
      </c>
      <c r="AE1159" s="37" t="s">
        <v>109</v>
      </c>
      <c r="AF1159" s="37" t="s">
        <v>317</v>
      </c>
      <c r="AG1159" s="37" t="s">
        <v>317</v>
      </c>
      <c r="AH1159" s="37" t="s">
        <v>3142</v>
      </c>
      <c r="AI1159" s="309"/>
      <c r="AJ1159" s="309"/>
      <c r="AK1159" s="37" t="s">
        <v>48</v>
      </c>
      <c r="AL1159" s="115" t="s">
        <v>50</v>
      </c>
      <c r="AM1159" s="299">
        <f t="shared" ca="1" si="105"/>
        <v>2.9166666666642413</v>
      </c>
      <c r="AN1159" s="51"/>
      <c r="AO1159" s="104" t="s">
        <v>53</v>
      </c>
      <c r="AP1159" s="106" t="s">
        <v>3143</v>
      </c>
      <c r="AQ1159" s="104" t="s">
        <v>3374</v>
      </c>
      <c r="AR1159" s="111">
        <v>44904.6875</v>
      </c>
      <c r="AS1159" s="104" t="s">
        <v>173</v>
      </c>
      <c r="AT1159" s="109" t="s">
        <v>225</v>
      </c>
      <c r="AU1159" s="110">
        <v>0.6875</v>
      </c>
      <c r="AV1159" s="104">
        <v>2</v>
      </c>
      <c r="AW1159" s="109" t="s">
        <v>66</v>
      </c>
      <c r="AX1159" s="52"/>
      <c r="AY1159" s="52"/>
      <c r="AZ1159" s="52"/>
      <c r="BA1159" s="52"/>
    </row>
    <row r="1160" spans="1:53" x14ac:dyDescent="0.25">
      <c r="A1160" s="48">
        <v>104</v>
      </c>
      <c r="B1160" s="46">
        <v>44902.416666666664</v>
      </c>
      <c r="C1160" s="36">
        <v>0.4236111111111111</v>
      </c>
      <c r="D1160" s="36">
        <v>0.43055555555555558</v>
      </c>
      <c r="E1160" s="36">
        <v>0.45833333333333331</v>
      </c>
      <c r="F1160" s="115" t="s">
        <v>171</v>
      </c>
      <c r="G1160" s="37" t="s">
        <v>2544</v>
      </c>
      <c r="H1160" s="26" t="s">
        <v>342</v>
      </c>
      <c r="I1160" s="107" t="s">
        <v>342</v>
      </c>
      <c r="J1160" s="107" t="s">
        <v>37</v>
      </c>
      <c r="K1160" s="107" t="s">
        <v>180</v>
      </c>
      <c r="L1160" s="107" t="s">
        <v>206</v>
      </c>
      <c r="M1160" s="37" t="s">
        <v>3153</v>
      </c>
      <c r="N1160" s="37" t="s">
        <v>175</v>
      </c>
      <c r="O1160" s="37">
        <v>58</v>
      </c>
      <c r="P1160" s="37">
        <v>45058848</v>
      </c>
      <c r="Q1160" s="303">
        <f t="shared" si="106"/>
        <v>1</v>
      </c>
      <c r="R1160" s="303">
        <f t="shared" si="107"/>
        <v>431</v>
      </c>
      <c r="S1160" s="37">
        <v>0</v>
      </c>
      <c r="T1160" s="37">
        <v>0</v>
      </c>
      <c r="U1160" s="37">
        <v>1</v>
      </c>
      <c r="V1160" s="37">
        <v>431</v>
      </c>
      <c r="W1160" s="37">
        <v>450</v>
      </c>
      <c r="X1160" s="37">
        <v>84</v>
      </c>
      <c r="Y1160" s="37">
        <v>83</v>
      </c>
      <c r="Z1160" s="37">
        <v>78</v>
      </c>
      <c r="AA1160" s="37">
        <v>1</v>
      </c>
      <c r="AB1160" s="300">
        <f t="shared" si="108"/>
        <v>90.635999999999996</v>
      </c>
      <c r="AC1160" s="300">
        <f t="shared" si="109"/>
        <v>0.54599999999999993</v>
      </c>
      <c r="AD1160" s="37">
        <v>2360</v>
      </c>
      <c r="AE1160" s="115" t="s">
        <v>109</v>
      </c>
      <c r="AF1160" s="115" t="s">
        <v>317</v>
      </c>
      <c r="AG1160" s="115" t="s">
        <v>317</v>
      </c>
      <c r="AH1160" s="37" t="s">
        <v>3148</v>
      </c>
      <c r="AI1160" s="309"/>
      <c r="AJ1160" s="309"/>
      <c r="AK1160" s="37" t="s">
        <v>37</v>
      </c>
      <c r="AL1160" s="37" t="s">
        <v>54</v>
      </c>
      <c r="AM1160" s="299">
        <f t="shared" ca="1" si="105"/>
        <v>9.7222222226264421E-2</v>
      </c>
      <c r="AN1160" s="51"/>
      <c r="AO1160" s="104" t="s">
        <v>181</v>
      </c>
      <c r="AP1160" s="104" t="s">
        <v>3153</v>
      </c>
      <c r="AQ1160" s="104" t="s">
        <v>3209</v>
      </c>
      <c r="AR1160" s="111">
        <v>44902.513888888891</v>
      </c>
      <c r="AS1160" s="104" t="s">
        <v>117</v>
      </c>
      <c r="AT1160" s="109" t="s">
        <v>225</v>
      </c>
      <c r="AU1160" s="110">
        <v>0.54166666666666663</v>
      </c>
      <c r="AV1160" s="104">
        <v>1</v>
      </c>
      <c r="AW1160" s="109" t="s">
        <v>66</v>
      </c>
      <c r="AX1160" s="52"/>
      <c r="AY1160" s="52"/>
      <c r="AZ1160" s="52"/>
      <c r="BA1160" s="52"/>
    </row>
    <row r="1161" spans="1:53" x14ac:dyDescent="0.25">
      <c r="A1161" s="48">
        <v>105</v>
      </c>
      <c r="B1161" s="120">
        <v>44902.416666666664</v>
      </c>
      <c r="C1161" s="36">
        <v>0.43402777777777773</v>
      </c>
      <c r="D1161" s="36">
        <v>0.44097222222222227</v>
      </c>
      <c r="E1161" s="36">
        <v>0.45833333333333331</v>
      </c>
      <c r="F1161" s="115" t="s">
        <v>171</v>
      </c>
      <c r="G1161" s="37" t="s">
        <v>321</v>
      </c>
      <c r="H1161" s="107" t="s">
        <v>342</v>
      </c>
      <c r="I1161" s="107" t="s">
        <v>342</v>
      </c>
      <c r="J1161" s="107" t="s">
        <v>37</v>
      </c>
      <c r="K1161" s="107" t="s">
        <v>180</v>
      </c>
      <c r="L1161" s="107" t="s">
        <v>206</v>
      </c>
      <c r="M1161" s="37" t="s">
        <v>3154</v>
      </c>
      <c r="N1161" s="37" t="s">
        <v>53</v>
      </c>
      <c r="O1161" s="37">
        <v>57</v>
      </c>
      <c r="P1161" s="37">
        <v>45058874</v>
      </c>
      <c r="Q1161" s="303">
        <f t="shared" si="106"/>
        <v>2</v>
      </c>
      <c r="R1161" s="303">
        <f t="shared" si="107"/>
        <v>865</v>
      </c>
      <c r="S1161" s="37">
        <v>0</v>
      </c>
      <c r="T1161" s="37">
        <v>0</v>
      </c>
      <c r="U1161" s="37">
        <v>2</v>
      </c>
      <c r="V1161" s="37">
        <f>432+433</f>
        <v>865</v>
      </c>
      <c r="W1161" s="37">
        <v>900</v>
      </c>
      <c r="X1161" s="37">
        <v>84</v>
      </c>
      <c r="Y1161" s="37">
        <v>83</v>
      </c>
      <c r="Z1161" s="37">
        <v>78</v>
      </c>
      <c r="AA1161" s="37">
        <v>2</v>
      </c>
      <c r="AB1161" s="300">
        <f t="shared" si="108"/>
        <v>181.27199999999999</v>
      </c>
      <c r="AC1161" s="300">
        <f t="shared" si="109"/>
        <v>1.0919999999999999</v>
      </c>
      <c r="AD1161" s="37">
        <v>4720</v>
      </c>
      <c r="AE1161" s="37" t="s">
        <v>109</v>
      </c>
      <c r="AF1161" s="115" t="s">
        <v>317</v>
      </c>
      <c r="AG1161" s="115" t="s">
        <v>317</v>
      </c>
      <c r="AH1161" s="37" t="s">
        <v>3149</v>
      </c>
      <c r="AI1161" s="309"/>
      <c r="AJ1161" s="309"/>
      <c r="AK1161" s="115" t="s">
        <v>37</v>
      </c>
      <c r="AL1161" s="115" t="s">
        <v>54</v>
      </c>
      <c r="AM1161" s="299">
        <f t="shared" ca="1" si="105"/>
        <v>2.2708333333357587</v>
      </c>
      <c r="AN1161" s="51"/>
      <c r="AO1161" s="104" t="s">
        <v>53</v>
      </c>
      <c r="AP1161" s="106" t="s">
        <v>3154</v>
      </c>
      <c r="AQ1161" s="104" t="s">
        <v>3374</v>
      </c>
      <c r="AR1161" s="111">
        <v>44904.6875</v>
      </c>
      <c r="AS1161" s="104" t="s">
        <v>173</v>
      </c>
      <c r="AT1161" s="109" t="s">
        <v>225</v>
      </c>
      <c r="AU1161" s="110">
        <v>0.6875</v>
      </c>
      <c r="AV1161" s="104">
        <v>2</v>
      </c>
      <c r="AW1161" s="109" t="s">
        <v>66</v>
      </c>
      <c r="AX1161" s="52"/>
      <c r="AY1161" s="52"/>
      <c r="AZ1161" s="52"/>
      <c r="BA1161" s="52"/>
    </row>
    <row r="1162" spans="1:53" ht="24" x14ac:dyDescent="0.25">
      <c r="A1162" s="48">
        <v>106</v>
      </c>
      <c r="B1162" s="120">
        <v>44902.416666666664</v>
      </c>
      <c r="C1162" s="36">
        <v>0.44097222222222227</v>
      </c>
      <c r="D1162" s="36">
        <v>0.44791666666666669</v>
      </c>
      <c r="E1162" s="114">
        <v>0.45833333333333331</v>
      </c>
      <c r="F1162" s="115" t="s">
        <v>171</v>
      </c>
      <c r="G1162" s="115" t="s">
        <v>3150</v>
      </c>
      <c r="H1162" s="107" t="s">
        <v>342</v>
      </c>
      <c r="I1162" s="107" t="s">
        <v>342</v>
      </c>
      <c r="J1162" s="107" t="s">
        <v>37</v>
      </c>
      <c r="K1162" s="107" t="s">
        <v>180</v>
      </c>
      <c r="L1162" s="107" t="s">
        <v>206</v>
      </c>
      <c r="M1162" s="37" t="s">
        <v>3152</v>
      </c>
      <c r="N1162" s="37" t="s">
        <v>42</v>
      </c>
      <c r="O1162" s="37">
        <v>56</v>
      </c>
      <c r="P1162" s="37">
        <v>45058849</v>
      </c>
      <c r="Q1162" s="303">
        <f t="shared" si="106"/>
        <v>23</v>
      </c>
      <c r="R1162" s="303">
        <f t="shared" si="107"/>
        <v>10697</v>
      </c>
      <c r="S1162" s="37">
        <v>0</v>
      </c>
      <c r="T1162" s="37">
        <v>0</v>
      </c>
      <c r="U1162" s="37">
        <v>23</v>
      </c>
      <c r="V1162" s="37">
        <f>349+354+357+352+350+354+379+388+353+375+356+657+659+544+659+655+577+658+552+656+356+382+375</f>
        <v>10697</v>
      </c>
      <c r="W1162" s="37">
        <v>10960</v>
      </c>
      <c r="X1162" s="37">
        <v>99</v>
      </c>
      <c r="Y1162" s="37">
        <v>99</v>
      </c>
      <c r="Z1162" s="37">
        <v>76</v>
      </c>
      <c r="AA1162" s="37">
        <v>22</v>
      </c>
      <c r="AB1162" s="300">
        <f t="shared" si="108"/>
        <v>2731.212</v>
      </c>
      <c r="AC1162" s="300">
        <f t="shared" si="109"/>
        <v>16.453084337349399</v>
      </c>
      <c r="AD1162" s="37">
        <v>93456</v>
      </c>
      <c r="AE1162" s="37" t="s">
        <v>109</v>
      </c>
      <c r="AF1162" s="115" t="s">
        <v>317</v>
      </c>
      <c r="AG1162" s="115" t="s">
        <v>317</v>
      </c>
      <c r="AH1162" s="37" t="s">
        <v>3151</v>
      </c>
      <c r="AI1162" s="309"/>
      <c r="AJ1162" s="309"/>
      <c r="AK1162" s="115" t="s">
        <v>37</v>
      </c>
      <c r="AL1162" s="115" t="s">
        <v>54</v>
      </c>
      <c r="AM1162" s="299">
        <f t="shared" ca="1" si="105"/>
        <v>1.2951388888905058</v>
      </c>
      <c r="AN1162" s="51"/>
      <c r="AO1162" s="104" t="s">
        <v>107</v>
      </c>
      <c r="AP1162" s="106" t="s">
        <v>3152</v>
      </c>
      <c r="AQ1162" s="104" t="s">
        <v>3321</v>
      </c>
      <c r="AR1162" s="111">
        <v>44903.711805555555</v>
      </c>
      <c r="AS1162" s="109" t="s">
        <v>724</v>
      </c>
      <c r="AT1162" s="109" t="s">
        <v>225</v>
      </c>
      <c r="AU1162" s="110">
        <v>0.71180555555555547</v>
      </c>
      <c r="AV1162" s="104">
        <v>3</v>
      </c>
      <c r="AW1162" s="109" t="s">
        <v>66</v>
      </c>
      <c r="AX1162" s="52"/>
      <c r="AY1162" s="52"/>
      <c r="AZ1162" s="52"/>
      <c r="BA1162" s="52"/>
    </row>
    <row r="1163" spans="1:53" ht="24" x14ac:dyDescent="0.25">
      <c r="A1163" s="121">
        <v>106</v>
      </c>
      <c r="B1163" s="120">
        <v>44902.416666666664</v>
      </c>
      <c r="C1163" s="114">
        <v>0.44097222222222227</v>
      </c>
      <c r="D1163" s="114">
        <v>0.44791666666666669</v>
      </c>
      <c r="E1163" s="114">
        <v>0.45833333333333331</v>
      </c>
      <c r="F1163" s="115" t="s">
        <v>171</v>
      </c>
      <c r="G1163" s="115" t="s">
        <v>3150</v>
      </c>
      <c r="H1163" s="107" t="s">
        <v>342</v>
      </c>
      <c r="I1163" s="107" t="s">
        <v>342</v>
      </c>
      <c r="J1163" s="107" t="s">
        <v>37</v>
      </c>
      <c r="K1163" s="107" t="s">
        <v>180</v>
      </c>
      <c r="L1163" s="107" t="s">
        <v>206</v>
      </c>
      <c r="M1163" s="115" t="s">
        <v>3152</v>
      </c>
      <c r="N1163" s="115" t="s">
        <v>42</v>
      </c>
      <c r="O1163" s="115">
        <v>56</v>
      </c>
      <c r="P1163" s="115">
        <v>45058849</v>
      </c>
      <c r="Q1163" s="303">
        <f t="shared" si="106"/>
        <v>0</v>
      </c>
      <c r="R1163" s="303">
        <f t="shared" si="107"/>
        <v>0</v>
      </c>
      <c r="S1163" s="37">
        <v>0</v>
      </c>
      <c r="T1163" s="37">
        <v>0</v>
      </c>
      <c r="U1163" s="37">
        <v>0</v>
      </c>
      <c r="V1163" s="37">
        <v>0</v>
      </c>
      <c r="W1163" s="37">
        <v>0</v>
      </c>
      <c r="X1163" s="37">
        <v>118</v>
      </c>
      <c r="Y1163" s="37">
        <v>63</v>
      </c>
      <c r="Z1163" s="37">
        <v>103</v>
      </c>
      <c r="AA1163" s="37">
        <v>1</v>
      </c>
      <c r="AB1163" s="300">
        <f t="shared" si="108"/>
        <v>127.617</v>
      </c>
      <c r="AC1163" s="300">
        <f t="shared" si="109"/>
        <v>0.76877710843373492</v>
      </c>
      <c r="AD1163" s="37">
        <v>0</v>
      </c>
      <c r="AE1163" s="37">
        <v>0</v>
      </c>
      <c r="AF1163" s="37">
        <v>0</v>
      </c>
      <c r="AG1163" s="37">
        <v>0</v>
      </c>
      <c r="AH1163" s="37">
        <v>0</v>
      </c>
      <c r="AI1163" s="309"/>
      <c r="AJ1163" s="309"/>
      <c r="AK1163" s="115" t="s">
        <v>37</v>
      </c>
      <c r="AL1163" s="115" t="s">
        <v>54</v>
      </c>
      <c r="AM1163" s="299">
        <f t="shared" ca="1" si="105"/>
        <v>1.2951388888905058</v>
      </c>
      <c r="AN1163" s="51"/>
      <c r="AO1163" s="104" t="s">
        <v>107</v>
      </c>
      <c r="AP1163" s="106" t="s">
        <v>3152</v>
      </c>
      <c r="AQ1163" s="104" t="s">
        <v>3321</v>
      </c>
      <c r="AR1163" s="111">
        <v>44903.711805555555</v>
      </c>
      <c r="AS1163" s="109" t="s">
        <v>724</v>
      </c>
      <c r="AT1163" s="109" t="s">
        <v>225</v>
      </c>
      <c r="AU1163" s="110">
        <v>0.71180555555555547</v>
      </c>
      <c r="AV1163" s="104">
        <v>3</v>
      </c>
      <c r="AW1163" s="109" t="s">
        <v>66</v>
      </c>
      <c r="AX1163" s="52"/>
      <c r="AY1163" s="52"/>
      <c r="AZ1163" s="52"/>
      <c r="BA1163" s="52"/>
    </row>
    <row r="1164" spans="1:53" x14ac:dyDescent="0.25">
      <c r="A1164" s="48">
        <v>107</v>
      </c>
      <c r="B1164" s="46">
        <v>44902.451388888891</v>
      </c>
      <c r="C1164" s="36">
        <v>0.4548611111111111</v>
      </c>
      <c r="D1164" s="36">
        <v>0.46180555555555558</v>
      </c>
      <c r="E1164" s="36">
        <v>0.47916666666666669</v>
      </c>
      <c r="F1164" s="115" t="s">
        <v>171</v>
      </c>
      <c r="G1164" s="37" t="s">
        <v>1203</v>
      </c>
      <c r="H1164" s="26" t="s">
        <v>339</v>
      </c>
      <c r="I1164" s="26" t="s">
        <v>198</v>
      </c>
      <c r="J1164" s="107" t="s">
        <v>37</v>
      </c>
      <c r="K1164" s="113" t="s">
        <v>180</v>
      </c>
      <c r="L1164" s="113">
        <v>0</v>
      </c>
      <c r="M1164" s="37" t="s">
        <v>3155</v>
      </c>
      <c r="N1164" s="37" t="s">
        <v>482</v>
      </c>
      <c r="O1164" s="37" t="s">
        <v>3156</v>
      </c>
      <c r="P1164" s="37">
        <v>50073402</v>
      </c>
      <c r="Q1164" s="303">
        <f t="shared" si="106"/>
        <v>16</v>
      </c>
      <c r="R1164" s="303">
        <f t="shared" si="107"/>
        <v>1075</v>
      </c>
      <c r="S1164" s="37">
        <v>0</v>
      </c>
      <c r="T1164" s="37">
        <v>0</v>
      </c>
      <c r="U1164" s="37">
        <v>16</v>
      </c>
      <c r="V1164" s="37">
        <f>135+134+201+202+201+202</f>
        <v>1075</v>
      </c>
      <c r="W1164" s="37">
        <v>960</v>
      </c>
      <c r="X1164" s="37">
        <v>84</v>
      </c>
      <c r="Y1164" s="37">
        <v>84</v>
      </c>
      <c r="Z1164" s="37">
        <v>40</v>
      </c>
      <c r="AA1164" s="37">
        <v>16</v>
      </c>
      <c r="AB1164" s="300">
        <f t="shared" si="108"/>
        <v>752.64</v>
      </c>
      <c r="AC1164" s="300">
        <f t="shared" si="109"/>
        <v>4.5339759036144578</v>
      </c>
      <c r="AD1164" s="115">
        <v>14611.04</v>
      </c>
      <c r="AE1164" s="37" t="s">
        <v>109</v>
      </c>
      <c r="AF1164" s="37" t="s">
        <v>317</v>
      </c>
      <c r="AG1164" s="37" t="s">
        <v>317</v>
      </c>
      <c r="AH1164" s="37" t="s">
        <v>3157</v>
      </c>
      <c r="AI1164" s="309"/>
      <c r="AJ1164" s="309"/>
      <c r="AK1164" s="115" t="s">
        <v>37</v>
      </c>
      <c r="AL1164" s="37" t="s">
        <v>58</v>
      </c>
      <c r="AM1164" s="299">
        <f t="shared" ca="1" si="105"/>
        <v>0.1875</v>
      </c>
      <c r="AN1164" s="51"/>
      <c r="AO1164" s="104" t="s">
        <v>53</v>
      </c>
      <c r="AP1164" s="104" t="s">
        <v>3155</v>
      </c>
      <c r="AQ1164" s="104" t="s">
        <v>3210</v>
      </c>
      <c r="AR1164" s="111">
        <v>44902.638888888891</v>
      </c>
      <c r="AS1164" s="104" t="s">
        <v>496</v>
      </c>
      <c r="AT1164" s="109" t="s">
        <v>225</v>
      </c>
      <c r="AU1164" s="110">
        <v>0.63888888888888895</v>
      </c>
      <c r="AV1164" s="104">
        <v>1</v>
      </c>
      <c r="AW1164" s="109" t="s">
        <v>66</v>
      </c>
      <c r="AX1164" s="52"/>
      <c r="AY1164" s="52"/>
      <c r="AZ1164" s="52"/>
      <c r="BA1164" s="52"/>
    </row>
    <row r="1165" spans="1:53" x14ac:dyDescent="0.25">
      <c r="A1165" s="48">
        <v>108</v>
      </c>
      <c r="B1165" s="120">
        <v>44902.451388888891</v>
      </c>
      <c r="C1165" s="114">
        <v>0.4548611111111111</v>
      </c>
      <c r="D1165" s="114">
        <v>0.46180555555555558</v>
      </c>
      <c r="E1165" s="114">
        <v>0.47916666666666669</v>
      </c>
      <c r="F1165" s="115" t="s">
        <v>171</v>
      </c>
      <c r="G1165" s="115" t="s">
        <v>1203</v>
      </c>
      <c r="H1165" s="107" t="s">
        <v>339</v>
      </c>
      <c r="I1165" s="107" t="s">
        <v>198</v>
      </c>
      <c r="J1165" s="107" t="s">
        <v>37</v>
      </c>
      <c r="K1165" s="113" t="s">
        <v>180</v>
      </c>
      <c r="L1165" s="113">
        <v>0</v>
      </c>
      <c r="M1165" s="115" t="s">
        <v>3155</v>
      </c>
      <c r="N1165" s="115" t="s">
        <v>482</v>
      </c>
      <c r="O1165" s="115" t="s">
        <v>3158</v>
      </c>
      <c r="P1165" s="115">
        <v>50073402</v>
      </c>
      <c r="Q1165" s="303">
        <f t="shared" si="106"/>
        <v>14</v>
      </c>
      <c r="R1165" s="303">
        <f t="shared" si="107"/>
        <v>938</v>
      </c>
      <c r="S1165" s="37">
        <v>0</v>
      </c>
      <c r="T1165" s="37">
        <v>0</v>
      </c>
      <c r="U1165" s="37">
        <v>14</v>
      </c>
      <c r="V1165" s="37">
        <f>133+203+200+201+201</f>
        <v>938</v>
      </c>
      <c r="W1165" s="37">
        <v>840</v>
      </c>
      <c r="X1165" s="115">
        <v>84</v>
      </c>
      <c r="Y1165" s="115">
        <v>84</v>
      </c>
      <c r="Z1165" s="115">
        <v>40</v>
      </c>
      <c r="AA1165" s="37">
        <v>14</v>
      </c>
      <c r="AB1165" s="300">
        <f t="shared" si="108"/>
        <v>658.56</v>
      </c>
      <c r="AC1165" s="300">
        <f t="shared" si="109"/>
        <v>3.9672289156626501</v>
      </c>
      <c r="AD1165" s="37">
        <v>12784.66</v>
      </c>
      <c r="AE1165" s="115" t="s">
        <v>109</v>
      </c>
      <c r="AF1165" s="115" t="s">
        <v>317</v>
      </c>
      <c r="AG1165" s="115" t="s">
        <v>317</v>
      </c>
      <c r="AH1165" s="37" t="s">
        <v>3159</v>
      </c>
      <c r="AI1165" s="309"/>
      <c r="AJ1165" s="309"/>
      <c r="AK1165" s="115" t="s">
        <v>37</v>
      </c>
      <c r="AL1165" s="37" t="s">
        <v>49</v>
      </c>
      <c r="AM1165" s="299">
        <f t="shared" ca="1" si="105"/>
        <v>0.1875</v>
      </c>
      <c r="AN1165" s="51"/>
      <c r="AO1165" s="104" t="s">
        <v>53</v>
      </c>
      <c r="AP1165" s="104" t="s">
        <v>3155</v>
      </c>
      <c r="AQ1165" s="104" t="s">
        <v>3210</v>
      </c>
      <c r="AR1165" s="111">
        <v>44902.638888888891</v>
      </c>
      <c r="AS1165" s="104" t="s">
        <v>496</v>
      </c>
      <c r="AT1165" s="109" t="s">
        <v>225</v>
      </c>
      <c r="AU1165" s="110">
        <v>0.63888888888888895</v>
      </c>
      <c r="AV1165" s="104">
        <v>1</v>
      </c>
      <c r="AW1165" s="109" t="s">
        <v>66</v>
      </c>
      <c r="AX1165" s="52"/>
      <c r="AY1165" s="52"/>
      <c r="AZ1165" s="52"/>
      <c r="BA1165" s="52"/>
    </row>
    <row r="1166" spans="1:53" x14ac:dyDescent="0.25">
      <c r="A1166" s="48">
        <v>109</v>
      </c>
      <c r="B1166" s="46">
        <v>44902.465277777781</v>
      </c>
      <c r="C1166" s="36">
        <v>0.46875</v>
      </c>
      <c r="D1166" s="36">
        <v>0.47569444444444442</v>
      </c>
      <c r="E1166" s="114">
        <v>0.47916666666666669</v>
      </c>
      <c r="F1166" s="115" t="s">
        <v>171</v>
      </c>
      <c r="G1166" s="37" t="s">
        <v>288</v>
      </c>
      <c r="H1166" s="107" t="s">
        <v>339</v>
      </c>
      <c r="I1166" s="107" t="s">
        <v>198</v>
      </c>
      <c r="J1166" s="107" t="s">
        <v>37</v>
      </c>
      <c r="K1166" s="113" t="s">
        <v>180</v>
      </c>
      <c r="L1166" s="113">
        <v>0</v>
      </c>
      <c r="M1166" s="115" t="s">
        <v>3155</v>
      </c>
      <c r="N1166" s="115" t="s">
        <v>482</v>
      </c>
      <c r="O1166" s="115" t="s">
        <v>3160</v>
      </c>
      <c r="P1166" s="115">
        <v>50073402</v>
      </c>
      <c r="Q1166" s="303">
        <f t="shared" si="106"/>
        <v>18</v>
      </c>
      <c r="R1166" s="303">
        <f t="shared" si="107"/>
        <v>1206</v>
      </c>
      <c r="S1166" s="37">
        <v>0</v>
      </c>
      <c r="T1166" s="37">
        <v>0</v>
      </c>
      <c r="U1166" s="37">
        <v>18</v>
      </c>
      <c r="V1166" s="37">
        <f>134+134+134+202+201+201+200</f>
        <v>1206</v>
      </c>
      <c r="W1166" s="37">
        <v>1080</v>
      </c>
      <c r="X1166" s="115">
        <v>84</v>
      </c>
      <c r="Y1166" s="115">
        <v>84</v>
      </c>
      <c r="Z1166" s="115">
        <v>40</v>
      </c>
      <c r="AA1166" s="37">
        <v>18</v>
      </c>
      <c r="AB1166" s="300">
        <f t="shared" si="108"/>
        <v>846.72</v>
      </c>
      <c r="AC1166" s="300">
        <f t="shared" si="109"/>
        <v>5.1007228915662655</v>
      </c>
      <c r="AD1166" s="37">
        <v>16437.419999999998</v>
      </c>
      <c r="AE1166" s="115" t="s">
        <v>109</v>
      </c>
      <c r="AF1166" s="115" t="s">
        <v>317</v>
      </c>
      <c r="AG1166" s="115" t="s">
        <v>317</v>
      </c>
      <c r="AH1166" s="37" t="s">
        <v>3161</v>
      </c>
      <c r="AI1166" s="309"/>
      <c r="AJ1166" s="309"/>
      <c r="AK1166" s="115" t="s">
        <v>37</v>
      </c>
      <c r="AL1166" s="37" t="s">
        <v>39</v>
      </c>
      <c r="AM1166" s="299">
        <f t="shared" ca="1" si="105"/>
        <v>0.17361111110949423</v>
      </c>
      <c r="AN1166" s="51"/>
      <c r="AO1166" s="104" t="s">
        <v>53</v>
      </c>
      <c r="AP1166" s="104" t="s">
        <v>3155</v>
      </c>
      <c r="AQ1166" s="104" t="s">
        <v>3210</v>
      </c>
      <c r="AR1166" s="111">
        <v>44902.638888888891</v>
      </c>
      <c r="AS1166" s="104" t="s">
        <v>496</v>
      </c>
      <c r="AT1166" s="109" t="s">
        <v>225</v>
      </c>
      <c r="AU1166" s="110">
        <v>0.63888888888888895</v>
      </c>
      <c r="AV1166" s="104">
        <v>1</v>
      </c>
      <c r="AW1166" s="109" t="s">
        <v>66</v>
      </c>
      <c r="AX1166" s="52"/>
      <c r="AY1166" s="52"/>
      <c r="AZ1166" s="52"/>
      <c r="BA1166" s="52"/>
    </row>
    <row r="1167" spans="1:53" x14ac:dyDescent="0.25">
      <c r="A1167" s="48">
        <v>110</v>
      </c>
      <c r="B1167" s="46">
        <v>44902.493055555555</v>
      </c>
      <c r="C1167" s="36">
        <v>0.5</v>
      </c>
      <c r="D1167" s="36">
        <v>0.50347222222222221</v>
      </c>
      <c r="E1167" s="36">
        <v>0.66666666666666663</v>
      </c>
      <c r="F1167" s="37" t="s">
        <v>170</v>
      </c>
      <c r="G1167" s="37" t="s">
        <v>3162</v>
      </c>
      <c r="H1167" s="26" t="s">
        <v>332</v>
      </c>
      <c r="I1167" s="26" t="s">
        <v>429</v>
      </c>
      <c r="J1167" s="107" t="s">
        <v>37</v>
      </c>
      <c r="K1167" s="107" t="s">
        <v>63</v>
      </c>
      <c r="L1167" s="112" t="s">
        <v>206</v>
      </c>
      <c r="M1167" s="37" t="s">
        <v>3163</v>
      </c>
      <c r="N1167" s="37" t="s">
        <v>42</v>
      </c>
      <c r="O1167" s="37">
        <v>2053092427</v>
      </c>
      <c r="P1167" s="37">
        <v>15154</v>
      </c>
      <c r="Q1167" s="303">
        <f t="shared" si="106"/>
        <v>1</v>
      </c>
      <c r="R1167" s="303">
        <f t="shared" si="107"/>
        <v>74</v>
      </c>
      <c r="S1167" s="37">
        <v>0</v>
      </c>
      <c r="T1167" s="37">
        <v>0</v>
      </c>
      <c r="U1167" s="37">
        <v>1</v>
      </c>
      <c r="V1167" s="37">
        <v>74</v>
      </c>
      <c r="W1167" s="37">
        <v>72</v>
      </c>
      <c r="X1167" s="37">
        <v>46</v>
      </c>
      <c r="Y1167" s="37">
        <v>44</v>
      </c>
      <c r="Z1167" s="37">
        <v>38</v>
      </c>
      <c r="AA1167" s="37">
        <v>1</v>
      </c>
      <c r="AB1167" s="300">
        <f t="shared" si="108"/>
        <v>12.818666666666667</v>
      </c>
      <c r="AC1167" s="300">
        <f t="shared" si="109"/>
        <v>7.7220883534136545E-2</v>
      </c>
      <c r="AD1167" s="37">
        <v>509.4</v>
      </c>
      <c r="AE1167" s="115" t="s">
        <v>109</v>
      </c>
      <c r="AF1167" s="115" t="s">
        <v>317</v>
      </c>
      <c r="AG1167" s="115" t="s">
        <v>317</v>
      </c>
      <c r="AH1167" s="37" t="s">
        <v>3164</v>
      </c>
      <c r="AI1167" s="309"/>
      <c r="AJ1167" s="309"/>
      <c r="AK1167" s="37" t="s">
        <v>41</v>
      </c>
      <c r="AL1167" s="37" t="s">
        <v>52</v>
      </c>
      <c r="AM1167" s="299">
        <f t="shared" ca="1" si="105"/>
        <v>2.0763888888905058</v>
      </c>
      <c r="AN1167" s="51"/>
      <c r="AO1167" s="104" t="s">
        <v>120</v>
      </c>
      <c r="AP1167" s="106" t="s">
        <v>3371</v>
      </c>
      <c r="AQ1167" s="104" t="s">
        <v>3370</v>
      </c>
      <c r="AR1167" s="111">
        <v>44904.569444444445</v>
      </c>
      <c r="AS1167" s="109" t="s">
        <v>1203</v>
      </c>
      <c r="AT1167" s="109" t="s">
        <v>65</v>
      </c>
      <c r="AU1167" s="110">
        <v>0.56944444444444442</v>
      </c>
      <c r="AV1167" s="104">
        <v>1</v>
      </c>
      <c r="AW1167" s="109" t="s">
        <v>66</v>
      </c>
      <c r="AX1167" s="52"/>
      <c r="AY1167" s="52"/>
      <c r="AZ1167" s="52"/>
      <c r="BA1167" s="52"/>
    </row>
    <row r="1168" spans="1:53" x14ac:dyDescent="0.25">
      <c r="A1168" s="48">
        <v>111</v>
      </c>
      <c r="B1168" s="120">
        <v>44902.493055555555</v>
      </c>
      <c r="C1168" s="114">
        <v>0.5</v>
      </c>
      <c r="D1168" s="114">
        <v>0.50347222222222221</v>
      </c>
      <c r="E1168" s="114">
        <v>0.66666666666666663</v>
      </c>
      <c r="F1168" s="115" t="s">
        <v>170</v>
      </c>
      <c r="G1168" s="115" t="s">
        <v>3162</v>
      </c>
      <c r="H1168" s="107" t="s">
        <v>332</v>
      </c>
      <c r="I1168" s="107" t="s">
        <v>429</v>
      </c>
      <c r="J1168" s="107" t="s">
        <v>37</v>
      </c>
      <c r="K1168" s="107" t="s">
        <v>63</v>
      </c>
      <c r="L1168" s="112" t="s">
        <v>206</v>
      </c>
      <c r="M1168" s="115" t="s">
        <v>3163</v>
      </c>
      <c r="N1168" s="115" t="s">
        <v>42</v>
      </c>
      <c r="O1168" s="37">
        <v>2053092426</v>
      </c>
      <c r="P1168" s="37">
        <v>15153</v>
      </c>
      <c r="Q1168" s="303">
        <f t="shared" si="106"/>
        <v>1</v>
      </c>
      <c r="R1168" s="303">
        <f t="shared" si="107"/>
        <v>36</v>
      </c>
      <c r="S1168" s="37">
        <v>0</v>
      </c>
      <c r="T1168" s="37">
        <v>0</v>
      </c>
      <c r="U1168" s="37">
        <v>1</v>
      </c>
      <c r="V1168" s="37">
        <v>36</v>
      </c>
      <c r="W1168" s="37">
        <v>35</v>
      </c>
      <c r="X1168" s="115">
        <v>46</v>
      </c>
      <c r="Y1168" s="115">
        <v>44</v>
      </c>
      <c r="Z1168" s="115">
        <v>38</v>
      </c>
      <c r="AA1168" s="115">
        <v>1</v>
      </c>
      <c r="AB1168" s="300">
        <f t="shared" si="108"/>
        <v>12.818666666666667</v>
      </c>
      <c r="AC1168" s="300">
        <f t="shared" si="109"/>
        <v>7.7220883534136545E-2</v>
      </c>
      <c r="AD1168" s="37">
        <v>77.44</v>
      </c>
      <c r="AE1168" s="115" t="s">
        <v>109</v>
      </c>
      <c r="AF1168" s="115" t="s">
        <v>317</v>
      </c>
      <c r="AG1168" s="115" t="s">
        <v>317</v>
      </c>
      <c r="AH1168" s="37" t="s">
        <v>3165</v>
      </c>
      <c r="AI1168" s="309"/>
      <c r="AJ1168" s="309"/>
      <c r="AK1168" s="115" t="s">
        <v>41</v>
      </c>
      <c r="AL1168" s="115" t="s">
        <v>52</v>
      </c>
      <c r="AM1168" s="299">
        <f t="shared" ca="1" si="105"/>
        <v>2.0763888888905058</v>
      </c>
      <c r="AN1168" s="51"/>
      <c r="AO1168" s="104" t="s">
        <v>120</v>
      </c>
      <c r="AP1168" s="106" t="s">
        <v>3371</v>
      </c>
      <c r="AQ1168" s="104" t="s">
        <v>3370</v>
      </c>
      <c r="AR1168" s="111">
        <v>44904.569444444445</v>
      </c>
      <c r="AS1168" s="109" t="s">
        <v>1203</v>
      </c>
      <c r="AT1168" s="109" t="s">
        <v>65</v>
      </c>
      <c r="AU1168" s="110">
        <v>0.56944444444444442</v>
      </c>
      <c r="AV1168" s="104">
        <v>1</v>
      </c>
      <c r="AW1168" s="109" t="s">
        <v>66</v>
      </c>
      <c r="AX1168" s="52"/>
      <c r="AY1168" s="52"/>
      <c r="AZ1168" s="52"/>
      <c r="BA1168" s="52"/>
    </row>
    <row r="1169" spans="1:53" x14ac:dyDescent="0.25">
      <c r="A1169" s="48">
        <v>112</v>
      </c>
      <c r="B1169" s="46">
        <v>44902.614583333336</v>
      </c>
      <c r="C1169" s="36">
        <v>0.61458333333333337</v>
      </c>
      <c r="D1169" s="36">
        <v>0.62152777777777779</v>
      </c>
      <c r="E1169" s="36">
        <v>0.64583333333333337</v>
      </c>
      <c r="F1169" s="115" t="s">
        <v>170</v>
      </c>
      <c r="G1169" s="37" t="s">
        <v>3166</v>
      </c>
      <c r="H1169" s="26" t="s">
        <v>3167</v>
      </c>
      <c r="I1169" s="107" t="s">
        <v>2960</v>
      </c>
      <c r="J1169" s="107" t="s">
        <v>37</v>
      </c>
      <c r="K1169" s="113" t="s">
        <v>63</v>
      </c>
      <c r="L1169" s="107">
        <v>0</v>
      </c>
      <c r="M1169" s="37" t="s">
        <v>3168</v>
      </c>
      <c r="N1169" s="37" t="s">
        <v>2962</v>
      </c>
      <c r="O1169" s="37">
        <v>157</v>
      </c>
      <c r="P1169" s="37" t="s">
        <v>3169</v>
      </c>
      <c r="Q1169" s="303">
        <f t="shared" si="106"/>
        <v>2</v>
      </c>
      <c r="R1169" s="303">
        <f t="shared" si="107"/>
        <v>0</v>
      </c>
      <c r="S1169" s="37">
        <v>0</v>
      </c>
      <c r="T1169" s="37">
        <v>0</v>
      </c>
      <c r="U1169" s="37">
        <v>2</v>
      </c>
      <c r="V1169" s="37">
        <v>0</v>
      </c>
      <c r="W1169" s="37">
        <v>3974</v>
      </c>
      <c r="X1169" s="37">
        <v>222</v>
      </c>
      <c r="Y1169" s="37">
        <v>150</v>
      </c>
      <c r="Z1169" s="37">
        <v>96</v>
      </c>
      <c r="AA1169" s="37">
        <v>1</v>
      </c>
      <c r="AB1169" s="300">
        <f t="shared" si="108"/>
        <v>532.79999999999995</v>
      </c>
      <c r="AC1169" s="300">
        <f t="shared" si="109"/>
        <v>3.2096385542168671</v>
      </c>
      <c r="AD1169" s="37">
        <v>86281.24</v>
      </c>
      <c r="AE1169" s="115" t="s">
        <v>109</v>
      </c>
      <c r="AF1169" s="115" t="s">
        <v>317</v>
      </c>
      <c r="AG1169" s="115" t="s">
        <v>317</v>
      </c>
      <c r="AH1169" s="37" t="s">
        <v>3170</v>
      </c>
      <c r="AI1169" s="309"/>
      <c r="AJ1169" s="309"/>
      <c r="AK1169" s="37" t="s">
        <v>37</v>
      </c>
      <c r="AL1169" s="115" t="s">
        <v>52</v>
      </c>
      <c r="AM1169" s="299">
        <f t="shared" ca="1" si="105"/>
        <v>0.95138888888322981</v>
      </c>
      <c r="AN1169" s="51"/>
      <c r="AO1169" s="104" t="s">
        <v>161</v>
      </c>
      <c r="AP1169" s="106" t="s">
        <v>3168</v>
      </c>
      <c r="AQ1169" s="104" t="s">
        <v>3312</v>
      </c>
      <c r="AR1169" s="111">
        <v>44903.565972222219</v>
      </c>
      <c r="AS1169" s="104" t="s">
        <v>3313</v>
      </c>
      <c r="AT1169" s="109" t="s">
        <v>3314</v>
      </c>
      <c r="AU1169" s="110">
        <v>0.56597222222222221</v>
      </c>
      <c r="AV1169" s="104">
        <v>1</v>
      </c>
      <c r="AW1169" s="109" t="s">
        <v>66</v>
      </c>
      <c r="AX1169" s="52"/>
      <c r="AY1169" s="52"/>
      <c r="AZ1169" s="52"/>
      <c r="BA1169" s="52"/>
    </row>
    <row r="1170" spans="1:53" x14ac:dyDescent="0.25">
      <c r="A1170" s="121">
        <v>112</v>
      </c>
      <c r="B1170" s="120">
        <v>44902.614583333336</v>
      </c>
      <c r="C1170" s="114">
        <v>0.61458333333333337</v>
      </c>
      <c r="D1170" s="114">
        <v>0.62152777777777779</v>
      </c>
      <c r="E1170" s="114">
        <v>0.64583333333333337</v>
      </c>
      <c r="F1170" s="115" t="s">
        <v>170</v>
      </c>
      <c r="G1170" s="115" t="s">
        <v>3166</v>
      </c>
      <c r="H1170" s="107" t="s">
        <v>3167</v>
      </c>
      <c r="I1170" s="107" t="s">
        <v>2960</v>
      </c>
      <c r="J1170" s="107" t="s">
        <v>37</v>
      </c>
      <c r="K1170" s="113" t="s">
        <v>63</v>
      </c>
      <c r="L1170" s="107">
        <v>0</v>
      </c>
      <c r="M1170" s="115" t="s">
        <v>3168</v>
      </c>
      <c r="N1170" s="115" t="s">
        <v>2962</v>
      </c>
      <c r="O1170" s="115">
        <v>157</v>
      </c>
      <c r="P1170" s="115" t="s">
        <v>3169</v>
      </c>
      <c r="Q1170" s="303">
        <f t="shared" si="106"/>
        <v>0</v>
      </c>
      <c r="R1170" s="303">
        <f t="shared" si="107"/>
        <v>0</v>
      </c>
      <c r="S1170" s="115">
        <v>0</v>
      </c>
      <c r="T1170" s="115">
        <v>0</v>
      </c>
      <c r="U1170" s="115">
        <v>0</v>
      </c>
      <c r="V1170" s="115">
        <v>0</v>
      </c>
      <c r="W1170" s="115">
        <v>0</v>
      </c>
      <c r="X1170" s="37">
        <v>168</v>
      </c>
      <c r="Y1170" s="37">
        <v>128</v>
      </c>
      <c r="Z1170" s="37">
        <v>95</v>
      </c>
      <c r="AA1170" s="37">
        <v>1</v>
      </c>
      <c r="AB1170" s="300">
        <f t="shared" si="108"/>
        <v>340.48</v>
      </c>
      <c r="AC1170" s="300">
        <f t="shared" si="109"/>
        <v>2.0510843373493977</v>
      </c>
      <c r="AD1170" s="37">
        <v>0</v>
      </c>
      <c r="AE1170" s="37">
        <v>0</v>
      </c>
      <c r="AF1170" s="115" t="s">
        <v>317</v>
      </c>
      <c r="AG1170" s="115" t="s">
        <v>317</v>
      </c>
      <c r="AH1170" s="115" t="s">
        <v>3170</v>
      </c>
      <c r="AI1170" s="309"/>
      <c r="AJ1170" s="309"/>
      <c r="AK1170" s="115" t="s">
        <v>37</v>
      </c>
      <c r="AL1170" s="115" t="s">
        <v>52</v>
      </c>
      <c r="AM1170" s="299">
        <f t="shared" ca="1" si="105"/>
        <v>0.95138888888322981</v>
      </c>
      <c r="AN1170" s="51"/>
      <c r="AO1170" s="104" t="s">
        <v>161</v>
      </c>
      <c r="AP1170" s="106" t="s">
        <v>3168</v>
      </c>
      <c r="AQ1170" s="104" t="s">
        <v>3312</v>
      </c>
      <c r="AR1170" s="111">
        <v>44903.565972222219</v>
      </c>
      <c r="AS1170" s="104" t="s">
        <v>3313</v>
      </c>
      <c r="AT1170" s="109" t="s">
        <v>3314</v>
      </c>
      <c r="AU1170" s="110">
        <v>0.56597222222222221</v>
      </c>
      <c r="AV1170" s="104">
        <v>1</v>
      </c>
      <c r="AW1170" s="109" t="s">
        <v>66</v>
      </c>
      <c r="AX1170" s="52"/>
      <c r="AY1170" s="52"/>
      <c r="AZ1170" s="52"/>
      <c r="BA1170" s="52"/>
    </row>
    <row r="1171" spans="1:53" x14ac:dyDescent="0.25">
      <c r="A1171" s="48">
        <v>113</v>
      </c>
      <c r="B1171" s="46">
        <v>44902.590277777781</v>
      </c>
      <c r="C1171" s="36">
        <v>0.59375</v>
      </c>
      <c r="D1171" s="36">
        <v>0.625</v>
      </c>
      <c r="E1171" s="36">
        <v>0.66666666666666663</v>
      </c>
      <c r="F1171" s="115" t="s">
        <v>170</v>
      </c>
      <c r="G1171" s="37" t="s">
        <v>1832</v>
      </c>
      <c r="H1171" s="26" t="s">
        <v>46</v>
      </c>
      <c r="I1171" s="26" t="s">
        <v>71</v>
      </c>
      <c r="J1171" s="26" t="s">
        <v>41</v>
      </c>
      <c r="K1171" s="113" t="s">
        <v>63</v>
      </c>
      <c r="L1171" s="113" t="s">
        <v>214</v>
      </c>
      <c r="M1171" s="37" t="s">
        <v>3171</v>
      </c>
      <c r="N1171" s="37" t="s">
        <v>139</v>
      </c>
      <c r="O1171" s="37" t="s">
        <v>3172</v>
      </c>
      <c r="P1171" s="37">
        <v>5897</v>
      </c>
      <c r="Q1171" s="303">
        <f t="shared" si="106"/>
        <v>1</v>
      </c>
      <c r="R1171" s="303">
        <f t="shared" si="107"/>
        <v>69</v>
      </c>
      <c r="S1171" s="37">
        <v>0</v>
      </c>
      <c r="T1171" s="37">
        <v>0</v>
      </c>
      <c r="U1171" s="37">
        <v>1</v>
      </c>
      <c r="V1171" s="37">
        <v>69</v>
      </c>
      <c r="W1171" s="37">
        <v>74.06</v>
      </c>
      <c r="X1171" s="37">
        <v>44</v>
      </c>
      <c r="Y1171" s="37">
        <v>44</v>
      </c>
      <c r="Z1171" s="37">
        <v>49</v>
      </c>
      <c r="AA1171" s="37">
        <v>1</v>
      </c>
      <c r="AB1171" s="300">
        <f t="shared" si="108"/>
        <v>15.810666666666666</v>
      </c>
      <c r="AC1171" s="300">
        <f t="shared" si="109"/>
        <v>9.5244979919678716E-2</v>
      </c>
      <c r="AD1171" s="37" t="s">
        <v>48</v>
      </c>
      <c r="AE1171" s="37" t="s">
        <v>48</v>
      </c>
      <c r="AF1171" s="115" t="s">
        <v>317</v>
      </c>
      <c r="AG1171" s="115" t="s">
        <v>317</v>
      </c>
      <c r="AH1171" s="37" t="s">
        <v>3173</v>
      </c>
      <c r="AI1171" s="309"/>
      <c r="AJ1171" s="309"/>
      <c r="AK1171" s="37" t="s">
        <v>41</v>
      </c>
      <c r="AL1171" s="37" t="s">
        <v>49</v>
      </c>
      <c r="AM1171" s="299">
        <f t="shared" ca="1" si="105"/>
        <v>6.1145833333284827</v>
      </c>
      <c r="AN1171" s="51"/>
      <c r="AO1171" s="104" t="s">
        <v>72</v>
      </c>
      <c r="AP1171" s="106" t="s">
        <v>3171</v>
      </c>
      <c r="AQ1171" s="104" t="s">
        <v>3505</v>
      </c>
      <c r="AR1171" s="111">
        <v>44908.704861111109</v>
      </c>
      <c r="AS1171" s="104" t="s">
        <v>117</v>
      </c>
      <c r="AT1171" s="109" t="s">
        <v>225</v>
      </c>
      <c r="AU1171" s="110">
        <v>0.70486111111111116</v>
      </c>
      <c r="AV1171" s="104">
        <v>1</v>
      </c>
      <c r="AW1171" s="109" t="s">
        <v>66</v>
      </c>
      <c r="AX1171" s="52"/>
      <c r="AY1171" s="52"/>
      <c r="AZ1171" s="52"/>
      <c r="BA1171" s="52"/>
    </row>
    <row r="1172" spans="1:53" x14ac:dyDescent="0.25">
      <c r="A1172" s="48">
        <v>114</v>
      </c>
      <c r="B1172" s="120">
        <v>44902.590277777781</v>
      </c>
      <c r="C1172" s="114">
        <v>0.59375</v>
      </c>
      <c r="D1172" s="114">
        <v>0.625</v>
      </c>
      <c r="E1172" s="114">
        <v>0.66666666666666663</v>
      </c>
      <c r="F1172" s="115" t="s">
        <v>170</v>
      </c>
      <c r="G1172" s="115" t="s">
        <v>1832</v>
      </c>
      <c r="H1172" s="26" t="s">
        <v>356</v>
      </c>
      <c r="I1172" s="26" t="s">
        <v>40</v>
      </c>
      <c r="J1172" s="107" t="s">
        <v>41</v>
      </c>
      <c r="K1172" s="113" t="s">
        <v>63</v>
      </c>
      <c r="L1172" s="113">
        <v>0</v>
      </c>
      <c r="M1172" s="37" t="s">
        <v>3174</v>
      </c>
      <c r="N1172" s="37" t="s">
        <v>42</v>
      </c>
      <c r="O1172" s="37">
        <v>8275002272</v>
      </c>
      <c r="P1172" s="37">
        <v>4513503566</v>
      </c>
      <c r="Q1172" s="303">
        <f t="shared" si="106"/>
        <v>2</v>
      </c>
      <c r="R1172" s="303">
        <f t="shared" si="107"/>
        <v>142</v>
      </c>
      <c r="S1172" s="37">
        <v>0</v>
      </c>
      <c r="T1172" s="37">
        <v>0</v>
      </c>
      <c r="U1172" s="37">
        <v>2</v>
      </c>
      <c r="V1172" s="37">
        <v>142</v>
      </c>
      <c r="W1172" s="116">
        <v>180</v>
      </c>
      <c r="X1172" s="37">
        <v>89</v>
      </c>
      <c r="Y1172" s="37">
        <v>49</v>
      </c>
      <c r="Z1172" s="37">
        <v>42</v>
      </c>
      <c r="AA1172" s="37">
        <v>2</v>
      </c>
      <c r="AB1172" s="300">
        <f t="shared" si="108"/>
        <v>61.054000000000002</v>
      </c>
      <c r="AC1172" s="300">
        <f t="shared" si="109"/>
        <v>0.36779518072289158</v>
      </c>
      <c r="AD1172" s="37">
        <v>2838</v>
      </c>
      <c r="AE1172" s="37" t="s">
        <v>109</v>
      </c>
      <c r="AF1172" s="115" t="s">
        <v>317</v>
      </c>
      <c r="AG1172" s="115" t="s">
        <v>317</v>
      </c>
      <c r="AH1172" s="37" t="s">
        <v>3175</v>
      </c>
      <c r="AI1172" s="309"/>
      <c r="AJ1172" s="309"/>
      <c r="AK1172" s="37" t="s">
        <v>37</v>
      </c>
      <c r="AL1172" s="37" t="s">
        <v>39</v>
      </c>
      <c r="AM1172" s="299">
        <f t="shared" ca="1" si="105"/>
        <v>1.9791666666642413</v>
      </c>
      <c r="AN1172" s="51"/>
      <c r="AO1172" s="104" t="s">
        <v>120</v>
      </c>
      <c r="AP1172" s="106" t="s">
        <v>3174</v>
      </c>
      <c r="AQ1172" s="104" t="s">
        <v>3370</v>
      </c>
      <c r="AR1172" s="111">
        <v>44904.569444444445</v>
      </c>
      <c r="AS1172" s="109" t="s">
        <v>1203</v>
      </c>
      <c r="AT1172" s="109" t="s">
        <v>65</v>
      </c>
      <c r="AU1172" s="110">
        <v>0.56944444444444442</v>
      </c>
      <c r="AV1172" s="104">
        <v>1</v>
      </c>
      <c r="AW1172" s="109" t="s">
        <v>66</v>
      </c>
      <c r="AX1172" s="52"/>
      <c r="AY1172" s="52"/>
      <c r="AZ1172" s="52"/>
      <c r="BA1172" s="52"/>
    </row>
    <row r="1173" spans="1:53" x14ac:dyDescent="0.25">
      <c r="A1173" s="48">
        <v>115</v>
      </c>
      <c r="B1173" s="120">
        <v>44902.590277777781</v>
      </c>
      <c r="C1173" s="114">
        <v>0.59375</v>
      </c>
      <c r="D1173" s="114">
        <v>0.625</v>
      </c>
      <c r="E1173" s="114">
        <v>0.66666666666666663</v>
      </c>
      <c r="F1173" s="115" t="s">
        <v>170</v>
      </c>
      <c r="G1173" s="115" t="s">
        <v>1832</v>
      </c>
      <c r="H1173" s="107" t="s">
        <v>356</v>
      </c>
      <c r="I1173" s="107" t="s">
        <v>40</v>
      </c>
      <c r="J1173" s="107" t="s">
        <v>41</v>
      </c>
      <c r="K1173" s="113" t="s">
        <v>63</v>
      </c>
      <c r="L1173" s="113">
        <v>0</v>
      </c>
      <c r="M1173" s="37" t="s">
        <v>3176</v>
      </c>
      <c r="N1173" s="115" t="s">
        <v>42</v>
      </c>
      <c r="O1173" s="37">
        <v>8275002273</v>
      </c>
      <c r="P1173" s="37">
        <v>4400013226</v>
      </c>
      <c r="Q1173" s="303">
        <f t="shared" si="106"/>
        <v>5</v>
      </c>
      <c r="R1173" s="303">
        <f t="shared" si="107"/>
        <v>1203</v>
      </c>
      <c r="S1173" s="37">
        <v>0</v>
      </c>
      <c r="T1173" s="37">
        <v>0</v>
      </c>
      <c r="U1173" s="37">
        <v>5</v>
      </c>
      <c r="V1173" s="37">
        <f>307-67+308-67+309-68+308-68+308-67</f>
        <v>1203</v>
      </c>
      <c r="W1173" s="37">
        <v>1200</v>
      </c>
      <c r="X1173" s="37">
        <v>82</v>
      </c>
      <c r="Y1173" s="37">
        <v>57</v>
      </c>
      <c r="Z1173" s="37">
        <v>62</v>
      </c>
      <c r="AA1173" s="37">
        <v>5</v>
      </c>
      <c r="AB1173" s="300">
        <f t="shared" si="108"/>
        <v>241.49</v>
      </c>
      <c r="AC1173" s="300">
        <f t="shared" si="109"/>
        <v>1.4547590361445784</v>
      </c>
      <c r="AD1173" s="37">
        <v>23326</v>
      </c>
      <c r="AE1173" s="115" t="s">
        <v>109</v>
      </c>
      <c r="AF1173" s="115" t="s">
        <v>317</v>
      </c>
      <c r="AG1173" s="115" t="s">
        <v>317</v>
      </c>
      <c r="AH1173" s="37" t="s">
        <v>3177</v>
      </c>
      <c r="AI1173" s="309"/>
      <c r="AJ1173" s="309"/>
      <c r="AK1173" s="115" t="s">
        <v>37</v>
      </c>
      <c r="AL1173" s="115" t="s">
        <v>39</v>
      </c>
      <c r="AM1173" s="299">
        <f t="shared" ca="1" si="105"/>
        <v>1.9791666666642413</v>
      </c>
      <c r="AN1173" s="51"/>
      <c r="AO1173" s="104" t="s">
        <v>120</v>
      </c>
      <c r="AP1173" s="106" t="s">
        <v>3176</v>
      </c>
      <c r="AQ1173" s="104" t="s">
        <v>3370</v>
      </c>
      <c r="AR1173" s="111">
        <v>44904.569444444445</v>
      </c>
      <c r="AS1173" s="109" t="s">
        <v>1203</v>
      </c>
      <c r="AT1173" s="109" t="s">
        <v>65</v>
      </c>
      <c r="AU1173" s="110">
        <v>0.56944444444444442</v>
      </c>
      <c r="AV1173" s="104">
        <v>1</v>
      </c>
      <c r="AW1173" s="109" t="s">
        <v>66</v>
      </c>
      <c r="AX1173" s="52"/>
      <c r="AY1173" s="52"/>
      <c r="AZ1173" s="52"/>
      <c r="BA1173" s="52"/>
    </row>
    <row r="1174" spans="1:53" x14ac:dyDescent="0.25">
      <c r="A1174" s="48">
        <v>116</v>
      </c>
      <c r="B1174" s="120">
        <v>44902.590277777781</v>
      </c>
      <c r="C1174" s="114">
        <v>0.59375</v>
      </c>
      <c r="D1174" s="114">
        <v>0.625</v>
      </c>
      <c r="E1174" s="114">
        <v>0.66666666666666663</v>
      </c>
      <c r="F1174" s="115" t="s">
        <v>170</v>
      </c>
      <c r="G1174" s="115" t="s">
        <v>1832</v>
      </c>
      <c r="H1174" s="107" t="s">
        <v>356</v>
      </c>
      <c r="I1174" s="107" t="s">
        <v>40</v>
      </c>
      <c r="J1174" s="107" t="s">
        <v>41</v>
      </c>
      <c r="K1174" s="113" t="s">
        <v>63</v>
      </c>
      <c r="L1174" s="113">
        <v>0</v>
      </c>
      <c r="M1174" s="37" t="s">
        <v>3178</v>
      </c>
      <c r="N1174" s="115" t="s">
        <v>42</v>
      </c>
      <c r="O1174" s="115">
        <v>8275002274</v>
      </c>
      <c r="P1174" s="37">
        <v>4513653386</v>
      </c>
      <c r="Q1174" s="303">
        <f t="shared" si="106"/>
        <v>2</v>
      </c>
      <c r="R1174" s="303">
        <f t="shared" si="107"/>
        <v>1115</v>
      </c>
      <c r="S1174" s="37">
        <v>0</v>
      </c>
      <c r="T1174" s="37">
        <v>0</v>
      </c>
      <c r="U1174" s="37">
        <v>2</v>
      </c>
      <c r="V1174" s="37">
        <f>614-62+563</f>
        <v>1115</v>
      </c>
      <c r="W1174" s="37">
        <v>1228</v>
      </c>
      <c r="X1174" s="37">
        <v>100</v>
      </c>
      <c r="Y1174" s="37">
        <v>74</v>
      </c>
      <c r="Z1174" s="37">
        <v>87</v>
      </c>
      <c r="AA1174" s="37">
        <v>2</v>
      </c>
      <c r="AB1174" s="300">
        <f t="shared" si="108"/>
        <v>214.6</v>
      </c>
      <c r="AC1174" s="300">
        <f t="shared" si="109"/>
        <v>1.2927710843373494</v>
      </c>
      <c r="AD1174" s="37">
        <v>4804</v>
      </c>
      <c r="AE1174" s="115" t="s">
        <v>109</v>
      </c>
      <c r="AF1174" s="115" t="s">
        <v>317</v>
      </c>
      <c r="AG1174" s="115" t="s">
        <v>317</v>
      </c>
      <c r="AH1174" s="37" t="s">
        <v>3179</v>
      </c>
      <c r="AI1174" s="309"/>
      <c r="AJ1174" s="309"/>
      <c r="AK1174" s="115" t="s">
        <v>37</v>
      </c>
      <c r="AL1174" s="115" t="s">
        <v>39</v>
      </c>
      <c r="AM1174" s="299">
        <f t="shared" ca="1" si="105"/>
        <v>1.9791666666642413</v>
      </c>
      <c r="AN1174" s="51"/>
      <c r="AO1174" s="104" t="s">
        <v>120</v>
      </c>
      <c r="AP1174" s="106" t="s">
        <v>3178</v>
      </c>
      <c r="AQ1174" s="104" t="s">
        <v>3370</v>
      </c>
      <c r="AR1174" s="111">
        <v>44904.569444444445</v>
      </c>
      <c r="AS1174" s="109" t="s">
        <v>1203</v>
      </c>
      <c r="AT1174" s="109" t="s">
        <v>65</v>
      </c>
      <c r="AU1174" s="110">
        <v>0.56944444444444442</v>
      </c>
      <c r="AV1174" s="104">
        <v>1</v>
      </c>
      <c r="AW1174" s="109" t="s">
        <v>66</v>
      </c>
      <c r="AX1174" s="52"/>
      <c r="AY1174" s="52"/>
      <c r="AZ1174" s="52"/>
      <c r="BA1174" s="52"/>
    </row>
    <row r="1175" spans="1:53" x14ac:dyDescent="0.25">
      <c r="A1175" s="48">
        <v>117</v>
      </c>
      <c r="B1175" s="120">
        <v>44902.590277777781</v>
      </c>
      <c r="C1175" s="114">
        <v>0.59375</v>
      </c>
      <c r="D1175" s="114">
        <v>0.625</v>
      </c>
      <c r="E1175" s="114">
        <v>0.66666666666666663</v>
      </c>
      <c r="F1175" s="115" t="s">
        <v>170</v>
      </c>
      <c r="G1175" s="115" t="s">
        <v>1832</v>
      </c>
      <c r="H1175" s="107" t="s">
        <v>356</v>
      </c>
      <c r="I1175" s="107" t="s">
        <v>40</v>
      </c>
      <c r="J1175" s="107" t="s">
        <v>41</v>
      </c>
      <c r="K1175" s="113" t="s">
        <v>63</v>
      </c>
      <c r="L1175" s="113">
        <v>0</v>
      </c>
      <c r="M1175" s="37" t="s">
        <v>3180</v>
      </c>
      <c r="N1175" s="115" t="s">
        <v>42</v>
      </c>
      <c r="O1175" s="115">
        <v>8275002271</v>
      </c>
      <c r="P1175" s="37">
        <v>4400013228</v>
      </c>
      <c r="Q1175" s="303">
        <f t="shared" si="106"/>
        <v>5</v>
      </c>
      <c r="R1175" s="303">
        <f t="shared" si="107"/>
        <v>1252</v>
      </c>
      <c r="S1175" s="37">
        <v>0</v>
      </c>
      <c r="T1175" s="37">
        <v>0</v>
      </c>
      <c r="U1175" s="37">
        <v>5</v>
      </c>
      <c r="V1175" s="37">
        <f>574-68+315-67+317-68+316-67</f>
        <v>1252</v>
      </c>
      <c r="W1175" s="37">
        <v>1200</v>
      </c>
      <c r="X1175" s="37">
        <v>91</v>
      </c>
      <c r="Y1175" s="37">
        <v>89</v>
      </c>
      <c r="Z1175" s="37">
        <v>43</v>
      </c>
      <c r="AA1175" s="37">
        <v>5</v>
      </c>
      <c r="AB1175" s="300">
        <f t="shared" si="108"/>
        <v>290.21416666666664</v>
      </c>
      <c r="AC1175" s="300">
        <f t="shared" si="109"/>
        <v>1.748278112449799</v>
      </c>
      <c r="AD1175" s="37">
        <v>10250</v>
      </c>
      <c r="AE1175" s="115" t="s">
        <v>109</v>
      </c>
      <c r="AF1175" s="115" t="s">
        <v>317</v>
      </c>
      <c r="AG1175" s="115" t="s">
        <v>317</v>
      </c>
      <c r="AH1175" s="37" t="s">
        <v>3181</v>
      </c>
      <c r="AI1175" s="309"/>
      <c r="AJ1175" s="309"/>
      <c r="AK1175" s="115" t="s">
        <v>37</v>
      </c>
      <c r="AL1175" s="115" t="s">
        <v>39</v>
      </c>
      <c r="AM1175" s="299">
        <f t="shared" ca="1" si="105"/>
        <v>1.9791666666642413</v>
      </c>
      <c r="AN1175" s="51"/>
      <c r="AO1175" s="104" t="s">
        <v>120</v>
      </c>
      <c r="AP1175" s="106" t="s">
        <v>3180</v>
      </c>
      <c r="AQ1175" s="104" t="s">
        <v>3370</v>
      </c>
      <c r="AR1175" s="111">
        <v>44904.569444444445</v>
      </c>
      <c r="AS1175" s="109" t="s">
        <v>1203</v>
      </c>
      <c r="AT1175" s="109" t="s">
        <v>65</v>
      </c>
      <c r="AU1175" s="110">
        <v>0.56944444444444442</v>
      </c>
      <c r="AV1175" s="104">
        <v>1</v>
      </c>
      <c r="AW1175" s="109" t="s">
        <v>66</v>
      </c>
      <c r="AX1175" s="52"/>
      <c r="AY1175" s="52"/>
      <c r="AZ1175" s="52"/>
      <c r="BA1175" s="52"/>
    </row>
    <row r="1176" spans="1:53" x14ac:dyDescent="0.25">
      <c r="A1176" s="48">
        <v>118</v>
      </c>
      <c r="B1176" s="120">
        <v>44902.590277777781</v>
      </c>
      <c r="C1176" s="114">
        <v>0.59375</v>
      </c>
      <c r="D1176" s="114">
        <v>0.625</v>
      </c>
      <c r="E1176" s="114">
        <v>0.66666666666666663</v>
      </c>
      <c r="F1176" s="115" t="s">
        <v>170</v>
      </c>
      <c r="G1176" s="115" t="s">
        <v>1832</v>
      </c>
      <c r="H1176" s="26" t="s">
        <v>187</v>
      </c>
      <c r="I1176" s="26" t="s">
        <v>153</v>
      </c>
      <c r="J1176" s="26" t="s">
        <v>37</v>
      </c>
      <c r="K1176" s="115" t="s">
        <v>63</v>
      </c>
      <c r="L1176" s="115" t="s">
        <v>212</v>
      </c>
      <c r="M1176" s="37" t="s">
        <v>3182</v>
      </c>
      <c r="N1176" s="37" t="s">
        <v>42</v>
      </c>
      <c r="O1176" s="37">
        <v>21222231604</v>
      </c>
      <c r="P1176" s="37">
        <v>5052007651</v>
      </c>
      <c r="Q1176" s="303">
        <f t="shared" si="106"/>
        <v>2</v>
      </c>
      <c r="R1176" s="303">
        <f t="shared" si="107"/>
        <v>487</v>
      </c>
      <c r="S1176" s="37">
        <v>0</v>
      </c>
      <c r="T1176" s="37">
        <v>0</v>
      </c>
      <c r="U1176" s="37">
        <v>2</v>
      </c>
      <c r="V1176" s="37">
        <v>487</v>
      </c>
      <c r="W1176" s="37">
        <v>531.20000000000005</v>
      </c>
      <c r="X1176" s="37">
        <v>93</v>
      </c>
      <c r="Y1176" s="37">
        <v>93</v>
      </c>
      <c r="Z1176" s="37">
        <v>63</v>
      </c>
      <c r="AA1176" s="37">
        <v>2</v>
      </c>
      <c r="AB1176" s="300">
        <f t="shared" si="108"/>
        <v>181.62899999999999</v>
      </c>
      <c r="AC1176" s="300">
        <f t="shared" si="109"/>
        <v>1.0941506024096386</v>
      </c>
      <c r="AD1176" s="37">
        <v>1945.56</v>
      </c>
      <c r="AE1176" s="115" t="s">
        <v>109</v>
      </c>
      <c r="AF1176" s="115" t="s">
        <v>317</v>
      </c>
      <c r="AG1176" s="115" t="s">
        <v>317</v>
      </c>
      <c r="AH1176" s="37" t="s">
        <v>3183</v>
      </c>
      <c r="AI1176" s="309"/>
      <c r="AJ1176" s="309"/>
      <c r="AK1176" s="115" t="s">
        <v>41</v>
      </c>
      <c r="AL1176" s="115" t="s">
        <v>49</v>
      </c>
      <c r="AM1176" s="299">
        <f t="shared" ca="1" si="105"/>
        <v>1.9791666666642413</v>
      </c>
      <c r="AN1176" s="51"/>
      <c r="AO1176" s="104" t="s">
        <v>120</v>
      </c>
      <c r="AP1176" s="106" t="s">
        <v>3182</v>
      </c>
      <c r="AQ1176" s="104" t="s">
        <v>3370</v>
      </c>
      <c r="AR1176" s="111">
        <v>44904.569444444445</v>
      </c>
      <c r="AS1176" s="109" t="s">
        <v>1203</v>
      </c>
      <c r="AT1176" s="109" t="s">
        <v>65</v>
      </c>
      <c r="AU1176" s="110">
        <v>0.56944444444444442</v>
      </c>
      <c r="AV1176" s="104">
        <v>1</v>
      </c>
      <c r="AW1176" s="109" t="s">
        <v>66</v>
      </c>
      <c r="AX1176" s="52"/>
      <c r="AY1176" s="52"/>
      <c r="AZ1176" s="52"/>
      <c r="BA1176" s="52"/>
    </row>
    <row r="1177" spans="1:53" x14ac:dyDescent="0.25">
      <c r="A1177" s="48">
        <v>119</v>
      </c>
      <c r="B1177" s="120">
        <v>44902.590277777781</v>
      </c>
      <c r="C1177" s="114">
        <v>0.59375</v>
      </c>
      <c r="D1177" s="114">
        <v>0.625</v>
      </c>
      <c r="E1177" s="114">
        <v>0.66666666666666663</v>
      </c>
      <c r="F1177" s="115" t="s">
        <v>170</v>
      </c>
      <c r="G1177" s="115" t="s">
        <v>1832</v>
      </c>
      <c r="H1177" s="107" t="s">
        <v>187</v>
      </c>
      <c r="I1177" s="107" t="s">
        <v>71</v>
      </c>
      <c r="J1177" s="107" t="s">
        <v>37</v>
      </c>
      <c r="K1177" s="115" t="s">
        <v>63</v>
      </c>
      <c r="L1177" s="115" t="s">
        <v>212</v>
      </c>
      <c r="M1177" s="115" t="s">
        <v>3184</v>
      </c>
      <c r="N1177" s="37" t="s">
        <v>139</v>
      </c>
      <c r="O1177" s="115">
        <v>21222231677</v>
      </c>
      <c r="P1177" s="37">
        <v>5052004412</v>
      </c>
      <c r="Q1177" s="303">
        <f t="shared" si="106"/>
        <v>1</v>
      </c>
      <c r="R1177" s="303">
        <f t="shared" si="107"/>
        <v>176</v>
      </c>
      <c r="S1177" s="37">
        <v>0</v>
      </c>
      <c r="T1177" s="37">
        <v>0</v>
      </c>
      <c r="U1177" s="37">
        <v>1</v>
      </c>
      <c r="V1177" s="37">
        <v>176</v>
      </c>
      <c r="W1177" s="37">
        <v>173.64699999999999</v>
      </c>
      <c r="X1177" s="37">
        <v>120</v>
      </c>
      <c r="Y1177" s="37">
        <v>80</v>
      </c>
      <c r="Z1177" s="37">
        <v>44</v>
      </c>
      <c r="AA1177" s="37">
        <v>1</v>
      </c>
      <c r="AB1177" s="300">
        <f t="shared" si="108"/>
        <v>70.400000000000006</v>
      </c>
      <c r="AC1177" s="300">
        <f t="shared" si="109"/>
        <v>0.42409638554216872</v>
      </c>
      <c r="AD1177" s="37">
        <v>4240.3999999999996</v>
      </c>
      <c r="AE1177" s="115" t="s">
        <v>109</v>
      </c>
      <c r="AF1177" s="115">
        <v>6001617</v>
      </c>
      <c r="AG1177" s="115" t="s">
        <v>3448</v>
      </c>
      <c r="AH1177" s="37" t="s">
        <v>3185</v>
      </c>
      <c r="AI1177" s="309"/>
      <c r="AJ1177" s="309"/>
      <c r="AK1177" s="115" t="s">
        <v>41</v>
      </c>
      <c r="AL1177" s="115" t="s">
        <v>49</v>
      </c>
      <c r="AM1177" s="299">
        <f t="shared" ca="1" si="105"/>
        <v>6.1145833333284827</v>
      </c>
      <c r="AN1177" s="51"/>
      <c r="AO1177" s="104" t="s">
        <v>72</v>
      </c>
      <c r="AP1177" s="106" t="s">
        <v>3171</v>
      </c>
      <c r="AQ1177" s="104" t="s">
        <v>3505</v>
      </c>
      <c r="AR1177" s="111">
        <v>44908.704861111109</v>
      </c>
      <c r="AS1177" s="104" t="s">
        <v>117</v>
      </c>
      <c r="AT1177" s="109" t="s">
        <v>225</v>
      </c>
      <c r="AU1177" s="110">
        <v>0.70486111111111116</v>
      </c>
      <c r="AV1177" s="104">
        <v>1</v>
      </c>
      <c r="AW1177" s="109" t="s">
        <v>66</v>
      </c>
      <c r="AX1177" s="52"/>
      <c r="AY1177" s="52"/>
      <c r="AZ1177" s="52"/>
      <c r="BA1177" s="52"/>
    </row>
    <row r="1178" spans="1:53" x14ac:dyDescent="0.25">
      <c r="A1178" s="48">
        <v>120</v>
      </c>
      <c r="B1178" s="120">
        <v>44902.590277777781</v>
      </c>
      <c r="C1178" s="114">
        <v>0.59375</v>
      </c>
      <c r="D1178" s="114">
        <v>0.625</v>
      </c>
      <c r="E1178" s="114">
        <v>0.66666666666666663</v>
      </c>
      <c r="F1178" s="115" t="s">
        <v>170</v>
      </c>
      <c r="G1178" s="115" t="s">
        <v>1832</v>
      </c>
      <c r="H1178" s="107" t="s">
        <v>187</v>
      </c>
      <c r="I1178" s="107" t="s">
        <v>71</v>
      </c>
      <c r="J1178" s="107" t="s">
        <v>37</v>
      </c>
      <c r="K1178" s="115" t="s">
        <v>63</v>
      </c>
      <c r="L1178" s="115" t="s">
        <v>212</v>
      </c>
      <c r="M1178" s="115" t="s">
        <v>3184</v>
      </c>
      <c r="N1178" s="115" t="s">
        <v>139</v>
      </c>
      <c r="O1178" s="115">
        <v>21222231659</v>
      </c>
      <c r="P1178" s="37">
        <v>5052006525</v>
      </c>
      <c r="Q1178" s="303">
        <f t="shared" si="106"/>
        <v>1</v>
      </c>
      <c r="R1178" s="303">
        <f t="shared" si="107"/>
        <v>57</v>
      </c>
      <c r="S1178" s="37">
        <v>0</v>
      </c>
      <c r="T1178" s="37">
        <v>0</v>
      </c>
      <c r="U1178" s="37">
        <v>1</v>
      </c>
      <c r="V1178" s="37">
        <v>57</v>
      </c>
      <c r="W1178" s="37">
        <v>56.247</v>
      </c>
      <c r="X1178" s="37">
        <v>80</v>
      </c>
      <c r="Y1178" s="37">
        <v>60</v>
      </c>
      <c r="Z1178" s="37">
        <v>44</v>
      </c>
      <c r="AA1178" s="37">
        <v>1</v>
      </c>
      <c r="AB1178" s="300">
        <f t="shared" si="108"/>
        <v>35.200000000000003</v>
      </c>
      <c r="AC1178" s="300">
        <f t="shared" si="109"/>
        <v>0.21204819277108436</v>
      </c>
      <c r="AD1178" s="37">
        <v>219.02</v>
      </c>
      <c r="AE1178" s="115" t="s">
        <v>109</v>
      </c>
      <c r="AF1178" s="115">
        <v>5994911</v>
      </c>
      <c r="AG1178" s="115" t="s">
        <v>3229</v>
      </c>
      <c r="AH1178" s="37" t="s">
        <v>3186</v>
      </c>
      <c r="AI1178" s="309"/>
      <c r="AJ1178" s="309"/>
      <c r="AK1178" s="115" t="s">
        <v>41</v>
      </c>
      <c r="AL1178" s="115" t="s">
        <v>49</v>
      </c>
      <c r="AM1178" s="299">
        <f t="shared" ca="1" si="105"/>
        <v>6.1145833333284827</v>
      </c>
      <c r="AN1178" s="51"/>
      <c r="AO1178" s="104" t="s">
        <v>72</v>
      </c>
      <c r="AP1178" s="106" t="s">
        <v>3184</v>
      </c>
      <c r="AQ1178" s="104" t="s">
        <v>3505</v>
      </c>
      <c r="AR1178" s="111">
        <v>44908.704861111109</v>
      </c>
      <c r="AS1178" s="104" t="s">
        <v>117</v>
      </c>
      <c r="AT1178" s="109" t="s">
        <v>225</v>
      </c>
      <c r="AU1178" s="110">
        <v>0.70486111111111116</v>
      </c>
      <c r="AV1178" s="104">
        <v>1</v>
      </c>
      <c r="AW1178" s="109" t="s">
        <v>66</v>
      </c>
      <c r="AX1178" s="52"/>
      <c r="AY1178" s="52"/>
      <c r="AZ1178" s="52"/>
      <c r="BA1178" s="52"/>
    </row>
    <row r="1179" spans="1:53" x14ac:dyDescent="0.25">
      <c r="A1179" s="48">
        <v>121</v>
      </c>
      <c r="B1179" s="120">
        <v>44902.590277777781</v>
      </c>
      <c r="C1179" s="114">
        <v>0.59375</v>
      </c>
      <c r="D1179" s="114">
        <v>0.625</v>
      </c>
      <c r="E1179" s="114">
        <v>0.66666666666666663</v>
      </c>
      <c r="F1179" s="115" t="s">
        <v>170</v>
      </c>
      <c r="G1179" s="115" t="s">
        <v>1832</v>
      </c>
      <c r="H1179" s="107" t="s">
        <v>187</v>
      </c>
      <c r="I1179" s="107" t="s">
        <v>71</v>
      </c>
      <c r="J1179" s="107" t="s">
        <v>37</v>
      </c>
      <c r="K1179" s="115" t="s">
        <v>63</v>
      </c>
      <c r="L1179" s="115" t="s">
        <v>212</v>
      </c>
      <c r="M1179" s="37" t="s">
        <v>3184</v>
      </c>
      <c r="N1179" s="115" t="s">
        <v>139</v>
      </c>
      <c r="O1179" s="115">
        <v>21222231588</v>
      </c>
      <c r="P1179" s="37">
        <v>5051985559</v>
      </c>
      <c r="Q1179" s="303">
        <f t="shared" si="106"/>
        <v>1</v>
      </c>
      <c r="R1179" s="303">
        <f t="shared" si="107"/>
        <v>14</v>
      </c>
      <c r="S1179" s="37">
        <v>1</v>
      </c>
      <c r="T1179" s="37">
        <v>14</v>
      </c>
      <c r="U1179" s="37">
        <v>0</v>
      </c>
      <c r="V1179" s="37">
        <v>0</v>
      </c>
      <c r="W1179" s="37">
        <v>13.5</v>
      </c>
      <c r="X1179" s="37">
        <v>31</v>
      </c>
      <c r="Y1179" s="37">
        <v>30</v>
      </c>
      <c r="Z1179" s="37">
        <v>21</v>
      </c>
      <c r="AA1179" s="37">
        <v>1</v>
      </c>
      <c r="AB1179" s="300">
        <f t="shared" si="108"/>
        <v>3.2549999999999999</v>
      </c>
      <c r="AC1179" s="300">
        <f t="shared" si="109"/>
        <v>1.960843373493976E-2</v>
      </c>
      <c r="AD1179" s="37">
        <v>223.85</v>
      </c>
      <c r="AE1179" s="115" t="s">
        <v>109</v>
      </c>
      <c r="AF1179" s="115">
        <v>5994886</v>
      </c>
      <c r="AG1179" s="115" t="s">
        <v>3229</v>
      </c>
      <c r="AH1179" s="37" t="s">
        <v>3187</v>
      </c>
      <c r="AI1179" s="309"/>
      <c r="AJ1179" s="309"/>
      <c r="AK1179" s="37" t="s">
        <v>48</v>
      </c>
      <c r="AL1179" s="115" t="s">
        <v>49</v>
      </c>
      <c r="AM1179" s="299">
        <f t="shared" ca="1" si="105"/>
        <v>6.1145833333284827</v>
      </c>
      <c r="AN1179" s="51"/>
      <c r="AO1179" s="104" t="s">
        <v>72</v>
      </c>
      <c r="AP1179" s="106" t="s">
        <v>3184</v>
      </c>
      <c r="AQ1179" s="104" t="s">
        <v>3505</v>
      </c>
      <c r="AR1179" s="111">
        <v>44908.704861111109</v>
      </c>
      <c r="AS1179" s="104" t="s">
        <v>117</v>
      </c>
      <c r="AT1179" s="109" t="s">
        <v>225</v>
      </c>
      <c r="AU1179" s="110">
        <v>0.70486111111111116</v>
      </c>
      <c r="AV1179" s="104">
        <v>1</v>
      </c>
      <c r="AW1179" s="109" t="s">
        <v>66</v>
      </c>
      <c r="AX1179" s="52"/>
      <c r="AY1179" s="52"/>
      <c r="AZ1179" s="52"/>
      <c r="BA1179" s="52"/>
    </row>
    <row r="1180" spans="1:53" x14ac:dyDescent="0.25">
      <c r="A1180" s="48">
        <v>122</v>
      </c>
      <c r="B1180" s="120">
        <v>44902.590277777781</v>
      </c>
      <c r="C1180" s="114">
        <v>0.59375</v>
      </c>
      <c r="D1180" s="114">
        <v>0.625</v>
      </c>
      <c r="E1180" s="114">
        <v>0.66666666666666663</v>
      </c>
      <c r="F1180" s="115" t="s">
        <v>170</v>
      </c>
      <c r="G1180" s="115" t="s">
        <v>1832</v>
      </c>
      <c r="H1180" s="107" t="s">
        <v>187</v>
      </c>
      <c r="I1180" s="107" t="s">
        <v>71</v>
      </c>
      <c r="J1180" s="107" t="s">
        <v>37</v>
      </c>
      <c r="K1180" s="115" t="s">
        <v>63</v>
      </c>
      <c r="L1180" s="115" t="s">
        <v>212</v>
      </c>
      <c r="M1180" s="115" t="s">
        <v>3184</v>
      </c>
      <c r="N1180" s="115" t="s">
        <v>139</v>
      </c>
      <c r="O1180" s="115">
        <v>21222231587</v>
      </c>
      <c r="P1180" s="37">
        <v>5051970843</v>
      </c>
      <c r="Q1180" s="303">
        <f t="shared" si="106"/>
        <v>1</v>
      </c>
      <c r="R1180" s="303">
        <f t="shared" si="107"/>
        <v>14</v>
      </c>
      <c r="S1180" s="37">
        <v>1</v>
      </c>
      <c r="T1180" s="37">
        <v>14</v>
      </c>
      <c r="U1180" s="37">
        <v>0</v>
      </c>
      <c r="V1180" s="37">
        <v>0</v>
      </c>
      <c r="W1180" s="37">
        <v>13.55</v>
      </c>
      <c r="X1180" s="115">
        <v>31</v>
      </c>
      <c r="Y1180" s="115">
        <v>30</v>
      </c>
      <c r="Z1180" s="115">
        <v>21</v>
      </c>
      <c r="AA1180" s="115">
        <v>1</v>
      </c>
      <c r="AB1180" s="300">
        <f t="shared" si="108"/>
        <v>3.2549999999999999</v>
      </c>
      <c r="AC1180" s="300">
        <f t="shared" si="109"/>
        <v>1.960843373493976E-2</v>
      </c>
      <c r="AD1180" s="37">
        <v>223.85</v>
      </c>
      <c r="AE1180" s="115" t="s">
        <v>109</v>
      </c>
      <c r="AF1180" s="115">
        <v>5994936</v>
      </c>
      <c r="AG1180" s="115" t="s">
        <v>3229</v>
      </c>
      <c r="AH1180" s="37" t="s">
        <v>3188</v>
      </c>
      <c r="AI1180" s="309"/>
      <c r="AJ1180" s="309"/>
      <c r="AK1180" s="115" t="s">
        <v>48</v>
      </c>
      <c r="AL1180" s="115" t="s">
        <v>49</v>
      </c>
      <c r="AM1180" s="299">
        <f t="shared" ca="1" si="105"/>
        <v>6.1145833333284827</v>
      </c>
      <c r="AN1180" s="51"/>
      <c r="AO1180" s="104" t="s">
        <v>72</v>
      </c>
      <c r="AP1180" s="106" t="s">
        <v>3184</v>
      </c>
      <c r="AQ1180" s="104" t="s">
        <v>3505</v>
      </c>
      <c r="AR1180" s="111">
        <v>44908.704861111109</v>
      </c>
      <c r="AS1180" s="104" t="s">
        <v>117</v>
      </c>
      <c r="AT1180" s="109" t="s">
        <v>225</v>
      </c>
      <c r="AU1180" s="110">
        <v>0.70486111111111116</v>
      </c>
      <c r="AV1180" s="104">
        <v>1</v>
      </c>
      <c r="AW1180" s="109" t="s">
        <v>66</v>
      </c>
      <c r="AX1180" s="52"/>
      <c r="AY1180" s="52"/>
      <c r="AZ1180" s="52"/>
      <c r="BA1180" s="52"/>
    </row>
    <row r="1181" spans="1:53" x14ac:dyDescent="0.25">
      <c r="A1181" s="48">
        <v>123</v>
      </c>
      <c r="B1181" s="120">
        <v>44902.590277777781</v>
      </c>
      <c r="C1181" s="114">
        <v>0.59375</v>
      </c>
      <c r="D1181" s="114">
        <v>0.625</v>
      </c>
      <c r="E1181" s="114">
        <v>0.66666666666666663</v>
      </c>
      <c r="F1181" s="115" t="s">
        <v>170</v>
      </c>
      <c r="G1181" s="115" t="s">
        <v>1832</v>
      </c>
      <c r="H1181" s="107" t="s">
        <v>187</v>
      </c>
      <c r="I1181" s="107" t="s">
        <v>71</v>
      </c>
      <c r="J1181" s="107" t="s">
        <v>37</v>
      </c>
      <c r="K1181" s="115" t="s">
        <v>63</v>
      </c>
      <c r="L1181" s="115" t="s">
        <v>212</v>
      </c>
      <c r="M1181" s="115" t="s">
        <v>3184</v>
      </c>
      <c r="N1181" s="115" t="s">
        <v>139</v>
      </c>
      <c r="O1181" s="115">
        <v>21222231575</v>
      </c>
      <c r="P1181" s="37">
        <v>5051994381</v>
      </c>
      <c r="Q1181" s="303">
        <f t="shared" si="106"/>
        <v>1</v>
      </c>
      <c r="R1181" s="303">
        <f t="shared" si="107"/>
        <v>17</v>
      </c>
      <c r="S1181" s="37">
        <v>1</v>
      </c>
      <c r="T1181" s="37">
        <v>17</v>
      </c>
      <c r="U1181" s="37">
        <v>0</v>
      </c>
      <c r="V1181" s="37">
        <v>0</v>
      </c>
      <c r="W1181" s="37">
        <v>26.998000000000001</v>
      </c>
      <c r="X1181" s="37">
        <v>40</v>
      </c>
      <c r="Y1181" s="37">
        <v>40</v>
      </c>
      <c r="Z1181" s="37">
        <v>30</v>
      </c>
      <c r="AA1181" s="37">
        <v>1</v>
      </c>
      <c r="AB1181" s="300">
        <f t="shared" si="108"/>
        <v>8</v>
      </c>
      <c r="AC1181" s="300">
        <f t="shared" si="109"/>
        <v>4.8192771084337352E-2</v>
      </c>
      <c r="AD1181" s="37">
        <v>187.12</v>
      </c>
      <c r="AE1181" s="115" t="s">
        <v>109</v>
      </c>
      <c r="AF1181" s="115">
        <v>5994906</v>
      </c>
      <c r="AG1181" s="115" t="s">
        <v>3229</v>
      </c>
      <c r="AH1181" s="37" t="s">
        <v>3189</v>
      </c>
      <c r="AI1181" s="309"/>
      <c r="AJ1181" s="309"/>
      <c r="AK1181" s="115" t="s">
        <v>48</v>
      </c>
      <c r="AL1181" s="115" t="s">
        <v>49</v>
      </c>
      <c r="AM1181" s="299">
        <f t="shared" ca="1" si="105"/>
        <v>6.1145833333284827</v>
      </c>
      <c r="AN1181" s="51"/>
      <c r="AO1181" s="104" t="s">
        <v>72</v>
      </c>
      <c r="AP1181" s="106" t="s">
        <v>3184</v>
      </c>
      <c r="AQ1181" s="104" t="s">
        <v>3505</v>
      </c>
      <c r="AR1181" s="111">
        <v>44908.704861111109</v>
      </c>
      <c r="AS1181" s="104" t="s">
        <v>117</v>
      </c>
      <c r="AT1181" s="109" t="s">
        <v>225</v>
      </c>
      <c r="AU1181" s="110">
        <v>0.70486111111111116</v>
      </c>
      <c r="AV1181" s="104">
        <v>1</v>
      </c>
      <c r="AW1181" s="109" t="s">
        <v>66</v>
      </c>
      <c r="AX1181" s="52"/>
      <c r="AY1181" s="52"/>
      <c r="AZ1181" s="52"/>
      <c r="BA1181" s="52"/>
    </row>
    <row r="1182" spans="1:53" x14ac:dyDescent="0.25">
      <c r="A1182" s="48">
        <v>124</v>
      </c>
      <c r="B1182" s="120">
        <v>44902.590277777781</v>
      </c>
      <c r="C1182" s="114">
        <v>0.59375</v>
      </c>
      <c r="D1182" s="114">
        <v>0.625</v>
      </c>
      <c r="E1182" s="114">
        <v>0.66666666666666663</v>
      </c>
      <c r="F1182" s="115" t="s">
        <v>170</v>
      </c>
      <c r="G1182" s="115" t="s">
        <v>1832</v>
      </c>
      <c r="H1182" s="26" t="s">
        <v>57</v>
      </c>
      <c r="I1182" s="26" t="s">
        <v>92</v>
      </c>
      <c r="J1182" s="107" t="s">
        <v>37</v>
      </c>
      <c r="K1182" s="113" t="s">
        <v>63</v>
      </c>
      <c r="L1182" s="113" t="s">
        <v>209</v>
      </c>
      <c r="M1182" s="37" t="s">
        <v>3190</v>
      </c>
      <c r="N1182" s="37" t="s">
        <v>42</v>
      </c>
      <c r="O1182" s="37" t="s">
        <v>3191</v>
      </c>
      <c r="P1182" s="37">
        <v>81971070</v>
      </c>
      <c r="Q1182" s="303">
        <f t="shared" si="106"/>
        <v>1</v>
      </c>
      <c r="R1182" s="303">
        <f t="shared" si="107"/>
        <v>119</v>
      </c>
      <c r="S1182" s="37">
        <v>0</v>
      </c>
      <c r="T1182" s="37">
        <v>0</v>
      </c>
      <c r="U1182" s="37">
        <v>1</v>
      </c>
      <c r="V1182" s="37">
        <v>119</v>
      </c>
      <c r="W1182" s="37">
        <v>118</v>
      </c>
      <c r="X1182" s="37">
        <v>80</v>
      </c>
      <c r="Y1182" s="37">
        <v>60</v>
      </c>
      <c r="Z1182" s="37">
        <v>69</v>
      </c>
      <c r="AA1182" s="37">
        <v>1</v>
      </c>
      <c r="AB1182" s="300">
        <f t="shared" si="108"/>
        <v>55.2</v>
      </c>
      <c r="AC1182" s="300">
        <f t="shared" si="109"/>
        <v>0.3325301204819277</v>
      </c>
      <c r="AD1182" s="37">
        <v>414.16</v>
      </c>
      <c r="AE1182" s="115" t="s">
        <v>109</v>
      </c>
      <c r="AF1182" s="115" t="s">
        <v>317</v>
      </c>
      <c r="AG1182" s="115" t="s">
        <v>317</v>
      </c>
      <c r="AH1182" s="37" t="s">
        <v>3192</v>
      </c>
      <c r="AI1182" s="309"/>
      <c r="AJ1182" s="309"/>
      <c r="AK1182" s="37" t="s">
        <v>37</v>
      </c>
      <c r="AL1182" s="115" t="s">
        <v>49</v>
      </c>
      <c r="AM1182" s="299">
        <f t="shared" ca="1" si="105"/>
        <v>1.9791666666642413</v>
      </c>
      <c r="AN1182" s="51"/>
      <c r="AO1182" s="104" t="s">
        <v>120</v>
      </c>
      <c r="AP1182" s="106" t="s">
        <v>3190</v>
      </c>
      <c r="AQ1182" s="104" t="s">
        <v>3370</v>
      </c>
      <c r="AR1182" s="111">
        <v>44904.569444444445</v>
      </c>
      <c r="AS1182" s="109" t="s">
        <v>1203</v>
      </c>
      <c r="AT1182" s="109" t="s">
        <v>65</v>
      </c>
      <c r="AU1182" s="110">
        <v>0.56944444444444442</v>
      </c>
      <c r="AV1182" s="104">
        <v>1</v>
      </c>
      <c r="AW1182" s="109" t="s">
        <v>66</v>
      </c>
      <c r="AX1182" s="52"/>
      <c r="AY1182" s="52"/>
      <c r="AZ1182" s="52"/>
      <c r="BA1182" s="52"/>
    </row>
    <row r="1183" spans="1:53" x14ac:dyDescent="0.25">
      <c r="A1183" s="48">
        <v>125</v>
      </c>
      <c r="B1183" s="120">
        <v>44902.590277777781</v>
      </c>
      <c r="C1183" s="114">
        <v>0.59375</v>
      </c>
      <c r="D1183" s="114">
        <v>0.625</v>
      </c>
      <c r="E1183" s="114">
        <v>0.66666666666666663</v>
      </c>
      <c r="F1183" s="115" t="s">
        <v>170</v>
      </c>
      <c r="G1183" s="115" t="s">
        <v>1832</v>
      </c>
      <c r="H1183" s="26" t="s">
        <v>45</v>
      </c>
      <c r="I1183" s="107" t="s">
        <v>153</v>
      </c>
      <c r="J1183" s="107" t="s">
        <v>37</v>
      </c>
      <c r="K1183" s="113" t="s">
        <v>63</v>
      </c>
      <c r="L1183" s="113" t="s">
        <v>215</v>
      </c>
      <c r="M1183" s="37" t="s">
        <v>3193</v>
      </c>
      <c r="N1183" s="115" t="s">
        <v>42</v>
      </c>
      <c r="O1183" s="37">
        <v>3500767</v>
      </c>
      <c r="P1183" s="37">
        <v>5052018484</v>
      </c>
      <c r="Q1183" s="303">
        <f t="shared" si="106"/>
        <v>1</v>
      </c>
      <c r="R1183" s="303">
        <f t="shared" si="107"/>
        <v>106</v>
      </c>
      <c r="S1183" s="37">
        <v>0</v>
      </c>
      <c r="T1183" s="37">
        <v>0</v>
      </c>
      <c r="U1183" s="37">
        <v>1</v>
      </c>
      <c r="V1183" s="37">
        <v>106</v>
      </c>
      <c r="W1183" s="37">
        <v>105.22799999999999</v>
      </c>
      <c r="X1183" s="37">
        <v>80</v>
      </c>
      <c r="Y1183" s="37">
        <v>48</v>
      </c>
      <c r="Z1183" s="37">
        <v>50</v>
      </c>
      <c r="AA1183" s="37">
        <v>1</v>
      </c>
      <c r="AB1183" s="300">
        <f t="shared" si="108"/>
        <v>32</v>
      </c>
      <c r="AC1183" s="300">
        <f t="shared" si="109"/>
        <v>0.19277108433734941</v>
      </c>
      <c r="AD1183" s="37">
        <v>5814.7</v>
      </c>
      <c r="AE1183" s="115" t="s">
        <v>109</v>
      </c>
      <c r="AF1183" s="115" t="s">
        <v>317</v>
      </c>
      <c r="AG1183" s="115" t="s">
        <v>317</v>
      </c>
      <c r="AH1183" s="37" t="s">
        <v>3194</v>
      </c>
      <c r="AI1183" s="309"/>
      <c r="AJ1183" s="309"/>
      <c r="AK1183" s="115" t="s">
        <v>37</v>
      </c>
      <c r="AL1183" s="115" t="s">
        <v>49</v>
      </c>
      <c r="AM1183" s="299">
        <f t="shared" ca="1" si="105"/>
        <v>1.9791666666642413</v>
      </c>
      <c r="AN1183" s="51"/>
      <c r="AO1183" s="104" t="s">
        <v>120</v>
      </c>
      <c r="AP1183" s="106" t="s">
        <v>3193</v>
      </c>
      <c r="AQ1183" s="104" t="s">
        <v>3370</v>
      </c>
      <c r="AR1183" s="111">
        <v>44904.569444444445</v>
      </c>
      <c r="AS1183" s="109" t="s">
        <v>1203</v>
      </c>
      <c r="AT1183" s="109" t="s">
        <v>65</v>
      </c>
      <c r="AU1183" s="110">
        <v>0.56944444444444442</v>
      </c>
      <c r="AV1183" s="104">
        <v>1</v>
      </c>
      <c r="AW1183" s="109" t="s">
        <v>66</v>
      </c>
      <c r="AX1183" s="52"/>
      <c r="AY1183" s="52"/>
      <c r="AZ1183" s="52"/>
      <c r="BA1183" s="52"/>
    </row>
    <row r="1184" spans="1:53" x14ac:dyDescent="0.25">
      <c r="A1184" s="48">
        <v>126</v>
      </c>
      <c r="B1184" s="120">
        <v>44902.590277777781</v>
      </c>
      <c r="C1184" s="114">
        <v>0.59375</v>
      </c>
      <c r="D1184" s="114">
        <v>0.625</v>
      </c>
      <c r="E1184" s="114">
        <v>0.66666666666666663</v>
      </c>
      <c r="F1184" s="115" t="s">
        <v>170</v>
      </c>
      <c r="G1184" s="115" t="s">
        <v>1832</v>
      </c>
      <c r="H1184" s="107" t="s">
        <v>45</v>
      </c>
      <c r="I1184" s="26" t="s">
        <v>162</v>
      </c>
      <c r="J1184" s="107" t="s">
        <v>37</v>
      </c>
      <c r="K1184" s="113" t="s">
        <v>63</v>
      </c>
      <c r="L1184" s="113" t="s">
        <v>215</v>
      </c>
      <c r="M1184" s="37" t="s">
        <v>3195</v>
      </c>
      <c r="N1184" s="37" t="s">
        <v>158</v>
      </c>
      <c r="O1184" s="37">
        <v>3500763</v>
      </c>
      <c r="P1184" s="37">
        <v>5052011538</v>
      </c>
      <c r="Q1184" s="303">
        <f t="shared" si="106"/>
        <v>1</v>
      </c>
      <c r="R1184" s="303">
        <f t="shared" si="107"/>
        <v>185</v>
      </c>
      <c r="S1184" s="37">
        <v>0</v>
      </c>
      <c r="T1184" s="37">
        <v>0</v>
      </c>
      <c r="U1184" s="37">
        <v>1</v>
      </c>
      <c r="V1184" s="37">
        <v>185</v>
      </c>
      <c r="W1184" s="37">
        <v>184.96100000000001</v>
      </c>
      <c r="X1184" s="37">
        <v>90</v>
      </c>
      <c r="Y1184" s="37">
        <v>80</v>
      </c>
      <c r="Z1184" s="37">
        <v>50</v>
      </c>
      <c r="AA1184" s="37">
        <v>1</v>
      </c>
      <c r="AB1184" s="300">
        <f t="shared" si="108"/>
        <v>60</v>
      </c>
      <c r="AC1184" s="300">
        <f t="shared" si="109"/>
        <v>0.36144578313253012</v>
      </c>
      <c r="AD1184" s="37">
        <v>8674.6</v>
      </c>
      <c r="AE1184" s="115" t="s">
        <v>109</v>
      </c>
      <c r="AF1184" s="115" t="s">
        <v>317</v>
      </c>
      <c r="AG1184" s="115" t="s">
        <v>317</v>
      </c>
      <c r="AH1184" s="37" t="s">
        <v>3196</v>
      </c>
      <c r="AI1184" s="309"/>
      <c r="AJ1184" s="309"/>
      <c r="AK1184" s="115" t="s">
        <v>37</v>
      </c>
      <c r="AL1184" s="115" t="s">
        <v>49</v>
      </c>
      <c r="AM1184" s="299">
        <f t="shared" ca="1" si="105"/>
        <v>0.95138888888322981</v>
      </c>
      <c r="AN1184" s="51"/>
      <c r="AO1184" s="104" t="s">
        <v>159</v>
      </c>
      <c r="AP1184" s="106" t="s">
        <v>3195</v>
      </c>
      <c r="AQ1184" s="104" t="s">
        <v>3310</v>
      </c>
      <c r="AR1184" s="111">
        <v>44903.541666666664</v>
      </c>
      <c r="AS1184" s="104" t="s">
        <v>117</v>
      </c>
      <c r="AT1184" s="109" t="s">
        <v>225</v>
      </c>
      <c r="AU1184" s="110">
        <v>0.54166666666666663</v>
      </c>
      <c r="AV1184" s="104">
        <v>1</v>
      </c>
      <c r="AW1184" s="109" t="s">
        <v>66</v>
      </c>
      <c r="AX1184" s="52"/>
      <c r="AY1184" s="52"/>
      <c r="AZ1184" s="52"/>
      <c r="BA1184" s="52"/>
    </row>
    <row r="1185" spans="1:53" x14ac:dyDescent="0.25">
      <c r="A1185" s="48">
        <v>127</v>
      </c>
      <c r="B1185" s="120">
        <v>44902.590277777781</v>
      </c>
      <c r="C1185" s="114">
        <v>0.59375</v>
      </c>
      <c r="D1185" s="114">
        <v>0.625</v>
      </c>
      <c r="E1185" s="114">
        <v>0.66666666666666663</v>
      </c>
      <c r="F1185" s="115" t="s">
        <v>170</v>
      </c>
      <c r="G1185" s="115" t="s">
        <v>1832</v>
      </c>
      <c r="H1185" s="26" t="s">
        <v>138</v>
      </c>
      <c r="I1185" s="26" t="s">
        <v>92</v>
      </c>
      <c r="J1185" s="107" t="s">
        <v>37</v>
      </c>
      <c r="K1185" s="113" t="s">
        <v>63</v>
      </c>
      <c r="L1185" s="113" t="s">
        <v>219</v>
      </c>
      <c r="M1185" s="37" t="s">
        <v>3197</v>
      </c>
      <c r="N1185" s="37" t="s">
        <v>42</v>
      </c>
      <c r="O1185" s="37" t="s">
        <v>3198</v>
      </c>
      <c r="P1185" s="37">
        <v>5051964643</v>
      </c>
      <c r="Q1185" s="303">
        <f t="shared" si="106"/>
        <v>1</v>
      </c>
      <c r="R1185" s="303">
        <f t="shared" si="107"/>
        <v>181</v>
      </c>
      <c r="S1185" s="37">
        <v>0</v>
      </c>
      <c r="T1185" s="37">
        <v>0</v>
      </c>
      <c r="U1185" s="37">
        <v>1</v>
      </c>
      <c r="V1185" s="37">
        <v>181</v>
      </c>
      <c r="W1185" s="37">
        <v>178</v>
      </c>
      <c r="X1185" s="37">
        <v>125</v>
      </c>
      <c r="Y1185" s="37">
        <v>70</v>
      </c>
      <c r="Z1185" s="37">
        <v>48</v>
      </c>
      <c r="AA1185" s="37">
        <v>1</v>
      </c>
      <c r="AB1185" s="300">
        <f t="shared" si="108"/>
        <v>70</v>
      </c>
      <c r="AC1185" s="300">
        <f t="shared" si="109"/>
        <v>0.42168674698795183</v>
      </c>
      <c r="AD1185" s="37">
        <v>561.20000000000005</v>
      </c>
      <c r="AE1185" s="115" t="s">
        <v>109</v>
      </c>
      <c r="AF1185" s="115" t="s">
        <v>317</v>
      </c>
      <c r="AG1185" s="115" t="s">
        <v>317</v>
      </c>
      <c r="AH1185" s="37">
        <v>0</v>
      </c>
      <c r="AI1185" s="309"/>
      <c r="AJ1185" s="309"/>
      <c r="AK1185" s="37" t="s">
        <v>41</v>
      </c>
      <c r="AL1185" s="115" t="s">
        <v>49</v>
      </c>
      <c r="AM1185" s="299">
        <f t="shared" ca="1" si="105"/>
        <v>1.9270833333284827</v>
      </c>
      <c r="AN1185" s="51"/>
      <c r="AO1185" s="104" t="s">
        <v>83</v>
      </c>
      <c r="AP1185" s="106" t="s">
        <v>3197</v>
      </c>
      <c r="AQ1185" s="104" t="s">
        <v>3367</v>
      </c>
      <c r="AR1185" s="111">
        <v>44904.517361111109</v>
      </c>
      <c r="AS1185" s="109" t="s">
        <v>136</v>
      </c>
      <c r="AT1185" s="109" t="s">
        <v>225</v>
      </c>
      <c r="AU1185" s="110">
        <v>0.51736111111111105</v>
      </c>
      <c r="AV1185" s="104">
        <v>1</v>
      </c>
      <c r="AW1185" s="109" t="s">
        <v>66</v>
      </c>
      <c r="AX1185" s="52"/>
      <c r="AY1185" s="52"/>
      <c r="AZ1185" s="52"/>
      <c r="BA1185" s="52"/>
    </row>
    <row r="1186" spans="1:53" x14ac:dyDescent="0.25">
      <c r="A1186" s="48">
        <v>128</v>
      </c>
      <c r="B1186" s="46">
        <v>44902.625</v>
      </c>
      <c r="C1186" s="36">
        <v>0.63541666666666663</v>
      </c>
      <c r="D1186" s="36">
        <v>0.64583333333333337</v>
      </c>
      <c r="E1186" s="36">
        <v>0.67708333333333337</v>
      </c>
      <c r="F1186" s="115" t="s">
        <v>170</v>
      </c>
      <c r="G1186" s="37" t="s">
        <v>235</v>
      </c>
      <c r="H1186" s="26" t="s">
        <v>227</v>
      </c>
      <c r="I1186" s="26" t="s">
        <v>189</v>
      </c>
      <c r="J1186" s="107" t="s">
        <v>37</v>
      </c>
      <c r="K1186" s="113" t="s">
        <v>63</v>
      </c>
      <c r="L1186" s="118" t="s">
        <v>206</v>
      </c>
      <c r="M1186" s="37" t="s">
        <v>3199</v>
      </c>
      <c r="N1186" s="37" t="s">
        <v>42</v>
      </c>
      <c r="O1186" s="37" t="s">
        <v>3200</v>
      </c>
      <c r="P1186" s="37">
        <v>3724</v>
      </c>
      <c r="Q1186" s="303">
        <f t="shared" si="106"/>
        <v>2</v>
      </c>
      <c r="R1186" s="303">
        <f t="shared" si="107"/>
        <v>1062</v>
      </c>
      <c r="S1186" s="37">
        <v>0</v>
      </c>
      <c r="T1186" s="37">
        <v>0</v>
      </c>
      <c r="U1186" s="37">
        <v>2</v>
      </c>
      <c r="V1186" s="37">
        <f>658+404</f>
        <v>1062</v>
      </c>
      <c r="W1186" s="37">
        <v>1075</v>
      </c>
      <c r="X1186" s="37">
        <v>160</v>
      </c>
      <c r="Y1186" s="37">
        <v>138</v>
      </c>
      <c r="Z1186" s="37">
        <v>79</v>
      </c>
      <c r="AA1186" s="37">
        <v>2</v>
      </c>
      <c r="AB1186" s="300">
        <f t="shared" si="108"/>
        <v>581.44000000000005</v>
      </c>
      <c r="AC1186" s="300">
        <f t="shared" si="109"/>
        <v>3.5026506024096391</v>
      </c>
      <c r="AD1186" s="37" t="s">
        <v>48</v>
      </c>
      <c r="AE1186" s="115" t="s">
        <v>48</v>
      </c>
      <c r="AF1186" s="115" t="s">
        <v>317</v>
      </c>
      <c r="AG1186" s="115" t="s">
        <v>317</v>
      </c>
      <c r="AH1186" s="37" t="s">
        <v>3201</v>
      </c>
      <c r="AI1186" s="309"/>
      <c r="AJ1186" s="309"/>
      <c r="AK1186" s="37" t="s">
        <v>37</v>
      </c>
      <c r="AL1186" s="37" t="s">
        <v>47</v>
      </c>
      <c r="AM1186" s="299">
        <f t="shared" ca="1" si="105"/>
        <v>0.84722222221898846</v>
      </c>
      <c r="AN1186" s="51"/>
      <c r="AO1186" s="104" t="s">
        <v>89</v>
      </c>
      <c r="AP1186" s="106" t="s">
        <v>3199</v>
      </c>
      <c r="AQ1186" s="104" t="s">
        <v>3308</v>
      </c>
      <c r="AR1186" s="111">
        <v>44903.472222222219</v>
      </c>
      <c r="AS1186" s="109" t="s">
        <v>136</v>
      </c>
      <c r="AT1186" s="109" t="s">
        <v>225</v>
      </c>
      <c r="AU1186" s="110">
        <v>0.47222222222222227</v>
      </c>
      <c r="AV1186" s="104">
        <v>1</v>
      </c>
      <c r="AW1186" s="109" t="s">
        <v>66</v>
      </c>
      <c r="AX1186" s="52"/>
      <c r="AY1186" s="52"/>
      <c r="AZ1186" s="52"/>
      <c r="BA1186" s="52"/>
    </row>
    <row r="1187" spans="1:53" x14ac:dyDescent="0.25">
      <c r="A1187" s="48">
        <v>129</v>
      </c>
      <c r="B1187" s="120">
        <v>44902.625</v>
      </c>
      <c r="C1187" s="114">
        <v>0.63541666666666663</v>
      </c>
      <c r="D1187" s="114">
        <v>0.64583333333333337</v>
      </c>
      <c r="E1187" s="114">
        <v>0.67708333333333337</v>
      </c>
      <c r="F1187" s="115" t="s">
        <v>170</v>
      </c>
      <c r="G1187" s="115" t="s">
        <v>235</v>
      </c>
      <c r="H1187" s="107" t="s">
        <v>227</v>
      </c>
      <c r="I1187" s="107" t="s">
        <v>189</v>
      </c>
      <c r="J1187" s="107" t="s">
        <v>37</v>
      </c>
      <c r="K1187" s="113" t="s">
        <v>63</v>
      </c>
      <c r="L1187" s="118" t="s">
        <v>206</v>
      </c>
      <c r="M1187" s="37" t="s">
        <v>3202</v>
      </c>
      <c r="N1187" s="37" t="s">
        <v>43</v>
      </c>
      <c r="O1187" s="37" t="s">
        <v>3203</v>
      </c>
      <c r="P1187" s="37">
        <v>24557</v>
      </c>
      <c r="Q1187" s="303">
        <f t="shared" si="106"/>
        <v>6</v>
      </c>
      <c r="R1187" s="303">
        <f t="shared" si="107"/>
        <v>1298</v>
      </c>
      <c r="S1187" s="37">
        <v>0</v>
      </c>
      <c r="T1187" s="37">
        <v>0</v>
      </c>
      <c r="U1187" s="37">
        <v>6</v>
      </c>
      <c r="V1187" s="116">
        <f>450+214+188+225+221</f>
        <v>1298</v>
      </c>
      <c r="W1187" s="116">
        <v>1462</v>
      </c>
      <c r="X1187" s="37">
        <v>160</v>
      </c>
      <c r="Y1187" s="37">
        <v>74</v>
      </c>
      <c r="Z1187" s="37">
        <v>79</v>
      </c>
      <c r="AA1187" s="37">
        <v>2</v>
      </c>
      <c r="AB1187" s="300">
        <f t="shared" si="108"/>
        <v>311.78666666666669</v>
      </c>
      <c r="AC1187" s="300">
        <f t="shared" si="109"/>
        <v>1.8782329317269078</v>
      </c>
      <c r="AD1187" s="115" t="s">
        <v>48</v>
      </c>
      <c r="AE1187" s="115" t="s">
        <v>48</v>
      </c>
      <c r="AF1187" s="115" t="s">
        <v>317</v>
      </c>
      <c r="AG1187" s="115" t="s">
        <v>317</v>
      </c>
      <c r="AH1187" s="37" t="s">
        <v>3204</v>
      </c>
      <c r="AI1187" s="309"/>
      <c r="AJ1187" s="309"/>
      <c r="AK1187" s="115" t="s">
        <v>37</v>
      </c>
      <c r="AL1187" s="115" t="s">
        <v>47</v>
      </c>
      <c r="AM1187" s="299">
        <f t="shared" ca="1" si="105"/>
        <v>0.91666666666424135</v>
      </c>
      <c r="AN1187" s="51"/>
      <c r="AO1187" s="104" t="s">
        <v>179</v>
      </c>
      <c r="AP1187" s="106" t="s">
        <v>3202</v>
      </c>
      <c r="AQ1187" s="104" t="s">
        <v>3309</v>
      </c>
      <c r="AR1187" s="111">
        <v>44903.541666666664</v>
      </c>
      <c r="AS1187" s="104" t="s">
        <v>117</v>
      </c>
      <c r="AT1187" s="109" t="s">
        <v>225</v>
      </c>
      <c r="AU1187" s="110">
        <v>0.54166666666666663</v>
      </c>
      <c r="AV1187" s="104">
        <v>1</v>
      </c>
      <c r="AW1187" s="109" t="s">
        <v>66</v>
      </c>
      <c r="AX1187" s="52"/>
      <c r="AY1187" s="52"/>
      <c r="AZ1187" s="52"/>
      <c r="BA1187" s="52"/>
    </row>
    <row r="1188" spans="1:53" x14ac:dyDescent="0.25">
      <c r="A1188" s="121">
        <v>129</v>
      </c>
      <c r="B1188" s="120">
        <v>44902.625</v>
      </c>
      <c r="C1188" s="114">
        <v>0.63541666666666663</v>
      </c>
      <c r="D1188" s="114">
        <v>0.64583333333333337</v>
      </c>
      <c r="E1188" s="114">
        <v>0.67708333333333337</v>
      </c>
      <c r="F1188" s="115" t="s">
        <v>170</v>
      </c>
      <c r="G1188" s="115" t="s">
        <v>235</v>
      </c>
      <c r="H1188" s="107" t="s">
        <v>227</v>
      </c>
      <c r="I1188" s="107" t="s">
        <v>189</v>
      </c>
      <c r="J1188" s="107" t="s">
        <v>37</v>
      </c>
      <c r="K1188" s="113" t="s">
        <v>63</v>
      </c>
      <c r="L1188" s="118" t="s">
        <v>206</v>
      </c>
      <c r="M1188" s="115" t="s">
        <v>3202</v>
      </c>
      <c r="N1188" s="115" t="s">
        <v>43</v>
      </c>
      <c r="O1188" s="115" t="s">
        <v>3203</v>
      </c>
      <c r="P1188" s="115">
        <v>24557</v>
      </c>
      <c r="Q1188" s="303">
        <f t="shared" si="106"/>
        <v>0</v>
      </c>
      <c r="R1188" s="303">
        <f t="shared" si="107"/>
        <v>0</v>
      </c>
      <c r="S1188" s="115">
        <v>0</v>
      </c>
      <c r="T1188" s="115">
        <v>0</v>
      </c>
      <c r="U1188" s="115">
        <v>0</v>
      </c>
      <c r="V1188" s="115">
        <v>0</v>
      </c>
      <c r="W1188" s="115">
        <v>0</v>
      </c>
      <c r="X1188" s="37">
        <v>170</v>
      </c>
      <c r="Y1188" s="37">
        <v>97</v>
      </c>
      <c r="Z1188" s="37">
        <v>95</v>
      </c>
      <c r="AA1188" s="37">
        <v>1</v>
      </c>
      <c r="AB1188" s="300">
        <f t="shared" si="108"/>
        <v>261.09166666666664</v>
      </c>
      <c r="AC1188" s="300">
        <f t="shared" si="109"/>
        <v>1.5728413654618472</v>
      </c>
      <c r="AD1188" s="37">
        <v>0</v>
      </c>
      <c r="AE1188" s="115">
        <v>0</v>
      </c>
      <c r="AF1188" s="115" t="s">
        <v>317</v>
      </c>
      <c r="AG1188" s="115" t="s">
        <v>317</v>
      </c>
      <c r="AH1188" s="115" t="s">
        <v>3204</v>
      </c>
      <c r="AI1188" s="309"/>
      <c r="AJ1188" s="309"/>
      <c r="AK1188" s="115" t="s">
        <v>37</v>
      </c>
      <c r="AL1188" s="115" t="s">
        <v>47</v>
      </c>
      <c r="AM1188" s="299">
        <f t="shared" ca="1" si="105"/>
        <v>0.91666666666424135</v>
      </c>
      <c r="AN1188" s="51"/>
      <c r="AO1188" s="104" t="s">
        <v>179</v>
      </c>
      <c r="AP1188" s="106" t="s">
        <v>3202</v>
      </c>
      <c r="AQ1188" s="104" t="s">
        <v>3309</v>
      </c>
      <c r="AR1188" s="111">
        <v>44903.541666666664</v>
      </c>
      <c r="AS1188" s="104" t="s">
        <v>117</v>
      </c>
      <c r="AT1188" s="109" t="s">
        <v>225</v>
      </c>
      <c r="AU1188" s="110">
        <v>0.54166666666666663</v>
      </c>
      <c r="AV1188" s="104">
        <v>1</v>
      </c>
      <c r="AW1188" s="109" t="s">
        <v>66</v>
      </c>
      <c r="AX1188" s="52"/>
      <c r="AY1188" s="52"/>
      <c r="AZ1188" s="52"/>
      <c r="BA1188" s="52"/>
    </row>
    <row r="1189" spans="1:53" x14ac:dyDescent="0.25">
      <c r="A1189" s="121">
        <v>129</v>
      </c>
      <c r="B1189" s="120">
        <v>44902.625</v>
      </c>
      <c r="C1189" s="114">
        <v>0.63541666666666663</v>
      </c>
      <c r="D1189" s="114">
        <v>0.64583333333333337</v>
      </c>
      <c r="E1189" s="114">
        <v>0.67708333333333337</v>
      </c>
      <c r="F1189" s="115" t="s">
        <v>170</v>
      </c>
      <c r="G1189" s="115" t="s">
        <v>235</v>
      </c>
      <c r="H1189" s="107" t="s">
        <v>227</v>
      </c>
      <c r="I1189" s="107" t="s">
        <v>189</v>
      </c>
      <c r="J1189" s="107" t="s">
        <v>37</v>
      </c>
      <c r="K1189" s="113" t="s">
        <v>63</v>
      </c>
      <c r="L1189" s="118" t="s">
        <v>206</v>
      </c>
      <c r="M1189" s="115" t="s">
        <v>3202</v>
      </c>
      <c r="N1189" s="115" t="s">
        <v>43</v>
      </c>
      <c r="O1189" s="115" t="s">
        <v>3203</v>
      </c>
      <c r="P1189" s="115">
        <v>24557</v>
      </c>
      <c r="Q1189" s="303">
        <f t="shared" si="106"/>
        <v>0</v>
      </c>
      <c r="R1189" s="303">
        <f t="shared" si="107"/>
        <v>0</v>
      </c>
      <c r="S1189" s="115">
        <v>0</v>
      </c>
      <c r="T1189" s="115">
        <v>0</v>
      </c>
      <c r="U1189" s="115">
        <v>0</v>
      </c>
      <c r="V1189" s="115">
        <v>0</v>
      </c>
      <c r="W1189" s="115">
        <v>0</v>
      </c>
      <c r="X1189" s="37">
        <v>160</v>
      </c>
      <c r="Y1189" s="37">
        <v>138</v>
      </c>
      <c r="Z1189" s="37">
        <v>79</v>
      </c>
      <c r="AA1189" s="37">
        <v>3</v>
      </c>
      <c r="AB1189" s="300">
        <f t="shared" si="108"/>
        <v>872.16</v>
      </c>
      <c r="AC1189" s="300">
        <f t="shared" si="109"/>
        <v>5.2539759036144575</v>
      </c>
      <c r="AD1189" s="37">
        <v>0</v>
      </c>
      <c r="AE1189" s="115">
        <v>0</v>
      </c>
      <c r="AF1189" s="115" t="s">
        <v>317</v>
      </c>
      <c r="AG1189" s="115" t="s">
        <v>317</v>
      </c>
      <c r="AH1189" s="115" t="s">
        <v>3204</v>
      </c>
      <c r="AI1189" s="309"/>
      <c r="AJ1189" s="309"/>
      <c r="AK1189" s="115" t="s">
        <v>37</v>
      </c>
      <c r="AL1189" s="115" t="s">
        <v>47</v>
      </c>
      <c r="AM1189" s="299">
        <f t="shared" ca="1" si="105"/>
        <v>0.91666666666424135</v>
      </c>
      <c r="AN1189" s="51"/>
      <c r="AO1189" s="104" t="s">
        <v>179</v>
      </c>
      <c r="AP1189" s="106" t="s">
        <v>3202</v>
      </c>
      <c r="AQ1189" s="104" t="s">
        <v>3309</v>
      </c>
      <c r="AR1189" s="111">
        <v>44903.541666666664</v>
      </c>
      <c r="AS1189" s="104" t="s">
        <v>117</v>
      </c>
      <c r="AT1189" s="109" t="s">
        <v>225</v>
      </c>
      <c r="AU1189" s="110">
        <v>0.54166666666666663</v>
      </c>
      <c r="AV1189" s="104">
        <v>1</v>
      </c>
      <c r="AW1189" s="109" t="s">
        <v>66</v>
      </c>
      <c r="AX1189" s="52"/>
      <c r="AY1189" s="52"/>
      <c r="AZ1189" s="52"/>
      <c r="BA1189" s="52"/>
    </row>
    <row r="1190" spans="1:53" x14ac:dyDescent="0.25">
      <c r="A1190" s="48">
        <v>130</v>
      </c>
      <c r="B1190" s="120">
        <v>44902.625</v>
      </c>
      <c r="C1190" s="114">
        <v>0.63541666666666663</v>
      </c>
      <c r="D1190" s="114">
        <v>0.64583333333333337</v>
      </c>
      <c r="E1190" s="114">
        <v>0.67708333333333337</v>
      </c>
      <c r="F1190" s="115" t="s">
        <v>170</v>
      </c>
      <c r="G1190" s="115" t="s">
        <v>235</v>
      </c>
      <c r="H1190" s="107" t="s">
        <v>227</v>
      </c>
      <c r="I1190" s="107" t="s">
        <v>189</v>
      </c>
      <c r="J1190" s="107" t="s">
        <v>37</v>
      </c>
      <c r="K1190" s="113" t="s">
        <v>63</v>
      </c>
      <c r="L1190" s="118" t="s">
        <v>206</v>
      </c>
      <c r="M1190" s="37" t="s">
        <v>3205</v>
      </c>
      <c r="N1190" s="37" t="s">
        <v>42</v>
      </c>
      <c r="O1190" s="37">
        <v>1045</v>
      </c>
      <c r="P1190" s="37">
        <v>3719</v>
      </c>
      <c r="Q1190" s="303">
        <f t="shared" si="106"/>
        <v>5</v>
      </c>
      <c r="R1190" s="303">
        <f t="shared" si="107"/>
        <v>60</v>
      </c>
      <c r="S1190" s="37">
        <v>5</v>
      </c>
      <c r="T1190" s="37">
        <f>80-20</f>
        <v>60</v>
      </c>
      <c r="U1190" s="37">
        <v>0</v>
      </c>
      <c r="V1190" s="37">
        <v>0</v>
      </c>
      <c r="W1190" s="37">
        <v>55.55</v>
      </c>
      <c r="X1190" s="37">
        <v>90</v>
      </c>
      <c r="Y1190" s="37">
        <v>30</v>
      </c>
      <c r="Z1190" s="37">
        <v>51</v>
      </c>
      <c r="AA1190" s="37">
        <v>5</v>
      </c>
      <c r="AB1190" s="300">
        <f t="shared" si="108"/>
        <v>114.75</v>
      </c>
      <c r="AC1190" s="300">
        <f t="shared" si="109"/>
        <v>0.6912650602409639</v>
      </c>
      <c r="AD1190" s="37">
        <v>4295.2</v>
      </c>
      <c r="AE1190" s="37" t="s">
        <v>109</v>
      </c>
      <c r="AF1190" s="115" t="s">
        <v>317</v>
      </c>
      <c r="AG1190" s="115" t="s">
        <v>317</v>
      </c>
      <c r="AH1190" s="37" t="s">
        <v>3206</v>
      </c>
      <c r="AI1190" s="309"/>
      <c r="AJ1190" s="309"/>
      <c r="AK1190" s="37" t="s">
        <v>48</v>
      </c>
      <c r="AL1190" s="37" t="s">
        <v>47</v>
      </c>
      <c r="AM1190" s="299">
        <f t="shared" ca="1" si="105"/>
        <v>0.84722222221898846</v>
      </c>
      <c r="AN1190" s="51"/>
      <c r="AO1190" s="104" t="s">
        <v>89</v>
      </c>
      <c r="AP1190" s="106" t="s">
        <v>3199</v>
      </c>
      <c r="AQ1190" s="104" t="s">
        <v>3308</v>
      </c>
      <c r="AR1190" s="111">
        <v>44903.472222222219</v>
      </c>
      <c r="AS1190" s="109" t="s">
        <v>136</v>
      </c>
      <c r="AT1190" s="109" t="s">
        <v>225</v>
      </c>
      <c r="AU1190" s="110">
        <v>0.47222222222222227</v>
      </c>
      <c r="AV1190" s="104">
        <v>1</v>
      </c>
      <c r="AW1190" s="109" t="s">
        <v>66</v>
      </c>
      <c r="AX1190" s="52"/>
      <c r="AY1190" s="52"/>
      <c r="AZ1190" s="52"/>
      <c r="BA1190" s="52"/>
    </row>
    <row r="1191" spans="1:53" x14ac:dyDescent="0.25">
      <c r="A1191" s="121">
        <v>131</v>
      </c>
      <c r="B1191" s="120">
        <v>44902.756944444445</v>
      </c>
      <c r="C1191" s="114">
        <v>0.75694444444444453</v>
      </c>
      <c r="D1191" s="114">
        <v>0.76041666666666663</v>
      </c>
      <c r="E1191" s="114">
        <v>0.76736111111111116</v>
      </c>
      <c r="F1191" s="115" t="s">
        <v>171</v>
      </c>
      <c r="G1191" s="115" t="s">
        <v>492</v>
      </c>
      <c r="H1191" s="119" t="s">
        <v>195</v>
      </c>
      <c r="I1191" s="119" t="s">
        <v>195</v>
      </c>
      <c r="J1191" s="119" t="s">
        <v>37</v>
      </c>
      <c r="K1191" s="113" t="s">
        <v>180</v>
      </c>
      <c r="L1191" s="113" t="s">
        <v>209</v>
      </c>
      <c r="M1191" s="115" t="s">
        <v>3212</v>
      </c>
      <c r="N1191" s="115" t="s">
        <v>186</v>
      </c>
      <c r="O1191" s="115" t="s">
        <v>3213</v>
      </c>
      <c r="P1191" s="115">
        <v>2101091901</v>
      </c>
      <c r="Q1191" s="303">
        <f t="shared" si="106"/>
        <v>1</v>
      </c>
      <c r="R1191" s="303">
        <f t="shared" si="107"/>
        <v>142</v>
      </c>
      <c r="S1191" s="115">
        <v>0</v>
      </c>
      <c r="T1191" s="115">
        <v>0</v>
      </c>
      <c r="U1191" s="115">
        <v>1</v>
      </c>
      <c r="V1191" s="115">
        <v>142</v>
      </c>
      <c r="W1191" s="115">
        <v>142</v>
      </c>
      <c r="X1191" s="115">
        <v>80</v>
      </c>
      <c r="Y1191" s="115">
        <v>57</v>
      </c>
      <c r="Z1191" s="115">
        <v>76</v>
      </c>
      <c r="AA1191" s="115">
        <v>1</v>
      </c>
      <c r="AB1191" s="300">
        <f t="shared" si="108"/>
        <v>57.76</v>
      </c>
      <c r="AC1191" s="300">
        <f t="shared" si="109"/>
        <v>0.34795180722891567</v>
      </c>
      <c r="AD1191" s="115">
        <v>9037.44</v>
      </c>
      <c r="AE1191" s="115" t="s">
        <v>109</v>
      </c>
      <c r="AF1191" s="115">
        <v>5996909</v>
      </c>
      <c r="AG1191" s="115" t="s">
        <v>3229</v>
      </c>
      <c r="AH1191" s="115" t="s">
        <v>3214</v>
      </c>
      <c r="AI1191" s="309"/>
      <c r="AJ1191" s="309"/>
      <c r="AK1191" s="115" t="s">
        <v>37</v>
      </c>
      <c r="AL1191" s="115" t="s">
        <v>39</v>
      </c>
      <c r="AM1191" s="299">
        <f t="shared" ca="1" si="105"/>
        <v>5.9479166666642413</v>
      </c>
      <c r="AN1191" s="51"/>
      <c r="AO1191" s="104" t="s">
        <v>131</v>
      </c>
      <c r="AP1191" s="106" t="s">
        <v>3212</v>
      </c>
      <c r="AQ1191" s="104" t="s">
        <v>3506</v>
      </c>
      <c r="AR1191" s="111">
        <v>44908.704861111109</v>
      </c>
      <c r="AS1191" s="104" t="s">
        <v>117</v>
      </c>
      <c r="AT1191" s="109" t="s">
        <v>225</v>
      </c>
      <c r="AU1191" s="110">
        <v>0.70486111111111116</v>
      </c>
      <c r="AV1191" s="104">
        <v>1</v>
      </c>
      <c r="AW1191" s="109" t="s">
        <v>66</v>
      </c>
      <c r="AX1191" s="52"/>
      <c r="AY1191" s="52"/>
      <c r="AZ1191" s="52"/>
      <c r="BA1191" s="52"/>
    </row>
    <row r="1192" spans="1:53" x14ac:dyDescent="0.25">
      <c r="A1192" s="121">
        <v>132</v>
      </c>
      <c r="B1192" s="120">
        <v>44902.756944444445</v>
      </c>
      <c r="C1192" s="114">
        <v>0.75694444444444453</v>
      </c>
      <c r="D1192" s="114">
        <v>0.76041666666666663</v>
      </c>
      <c r="E1192" s="114">
        <v>0.76736111111111116</v>
      </c>
      <c r="F1192" s="115" t="s">
        <v>171</v>
      </c>
      <c r="G1192" s="115" t="s">
        <v>492</v>
      </c>
      <c r="H1192" s="113" t="s">
        <v>195</v>
      </c>
      <c r="I1192" s="113" t="s">
        <v>195</v>
      </c>
      <c r="J1192" s="113" t="s">
        <v>37</v>
      </c>
      <c r="K1192" s="113" t="s">
        <v>180</v>
      </c>
      <c r="L1192" s="113" t="s">
        <v>209</v>
      </c>
      <c r="M1192" s="115" t="s">
        <v>3215</v>
      </c>
      <c r="N1192" s="115" t="s">
        <v>76</v>
      </c>
      <c r="O1192" s="115" t="s">
        <v>3216</v>
      </c>
      <c r="P1192" s="115">
        <v>2101091905</v>
      </c>
      <c r="Q1192" s="303">
        <f t="shared" si="106"/>
        <v>1</v>
      </c>
      <c r="R1192" s="303">
        <f t="shared" si="107"/>
        <v>189</v>
      </c>
      <c r="S1192" s="115">
        <v>0</v>
      </c>
      <c r="T1192" s="115">
        <v>0</v>
      </c>
      <c r="U1192" s="115">
        <v>1</v>
      </c>
      <c r="V1192" s="115">
        <v>189</v>
      </c>
      <c r="W1192" s="115">
        <v>185</v>
      </c>
      <c r="X1192" s="115">
        <v>80</v>
      </c>
      <c r="Y1192" s="115">
        <v>57</v>
      </c>
      <c r="Z1192" s="115">
        <v>95</v>
      </c>
      <c r="AA1192" s="115">
        <v>1</v>
      </c>
      <c r="AB1192" s="300">
        <f t="shared" si="108"/>
        <v>72.2</v>
      </c>
      <c r="AC1192" s="300">
        <f t="shared" si="109"/>
        <v>0.43493975903614457</v>
      </c>
      <c r="AD1192" s="115">
        <v>4040.4</v>
      </c>
      <c r="AE1192" s="115" t="s">
        <v>109</v>
      </c>
      <c r="AF1192" s="115" t="s">
        <v>1566</v>
      </c>
      <c r="AG1192" s="115" t="s">
        <v>317</v>
      </c>
      <c r="AH1192" s="115" t="s">
        <v>3217</v>
      </c>
      <c r="AI1192" s="309"/>
      <c r="AJ1192" s="309"/>
      <c r="AK1192" s="115" t="s">
        <v>37</v>
      </c>
      <c r="AL1192" s="115" t="s">
        <v>39</v>
      </c>
      <c r="AM1192" s="299">
        <f t="shared" ref="AM1192:AM1255" ca="1" si="110">IF(AP1192="",NOW()-B1192,AR1192-B1192)</f>
        <v>8.9618055555547471</v>
      </c>
      <c r="AN1192" s="51"/>
      <c r="AO1192" s="147" t="s">
        <v>163</v>
      </c>
      <c r="AP1192" s="62" t="s">
        <v>3215</v>
      </c>
      <c r="AQ1192" s="147" t="s">
        <v>3774</v>
      </c>
      <c r="AR1192" s="64">
        <v>44911.71875</v>
      </c>
      <c r="AS1192" s="147" t="s">
        <v>136</v>
      </c>
      <c r="AT1192" s="147" t="s">
        <v>225</v>
      </c>
      <c r="AU1192" s="110">
        <v>0.71875</v>
      </c>
      <c r="AV1192" s="147">
        <v>2</v>
      </c>
      <c r="AW1192" s="147" t="s">
        <v>66</v>
      </c>
      <c r="AX1192" s="52"/>
      <c r="AY1192" s="52"/>
      <c r="AZ1192" s="52"/>
      <c r="BA1192" s="52"/>
    </row>
    <row r="1193" spans="1:53" x14ac:dyDescent="0.25">
      <c r="A1193" s="121">
        <v>133</v>
      </c>
      <c r="B1193" s="120">
        <v>44902.753472222219</v>
      </c>
      <c r="C1193" s="114">
        <v>0.75694444444444453</v>
      </c>
      <c r="D1193" s="114">
        <v>0.76736111111111116</v>
      </c>
      <c r="E1193" s="114">
        <v>0.78125</v>
      </c>
      <c r="F1193" s="115" t="s">
        <v>169</v>
      </c>
      <c r="G1193" s="115" t="s">
        <v>349</v>
      </c>
      <c r="H1193" s="113" t="s">
        <v>145</v>
      </c>
      <c r="I1193" s="113" t="s">
        <v>146</v>
      </c>
      <c r="J1193" s="113" t="s">
        <v>41</v>
      </c>
      <c r="K1193" s="113" t="s">
        <v>233</v>
      </c>
      <c r="L1193" s="113" t="s">
        <v>223</v>
      </c>
      <c r="M1193" s="115" t="s">
        <v>3218</v>
      </c>
      <c r="N1193" s="115" t="s">
        <v>38</v>
      </c>
      <c r="O1193" s="115">
        <v>97000553</v>
      </c>
      <c r="P1193" s="115">
        <v>19242</v>
      </c>
      <c r="Q1193" s="303">
        <f t="shared" ref="Q1193:Q1256" si="111">S1193+U1193</f>
        <v>4</v>
      </c>
      <c r="R1193" s="303">
        <f t="shared" ref="R1193:R1256" si="112">T1193+V1193</f>
        <v>70</v>
      </c>
      <c r="S1193" s="115">
        <v>4</v>
      </c>
      <c r="T1193" s="115">
        <v>70</v>
      </c>
      <c r="U1193" s="115">
        <v>0</v>
      </c>
      <c r="V1193" s="115">
        <v>0</v>
      </c>
      <c r="W1193" s="115">
        <v>68</v>
      </c>
      <c r="X1193" s="115">
        <v>60</v>
      </c>
      <c r="Y1193" s="115">
        <v>29</v>
      </c>
      <c r="Z1193" s="115">
        <v>60</v>
      </c>
      <c r="AA1193" s="115">
        <v>4</v>
      </c>
      <c r="AB1193" s="300">
        <f t="shared" ref="AB1193:AB1256" si="113">X1193*Y1193*Z1193*AA1193/6000</f>
        <v>69.599999999999994</v>
      </c>
      <c r="AC1193" s="300">
        <f t="shared" ref="AC1193:AC1256" si="114">AB1193/166</f>
        <v>0.41927710843373489</v>
      </c>
      <c r="AD1193" s="115">
        <v>3617.28</v>
      </c>
      <c r="AE1193" s="115" t="s">
        <v>109</v>
      </c>
      <c r="AF1193" s="115" t="s">
        <v>3219</v>
      </c>
      <c r="AG1193" s="115" t="s">
        <v>3220</v>
      </c>
      <c r="AH1193" s="115" t="s">
        <v>3221</v>
      </c>
      <c r="AI1193" s="309"/>
      <c r="AJ1193" s="309"/>
      <c r="AK1193" s="115" t="s">
        <v>48</v>
      </c>
      <c r="AL1193" s="115" t="s">
        <v>50</v>
      </c>
      <c r="AM1193" s="299">
        <f t="shared" ca="1" si="110"/>
        <v>1.75</v>
      </c>
      <c r="AN1193" s="51"/>
      <c r="AO1193" s="104" t="s">
        <v>147</v>
      </c>
      <c r="AP1193" s="106" t="s">
        <v>3218</v>
      </c>
      <c r="AQ1193" s="104" t="s">
        <v>3366</v>
      </c>
      <c r="AR1193" s="111">
        <v>44904.503472222219</v>
      </c>
      <c r="AS1193" s="104" t="s">
        <v>173</v>
      </c>
      <c r="AT1193" s="109" t="s">
        <v>225</v>
      </c>
      <c r="AU1193" s="110">
        <v>0.50347222222222221</v>
      </c>
      <c r="AV1193" s="104">
        <v>1</v>
      </c>
      <c r="AW1193" s="109" t="s">
        <v>66</v>
      </c>
      <c r="AX1193" s="52"/>
      <c r="AY1193" s="52"/>
      <c r="AZ1193" s="52"/>
      <c r="BA1193" s="52"/>
    </row>
    <row r="1194" spans="1:53" x14ac:dyDescent="0.25">
      <c r="A1194" s="121">
        <v>134</v>
      </c>
      <c r="B1194" s="120">
        <v>44902.753472222219</v>
      </c>
      <c r="C1194" s="114">
        <v>0.75694444444444453</v>
      </c>
      <c r="D1194" s="114">
        <v>0.76736111111111116</v>
      </c>
      <c r="E1194" s="114">
        <v>0.78125</v>
      </c>
      <c r="F1194" s="115" t="s">
        <v>169</v>
      </c>
      <c r="G1194" s="115" t="s">
        <v>349</v>
      </c>
      <c r="H1194" s="113" t="s">
        <v>145</v>
      </c>
      <c r="I1194" s="113" t="s">
        <v>146</v>
      </c>
      <c r="J1194" s="113" t="s">
        <v>41</v>
      </c>
      <c r="K1194" s="113" t="s">
        <v>233</v>
      </c>
      <c r="L1194" s="113" t="s">
        <v>223</v>
      </c>
      <c r="M1194" s="115" t="s">
        <v>3218</v>
      </c>
      <c r="N1194" s="115" t="s">
        <v>38</v>
      </c>
      <c r="O1194" s="115">
        <v>97000551</v>
      </c>
      <c r="P1194" s="115">
        <v>19244</v>
      </c>
      <c r="Q1194" s="303">
        <f t="shared" si="111"/>
        <v>5</v>
      </c>
      <c r="R1194" s="303">
        <f t="shared" si="112"/>
        <v>66</v>
      </c>
      <c r="S1194" s="115">
        <v>5</v>
      </c>
      <c r="T1194" s="115">
        <v>66</v>
      </c>
      <c r="U1194" s="115">
        <v>0</v>
      </c>
      <c r="V1194" s="115">
        <v>0</v>
      </c>
      <c r="W1194" s="115">
        <v>65</v>
      </c>
      <c r="X1194" s="115">
        <v>60</v>
      </c>
      <c r="Y1194" s="115">
        <v>24</v>
      </c>
      <c r="Z1194" s="115">
        <v>49</v>
      </c>
      <c r="AA1194" s="115">
        <v>4</v>
      </c>
      <c r="AB1194" s="300">
        <f t="shared" si="113"/>
        <v>47.04</v>
      </c>
      <c r="AC1194" s="300">
        <f t="shared" si="114"/>
        <v>0.28337349397590361</v>
      </c>
      <c r="AD1194" s="115">
        <v>3074.4</v>
      </c>
      <c r="AE1194" s="115" t="s">
        <v>109</v>
      </c>
      <c r="AF1194" s="115" t="s">
        <v>3222</v>
      </c>
      <c r="AG1194" s="115" t="s">
        <v>3220</v>
      </c>
      <c r="AH1194" s="115" t="s">
        <v>3221</v>
      </c>
      <c r="AI1194" s="309"/>
      <c r="AJ1194" s="309"/>
      <c r="AK1194" s="115" t="s">
        <v>48</v>
      </c>
      <c r="AL1194" s="115" t="s">
        <v>50</v>
      </c>
      <c r="AM1194" s="299">
        <f t="shared" ca="1" si="110"/>
        <v>1.75</v>
      </c>
      <c r="AN1194" s="51"/>
      <c r="AO1194" s="104" t="s">
        <v>147</v>
      </c>
      <c r="AP1194" s="106" t="s">
        <v>3218</v>
      </c>
      <c r="AQ1194" s="104" t="s">
        <v>3366</v>
      </c>
      <c r="AR1194" s="111">
        <v>44904.503472222219</v>
      </c>
      <c r="AS1194" s="104" t="s">
        <v>173</v>
      </c>
      <c r="AT1194" s="109" t="s">
        <v>225</v>
      </c>
      <c r="AU1194" s="110">
        <v>0.50347222222222221</v>
      </c>
      <c r="AV1194" s="104">
        <v>1</v>
      </c>
      <c r="AW1194" s="109" t="s">
        <v>66</v>
      </c>
      <c r="AX1194" s="52"/>
      <c r="AY1194" s="52"/>
      <c r="AZ1194" s="52"/>
      <c r="BA1194" s="52"/>
    </row>
    <row r="1195" spans="1:53" x14ac:dyDescent="0.25">
      <c r="A1195" s="121">
        <v>134</v>
      </c>
      <c r="B1195" s="120">
        <v>44902.753472222219</v>
      </c>
      <c r="C1195" s="114">
        <v>0.75694444444444453</v>
      </c>
      <c r="D1195" s="114">
        <v>0.76736111111111116</v>
      </c>
      <c r="E1195" s="114">
        <v>0.78125</v>
      </c>
      <c r="F1195" s="115" t="s">
        <v>169</v>
      </c>
      <c r="G1195" s="115" t="s">
        <v>349</v>
      </c>
      <c r="H1195" s="113" t="s">
        <v>145</v>
      </c>
      <c r="I1195" s="113" t="s">
        <v>146</v>
      </c>
      <c r="J1195" s="113" t="s">
        <v>41</v>
      </c>
      <c r="K1195" s="113" t="s">
        <v>233</v>
      </c>
      <c r="L1195" s="113" t="s">
        <v>223</v>
      </c>
      <c r="M1195" s="115" t="s">
        <v>3218</v>
      </c>
      <c r="N1195" s="115" t="s">
        <v>38</v>
      </c>
      <c r="O1195" s="115">
        <v>97000551</v>
      </c>
      <c r="P1195" s="115">
        <v>19244</v>
      </c>
      <c r="Q1195" s="303">
        <f t="shared" si="111"/>
        <v>0</v>
      </c>
      <c r="R1195" s="303">
        <f t="shared" si="112"/>
        <v>0</v>
      </c>
      <c r="S1195" s="115">
        <v>0</v>
      </c>
      <c r="T1195" s="115">
        <v>0</v>
      </c>
      <c r="U1195" s="115">
        <v>0</v>
      </c>
      <c r="V1195" s="115">
        <v>0</v>
      </c>
      <c r="W1195" s="115">
        <v>0</v>
      </c>
      <c r="X1195" s="115">
        <v>38</v>
      </c>
      <c r="Y1195" s="115">
        <v>38</v>
      </c>
      <c r="Z1195" s="115">
        <v>26</v>
      </c>
      <c r="AA1195" s="115">
        <v>1</v>
      </c>
      <c r="AB1195" s="300">
        <f t="shared" si="113"/>
        <v>6.2573333333333334</v>
      </c>
      <c r="AC1195" s="300">
        <f t="shared" si="114"/>
        <v>3.7694779116465862E-2</v>
      </c>
      <c r="AD1195" s="115">
        <v>0</v>
      </c>
      <c r="AE1195" s="115">
        <v>0</v>
      </c>
      <c r="AF1195" s="115" t="s">
        <v>3222</v>
      </c>
      <c r="AG1195" s="115" t="s">
        <v>3220</v>
      </c>
      <c r="AH1195" s="115" t="s">
        <v>3221</v>
      </c>
      <c r="AI1195" s="309"/>
      <c r="AJ1195" s="309"/>
      <c r="AK1195" s="115" t="s">
        <v>48</v>
      </c>
      <c r="AL1195" s="115" t="s">
        <v>50</v>
      </c>
      <c r="AM1195" s="299">
        <f t="shared" ca="1" si="110"/>
        <v>1.75</v>
      </c>
      <c r="AN1195" s="51"/>
      <c r="AO1195" s="104" t="s">
        <v>147</v>
      </c>
      <c r="AP1195" s="106" t="s">
        <v>3218</v>
      </c>
      <c r="AQ1195" s="104" t="s">
        <v>3366</v>
      </c>
      <c r="AR1195" s="111">
        <v>44904.503472222219</v>
      </c>
      <c r="AS1195" s="104" t="s">
        <v>173</v>
      </c>
      <c r="AT1195" s="109" t="s">
        <v>225</v>
      </c>
      <c r="AU1195" s="110">
        <v>0.50347222222222221</v>
      </c>
      <c r="AV1195" s="104">
        <v>1</v>
      </c>
      <c r="AW1195" s="109" t="s">
        <v>66</v>
      </c>
      <c r="AX1195" s="52"/>
      <c r="AY1195" s="52"/>
      <c r="AZ1195" s="52"/>
      <c r="BA1195" s="52"/>
    </row>
    <row r="1196" spans="1:53" x14ac:dyDescent="0.25">
      <c r="A1196" s="121">
        <v>135</v>
      </c>
      <c r="B1196" s="120">
        <v>44902.753472222219</v>
      </c>
      <c r="C1196" s="114">
        <v>0.75694444444444453</v>
      </c>
      <c r="D1196" s="114">
        <v>0.76736111111111116</v>
      </c>
      <c r="E1196" s="114">
        <v>0.78125</v>
      </c>
      <c r="F1196" s="115" t="s">
        <v>169</v>
      </c>
      <c r="G1196" s="115" t="s">
        <v>349</v>
      </c>
      <c r="H1196" s="113" t="s">
        <v>145</v>
      </c>
      <c r="I1196" s="113" t="s">
        <v>146</v>
      </c>
      <c r="J1196" s="113" t="s">
        <v>41</v>
      </c>
      <c r="K1196" s="113" t="s">
        <v>233</v>
      </c>
      <c r="L1196" s="113" t="s">
        <v>223</v>
      </c>
      <c r="M1196" s="115" t="s">
        <v>3218</v>
      </c>
      <c r="N1196" s="115" t="s">
        <v>38</v>
      </c>
      <c r="O1196" s="115">
        <v>97000552</v>
      </c>
      <c r="P1196" s="115">
        <v>18840</v>
      </c>
      <c r="Q1196" s="303">
        <f t="shared" si="111"/>
        <v>45</v>
      </c>
      <c r="R1196" s="303">
        <f t="shared" si="112"/>
        <v>705</v>
      </c>
      <c r="S1196" s="115">
        <v>45</v>
      </c>
      <c r="T1196" s="115">
        <v>705</v>
      </c>
      <c r="U1196" s="115">
        <v>0</v>
      </c>
      <c r="V1196" s="115">
        <v>0</v>
      </c>
      <c r="W1196" s="115">
        <v>691</v>
      </c>
      <c r="X1196" s="115">
        <v>60</v>
      </c>
      <c r="Y1196" s="115">
        <v>29</v>
      </c>
      <c r="Z1196" s="115">
        <v>47</v>
      </c>
      <c r="AA1196" s="115">
        <v>21</v>
      </c>
      <c r="AB1196" s="300">
        <f t="shared" si="113"/>
        <v>286.23</v>
      </c>
      <c r="AC1196" s="300">
        <f t="shared" si="114"/>
        <v>1.7242771084337349</v>
      </c>
      <c r="AD1196" s="115">
        <v>36992.68</v>
      </c>
      <c r="AE1196" s="115" t="s">
        <v>109</v>
      </c>
      <c r="AF1196" s="115" t="s">
        <v>3223</v>
      </c>
      <c r="AG1196" s="115" t="s">
        <v>3220</v>
      </c>
      <c r="AH1196" s="115" t="s">
        <v>3221</v>
      </c>
      <c r="AI1196" s="309"/>
      <c r="AJ1196" s="309"/>
      <c r="AK1196" s="115" t="s">
        <v>48</v>
      </c>
      <c r="AL1196" s="115" t="s">
        <v>50</v>
      </c>
      <c r="AM1196" s="299">
        <f t="shared" ca="1" si="110"/>
        <v>1.75</v>
      </c>
      <c r="AN1196" s="51"/>
      <c r="AO1196" s="104" t="s">
        <v>147</v>
      </c>
      <c r="AP1196" s="106" t="s">
        <v>3218</v>
      </c>
      <c r="AQ1196" s="104" t="s">
        <v>3366</v>
      </c>
      <c r="AR1196" s="111">
        <v>44904.503472222219</v>
      </c>
      <c r="AS1196" s="104" t="s">
        <v>173</v>
      </c>
      <c r="AT1196" s="109" t="s">
        <v>225</v>
      </c>
      <c r="AU1196" s="110">
        <v>0.50347222222222221</v>
      </c>
      <c r="AV1196" s="104">
        <v>1</v>
      </c>
      <c r="AW1196" s="109" t="s">
        <v>66</v>
      </c>
      <c r="AX1196" s="52"/>
      <c r="AY1196" s="52"/>
      <c r="AZ1196" s="52"/>
      <c r="BA1196" s="52"/>
    </row>
    <row r="1197" spans="1:53" x14ac:dyDescent="0.25">
      <c r="A1197" s="121">
        <v>135</v>
      </c>
      <c r="B1197" s="120">
        <v>44902.753472222219</v>
      </c>
      <c r="C1197" s="114">
        <v>0.75694444444444453</v>
      </c>
      <c r="D1197" s="114">
        <v>0.76736111111111116</v>
      </c>
      <c r="E1197" s="114">
        <v>0.78125</v>
      </c>
      <c r="F1197" s="115" t="s">
        <v>169</v>
      </c>
      <c r="G1197" s="115" t="s">
        <v>349</v>
      </c>
      <c r="H1197" s="113" t="s">
        <v>145</v>
      </c>
      <c r="I1197" s="113" t="s">
        <v>146</v>
      </c>
      <c r="J1197" s="113" t="s">
        <v>41</v>
      </c>
      <c r="K1197" s="113" t="s">
        <v>233</v>
      </c>
      <c r="L1197" s="113" t="s">
        <v>223</v>
      </c>
      <c r="M1197" s="115" t="s">
        <v>3218</v>
      </c>
      <c r="N1197" s="115" t="s">
        <v>38</v>
      </c>
      <c r="O1197" s="115">
        <v>97000552</v>
      </c>
      <c r="P1197" s="115">
        <v>18840</v>
      </c>
      <c r="Q1197" s="303">
        <f t="shared" si="111"/>
        <v>0</v>
      </c>
      <c r="R1197" s="303">
        <f t="shared" si="112"/>
        <v>0</v>
      </c>
      <c r="S1197" s="115">
        <v>0</v>
      </c>
      <c r="T1197" s="115">
        <v>0</v>
      </c>
      <c r="U1197" s="115">
        <v>0</v>
      </c>
      <c r="V1197" s="115">
        <v>0</v>
      </c>
      <c r="W1197" s="115">
        <v>0</v>
      </c>
      <c r="X1197" s="115">
        <v>60</v>
      </c>
      <c r="Y1197" s="115">
        <v>29</v>
      </c>
      <c r="Z1197" s="115">
        <v>49</v>
      </c>
      <c r="AA1197" s="115">
        <v>22</v>
      </c>
      <c r="AB1197" s="300">
        <f t="shared" si="113"/>
        <v>312.62</v>
      </c>
      <c r="AC1197" s="300">
        <f t="shared" si="114"/>
        <v>1.8832530120481927</v>
      </c>
      <c r="AD1197" s="115">
        <v>0</v>
      </c>
      <c r="AE1197" s="115">
        <v>0</v>
      </c>
      <c r="AF1197" s="115" t="s">
        <v>3223</v>
      </c>
      <c r="AG1197" s="115" t="s">
        <v>3220</v>
      </c>
      <c r="AH1197" s="115" t="s">
        <v>3221</v>
      </c>
      <c r="AI1197" s="309"/>
      <c r="AJ1197" s="309"/>
      <c r="AK1197" s="115" t="s">
        <v>48</v>
      </c>
      <c r="AL1197" s="115" t="s">
        <v>50</v>
      </c>
      <c r="AM1197" s="299">
        <f t="shared" ca="1" si="110"/>
        <v>1.75</v>
      </c>
      <c r="AN1197" s="51"/>
      <c r="AO1197" s="104" t="s">
        <v>147</v>
      </c>
      <c r="AP1197" s="106" t="s">
        <v>3218</v>
      </c>
      <c r="AQ1197" s="104" t="s">
        <v>3366</v>
      </c>
      <c r="AR1197" s="111">
        <v>44904.503472222219</v>
      </c>
      <c r="AS1197" s="104" t="s">
        <v>173</v>
      </c>
      <c r="AT1197" s="109" t="s">
        <v>225</v>
      </c>
      <c r="AU1197" s="110">
        <v>0.50347222222222221</v>
      </c>
      <c r="AV1197" s="104">
        <v>1</v>
      </c>
      <c r="AW1197" s="109" t="s">
        <v>66</v>
      </c>
      <c r="AX1197" s="52"/>
      <c r="AY1197" s="52"/>
      <c r="AZ1197" s="52"/>
      <c r="BA1197" s="52"/>
    </row>
    <row r="1198" spans="1:53" x14ac:dyDescent="0.25">
      <c r="A1198" s="121">
        <v>135</v>
      </c>
      <c r="B1198" s="120">
        <v>44902.753472222219</v>
      </c>
      <c r="C1198" s="114">
        <v>0.75694444444444453</v>
      </c>
      <c r="D1198" s="114">
        <v>0.76736111111111116</v>
      </c>
      <c r="E1198" s="114">
        <v>0.78125</v>
      </c>
      <c r="F1198" s="115" t="s">
        <v>169</v>
      </c>
      <c r="G1198" s="115" t="s">
        <v>349</v>
      </c>
      <c r="H1198" s="113" t="s">
        <v>145</v>
      </c>
      <c r="I1198" s="113" t="s">
        <v>146</v>
      </c>
      <c r="J1198" s="113" t="s">
        <v>41</v>
      </c>
      <c r="K1198" s="113" t="s">
        <v>233</v>
      </c>
      <c r="L1198" s="113" t="s">
        <v>223</v>
      </c>
      <c r="M1198" s="115" t="s">
        <v>3218</v>
      </c>
      <c r="N1198" s="115" t="s">
        <v>38</v>
      </c>
      <c r="O1198" s="115">
        <v>97000552</v>
      </c>
      <c r="P1198" s="115">
        <v>18840</v>
      </c>
      <c r="Q1198" s="303">
        <f t="shared" si="111"/>
        <v>0</v>
      </c>
      <c r="R1198" s="303">
        <f t="shared" si="112"/>
        <v>0</v>
      </c>
      <c r="S1198" s="115">
        <v>0</v>
      </c>
      <c r="T1198" s="115">
        <v>0</v>
      </c>
      <c r="U1198" s="115">
        <v>0</v>
      </c>
      <c r="V1198" s="115">
        <v>0</v>
      </c>
      <c r="W1198" s="115">
        <v>0</v>
      </c>
      <c r="X1198" s="115">
        <v>39</v>
      </c>
      <c r="Y1198" s="115">
        <v>2</v>
      </c>
      <c r="Z1198" s="115">
        <v>24</v>
      </c>
      <c r="AA1198" s="115">
        <v>1</v>
      </c>
      <c r="AB1198" s="300">
        <f t="shared" si="113"/>
        <v>0.312</v>
      </c>
      <c r="AC1198" s="300">
        <f t="shared" si="114"/>
        <v>1.8795180722891566E-3</v>
      </c>
      <c r="AD1198" s="115">
        <v>0</v>
      </c>
      <c r="AE1198" s="115">
        <v>0</v>
      </c>
      <c r="AF1198" s="115" t="s">
        <v>3223</v>
      </c>
      <c r="AG1198" s="115" t="s">
        <v>3220</v>
      </c>
      <c r="AH1198" s="115" t="s">
        <v>3221</v>
      </c>
      <c r="AI1198" s="309"/>
      <c r="AJ1198" s="309"/>
      <c r="AK1198" s="115" t="s">
        <v>48</v>
      </c>
      <c r="AL1198" s="115" t="s">
        <v>50</v>
      </c>
      <c r="AM1198" s="299">
        <f t="shared" ca="1" si="110"/>
        <v>1.75</v>
      </c>
      <c r="AN1198" s="51"/>
      <c r="AO1198" s="104" t="s">
        <v>147</v>
      </c>
      <c r="AP1198" s="106" t="s">
        <v>3218</v>
      </c>
      <c r="AQ1198" s="104" t="s">
        <v>3366</v>
      </c>
      <c r="AR1198" s="111">
        <v>44904.503472222219</v>
      </c>
      <c r="AS1198" s="104" t="s">
        <v>173</v>
      </c>
      <c r="AT1198" s="109" t="s">
        <v>225</v>
      </c>
      <c r="AU1198" s="110">
        <v>0.50347222222222221</v>
      </c>
      <c r="AV1198" s="104">
        <v>1</v>
      </c>
      <c r="AW1198" s="109" t="s">
        <v>66</v>
      </c>
      <c r="AX1198" s="52"/>
      <c r="AY1198" s="52"/>
      <c r="AZ1198" s="52"/>
      <c r="BA1198" s="52"/>
    </row>
    <row r="1199" spans="1:53" x14ac:dyDescent="0.25">
      <c r="A1199" s="121">
        <v>135</v>
      </c>
      <c r="B1199" s="120">
        <v>44902.753472222219</v>
      </c>
      <c r="C1199" s="114">
        <v>0.75694444444444453</v>
      </c>
      <c r="D1199" s="114">
        <v>0.76736111111111116</v>
      </c>
      <c r="E1199" s="114">
        <v>0.78125</v>
      </c>
      <c r="F1199" s="115" t="s">
        <v>169</v>
      </c>
      <c r="G1199" s="115" t="s">
        <v>349</v>
      </c>
      <c r="H1199" s="113" t="s">
        <v>145</v>
      </c>
      <c r="I1199" s="113" t="s">
        <v>146</v>
      </c>
      <c r="J1199" s="113" t="s">
        <v>41</v>
      </c>
      <c r="K1199" s="113" t="s">
        <v>233</v>
      </c>
      <c r="L1199" s="113" t="s">
        <v>223</v>
      </c>
      <c r="M1199" s="115" t="s">
        <v>3218</v>
      </c>
      <c r="N1199" s="115" t="s">
        <v>38</v>
      </c>
      <c r="O1199" s="115">
        <v>97000552</v>
      </c>
      <c r="P1199" s="115">
        <v>18840</v>
      </c>
      <c r="Q1199" s="303">
        <f t="shared" si="111"/>
        <v>0</v>
      </c>
      <c r="R1199" s="303">
        <f t="shared" si="112"/>
        <v>0</v>
      </c>
      <c r="S1199" s="115">
        <v>0</v>
      </c>
      <c r="T1199" s="115">
        <v>0</v>
      </c>
      <c r="U1199" s="115">
        <v>0</v>
      </c>
      <c r="V1199" s="115">
        <v>0</v>
      </c>
      <c r="W1199" s="115">
        <v>0</v>
      </c>
      <c r="X1199" s="115">
        <v>60</v>
      </c>
      <c r="Y1199" s="115">
        <v>29</v>
      </c>
      <c r="Z1199" s="115">
        <v>37</v>
      </c>
      <c r="AA1199" s="115">
        <v>1</v>
      </c>
      <c r="AB1199" s="300">
        <f t="shared" si="113"/>
        <v>10.73</v>
      </c>
      <c r="AC1199" s="300">
        <f t="shared" si="114"/>
        <v>6.4638554216867469E-2</v>
      </c>
      <c r="AD1199" s="115">
        <v>0</v>
      </c>
      <c r="AE1199" s="115">
        <v>0</v>
      </c>
      <c r="AF1199" s="115" t="s">
        <v>3223</v>
      </c>
      <c r="AG1199" s="115" t="s">
        <v>3220</v>
      </c>
      <c r="AH1199" s="115" t="s">
        <v>3221</v>
      </c>
      <c r="AI1199" s="309"/>
      <c r="AJ1199" s="309"/>
      <c r="AK1199" s="115" t="s">
        <v>48</v>
      </c>
      <c r="AL1199" s="115" t="s">
        <v>50</v>
      </c>
      <c r="AM1199" s="299">
        <f t="shared" ca="1" si="110"/>
        <v>1.75</v>
      </c>
      <c r="AN1199" s="51"/>
      <c r="AO1199" s="104" t="s">
        <v>147</v>
      </c>
      <c r="AP1199" s="106" t="s">
        <v>3218</v>
      </c>
      <c r="AQ1199" s="104" t="s">
        <v>3366</v>
      </c>
      <c r="AR1199" s="111">
        <v>44904.503472222219</v>
      </c>
      <c r="AS1199" s="104" t="s">
        <v>173</v>
      </c>
      <c r="AT1199" s="109" t="s">
        <v>225</v>
      </c>
      <c r="AU1199" s="110">
        <v>0.50347222222222221</v>
      </c>
      <c r="AV1199" s="104">
        <v>1</v>
      </c>
      <c r="AW1199" s="109" t="s">
        <v>66</v>
      </c>
      <c r="AX1199" s="52"/>
      <c r="AY1199" s="52"/>
      <c r="AZ1199" s="52"/>
      <c r="BA1199" s="52"/>
    </row>
    <row r="1200" spans="1:53" x14ac:dyDescent="0.25">
      <c r="A1200" s="121">
        <v>136</v>
      </c>
      <c r="B1200" s="120">
        <v>44902.760416666664</v>
      </c>
      <c r="C1200" s="114">
        <v>0.76736111111111116</v>
      </c>
      <c r="D1200" s="114">
        <v>0.77083333333333337</v>
      </c>
      <c r="E1200" s="114">
        <v>0.78472222222222221</v>
      </c>
      <c r="F1200" s="115" t="s">
        <v>169</v>
      </c>
      <c r="G1200" s="115" t="s">
        <v>193</v>
      </c>
      <c r="H1200" s="113" t="s">
        <v>191</v>
      </c>
      <c r="I1200" s="113" t="s">
        <v>192</v>
      </c>
      <c r="J1200" s="113" t="s">
        <v>37</v>
      </c>
      <c r="K1200" s="113" t="s">
        <v>180</v>
      </c>
      <c r="L1200" s="118" t="s">
        <v>206</v>
      </c>
      <c r="M1200" s="115" t="s">
        <v>3224</v>
      </c>
      <c r="N1200" s="115" t="s">
        <v>3225</v>
      </c>
      <c r="O1200" s="115" t="s">
        <v>3226</v>
      </c>
      <c r="P1200" s="115" t="s">
        <v>3227</v>
      </c>
      <c r="Q1200" s="303">
        <f t="shared" si="111"/>
        <v>4</v>
      </c>
      <c r="R1200" s="303">
        <f t="shared" si="112"/>
        <v>20</v>
      </c>
      <c r="S1200" s="115">
        <v>4</v>
      </c>
      <c r="T1200" s="115">
        <v>20</v>
      </c>
      <c r="U1200" s="115">
        <v>0</v>
      </c>
      <c r="V1200" s="115">
        <v>0</v>
      </c>
      <c r="W1200" s="115">
        <v>20.52</v>
      </c>
      <c r="X1200" s="115">
        <v>58</v>
      </c>
      <c r="Y1200" s="115">
        <v>39</v>
      </c>
      <c r="Z1200" s="115">
        <v>22</v>
      </c>
      <c r="AA1200" s="115">
        <v>3</v>
      </c>
      <c r="AB1200" s="300">
        <f t="shared" si="113"/>
        <v>24.882000000000001</v>
      </c>
      <c r="AC1200" s="300">
        <f t="shared" si="114"/>
        <v>0.14989156626506026</v>
      </c>
      <c r="AD1200" s="115">
        <v>345.33</v>
      </c>
      <c r="AE1200" s="115" t="s">
        <v>109</v>
      </c>
      <c r="AF1200" s="115" t="s">
        <v>3228</v>
      </c>
      <c r="AG1200" s="115" t="s">
        <v>3229</v>
      </c>
      <c r="AH1200" s="115" t="s">
        <v>3230</v>
      </c>
      <c r="AI1200" s="309"/>
      <c r="AJ1200" s="309"/>
      <c r="AK1200" s="115" t="s">
        <v>48</v>
      </c>
      <c r="AL1200" s="115" t="s">
        <v>50</v>
      </c>
      <c r="AM1200" s="299">
        <f t="shared" ca="1" si="110"/>
        <v>0.71180555555474712</v>
      </c>
      <c r="AN1200" s="51"/>
      <c r="AO1200" s="104" t="s">
        <v>98</v>
      </c>
      <c r="AP1200" s="106" t="s">
        <v>3224</v>
      </c>
      <c r="AQ1200" s="104" t="s">
        <v>3307</v>
      </c>
      <c r="AR1200" s="111">
        <v>44903.472222222219</v>
      </c>
      <c r="AS1200" s="109" t="s">
        <v>136</v>
      </c>
      <c r="AT1200" s="109" t="s">
        <v>225</v>
      </c>
      <c r="AU1200" s="110">
        <v>0.47222222222222227</v>
      </c>
      <c r="AV1200" s="104">
        <v>1</v>
      </c>
      <c r="AW1200" s="109" t="s">
        <v>66</v>
      </c>
      <c r="AX1200" s="52"/>
      <c r="AY1200" s="52"/>
      <c r="AZ1200" s="52"/>
      <c r="BA1200" s="52"/>
    </row>
    <row r="1201" spans="1:53" x14ac:dyDescent="0.25">
      <c r="A1201" s="121">
        <v>136</v>
      </c>
      <c r="B1201" s="120">
        <v>44902.760416666664</v>
      </c>
      <c r="C1201" s="114">
        <v>0.76736111111111116</v>
      </c>
      <c r="D1201" s="114">
        <v>0.77083333333333337</v>
      </c>
      <c r="E1201" s="114">
        <v>0.78472222222222221</v>
      </c>
      <c r="F1201" s="115" t="s">
        <v>169</v>
      </c>
      <c r="G1201" s="115" t="s">
        <v>193</v>
      </c>
      <c r="H1201" s="113" t="s">
        <v>191</v>
      </c>
      <c r="I1201" s="113" t="s">
        <v>192</v>
      </c>
      <c r="J1201" s="113" t="s">
        <v>37</v>
      </c>
      <c r="K1201" s="113" t="s">
        <v>180</v>
      </c>
      <c r="L1201" s="118" t="s">
        <v>206</v>
      </c>
      <c r="M1201" s="115" t="s">
        <v>3224</v>
      </c>
      <c r="N1201" s="115" t="s">
        <v>3225</v>
      </c>
      <c r="O1201" s="115" t="s">
        <v>3226</v>
      </c>
      <c r="P1201" s="115" t="s">
        <v>3227</v>
      </c>
      <c r="Q1201" s="303">
        <f t="shared" si="111"/>
        <v>0</v>
      </c>
      <c r="R1201" s="303">
        <f t="shared" si="112"/>
        <v>0</v>
      </c>
      <c r="S1201" s="115">
        <v>0</v>
      </c>
      <c r="T1201" s="115">
        <v>0</v>
      </c>
      <c r="U1201" s="115">
        <v>0</v>
      </c>
      <c r="V1201" s="115">
        <v>0</v>
      </c>
      <c r="W1201" s="115">
        <v>0</v>
      </c>
      <c r="X1201" s="115">
        <v>38</v>
      </c>
      <c r="Y1201" s="115">
        <v>30</v>
      </c>
      <c r="Z1201" s="115">
        <v>15</v>
      </c>
      <c r="AA1201" s="115">
        <v>1</v>
      </c>
      <c r="AB1201" s="300">
        <f t="shared" si="113"/>
        <v>2.85</v>
      </c>
      <c r="AC1201" s="300">
        <f t="shared" si="114"/>
        <v>1.716867469879518E-2</v>
      </c>
      <c r="AD1201" s="115">
        <v>0</v>
      </c>
      <c r="AE1201" s="115">
        <v>0</v>
      </c>
      <c r="AF1201" s="115" t="s">
        <v>3228</v>
      </c>
      <c r="AG1201" s="115" t="s">
        <v>3229</v>
      </c>
      <c r="AH1201" s="115" t="s">
        <v>3230</v>
      </c>
      <c r="AI1201" s="309"/>
      <c r="AJ1201" s="309"/>
      <c r="AK1201" s="115" t="s">
        <v>48</v>
      </c>
      <c r="AL1201" s="115" t="s">
        <v>50</v>
      </c>
      <c r="AM1201" s="299">
        <f t="shared" ca="1" si="110"/>
        <v>0.71180555555474712</v>
      </c>
      <c r="AN1201" s="51"/>
      <c r="AO1201" s="104" t="s">
        <v>98</v>
      </c>
      <c r="AP1201" s="106" t="s">
        <v>3224</v>
      </c>
      <c r="AQ1201" s="104" t="s">
        <v>3307</v>
      </c>
      <c r="AR1201" s="111">
        <v>44903.472222222219</v>
      </c>
      <c r="AS1201" s="109" t="s">
        <v>136</v>
      </c>
      <c r="AT1201" s="109" t="s">
        <v>225</v>
      </c>
      <c r="AU1201" s="110">
        <v>0.47222222222222227</v>
      </c>
      <c r="AV1201" s="104">
        <v>1</v>
      </c>
      <c r="AW1201" s="109" t="s">
        <v>66</v>
      </c>
      <c r="AX1201" s="52"/>
      <c r="AY1201" s="52"/>
      <c r="AZ1201" s="52"/>
      <c r="BA1201" s="52"/>
    </row>
    <row r="1202" spans="1:53" x14ac:dyDescent="0.25">
      <c r="A1202" s="121">
        <v>137</v>
      </c>
      <c r="B1202" s="120">
        <v>44902.784722222219</v>
      </c>
      <c r="C1202" s="114">
        <v>0.78819444444444453</v>
      </c>
      <c r="D1202" s="114">
        <v>0.79166666666666663</v>
      </c>
      <c r="E1202" s="114">
        <v>0.79513888888888884</v>
      </c>
      <c r="F1202" s="115" t="s">
        <v>171</v>
      </c>
      <c r="G1202" s="115" t="s">
        <v>148</v>
      </c>
      <c r="H1202" s="119" t="s">
        <v>149</v>
      </c>
      <c r="I1202" s="119" t="s">
        <v>149</v>
      </c>
      <c r="J1202" s="119" t="s">
        <v>37</v>
      </c>
      <c r="K1202" s="113" t="s">
        <v>180</v>
      </c>
      <c r="L1202" s="118" t="s">
        <v>206</v>
      </c>
      <c r="M1202" s="115" t="s">
        <v>3231</v>
      </c>
      <c r="N1202" s="115" t="s">
        <v>44</v>
      </c>
      <c r="O1202" s="115" t="s">
        <v>3232</v>
      </c>
      <c r="P1202" s="115">
        <v>64351</v>
      </c>
      <c r="Q1202" s="303">
        <f t="shared" si="111"/>
        <v>1</v>
      </c>
      <c r="R1202" s="303">
        <f t="shared" si="112"/>
        <v>59</v>
      </c>
      <c r="S1202" s="115">
        <v>0</v>
      </c>
      <c r="T1202" s="115">
        <v>0</v>
      </c>
      <c r="U1202" s="115">
        <v>1</v>
      </c>
      <c r="V1202" s="115">
        <v>59</v>
      </c>
      <c r="W1202" s="115">
        <v>57.03</v>
      </c>
      <c r="X1202" s="115">
        <v>56</v>
      </c>
      <c r="Y1202" s="115">
        <v>56</v>
      </c>
      <c r="Z1202" s="115">
        <v>66</v>
      </c>
      <c r="AA1202" s="115">
        <v>1</v>
      </c>
      <c r="AB1202" s="300">
        <f t="shared" si="113"/>
        <v>34.496000000000002</v>
      </c>
      <c r="AC1202" s="300">
        <f t="shared" si="114"/>
        <v>0.20780722891566267</v>
      </c>
      <c r="AD1202" s="115">
        <v>928.01</v>
      </c>
      <c r="AE1202" s="115" t="s">
        <v>109</v>
      </c>
      <c r="AF1202" s="115" t="s">
        <v>3233</v>
      </c>
      <c r="AG1202" s="115" t="s">
        <v>3229</v>
      </c>
      <c r="AH1202" s="115" t="s">
        <v>3234</v>
      </c>
      <c r="AI1202" s="309"/>
      <c r="AJ1202" s="309"/>
      <c r="AK1202" s="115" t="s">
        <v>37</v>
      </c>
      <c r="AL1202" s="115" t="s">
        <v>39</v>
      </c>
      <c r="AM1202" s="299">
        <f t="shared" ca="1" si="110"/>
        <v>1.7326388888905058</v>
      </c>
      <c r="AN1202" s="51"/>
      <c r="AO1202" s="104" t="s">
        <v>196</v>
      </c>
      <c r="AP1202" s="106" t="s">
        <v>3231</v>
      </c>
      <c r="AQ1202" s="104" t="s">
        <v>3368</v>
      </c>
      <c r="AR1202" s="111">
        <v>44904.517361111109</v>
      </c>
      <c r="AS1202" s="109" t="s">
        <v>136</v>
      </c>
      <c r="AT1202" s="109" t="s">
        <v>225</v>
      </c>
      <c r="AU1202" s="110">
        <v>0.51736111111111105</v>
      </c>
      <c r="AV1202" s="104">
        <v>1</v>
      </c>
      <c r="AW1202" s="109" t="s">
        <v>66</v>
      </c>
      <c r="AX1202" s="52"/>
      <c r="AY1202" s="52"/>
      <c r="AZ1202" s="52"/>
      <c r="BA1202" s="52"/>
    </row>
    <row r="1203" spans="1:53" x14ac:dyDescent="0.25">
      <c r="A1203" s="121">
        <v>138</v>
      </c>
      <c r="B1203" s="120">
        <v>44902.784722222219</v>
      </c>
      <c r="C1203" s="114">
        <v>0.78819444444444453</v>
      </c>
      <c r="D1203" s="114">
        <v>0.79166666666666663</v>
      </c>
      <c r="E1203" s="114">
        <v>0.79513888888888884</v>
      </c>
      <c r="F1203" s="115" t="s">
        <v>171</v>
      </c>
      <c r="G1203" s="115" t="s">
        <v>148</v>
      </c>
      <c r="H1203" s="113" t="s">
        <v>149</v>
      </c>
      <c r="I1203" s="113" t="s">
        <v>149</v>
      </c>
      <c r="J1203" s="113" t="s">
        <v>37</v>
      </c>
      <c r="K1203" s="113" t="s">
        <v>180</v>
      </c>
      <c r="L1203" s="118" t="s">
        <v>206</v>
      </c>
      <c r="M1203" s="115" t="s">
        <v>3231</v>
      </c>
      <c r="N1203" s="115" t="s">
        <v>44</v>
      </c>
      <c r="O1203" s="115" t="s">
        <v>3235</v>
      </c>
      <c r="P1203" s="115">
        <v>64496</v>
      </c>
      <c r="Q1203" s="303">
        <f t="shared" si="111"/>
        <v>1</v>
      </c>
      <c r="R1203" s="303">
        <f t="shared" si="112"/>
        <v>32</v>
      </c>
      <c r="S1203" s="115">
        <v>0</v>
      </c>
      <c r="T1203" s="115">
        <v>0</v>
      </c>
      <c r="U1203" s="115">
        <v>1</v>
      </c>
      <c r="V1203" s="115">
        <v>32</v>
      </c>
      <c r="W1203" s="115">
        <v>46.34</v>
      </c>
      <c r="X1203" s="115">
        <v>58</v>
      </c>
      <c r="Y1203" s="115">
        <v>57</v>
      </c>
      <c r="Z1203" s="115">
        <v>40</v>
      </c>
      <c r="AA1203" s="115">
        <v>1</v>
      </c>
      <c r="AB1203" s="300">
        <f t="shared" si="113"/>
        <v>22.04</v>
      </c>
      <c r="AC1203" s="300">
        <f t="shared" si="114"/>
        <v>0.13277108433734938</v>
      </c>
      <c r="AD1203" s="115">
        <v>759.4</v>
      </c>
      <c r="AE1203" s="115" t="s">
        <v>109</v>
      </c>
      <c r="AF1203" s="115" t="s">
        <v>3233</v>
      </c>
      <c r="AG1203" s="115" t="s">
        <v>3229</v>
      </c>
      <c r="AH1203" s="115" t="s">
        <v>3236</v>
      </c>
      <c r="AI1203" s="309"/>
      <c r="AJ1203" s="309"/>
      <c r="AK1203" s="115" t="s">
        <v>37</v>
      </c>
      <c r="AL1203" s="115" t="s">
        <v>39</v>
      </c>
      <c r="AM1203" s="299">
        <f t="shared" ca="1" si="110"/>
        <v>1.7326388888905058</v>
      </c>
      <c r="AN1203" s="51"/>
      <c r="AO1203" s="104" t="s">
        <v>196</v>
      </c>
      <c r="AP1203" s="106" t="s">
        <v>3231</v>
      </c>
      <c r="AQ1203" s="104" t="s">
        <v>3368</v>
      </c>
      <c r="AR1203" s="111">
        <v>44904.517361111109</v>
      </c>
      <c r="AS1203" s="109" t="s">
        <v>136</v>
      </c>
      <c r="AT1203" s="109" t="s">
        <v>225</v>
      </c>
      <c r="AU1203" s="110">
        <v>0.51736111111111105</v>
      </c>
      <c r="AV1203" s="104">
        <v>1</v>
      </c>
      <c r="AW1203" s="109" t="s">
        <v>66</v>
      </c>
      <c r="AX1203" s="52"/>
      <c r="AY1203" s="52"/>
      <c r="AZ1203" s="52"/>
      <c r="BA1203" s="52"/>
    </row>
    <row r="1204" spans="1:53" x14ac:dyDescent="0.25">
      <c r="A1204" s="121">
        <v>139</v>
      </c>
      <c r="B1204" s="120">
        <v>44903.416666666664</v>
      </c>
      <c r="C1204" s="114">
        <v>0.43055555555555558</v>
      </c>
      <c r="D1204" s="114">
        <v>0.44097222222222227</v>
      </c>
      <c r="E1204" s="114">
        <v>0.4513888888888889</v>
      </c>
      <c r="F1204" s="115" t="s">
        <v>171</v>
      </c>
      <c r="G1204" s="115" t="s">
        <v>2535</v>
      </c>
      <c r="H1204" s="113" t="s">
        <v>144</v>
      </c>
      <c r="I1204" s="113" t="s">
        <v>256</v>
      </c>
      <c r="J1204" s="113" t="s">
        <v>37</v>
      </c>
      <c r="K1204" s="113" t="s">
        <v>180</v>
      </c>
      <c r="L1204" s="113" t="s">
        <v>206</v>
      </c>
      <c r="M1204" s="115" t="s">
        <v>3238</v>
      </c>
      <c r="N1204" s="115" t="s">
        <v>42</v>
      </c>
      <c r="O1204" s="115">
        <v>75045885</v>
      </c>
      <c r="P1204" s="115">
        <v>333208</v>
      </c>
      <c r="Q1204" s="303">
        <f t="shared" si="111"/>
        <v>12</v>
      </c>
      <c r="R1204" s="303">
        <f t="shared" si="112"/>
        <v>1954</v>
      </c>
      <c r="S1204" s="115">
        <v>0</v>
      </c>
      <c r="T1204" s="115">
        <v>0</v>
      </c>
      <c r="U1204" s="115">
        <v>12</v>
      </c>
      <c r="V1204" s="115">
        <f>162+163+163+162+162+163+162+163+162+164+164+164</f>
        <v>1954</v>
      </c>
      <c r="W1204" s="115">
        <v>1920</v>
      </c>
      <c r="X1204" s="115">
        <v>114</v>
      </c>
      <c r="Y1204" s="115">
        <v>99</v>
      </c>
      <c r="Z1204" s="115">
        <v>114</v>
      </c>
      <c r="AA1204" s="115">
        <v>12</v>
      </c>
      <c r="AB1204" s="300">
        <f t="shared" si="113"/>
        <v>2573.2080000000001</v>
      </c>
      <c r="AC1204" s="300">
        <f t="shared" si="114"/>
        <v>15.501253012048194</v>
      </c>
      <c r="AD1204" s="115">
        <v>11988</v>
      </c>
      <c r="AE1204" s="115" t="s">
        <v>109</v>
      </c>
      <c r="AF1204" s="115" t="s">
        <v>1566</v>
      </c>
      <c r="AG1204" s="115" t="s">
        <v>1566</v>
      </c>
      <c r="AH1204" s="115" t="s">
        <v>3237</v>
      </c>
      <c r="AI1204" s="309"/>
      <c r="AJ1204" s="309"/>
      <c r="AK1204" s="115" t="s">
        <v>37</v>
      </c>
      <c r="AL1204" s="115" t="s">
        <v>58</v>
      </c>
      <c r="AM1204" s="299">
        <f t="shared" ca="1" si="110"/>
        <v>0.22222222222626442</v>
      </c>
      <c r="AN1204" s="51"/>
      <c r="AO1204" s="104" t="s">
        <v>107</v>
      </c>
      <c r="AP1204" s="106" t="s">
        <v>3238</v>
      </c>
      <c r="AQ1204" s="104" t="s">
        <v>3311</v>
      </c>
      <c r="AR1204" s="111">
        <v>44903.638888888891</v>
      </c>
      <c r="AS1204" s="104" t="s">
        <v>496</v>
      </c>
      <c r="AT1204" s="109" t="s">
        <v>225</v>
      </c>
      <c r="AU1204" s="110">
        <v>0.63888888888888895</v>
      </c>
      <c r="AV1204" s="104">
        <v>1</v>
      </c>
      <c r="AW1204" s="109" t="s">
        <v>66</v>
      </c>
      <c r="AX1204" s="52"/>
      <c r="AY1204" s="52"/>
      <c r="AZ1204" s="52"/>
      <c r="BA1204" s="52"/>
    </row>
    <row r="1205" spans="1:53" x14ac:dyDescent="0.25">
      <c r="A1205" s="48">
        <v>140</v>
      </c>
      <c r="B1205" s="120">
        <v>44903.416666666664</v>
      </c>
      <c r="C1205" s="36">
        <v>0.44444444444444442</v>
      </c>
      <c r="D1205" s="36">
        <v>0.4513888888888889</v>
      </c>
      <c r="E1205" s="114">
        <v>0.4513888888888889</v>
      </c>
      <c r="F1205" s="115" t="s">
        <v>171</v>
      </c>
      <c r="G1205" s="37" t="s">
        <v>288</v>
      </c>
      <c r="H1205" s="113" t="s">
        <v>144</v>
      </c>
      <c r="I1205" s="113" t="s">
        <v>256</v>
      </c>
      <c r="J1205" s="113" t="s">
        <v>37</v>
      </c>
      <c r="K1205" s="113" t="s">
        <v>180</v>
      </c>
      <c r="L1205" s="113" t="s">
        <v>206</v>
      </c>
      <c r="M1205" s="39" t="s">
        <v>3238</v>
      </c>
      <c r="N1205" s="115" t="s">
        <v>42</v>
      </c>
      <c r="O1205" s="37">
        <v>75045886</v>
      </c>
      <c r="P1205" s="37">
        <v>333208</v>
      </c>
      <c r="Q1205" s="303">
        <f t="shared" si="111"/>
        <v>2</v>
      </c>
      <c r="R1205" s="303">
        <f t="shared" si="112"/>
        <v>325</v>
      </c>
      <c r="S1205" s="37">
        <v>0</v>
      </c>
      <c r="T1205" s="37">
        <v>0</v>
      </c>
      <c r="U1205" s="37">
        <v>2</v>
      </c>
      <c r="V1205" s="37">
        <f>163+162</f>
        <v>325</v>
      </c>
      <c r="W1205" s="37">
        <v>320</v>
      </c>
      <c r="X1205" s="37">
        <v>114</v>
      </c>
      <c r="Y1205" s="37">
        <v>99</v>
      </c>
      <c r="Z1205" s="37">
        <v>114</v>
      </c>
      <c r="AA1205" s="37">
        <v>2</v>
      </c>
      <c r="AB1205" s="300">
        <f t="shared" si="113"/>
        <v>428.86799999999999</v>
      </c>
      <c r="AC1205" s="300">
        <f t="shared" si="114"/>
        <v>2.5835421686746987</v>
      </c>
      <c r="AD1205" s="37">
        <v>1998</v>
      </c>
      <c r="AE1205" s="115" t="s">
        <v>109</v>
      </c>
      <c r="AF1205" s="115" t="s">
        <v>1566</v>
      </c>
      <c r="AG1205" s="115" t="s">
        <v>1566</v>
      </c>
      <c r="AH1205" s="115" t="s">
        <v>3239</v>
      </c>
      <c r="AI1205" s="309"/>
      <c r="AJ1205" s="309"/>
      <c r="AK1205" s="115" t="s">
        <v>37</v>
      </c>
      <c r="AL1205" s="115" t="s">
        <v>58</v>
      </c>
      <c r="AM1205" s="299">
        <f t="shared" ca="1" si="110"/>
        <v>0.22222222222626442</v>
      </c>
      <c r="AN1205" s="51"/>
      <c r="AO1205" s="104" t="s">
        <v>107</v>
      </c>
      <c r="AP1205" s="106" t="s">
        <v>3238</v>
      </c>
      <c r="AQ1205" s="104" t="s">
        <v>3311</v>
      </c>
      <c r="AR1205" s="111">
        <v>44903.638888888891</v>
      </c>
      <c r="AS1205" s="104" t="s">
        <v>496</v>
      </c>
      <c r="AT1205" s="109" t="s">
        <v>225</v>
      </c>
      <c r="AU1205" s="110">
        <v>0.63888888888888895</v>
      </c>
      <c r="AV1205" s="104">
        <v>1</v>
      </c>
      <c r="AW1205" s="109" t="s">
        <v>66</v>
      </c>
      <c r="AX1205" s="52"/>
      <c r="AY1205" s="52"/>
      <c r="AZ1205" s="52"/>
      <c r="BA1205" s="52"/>
    </row>
    <row r="1206" spans="1:53" x14ac:dyDescent="0.25">
      <c r="A1206" s="48">
        <v>141</v>
      </c>
      <c r="B1206" s="120">
        <v>44903.416666666664</v>
      </c>
      <c r="C1206" s="114">
        <v>0.44444444444444442</v>
      </c>
      <c r="D1206" s="114">
        <v>0.4513888888888889</v>
      </c>
      <c r="E1206" s="114">
        <v>0.4513888888888889</v>
      </c>
      <c r="F1206" s="115" t="s">
        <v>171</v>
      </c>
      <c r="G1206" s="115" t="s">
        <v>288</v>
      </c>
      <c r="H1206" s="113" t="s">
        <v>144</v>
      </c>
      <c r="I1206" s="113" t="s">
        <v>256</v>
      </c>
      <c r="J1206" s="113" t="s">
        <v>37</v>
      </c>
      <c r="K1206" s="113" t="s">
        <v>180</v>
      </c>
      <c r="L1206" s="113" t="s">
        <v>206</v>
      </c>
      <c r="M1206" s="33" t="s">
        <v>3250</v>
      </c>
      <c r="N1206" s="115" t="s">
        <v>42</v>
      </c>
      <c r="O1206" s="37">
        <v>75045880</v>
      </c>
      <c r="P1206" s="37">
        <v>331776</v>
      </c>
      <c r="Q1206" s="303">
        <f t="shared" si="111"/>
        <v>3</v>
      </c>
      <c r="R1206" s="303">
        <f t="shared" si="112"/>
        <v>593</v>
      </c>
      <c r="S1206" s="37">
        <v>0</v>
      </c>
      <c r="T1206" s="37">
        <v>0</v>
      </c>
      <c r="U1206" s="37">
        <v>3</v>
      </c>
      <c r="V1206" s="37">
        <f>198+198+197</f>
        <v>593</v>
      </c>
      <c r="W1206" s="37">
        <v>600</v>
      </c>
      <c r="X1206" s="37">
        <v>114</v>
      </c>
      <c r="Y1206" s="37">
        <v>99</v>
      </c>
      <c r="Z1206" s="37">
        <v>114</v>
      </c>
      <c r="AA1206" s="37">
        <v>3</v>
      </c>
      <c r="AB1206" s="300">
        <f t="shared" si="113"/>
        <v>643.30200000000002</v>
      </c>
      <c r="AC1206" s="300">
        <f t="shared" si="114"/>
        <v>3.8753132530120484</v>
      </c>
      <c r="AD1206" s="37">
        <v>4551</v>
      </c>
      <c r="AE1206" s="115" t="s">
        <v>109</v>
      </c>
      <c r="AF1206" s="115" t="s">
        <v>1566</v>
      </c>
      <c r="AG1206" s="115" t="s">
        <v>1566</v>
      </c>
      <c r="AH1206" s="37" t="s">
        <v>3240</v>
      </c>
      <c r="AI1206" s="309"/>
      <c r="AJ1206" s="309"/>
      <c r="AK1206" s="115" t="s">
        <v>37</v>
      </c>
      <c r="AL1206" s="115" t="s">
        <v>58</v>
      </c>
      <c r="AM1206" s="299">
        <f t="shared" ca="1" si="110"/>
        <v>0.14930555555474712</v>
      </c>
      <c r="AN1206" s="51"/>
      <c r="AO1206" s="104" t="s">
        <v>107</v>
      </c>
      <c r="AP1206" s="106" t="s">
        <v>3250</v>
      </c>
      <c r="AQ1206" s="104" t="s">
        <v>3311</v>
      </c>
      <c r="AR1206" s="111">
        <v>44903.565972222219</v>
      </c>
      <c r="AS1206" s="109" t="s">
        <v>136</v>
      </c>
      <c r="AT1206" s="109" t="s">
        <v>225</v>
      </c>
      <c r="AU1206" s="110">
        <v>0.56597222222222221</v>
      </c>
      <c r="AV1206" s="104">
        <v>2</v>
      </c>
      <c r="AW1206" s="109" t="s">
        <v>66</v>
      </c>
      <c r="AX1206" s="52"/>
      <c r="AY1206" s="52"/>
      <c r="AZ1206" s="52"/>
      <c r="BA1206" s="52"/>
    </row>
    <row r="1207" spans="1:53" x14ac:dyDescent="0.25">
      <c r="A1207" s="48">
        <v>142</v>
      </c>
      <c r="B1207" s="120">
        <v>44903.416666666664</v>
      </c>
      <c r="C1207" s="114">
        <v>0.44444444444444442</v>
      </c>
      <c r="D1207" s="114">
        <v>0.4513888888888889</v>
      </c>
      <c r="E1207" s="114">
        <v>0.4513888888888889</v>
      </c>
      <c r="F1207" s="115" t="s">
        <v>171</v>
      </c>
      <c r="G1207" s="115" t="s">
        <v>288</v>
      </c>
      <c r="H1207" s="113" t="s">
        <v>144</v>
      </c>
      <c r="I1207" s="113" t="s">
        <v>256</v>
      </c>
      <c r="J1207" s="113" t="s">
        <v>37</v>
      </c>
      <c r="K1207" s="113" t="s">
        <v>180</v>
      </c>
      <c r="L1207" s="113" t="s">
        <v>206</v>
      </c>
      <c r="M1207" s="39" t="s">
        <v>3238</v>
      </c>
      <c r="N1207" s="115" t="s">
        <v>42</v>
      </c>
      <c r="O1207" s="37">
        <v>75045882</v>
      </c>
      <c r="P1207" s="37">
        <v>333014</v>
      </c>
      <c r="Q1207" s="303">
        <f t="shared" si="111"/>
        <v>1</v>
      </c>
      <c r="R1207" s="303">
        <f t="shared" si="112"/>
        <v>163</v>
      </c>
      <c r="S1207" s="37">
        <v>0</v>
      </c>
      <c r="T1207" s="37">
        <v>0</v>
      </c>
      <c r="U1207" s="37">
        <v>1</v>
      </c>
      <c r="V1207" s="37">
        <v>163</v>
      </c>
      <c r="W1207" s="37">
        <v>160</v>
      </c>
      <c r="X1207" s="37">
        <v>114</v>
      </c>
      <c r="Y1207" s="37">
        <v>99</v>
      </c>
      <c r="Z1207" s="37">
        <v>114</v>
      </c>
      <c r="AA1207" s="37">
        <v>1</v>
      </c>
      <c r="AB1207" s="300">
        <f t="shared" si="113"/>
        <v>214.434</v>
      </c>
      <c r="AC1207" s="300">
        <f t="shared" si="114"/>
        <v>1.2917710843373493</v>
      </c>
      <c r="AD1207" s="37">
        <v>999</v>
      </c>
      <c r="AE1207" s="115" t="s">
        <v>109</v>
      </c>
      <c r="AF1207" s="115" t="s">
        <v>1566</v>
      </c>
      <c r="AG1207" s="115" t="s">
        <v>1566</v>
      </c>
      <c r="AH1207" s="37" t="s">
        <v>3241</v>
      </c>
      <c r="AI1207" s="309"/>
      <c r="AJ1207" s="309"/>
      <c r="AK1207" s="115" t="s">
        <v>37</v>
      </c>
      <c r="AL1207" s="115" t="s">
        <v>58</v>
      </c>
      <c r="AM1207" s="299">
        <f t="shared" ca="1" si="110"/>
        <v>0.22222222222626442</v>
      </c>
      <c r="AN1207" s="51"/>
      <c r="AO1207" s="104" t="s">
        <v>107</v>
      </c>
      <c r="AP1207" s="106" t="s">
        <v>3238</v>
      </c>
      <c r="AQ1207" s="104" t="s">
        <v>3311</v>
      </c>
      <c r="AR1207" s="111">
        <v>44903.638888888891</v>
      </c>
      <c r="AS1207" s="104" t="s">
        <v>496</v>
      </c>
      <c r="AT1207" s="109" t="s">
        <v>225</v>
      </c>
      <c r="AU1207" s="110">
        <v>0.63888888888888895</v>
      </c>
      <c r="AV1207" s="104">
        <v>1</v>
      </c>
      <c r="AW1207" s="109" t="s">
        <v>66</v>
      </c>
      <c r="AX1207" s="52"/>
      <c r="AY1207" s="52"/>
      <c r="AZ1207" s="52"/>
      <c r="BA1207" s="52"/>
    </row>
    <row r="1208" spans="1:53" x14ac:dyDescent="0.25">
      <c r="A1208" s="48">
        <v>143</v>
      </c>
      <c r="B1208" s="120">
        <v>44903.416666666664</v>
      </c>
      <c r="C1208" s="114">
        <v>0.44444444444444442</v>
      </c>
      <c r="D1208" s="114">
        <v>0.4513888888888889</v>
      </c>
      <c r="E1208" s="114">
        <v>0.4513888888888889</v>
      </c>
      <c r="F1208" s="115" t="s">
        <v>171</v>
      </c>
      <c r="G1208" s="115" t="s">
        <v>288</v>
      </c>
      <c r="H1208" s="113" t="s">
        <v>144</v>
      </c>
      <c r="I1208" s="113" t="s">
        <v>256</v>
      </c>
      <c r="J1208" s="113" t="s">
        <v>37</v>
      </c>
      <c r="K1208" s="113" t="s">
        <v>180</v>
      </c>
      <c r="L1208" s="113" t="s">
        <v>206</v>
      </c>
      <c r="M1208" s="39" t="s">
        <v>3238</v>
      </c>
      <c r="N1208" s="115" t="s">
        <v>42</v>
      </c>
      <c r="O1208" s="37">
        <v>75045881</v>
      </c>
      <c r="P1208" s="37">
        <v>332542</v>
      </c>
      <c r="Q1208" s="303">
        <f t="shared" si="111"/>
        <v>1</v>
      </c>
      <c r="R1208" s="303">
        <f t="shared" si="112"/>
        <v>164</v>
      </c>
      <c r="S1208" s="37">
        <v>0</v>
      </c>
      <c r="T1208" s="37">
        <v>0</v>
      </c>
      <c r="U1208" s="37">
        <v>1</v>
      </c>
      <c r="V1208" s="37">
        <v>164</v>
      </c>
      <c r="W1208" s="37">
        <v>160</v>
      </c>
      <c r="X1208" s="37">
        <v>114</v>
      </c>
      <c r="Y1208" s="37">
        <v>99</v>
      </c>
      <c r="Z1208" s="37">
        <v>114</v>
      </c>
      <c r="AA1208" s="37">
        <v>1</v>
      </c>
      <c r="AB1208" s="300">
        <f t="shared" si="113"/>
        <v>214.434</v>
      </c>
      <c r="AC1208" s="300">
        <f t="shared" si="114"/>
        <v>1.2917710843373493</v>
      </c>
      <c r="AD1208" s="37">
        <v>999</v>
      </c>
      <c r="AE1208" s="115" t="s">
        <v>109</v>
      </c>
      <c r="AF1208" s="115" t="s">
        <v>1566</v>
      </c>
      <c r="AG1208" s="115" t="s">
        <v>1566</v>
      </c>
      <c r="AH1208" s="115" t="s">
        <v>3242</v>
      </c>
      <c r="AI1208" s="309"/>
      <c r="AJ1208" s="309"/>
      <c r="AK1208" s="115" t="s">
        <v>37</v>
      </c>
      <c r="AL1208" s="115" t="s">
        <v>58</v>
      </c>
      <c r="AM1208" s="299">
        <f t="shared" ca="1" si="110"/>
        <v>0.22222222222626442</v>
      </c>
      <c r="AN1208" s="51"/>
      <c r="AO1208" s="104" t="s">
        <v>107</v>
      </c>
      <c r="AP1208" s="106" t="s">
        <v>3238</v>
      </c>
      <c r="AQ1208" s="104" t="s">
        <v>3311</v>
      </c>
      <c r="AR1208" s="111">
        <v>44903.638888888891</v>
      </c>
      <c r="AS1208" s="104" t="s">
        <v>496</v>
      </c>
      <c r="AT1208" s="109" t="s">
        <v>225</v>
      </c>
      <c r="AU1208" s="110">
        <v>0.63888888888888895</v>
      </c>
      <c r="AV1208" s="104">
        <v>1</v>
      </c>
      <c r="AW1208" s="109" t="s">
        <v>66</v>
      </c>
      <c r="AX1208" s="52"/>
      <c r="AY1208" s="52"/>
      <c r="AZ1208" s="52"/>
      <c r="BA1208" s="52"/>
    </row>
    <row r="1209" spans="1:53" x14ac:dyDescent="0.25">
      <c r="A1209" s="48">
        <v>144</v>
      </c>
      <c r="B1209" s="120">
        <v>44903.416666666664</v>
      </c>
      <c r="C1209" s="114">
        <v>0.44444444444444442</v>
      </c>
      <c r="D1209" s="114">
        <v>0.4513888888888889</v>
      </c>
      <c r="E1209" s="114">
        <v>0.4513888888888889</v>
      </c>
      <c r="F1209" s="115" t="s">
        <v>171</v>
      </c>
      <c r="G1209" s="115" t="s">
        <v>288</v>
      </c>
      <c r="H1209" s="113" t="s">
        <v>144</v>
      </c>
      <c r="I1209" s="113" t="s">
        <v>256</v>
      </c>
      <c r="J1209" s="113" t="s">
        <v>37</v>
      </c>
      <c r="K1209" s="113" t="s">
        <v>180</v>
      </c>
      <c r="L1209" s="113" t="s">
        <v>206</v>
      </c>
      <c r="M1209" s="115" t="s">
        <v>3238</v>
      </c>
      <c r="N1209" s="115" t="s">
        <v>42</v>
      </c>
      <c r="O1209" s="37">
        <v>75045883</v>
      </c>
      <c r="P1209" s="37">
        <v>333014</v>
      </c>
      <c r="Q1209" s="303">
        <f t="shared" si="111"/>
        <v>1</v>
      </c>
      <c r="R1209" s="303">
        <f t="shared" si="112"/>
        <v>197</v>
      </c>
      <c r="S1209" s="37">
        <v>0</v>
      </c>
      <c r="T1209" s="37">
        <v>0</v>
      </c>
      <c r="U1209" s="37">
        <v>1</v>
      </c>
      <c r="V1209" s="37">
        <v>197</v>
      </c>
      <c r="W1209" s="37">
        <v>180</v>
      </c>
      <c r="X1209" s="37">
        <v>114</v>
      </c>
      <c r="Y1209" s="37">
        <v>99</v>
      </c>
      <c r="Z1209" s="37">
        <v>114</v>
      </c>
      <c r="AA1209" s="37">
        <v>1</v>
      </c>
      <c r="AB1209" s="300">
        <f t="shared" si="113"/>
        <v>214.434</v>
      </c>
      <c r="AC1209" s="300">
        <f t="shared" si="114"/>
        <v>1.2917710843373493</v>
      </c>
      <c r="AD1209" s="37">
        <v>1517</v>
      </c>
      <c r="AE1209" s="115" t="s">
        <v>109</v>
      </c>
      <c r="AF1209" s="115" t="s">
        <v>1566</v>
      </c>
      <c r="AG1209" s="115" t="s">
        <v>1566</v>
      </c>
      <c r="AH1209" s="37" t="s">
        <v>3243</v>
      </c>
      <c r="AI1209" s="309"/>
      <c r="AJ1209" s="309"/>
      <c r="AK1209" s="115" t="s">
        <v>37</v>
      </c>
      <c r="AL1209" s="115" t="s">
        <v>58</v>
      </c>
      <c r="AM1209" s="299">
        <f t="shared" ca="1" si="110"/>
        <v>0.22222222222626442</v>
      </c>
      <c r="AN1209" s="51"/>
      <c r="AO1209" s="104" t="s">
        <v>107</v>
      </c>
      <c r="AP1209" s="106" t="s">
        <v>3238</v>
      </c>
      <c r="AQ1209" s="104" t="s">
        <v>3311</v>
      </c>
      <c r="AR1209" s="111">
        <v>44903.638888888891</v>
      </c>
      <c r="AS1209" s="104" t="s">
        <v>496</v>
      </c>
      <c r="AT1209" s="109" t="s">
        <v>225</v>
      </c>
      <c r="AU1209" s="110">
        <v>0.63888888888888895</v>
      </c>
      <c r="AV1209" s="104">
        <v>1</v>
      </c>
      <c r="AW1209" s="109" t="s">
        <v>66</v>
      </c>
      <c r="AX1209" s="52"/>
      <c r="AY1209" s="52"/>
      <c r="AZ1209" s="52"/>
      <c r="BA1209" s="52"/>
    </row>
    <row r="1210" spans="1:53" x14ac:dyDescent="0.25">
      <c r="A1210" s="48">
        <v>145</v>
      </c>
      <c r="B1210" s="120">
        <v>44903.416666666664</v>
      </c>
      <c r="C1210" s="114">
        <v>0.44444444444444442</v>
      </c>
      <c r="D1210" s="114">
        <v>0.4513888888888889</v>
      </c>
      <c r="E1210" s="114">
        <v>0.4513888888888889</v>
      </c>
      <c r="F1210" s="115" t="s">
        <v>171</v>
      </c>
      <c r="G1210" s="115" t="s">
        <v>288</v>
      </c>
      <c r="H1210" s="113" t="s">
        <v>144</v>
      </c>
      <c r="I1210" s="113" t="s">
        <v>256</v>
      </c>
      <c r="J1210" s="113" t="s">
        <v>37</v>
      </c>
      <c r="K1210" s="113" t="s">
        <v>180</v>
      </c>
      <c r="L1210" s="113" t="s">
        <v>206</v>
      </c>
      <c r="M1210" s="115" t="s">
        <v>3238</v>
      </c>
      <c r="N1210" s="115" t="s">
        <v>42</v>
      </c>
      <c r="O1210" s="37">
        <v>75045884</v>
      </c>
      <c r="P1210" s="37">
        <v>333648</v>
      </c>
      <c r="Q1210" s="303">
        <f t="shared" si="111"/>
        <v>1</v>
      </c>
      <c r="R1210" s="303">
        <f t="shared" si="112"/>
        <v>197</v>
      </c>
      <c r="S1210" s="37">
        <v>0</v>
      </c>
      <c r="T1210" s="37">
        <v>0</v>
      </c>
      <c r="U1210" s="37">
        <v>1</v>
      </c>
      <c r="V1210" s="37">
        <v>197</v>
      </c>
      <c r="W1210" s="37">
        <v>180</v>
      </c>
      <c r="X1210" s="37">
        <v>114</v>
      </c>
      <c r="Y1210" s="37">
        <v>99</v>
      </c>
      <c r="Z1210" s="37">
        <v>114</v>
      </c>
      <c r="AA1210" s="37">
        <v>1</v>
      </c>
      <c r="AB1210" s="300">
        <f t="shared" si="113"/>
        <v>214.434</v>
      </c>
      <c r="AC1210" s="300">
        <f t="shared" si="114"/>
        <v>1.2917710843373493</v>
      </c>
      <c r="AD1210" s="37">
        <v>1517</v>
      </c>
      <c r="AE1210" s="115" t="s">
        <v>109</v>
      </c>
      <c r="AF1210" s="115" t="s">
        <v>1566</v>
      </c>
      <c r="AG1210" s="115" t="s">
        <v>1566</v>
      </c>
      <c r="AH1210" s="115" t="s">
        <v>3244</v>
      </c>
      <c r="AI1210" s="309"/>
      <c r="AJ1210" s="309"/>
      <c r="AK1210" s="115" t="s">
        <v>37</v>
      </c>
      <c r="AL1210" s="115" t="s">
        <v>58</v>
      </c>
      <c r="AM1210" s="299">
        <f t="shared" ca="1" si="110"/>
        <v>0.22222222222626442</v>
      </c>
      <c r="AN1210" s="51"/>
      <c r="AO1210" s="104" t="s">
        <v>107</v>
      </c>
      <c r="AP1210" s="106" t="s">
        <v>3238</v>
      </c>
      <c r="AQ1210" s="104" t="s">
        <v>3311</v>
      </c>
      <c r="AR1210" s="111">
        <v>44903.638888888891</v>
      </c>
      <c r="AS1210" s="104" t="s">
        <v>496</v>
      </c>
      <c r="AT1210" s="109" t="s">
        <v>225</v>
      </c>
      <c r="AU1210" s="110">
        <v>0.63888888888888895</v>
      </c>
      <c r="AV1210" s="104">
        <v>1</v>
      </c>
      <c r="AW1210" s="109" t="s">
        <v>66</v>
      </c>
      <c r="AX1210" s="52"/>
      <c r="AY1210" s="52"/>
      <c r="AZ1210" s="52"/>
      <c r="BA1210" s="52"/>
    </row>
    <row r="1211" spans="1:53" x14ac:dyDescent="0.25">
      <c r="A1211" s="48">
        <v>146</v>
      </c>
      <c r="B1211" s="120">
        <v>44903.416666666664</v>
      </c>
      <c r="C1211" s="36">
        <v>0.4548611111111111</v>
      </c>
      <c r="D1211" s="36">
        <v>0.45833333333333331</v>
      </c>
      <c r="E1211" s="36">
        <v>0.54166666666666663</v>
      </c>
      <c r="F1211" s="115" t="s">
        <v>171</v>
      </c>
      <c r="G1211" s="37" t="s">
        <v>492</v>
      </c>
      <c r="H1211" s="26" t="s">
        <v>553</v>
      </c>
      <c r="I1211" s="26" t="s">
        <v>174</v>
      </c>
      <c r="J1211" s="26" t="s">
        <v>37</v>
      </c>
      <c r="K1211" s="26" t="s">
        <v>180</v>
      </c>
      <c r="L1211" s="113" t="s">
        <v>206</v>
      </c>
      <c r="M1211" s="37" t="s">
        <v>3257</v>
      </c>
      <c r="N1211" s="37" t="s">
        <v>415</v>
      </c>
      <c r="O1211" s="37">
        <v>25173</v>
      </c>
      <c r="P1211" s="37">
        <v>5500347146</v>
      </c>
      <c r="Q1211" s="303">
        <f t="shared" si="111"/>
        <v>1</v>
      </c>
      <c r="R1211" s="303">
        <f t="shared" si="112"/>
        <v>20</v>
      </c>
      <c r="S1211" s="37">
        <v>1</v>
      </c>
      <c r="T1211" s="37">
        <v>20</v>
      </c>
      <c r="U1211" s="37">
        <v>0</v>
      </c>
      <c r="V1211" s="37">
        <v>0</v>
      </c>
      <c r="W1211" s="37">
        <v>20</v>
      </c>
      <c r="X1211" s="37">
        <v>40</v>
      </c>
      <c r="Y1211" s="37">
        <v>30</v>
      </c>
      <c r="Z1211" s="37">
        <v>19</v>
      </c>
      <c r="AA1211" s="37">
        <v>1</v>
      </c>
      <c r="AB1211" s="300">
        <f t="shared" si="113"/>
        <v>3.8</v>
      </c>
      <c r="AC1211" s="300">
        <f t="shared" si="114"/>
        <v>2.289156626506024E-2</v>
      </c>
      <c r="AD1211" s="37">
        <v>1845</v>
      </c>
      <c r="AE1211" s="37" t="s">
        <v>111</v>
      </c>
      <c r="AF1211" s="115" t="s">
        <v>1566</v>
      </c>
      <c r="AG1211" s="115" t="s">
        <v>1566</v>
      </c>
      <c r="AH1211" s="37" t="s">
        <v>3245</v>
      </c>
      <c r="AI1211" s="309"/>
      <c r="AJ1211" s="309"/>
      <c r="AK1211" s="37" t="s">
        <v>406</v>
      </c>
      <c r="AL1211" s="37" t="s">
        <v>50</v>
      </c>
      <c r="AM1211" s="299">
        <f t="shared" ca="1" si="110"/>
        <v>0.27430555555474712</v>
      </c>
      <c r="AN1211" s="51"/>
      <c r="AO1211" s="104" t="s">
        <v>402</v>
      </c>
      <c r="AP1211" s="106" t="s">
        <v>3316</v>
      </c>
      <c r="AQ1211" s="104" t="s">
        <v>3315</v>
      </c>
      <c r="AR1211" s="111">
        <v>44903.690972222219</v>
      </c>
      <c r="AS1211" s="104" t="s">
        <v>117</v>
      </c>
      <c r="AT1211" s="109" t="s">
        <v>225</v>
      </c>
      <c r="AU1211" s="110">
        <v>0.69097222222222221</v>
      </c>
      <c r="AV1211" s="104">
        <v>2</v>
      </c>
      <c r="AW1211" s="109" t="s">
        <v>66</v>
      </c>
      <c r="AX1211" s="52"/>
      <c r="AY1211" s="52"/>
      <c r="AZ1211" s="52"/>
      <c r="BA1211" s="52"/>
    </row>
    <row r="1212" spans="1:53" x14ac:dyDescent="0.25">
      <c r="A1212" s="48">
        <v>147</v>
      </c>
      <c r="B1212" s="120">
        <v>44903.416666666664</v>
      </c>
      <c r="C1212" s="114">
        <v>0.4548611111111111</v>
      </c>
      <c r="D1212" s="114">
        <v>0.45833333333333331</v>
      </c>
      <c r="E1212" s="114">
        <v>0.54166666666666663</v>
      </c>
      <c r="F1212" s="115" t="s">
        <v>171</v>
      </c>
      <c r="G1212" s="115" t="s">
        <v>492</v>
      </c>
      <c r="H1212" s="107" t="s">
        <v>553</v>
      </c>
      <c r="I1212" s="107" t="s">
        <v>174</v>
      </c>
      <c r="J1212" s="107" t="s">
        <v>37</v>
      </c>
      <c r="K1212" s="107" t="s">
        <v>180</v>
      </c>
      <c r="L1212" s="113" t="s">
        <v>206</v>
      </c>
      <c r="M1212" s="115" t="s">
        <v>3257</v>
      </c>
      <c r="N1212" s="115" t="s">
        <v>415</v>
      </c>
      <c r="O1212" s="37">
        <v>25174</v>
      </c>
      <c r="P1212" s="37">
        <v>5500353830</v>
      </c>
      <c r="Q1212" s="303">
        <f t="shared" si="111"/>
        <v>2</v>
      </c>
      <c r="R1212" s="303">
        <f t="shared" si="112"/>
        <v>27</v>
      </c>
      <c r="S1212" s="37">
        <v>2</v>
      </c>
      <c r="T1212" s="37">
        <v>27</v>
      </c>
      <c r="U1212" s="37">
        <v>0</v>
      </c>
      <c r="V1212" s="37">
        <v>0</v>
      </c>
      <c r="W1212" s="37">
        <v>28</v>
      </c>
      <c r="X1212" s="37">
        <v>40</v>
      </c>
      <c r="Y1212" s="37">
        <v>30</v>
      </c>
      <c r="Z1212" s="37">
        <v>19</v>
      </c>
      <c r="AA1212" s="37">
        <v>2</v>
      </c>
      <c r="AB1212" s="300">
        <f t="shared" si="113"/>
        <v>7.6</v>
      </c>
      <c r="AC1212" s="300">
        <f t="shared" si="114"/>
        <v>4.5783132530120479E-2</v>
      </c>
      <c r="AD1212" s="37">
        <v>150</v>
      </c>
      <c r="AE1212" s="115" t="s">
        <v>111</v>
      </c>
      <c r="AF1212" s="115" t="s">
        <v>1566</v>
      </c>
      <c r="AG1212" s="115" t="s">
        <v>1566</v>
      </c>
      <c r="AH1212" s="37" t="s">
        <v>48</v>
      </c>
      <c r="AI1212" s="309"/>
      <c r="AJ1212" s="309"/>
      <c r="AK1212" s="115" t="s">
        <v>406</v>
      </c>
      <c r="AL1212" s="115" t="s">
        <v>50</v>
      </c>
      <c r="AM1212" s="299">
        <f t="shared" ca="1" si="110"/>
        <v>0.27430555555474712</v>
      </c>
      <c r="AN1212" s="51"/>
      <c r="AO1212" s="104" t="s">
        <v>402</v>
      </c>
      <c r="AP1212" s="106" t="s">
        <v>3316</v>
      </c>
      <c r="AQ1212" s="104" t="s">
        <v>3315</v>
      </c>
      <c r="AR1212" s="111">
        <v>44903.690972222219</v>
      </c>
      <c r="AS1212" s="104" t="s">
        <v>117</v>
      </c>
      <c r="AT1212" s="109" t="s">
        <v>225</v>
      </c>
      <c r="AU1212" s="110">
        <v>0.69097222222222221</v>
      </c>
      <c r="AV1212" s="104">
        <v>2</v>
      </c>
      <c r="AW1212" s="109" t="s">
        <v>66</v>
      </c>
      <c r="AX1212" s="52"/>
      <c r="AY1212" s="52"/>
      <c r="AZ1212" s="52"/>
      <c r="BA1212" s="52"/>
    </row>
    <row r="1213" spans="1:53" x14ac:dyDescent="0.25">
      <c r="A1213" s="48">
        <v>148</v>
      </c>
      <c r="B1213" s="120">
        <v>44903.416666666664</v>
      </c>
      <c r="C1213" s="114">
        <v>0.4548611111111111</v>
      </c>
      <c r="D1213" s="114">
        <v>0.45833333333333331</v>
      </c>
      <c r="E1213" s="114">
        <v>0.46527777777777773</v>
      </c>
      <c r="F1213" s="115" t="s">
        <v>171</v>
      </c>
      <c r="G1213" s="115" t="s">
        <v>492</v>
      </c>
      <c r="H1213" s="107" t="s">
        <v>553</v>
      </c>
      <c r="I1213" s="107" t="s">
        <v>174</v>
      </c>
      <c r="J1213" s="107" t="s">
        <v>37</v>
      </c>
      <c r="K1213" s="107" t="s">
        <v>180</v>
      </c>
      <c r="L1213" s="113" t="s">
        <v>206</v>
      </c>
      <c r="M1213" s="115" t="s">
        <v>3258</v>
      </c>
      <c r="N1213" s="115" t="s">
        <v>415</v>
      </c>
      <c r="O1213" s="37">
        <v>25171</v>
      </c>
      <c r="P1213" s="37">
        <v>5500310299</v>
      </c>
      <c r="Q1213" s="303">
        <f t="shared" si="111"/>
        <v>8</v>
      </c>
      <c r="R1213" s="303">
        <f t="shared" si="112"/>
        <v>142</v>
      </c>
      <c r="S1213" s="37">
        <v>8</v>
      </c>
      <c r="T1213" s="37">
        <f>157-15</f>
        <v>142</v>
      </c>
      <c r="U1213" s="37">
        <v>0</v>
      </c>
      <c r="V1213" s="37">
        <v>0</v>
      </c>
      <c r="W1213" s="37">
        <v>152</v>
      </c>
      <c r="X1213" s="37">
        <v>40</v>
      </c>
      <c r="Y1213" s="37">
        <v>30</v>
      </c>
      <c r="Z1213" s="37">
        <v>19</v>
      </c>
      <c r="AA1213" s="37">
        <v>8</v>
      </c>
      <c r="AB1213" s="300">
        <f t="shared" si="113"/>
        <v>30.4</v>
      </c>
      <c r="AC1213" s="300">
        <f t="shared" si="114"/>
        <v>0.18313253012048192</v>
      </c>
      <c r="AD1213" s="37">
        <v>4080</v>
      </c>
      <c r="AE1213" s="115" t="s">
        <v>111</v>
      </c>
      <c r="AF1213" s="115" t="s">
        <v>1566</v>
      </c>
      <c r="AG1213" s="115" t="s">
        <v>1566</v>
      </c>
      <c r="AH1213" s="37" t="s">
        <v>3246</v>
      </c>
      <c r="AI1213" s="309"/>
      <c r="AJ1213" s="309"/>
      <c r="AK1213" s="115" t="s">
        <v>406</v>
      </c>
      <c r="AL1213" s="115" t="s">
        <v>50</v>
      </c>
      <c r="AM1213" s="299">
        <f t="shared" ca="1" si="110"/>
        <v>0.27430555555474712</v>
      </c>
      <c r="AN1213" s="51"/>
      <c r="AO1213" s="104" t="s">
        <v>402</v>
      </c>
      <c r="AP1213" s="104" t="s">
        <v>3317</v>
      </c>
      <c r="AQ1213" s="104" t="s">
        <v>3315</v>
      </c>
      <c r="AR1213" s="111">
        <v>44903.690972222219</v>
      </c>
      <c r="AS1213" s="104" t="s">
        <v>117</v>
      </c>
      <c r="AT1213" s="109" t="s">
        <v>225</v>
      </c>
      <c r="AU1213" s="110">
        <v>0.69097222222222221</v>
      </c>
      <c r="AV1213" s="104">
        <v>2</v>
      </c>
      <c r="AW1213" s="109" t="s">
        <v>66</v>
      </c>
      <c r="AX1213" s="52"/>
      <c r="AY1213" s="52"/>
      <c r="AZ1213" s="52"/>
      <c r="BA1213" s="52"/>
    </row>
    <row r="1214" spans="1:53" x14ac:dyDescent="0.25">
      <c r="A1214" s="48">
        <v>149</v>
      </c>
      <c r="B1214" s="120">
        <v>44903.416666666664</v>
      </c>
      <c r="C1214" s="114">
        <v>0.4548611111111111</v>
      </c>
      <c r="D1214" s="114">
        <v>0.45833333333333331</v>
      </c>
      <c r="E1214" s="114">
        <v>0.54166666666666663</v>
      </c>
      <c r="F1214" s="115" t="s">
        <v>171</v>
      </c>
      <c r="G1214" s="115" t="s">
        <v>492</v>
      </c>
      <c r="H1214" s="107" t="s">
        <v>553</v>
      </c>
      <c r="I1214" s="107" t="s">
        <v>174</v>
      </c>
      <c r="J1214" s="107" t="s">
        <v>37</v>
      </c>
      <c r="K1214" s="107" t="s">
        <v>180</v>
      </c>
      <c r="L1214" s="113" t="s">
        <v>206</v>
      </c>
      <c r="M1214" s="115" t="s">
        <v>3257</v>
      </c>
      <c r="N1214" s="115" t="s">
        <v>415</v>
      </c>
      <c r="O1214" s="37">
        <v>25175</v>
      </c>
      <c r="P1214" s="37">
        <v>5500374321</v>
      </c>
      <c r="Q1214" s="303">
        <f t="shared" si="111"/>
        <v>1</v>
      </c>
      <c r="R1214" s="303">
        <f t="shared" si="112"/>
        <v>25</v>
      </c>
      <c r="S1214" s="37">
        <v>1</v>
      </c>
      <c r="T1214" s="37">
        <v>25</v>
      </c>
      <c r="U1214" s="37">
        <v>0</v>
      </c>
      <c r="V1214" s="37">
        <v>0</v>
      </c>
      <c r="W1214" s="37">
        <v>25</v>
      </c>
      <c r="X1214" s="37">
        <v>40</v>
      </c>
      <c r="Y1214" s="37">
        <v>30</v>
      </c>
      <c r="Z1214" s="37">
        <v>19</v>
      </c>
      <c r="AA1214" s="37">
        <v>1</v>
      </c>
      <c r="AB1214" s="300">
        <f t="shared" si="113"/>
        <v>3.8</v>
      </c>
      <c r="AC1214" s="300">
        <f t="shared" si="114"/>
        <v>2.289156626506024E-2</v>
      </c>
      <c r="AD1214" s="37">
        <v>572</v>
      </c>
      <c r="AE1214" s="115" t="s">
        <v>111</v>
      </c>
      <c r="AF1214" s="115" t="s">
        <v>1566</v>
      </c>
      <c r="AG1214" s="115" t="s">
        <v>1566</v>
      </c>
      <c r="AH1214" s="37" t="s">
        <v>48</v>
      </c>
      <c r="AI1214" s="309"/>
      <c r="AJ1214" s="309"/>
      <c r="AK1214" s="115" t="s">
        <v>406</v>
      </c>
      <c r="AL1214" s="115" t="s">
        <v>50</v>
      </c>
      <c r="AM1214" s="299">
        <f t="shared" ca="1" si="110"/>
        <v>0.27430555555474712</v>
      </c>
      <c r="AN1214" s="51"/>
      <c r="AO1214" s="104" t="s">
        <v>402</v>
      </c>
      <c r="AP1214" s="106" t="s">
        <v>3316</v>
      </c>
      <c r="AQ1214" s="104" t="s">
        <v>3315</v>
      </c>
      <c r="AR1214" s="111">
        <v>44903.690972222219</v>
      </c>
      <c r="AS1214" s="104" t="s">
        <v>117</v>
      </c>
      <c r="AT1214" s="109" t="s">
        <v>225</v>
      </c>
      <c r="AU1214" s="110">
        <v>0.69097222222222221</v>
      </c>
      <c r="AV1214" s="104">
        <v>2</v>
      </c>
      <c r="AW1214" s="109" t="s">
        <v>66</v>
      </c>
      <c r="AX1214" s="52"/>
      <c r="AY1214" s="52"/>
      <c r="AZ1214" s="52"/>
      <c r="BA1214" s="52"/>
    </row>
    <row r="1215" spans="1:53" x14ac:dyDescent="0.25">
      <c r="A1215" s="48">
        <v>150</v>
      </c>
      <c r="B1215" s="120">
        <v>44903.416666666664</v>
      </c>
      <c r="C1215" s="114">
        <v>0.4548611111111111</v>
      </c>
      <c r="D1215" s="114">
        <v>0.45833333333333331</v>
      </c>
      <c r="E1215" s="114">
        <v>0.46527777777777773</v>
      </c>
      <c r="F1215" s="115" t="s">
        <v>171</v>
      </c>
      <c r="G1215" s="115" t="s">
        <v>492</v>
      </c>
      <c r="H1215" s="107" t="s">
        <v>553</v>
      </c>
      <c r="I1215" s="107" t="s">
        <v>174</v>
      </c>
      <c r="J1215" s="107" t="s">
        <v>37</v>
      </c>
      <c r="K1215" s="107" t="s">
        <v>180</v>
      </c>
      <c r="L1215" s="113" t="s">
        <v>206</v>
      </c>
      <c r="M1215" s="115" t="s">
        <v>3258</v>
      </c>
      <c r="N1215" s="115" t="s">
        <v>415</v>
      </c>
      <c r="O1215" s="37">
        <v>25172</v>
      </c>
      <c r="P1215" s="37">
        <v>5500318103</v>
      </c>
      <c r="Q1215" s="303">
        <f t="shared" si="111"/>
        <v>1</v>
      </c>
      <c r="R1215" s="303">
        <f t="shared" si="112"/>
        <v>13</v>
      </c>
      <c r="S1215" s="37">
        <v>1</v>
      </c>
      <c r="T1215" s="37">
        <v>13</v>
      </c>
      <c r="U1215" s="37">
        <v>0</v>
      </c>
      <c r="V1215" s="37">
        <v>0</v>
      </c>
      <c r="W1215" s="37">
        <v>14</v>
      </c>
      <c r="X1215" s="37">
        <v>40</v>
      </c>
      <c r="Y1215" s="37">
        <v>30</v>
      </c>
      <c r="Z1215" s="37">
        <v>19</v>
      </c>
      <c r="AA1215" s="37">
        <v>1</v>
      </c>
      <c r="AB1215" s="300">
        <f t="shared" si="113"/>
        <v>3.8</v>
      </c>
      <c r="AC1215" s="300">
        <f t="shared" si="114"/>
        <v>2.289156626506024E-2</v>
      </c>
      <c r="AD1215" s="37">
        <v>129</v>
      </c>
      <c r="AE1215" s="37" t="s">
        <v>111</v>
      </c>
      <c r="AF1215" s="115" t="s">
        <v>1566</v>
      </c>
      <c r="AG1215" s="115" t="s">
        <v>1566</v>
      </c>
      <c r="AH1215" s="115" t="s">
        <v>48</v>
      </c>
      <c r="AI1215" s="309"/>
      <c r="AJ1215" s="309"/>
      <c r="AK1215" s="115" t="s">
        <v>406</v>
      </c>
      <c r="AL1215" s="115" t="s">
        <v>50</v>
      </c>
      <c r="AM1215" s="299">
        <f t="shared" ca="1" si="110"/>
        <v>0.27430555555474712</v>
      </c>
      <c r="AN1215" s="51"/>
      <c r="AO1215" s="104" t="s">
        <v>402</v>
      </c>
      <c r="AP1215" s="104" t="s">
        <v>3317</v>
      </c>
      <c r="AQ1215" s="104" t="s">
        <v>3315</v>
      </c>
      <c r="AR1215" s="111">
        <v>44903.690972222219</v>
      </c>
      <c r="AS1215" s="104" t="s">
        <v>117</v>
      </c>
      <c r="AT1215" s="109" t="s">
        <v>225</v>
      </c>
      <c r="AU1215" s="110">
        <v>0.69097222222222221</v>
      </c>
      <c r="AV1215" s="104">
        <v>2</v>
      </c>
      <c r="AW1215" s="109" t="s">
        <v>66</v>
      </c>
      <c r="AX1215" s="52"/>
      <c r="AY1215" s="52"/>
      <c r="AZ1215" s="52"/>
      <c r="BA1215" s="52"/>
    </row>
    <row r="1216" spans="1:53" x14ac:dyDescent="0.25">
      <c r="A1216" s="48">
        <v>151</v>
      </c>
      <c r="B1216" s="120">
        <v>44903.416666666664</v>
      </c>
      <c r="C1216" s="114">
        <v>0.4548611111111111</v>
      </c>
      <c r="D1216" s="114">
        <v>0.45833333333333331</v>
      </c>
      <c r="E1216" s="114">
        <v>0.46527777777777773</v>
      </c>
      <c r="F1216" s="115" t="s">
        <v>171</v>
      </c>
      <c r="G1216" s="115" t="s">
        <v>492</v>
      </c>
      <c r="H1216" s="107" t="s">
        <v>553</v>
      </c>
      <c r="I1216" s="107" t="s">
        <v>174</v>
      </c>
      <c r="J1216" s="107" t="s">
        <v>37</v>
      </c>
      <c r="K1216" s="107" t="s">
        <v>180</v>
      </c>
      <c r="L1216" s="113" t="s">
        <v>206</v>
      </c>
      <c r="M1216" s="115" t="s">
        <v>3258</v>
      </c>
      <c r="N1216" s="115" t="s">
        <v>415</v>
      </c>
      <c r="O1216" s="37">
        <v>25170</v>
      </c>
      <c r="P1216" s="37">
        <v>5500344045</v>
      </c>
      <c r="Q1216" s="303">
        <f t="shared" si="111"/>
        <v>7</v>
      </c>
      <c r="R1216" s="303">
        <f t="shared" si="112"/>
        <v>129</v>
      </c>
      <c r="S1216" s="37">
        <v>7</v>
      </c>
      <c r="T1216" s="37">
        <v>129</v>
      </c>
      <c r="U1216" s="37">
        <v>0</v>
      </c>
      <c r="V1216" s="37">
        <v>0</v>
      </c>
      <c r="W1216" s="37">
        <v>134</v>
      </c>
      <c r="X1216" s="37">
        <v>40</v>
      </c>
      <c r="Y1216" s="37">
        <v>30</v>
      </c>
      <c r="Z1216" s="37">
        <v>19</v>
      </c>
      <c r="AA1216" s="37">
        <v>7</v>
      </c>
      <c r="AB1216" s="300">
        <f t="shared" si="113"/>
        <v>26.6</v>
      </c>
      <c r="AC1216" s="300">
        <f t="shared" si="114"/>
        <v>0.16024096385542169</v>
      </c>
      <c r="AD1216" s="37">
        <v>3620</v>
      </c>
      <c r="AE1216" s="115" t="s">
        <v>111</v>
      </c>
      <c r="AF1216" s="115" t="s">
        <v>1566</v>
      </c>
      <c r="AG1216" s="115" t="s">
        <v>1566</v>
      </c>
      <c r="AH1216" s="37" t="s">
        <v>3247</v>
      </c>
      <c r="AI1216" s="309"/>
      <c r="AJ1216" s="309"/>
      <c r="AK1216" s="115" t="s">
        <v>406</v>
      </c>
      <c r="AL1216" s="115" t="s">
        <v>50</v>
      </c>
      <c r="AM1216" s="299">
        <f t="shared" ca="1" si="110"/>
        <v>0.27430555555474712</v>
      </c>
      <c r="AN1216" s="51"/>
      <c r="AO1216" s="104" t="s">
        <v>402</v>
      </c>
      <c r="AP1216" s="104" t="s">
        <v>3317</v>
      </c>
      <c r="AQ1216" s="104" t="s">
        <v>3315</v>
      </c>
      <c r="AR1216" s="111">
        <v>44903.690972222219</v>
      </c>
      <c r="AS1216" s="104" t="s">
        <v>117</v>
      </c>
      <c r="AT1216" s="109" t="s">
        <v>225</v>
      </c>
      <c r="AU1216" s="110">
        <v>0.69097222222222221</v>
      </c>
      <c r="AV1216" s="104">
        <v>2</v>
      </c>
      <c r="AW1216" s="109" t="s">
        <v>66</v>
      </c>
      <c r="AX1216" s="52"/>
      <c r="AY1216" s="52"/>
      <c r="AZ1216" s="52"/>
      <c r="BA1216" s="52"/>
    </row>
    <row r="1217" spans="1:53" x14ac:dyDescent="0.25">
      <c r="A1217" s="48">
        <v>152</v>
      </c>
      <c r="B1217" s="120">
        <v>44903.416666666664</v>
      </c>
      <c r="C1217" s="114">
        <v>0.4548611111111111</v>
      </c>
      <c r="D1217" s="114">
        <v>0.45833333333333331</v>
      </c>
      <c r="E1217" s="114">
        <v>0.46527777777777773</v>
      </c>
      <c r="F1217" s="115" t="s">
        <v>171</v>
      </c>
      <c r="G1217" s="115" t="s">
        <v>492</v>
      </c>
      <c r="H1217" s="107" t="s">
        <v>553</v>
      </c>
      <c r="I1217" s="107" t="s">
        <v>174</v>
      </c>
      <c r="J1217" s="107" t="s">
        <v>37</v>
      </c>
      <c r="K1217" s="107" t="s">
        <v>180</v>
      </c>
      <c r="L1217" s="113" t="s">
        <v>206</v>
      </c>
      <c r="M1217" s="115" t="s">
        <v>3259</v>
      </c>
      <c r="N1217" s="115" t="s">
        <v>3248</v>
      </c>
      <c r="O1217" s="37">
        <v>25178</v>
      </c>
      <c r="P1217" s="37">
        <v>5500346905</v>
      </c>
      <c r="Q1217" s="303">
        <f t="shared" si="111"/>
        <v>1</v>
      </c>
      <c r="R1217" s="303">
        <f t="shared" si="112"/>
        <v>190</v>
      </c>
      <c r="S1217" s="37">
        <v>0</v>
      </c>
      <c r="T1217" s="37">
        <v>0</v>
      </c>
      <c r="U1217" s="37">
        <v>1</v>
      </c>
      <c r="V1217" s="37">
        <v>190</v>
      </c>
      <c r="W1217" s="37">
        <v>200</v>
      </c>
      <c r="X1217" s="37">
        <v>105</v>
      </c>
      <c r="Y1217" s="37">
        <v>105</v>
      </c>
      <c r="Z1217" s="37">
        <v>85</v>
      </c>
      <c r="AA1217" s="37">
        <v>1</v>
      </c>
      <c r="AB1217" s="300">
        <f t="shared" si="113"/>
        <v>156.1875</v>
      </c>
      <c r="AC1217" s="300">
        <f t="shared" si="114"/>
        <v>0.94088855421686746</v>
      </c>
      <c r="AD1217" s="37">
        <v>766</v>
      </c>
      <c r="AE1217" s="115" t="s">
        <v>111</v>
      </c>
      <c r="AF1217" s="115" t="s">
        <v>1566</v>
      </c>
      <c r="AG1217" s="115" t="s">
        <v>1566</v>
      </c>
      <c r="AH1217" s="37" t="s">
        <v>3249</v>
      </c>
      <c r="AI1217" s="309"/>
      <c r="AJ1217" s="309"/>
      <c r="AK1217" s="115" t="s">
        <v>406</v>
      </c>
      <c r="AL1217" s="115" t="s">
        <v>50</v>
      </c>
      <c r="AM1217" s="299">
        <f t="shared" ca="1" si="110"/>
        <v>0.27430555555474712</v>
      </c>
      <c r="AN1217" s="51"/>
      <c r="AO1217" s="104" t="s">
        <v>402</v>
      </c>
      <c r="AP1217" s="106" t="s">
        <v>3318</v>
      </c>
      <c r="AQ1217" s="104" t="s">
        <v>3315</v>
      </c>
      <c r="AR1217" s="111">
        <v>44903.690972222219</v>
      </c>
      <c r="AS1217" s="104" t="s">
        <v>117</v>
      </c>
      <c r="AT1217" s="109" t="s">
        <v>225</v>
      </c>
      <c r="AU1217" s="110">
        <v>0.69097222222222221</v>
      </c>
      <c r="AV1217" s="104">
        <v>2</v>
      </c>
      <c r="AW1217" s="109" t="s">
        <v>66</v>
      </c>
      <c r="AX1217" s="52"/>
      <c r="AY1217" s="52"/>
      <c r="AZ1217" s="52"/>
      <c r="BA1217" s="52"/>
    </row>
    <row r="1218" spans="1:53" x14ac:dyDescent="0.25">
      <c r="A1218" s="48">
        <v>153</v>
      </c>
      <c r="B1218" s="120">
        <v>44903.458333333336</v>
      </c>
      <c r="C1218" s="36">
        <v>0.46527777777777773</v>
      </c>
      <c r="D1218" s="36">
        <v>0.46875</v>
      </c>
      <c r="E1218" s="36">
        <v>0.47569444444444442</v>
      </c>
      <c r="F1218" s="37" t="s">
        <v>169</v>
      </c>
      <c r="G1218" s="37" t="s">
        <v>330</v>
      </c>
      <c r="H1218" s="26" t="s">
        <v>3251</v>
      </c>
      <c r="I1218" s="26" t="s">
        <v>3252</v>
      </c>
      <c r="J1218" s="26" t="s">
        <v>41</v>
      </c>
      <c r="K1218" s="26" t="s">
        <v>61</v>
      </c>
      <c r="L1218" s="26" t="s">
        <v>3253</v>
      </c>
      <c r="M1218" s="37" t="s">
        <v>3256</v>
      </c>
      <c r="N1218" s="37" t="s">
        <v>486</v>
      </c>
      <c r="O1218" s="37">
        <v>124</v>
      </c>
      <c r="P1218" s="37" t="s">
        <v>3254</v>
      </c>
      <c r="Q1218" s="303">
        <f t="shared" si="111"/>
        <v>13</v>
      </c>
      <c r="R1218" s="303">
        <f t="shared" si="112"/>
        <v>287</v>
      </c>
      <c r="S1218" s="37">
        <v>13</v>
      </c>
      <c r="T1218" s="37">
        <f>310-23</f>
        <v>287</v>
      </c>
      <c r="U1218" s="37">
        <v>0</v>
      </c>
      <c r="V1218" s="37">
        <v>0</v>
      </c>
      <c r="W1218" s="37">
        <v>279</v>
      </c>
      <c r="X1218" s="37">
        <v>55</v>
      </c>
      <c r="Y1218" s="37">
        <v>41</v>
      </c>
      <c r="Z1218" s="37">
        <v>40</v>
      </c>
      <c r="AA1218" s="37">
        <v>13</v>
      </c>
      <c r="AB1218" s="300">
        <f t="shared" si="113"/>
        <v>195.43333333333334</v>
      </c>
      <c r="AC1218" s="300">
        <f t="shared" si="114"/>
        <v>1.1773092369477911</v>
      </c>
      <c r="AD1218" s="37">
        <v>2855</v>
      </c>
      <c r="AE1218" s="37" t="s">
        <v>111</v>
      </c>
      <c r="AF1218" s="37">
        <v>5996131</v>
      </c>
      <c r="AG1218" s="37" t="s">
        <v>3229</v>
      </c>
      <c r="AH1218" s="37" t="s">
        <v>3255</v>
      </c>
      <c r="AI1218" s="309"/>
      <c r="AJ1218" s="309"/>
      <c r="AK1218" s="37" t="s">
        <v>48</v>
      </c>
      <c r="AL1218" s="37" t="s">
        <v>56</v>
      </c>
      <c r="AM1218" s="299">
        <f t="shared" ca="1" si="110"/>
        <v>1.34375</v>
      </c>
      <c r="AN1218" s="51"/>
      <c r="AO1218" s="104" t="s">
        <v>493</v>
      </c>
      <c r="AP1218" s="106" t="s">
        <v>3256</v>
      </c>
      <c r="AQ1218" s="104" t="s">
        <v>3384</v>
      </c>
      <c r="AR1218" s="111">
        <v>44904.802083333336</v>
      </c>
      <c r="AS1218" s="109" t="s">
        <v>1203</v>
      </c>
      <c r="AT1218" s="109" t="s">
        <v>122</v>
      </c>
      <c r="AU1218" s="110">
        <v>0.80208333333333337</v>
      </c>
      <c r="AV1218" s="104">
        <v>1</v>
      </c>
      <c r="AW1218" s="109" t="s">
        <v>66</v>
      </c>
      <c r="AX1218" s="52"/>
      <c r="AY1218" s="52"/>
      <c r="AZ1218" s="52"/>
      <c r="BA1218" s="52"/>
    </row>
    <row r="1219" spans="1:53" x14ac:dyDescent="0.25">
      <c r="A1219" s="48">
        <v>154</v>
      </c>
      <c r="B1219" s="120">
        <v>44903.458333333336</v>
      </c>
      <c r="C1219" s="36">
        <v>0.46180555555555558</v>
      </c>
      <c r="D1219" s="36">
        <v>0.46527777777777773</v>
      </c>
      <c r="E1219" s="36">
        <v>0.47569444444444442</v>
      </c>
      <c r="F1219" s="37" t="s">
        <v>171</v>
      </c>
      <c r="G1219" s="37" t="s">
        <v>3260</v>
      </c>
      <c r="H1219" s="26" t="s">
        <v>199</v>
      </c>
      <c r="I1219" s="26" t="s">
        <v>69</v>
      </c>
      <c r="J1219" s="26" t="s">
        <v>37</v>
      </c>
      <c r="K1219" s="26" t="s">
        <v>180</v>
      </c>
      <c r="L1219" s="26" t="s">
        <v>206</v>
      </c>
      <c r="M1219" s="37" t="s">
        <v>3261</v>
      </c>
      <c r="N1219" s="37" t="s">
        <v>42</v>
      </c>
      <c r="O1219" s="37">
        <v>274010806</v>
      </c>
      <c r="P1219" s="37">
        <v>2000074371</v>
      </c>
      <c r="Q1219" s="303">
        <f t="shared" si="111"/>
        <v>1</v>
      </c>
      <c r="R1219" s="303">
        <f t="shared" si="112"/>
        <v>180</v>
      </c>
      <c r="S1219" s="37">
        <v>0</v>
      </c>
      <c r="T1219" s="37">
        <v>0</v>
      </c>
      <c r="U1219" s="37">
        <v>1</v>
      </c>
      <c r="V1219" s="37">
        <v>180</v>
      </c>
      <c r="W1219" s="37">
        <v>181</v>
      </c>
      <c r="X1219" s="37">
        <v>123</v>
      </c>
      <c r="Y1219" s="37">
        <v>83</v>
      </c>
      <c r="Z1219" s="37">
        <v>75</v>
      </c>
      <c r="AA1219" s="37">
        <v>1</v>
      </c>
      <c r="AB1219" s="300">
        <f t="shared" si="113"/>
        <v>127.6125</v>
      </c>
      <c r="AC1219" s="300">
        <f t="shared" si="114"/>
        <v>0.76874999999999993</v>
      </c>
      <c r="AD1219" s="37">
        <v>5140</v>
      </c>
      <c r="AE1219" s="37" t="s">
        <v>109</v>
      </c>
      <c r="AF1219" s="37">
        <v>5900783</v>
      </c>
      <c r="AG1219" s="37" t="s">
        <v>3262</v>
      </c>
      <c r="AH1219" s="37" t="s">
        <v>48</v>
      </c>
      <c r="AI1219" s="309"/>
      <c r="AJ1219" s="309"/>
      <c r="AK1219" s="37" t="s">
        <v>37</v>
      </c>
      <c r="AL1219" s="37" t="s">
        <v>50</v>
      </c>
      <c r="AM1219" s="299">
        <f t="shared" ca="1" si="110"/>
        <v>1.0590277777737356</v>
      </c>
      <c r="AN1219" s="51"/>
      <c r="AO1219" s="104" t="s">
        <v>157</v>
      </c>
      <c r="AP1219" s="106" t="s">
        <v>3261</v>
      </c>
      <c r="AQ1219" s="104" t="s">
        <v>3367</v>
      </c>
      <c r="AR1219" s="111">
        <v>44904.517361111109</v>
      </c>
      <c r="AS1219" s="109" t="s">
        <v>136</v>
      </c>
      <c r="AT1219" s="109" t="s">
        <v>225</v>
      </c>
      <c r="AU1219" s="110">
        <v>0.51736111111111105</v>
      </c>
      <c r="AV1219" s="104">
        <v>1</v>
      </c>
      <c r="AW1219" s="109" t="s">
        <v>66</v>
      </c>
      <c r="AX1219" s="52"/>
      <c r="AY1219" s="52"/>
      <c r="AZ1219" s="52"/>
      <c r="BA1219" s="52"/>
    </row>
    <row r="1220" spans="1:53" x14ac:dyDescent="0.25">
      <c r="A1220" s="48">
        <v>155</v>
      </c>
      <c r="B1220" s="120">
        <v>44903.458333333336</v>
      </c>
      <c r="C1220" s="114">
        <v>0.46180555555555558</v>
      </c>
      <c r="D1220" s="114">
        <v>0.46527777777777773</v>
      </c>
      <c r="E1220" s="114">
        <v>0.47569444444444442</v>
      </c>
      <c r="F1220" s="115" t="s">
        <v>171</v>
      </c>
      <c r="G1220" s="37" t="s">
        <v>484</v>
      </c>
      <c r="H1220" s="26" t="s">
        <v>85</v>
      </c>
      <c r="I1220" s="26" t="s">
        <v>86</v>
      </c>
      <c r="J1220" s="107" t="s">
        <v>37</v>
      </c>
      <c r="K1220" s="107" t="s">
        <v>180</v>
      </c>
      <c r="L1220" s="107" t="s">
        <v>206</v>
      </c>
      <c r="M1220" s="37" t="s">
        <v>3264</v>
      </c>
      <c r="N1220" s="115" t="s">
        <v>42</v>
      </c>
      <c r="O1220" s="37">
        <v>6261</v>
      </c>
      <c r="P1220" s="37" t="s">
        <v>3263</v>
      </c>
      <c r="Q1220" s="303">
        <f t="shared" si="111"/>
        <v>2</v>
      </c>
      <c r="R1220" s="303">
        <f t="shared" si="112"/>
        <v>708</v>
      </c>
      <c r="S1220" s="37">
        <v>0</v>
      </c>
      <c r="T1220" s="37">
        <v>0</v>
      </c>
      <c r="U1220" s="37">
        <v>2</v>
      </c>
      <c r="V1220" s="37">
        <f>279+429</f>
        <v>708</v>
      </c>
      <c r="W1220" s="37">
        <v>688</v>
      </c>
      <c r="X1220" s="37">
        <v>120</v>
      </c>
      <c r="Y1220" s="37">
        <v>80</v>
      </c>
      <c r="Z1220" s="37">
        <v>90</v>
      </c>
      <c r="AA1220" s="37">
        <v>1</v>
      </c>
      <c r="AB1220" s="300">
        <f t="shared" si="113"/>
        <v>144</v>
      </c>
      <c r="AC1220" s="300">
        <f t="shared" si="114"/>
        <v>0.86746987951807231</v>
      </c>
      <c r="AD1220" s="37">
        <v>7925</v>
      </c>
      <c r="AE1220" s="37" t="s">
        <v>109</v>
      </c>
      <c r="AF1220" s="37" t="s">
        <v>1566</v>
      </c>
      <c r="AG1220" s="37" t="s">
        <v>1566</v>
      </c>
      <c r="AH1220" s="37" t="s">
        <v>3265</v>
      </c>
      <c r="AI1220" s="309"/>
      <c r="AJ1220" s="309"/>
      <c r="AK1220" s="115" t="s">
        <v>37</v>
      </c>
      <c r="AL1220" s="115" t="s">
        <v>50</v>
      </c>
      <c r="AM1220" s="299">
        <f t="shared" ca="1" si="110"/>
        <v>1.0034722222189885</v>
      </c>
      <c r="AN1220" s="51"/>
      <c r="AO1220" s="104" t="s">
        <v>87</v>
      </c>
      <c r="AP1220" s="106" t="s">
        <v>3364</v>
      </c>
      <c r="AQ1220" s="104" t="s">
        <v>3363</v>
      </c>
      <c r="AR1220" s="111">
        <v>44904.461805555555</v>
      </c>
      <c r="AS1220" s="104" t="s">
        <v>117</v>
      </c>
      <c r="AT1220" s="109" t="s">
        <v>225</v>
      </c>
      <c r="AU1220" s="110">
        <v>0.46180555555555558</v>
      </c>
      <c r="AV1220" s="104">
        <v>1</v>
      </c>
      <c r="AW1220" s="109" t="s">
        <v>66</v>
      </c>
      <c r="AX1220" s="52"/>
      <c r="AY1220" s="52"/>
      <c r="AZ1220" s="52"/>
      <c r="BA1220" s="52"/>
    </row>
    <row r="1221" spans="1:53" x14ac:dyDescent="0.25">
      <c r="A1221" s="121">
        <v>155</v>
      </c>
      <c r="B1221" s="120">
        <v>44903.458333333336</v>
      </c>
      <c r="C1221" s="114">
        <v>0.46180555555555558</v>
      </c>
      <c r="D1221" s="114">
        <v>0.46527777777777773</v>
      </c>
      <c r="E1221" s="114">
        <v>0.47569444444444442</v>
      </c>
      <c r="F1221" s="115" t="s">
        <v>171</v>
      </c>
      <c r="G1221" s="115" t="s">
        <v>484</v>
      </c>
      <c r="H1221" s="107" t="s">
        <v>85</v>
      </c>
      <c r="I1221" s="107" t="s">
        <v>86</v>
      </c>
      <c r="J1221" s="107" t="s">
        <v>37</v>
      </c>
      <c r="K1221" s="107" t="s">
        <v>180</v>
      </c>
      <c r="L1221" s="107" t="s">
        <v>206</v>
      </c>
      <c r="M1221" s="115" t="s">
        <v>3264</v>
      </c>
      <c r="N1221" s="115" t="s">
        <v>42</v>
      </c>
      <c r="O1221" s="115">
        <v>6261</v>
      </c>
      <c r="P1221" s="115" t="s">
        <v>3263</v>
      </c>
      <c r="Q1221" s="303">
        <f t="shared" si="111"/>
        <v>0</v>
      </c>
      <c r="R1221" s="303">
        <f t="shared" si="112"/>
        <v>0</v>
      </c>
      <c r="S1221" s="37">
        <v>0</v>
      </c>
      <c r="T1221" s="37">
        <v>0</v>
      </c>
      <c r="U1221" s="37">
        <v>0</v>
      </c>
      <c r="V1221" s="37">
        <v>0</v>
      </c>
      <c r="W1221" s="37">
        <v>0</v>
      </c>
      <c r="X1221" s="37">
        <v>120</v>
      </c>
      <c r="Y1221" s="37">
        <v>80</v>
      </c>
      <c r="Z1221" s="37">
        <v>66</v>
      </c>
      <c r="AA1221" s="37">
        <v>1</v>
      </c>
      <c r="AB1221" s="300">
        <f t="shared" si="113"/>
        <v>105.6</v>
      </c>
      <c r="AC1221" s="300">
        <f t="shared" si="114"/>
        <v>0.636144578313253</v>
      </c>
      <c r="AD1221" s="37">
        <v>0</v>
      </c>
      <c r="AE1221" s="37">
        <v>0</v>
      </c>
      <c r="AF1221" s="37">
        <v>0</v>
      </c>
      <c r="AG1221" s="37">
        <v>0</v>
      </c>
      <c r="AH1221" s="37">
        <v>0</v>
      </c>
      <c r="AI1221" s="309"/>
      <c r="AJ1221" s="309"/>
      <c r="AK1221" s="115" t="s">
        <v>37</v>
      </c>
      <c r="AL1221" s="115" t="s">
        <v>50</v>
      </c>
      <c r="AM1221" s="299">
        <f t="shared" ca="1" si="110"/>
        <v>1.0034722222189885</v>
      </c>
      <c r="AN1221" s="51"/>
      <c r="AO1221" s="104" t="s">
        <v>87</v>
      </c>
      <c r="AP1221" s="106" t="s">
        <v>3364</v>
      </c>
      <c r="AQ1221" s="104" t="s">
        <v>3363</v>
      </c>
      <c r="AR1221" s="111">
        <v>44904.461805555555</v>
      </c>
      <c r="AS1221" s="104" t="s">
        <v>117</v>
      </c>
      <c r="AT1221" s="109" t="s">
        <v>225</v>
      </c>
      <c r="AU1221" s="110">
        <v>0.46180555555555558</v>
      </c>
      <c r="AV1221" s="104">
        <v>1</v>
      </c>
      <c r="AW1221" s="109" t="s">
        <v>66</v>
      </c>
      <c r="AX1221" s="52"/>
      <c r="AY1221" s="52"/>
      <c r="AZ1221" s="52"/>
      <c r="BA1221" s="52"/>
    </row>
    <row r="1222" spans="1:53" x14ac:dyDescent="0.25">
      <c r="A1222" s="48">
        <v>156</v>
      </c>
      <c r="B1222" s="46">
        <v>44903.465277777781</v>
      </c>
      <c r="C1222" s="36">
        <v>0.47222222222222227</v>
      </c>
      <c r="D1222" s="36">
        <v>0.47916666666666669</v>
      </c>
      <c r="E1222" s="36">
        <v>0.5</v>
      </c>
      <c r="F1222" s="115" t="s">
        <v>171</v>
      </c>
      <c r="G1222" s="37" t="s">
        <v>173</v>
      </c>
      <c r="H1222" s="26" t="s">
        <v>315</v>
      </c>
      <c r="I1222" s="26" t="s">
        <v>172</v>
      </c>
      <c r="J1222" s="107" t="s">
        <v>37</v>
      </c>
      <c r="K1222" s="107" t="s">
        <v>180</v>
      </c>
      <c r="L1222" s="112" t="s">
        <v>206</v>
      </c>
      <c r="M1222" s="37" t="s">
        <v>3266</v>
      </c>
      <c r="N1222" s="37" t="s">
        <v>59</v>
      </c>
      <c r="O1222" s="37" t="s">
        <v>3267</v>
      </c>
      <c r="P1222" s="37">
        <v>801606</v>
      </c>
      <c r="Q1222" s="303">
        <f t="shared" si="111"/>
        <v>2</v>
      </c>
      <c r="R1222" s="303">
        <f t="shared" si="112"/>
        <v>40</v>
      </c>
      <c r="S1222" s="37">
        <v>2</v>
      </c>
      <c r="T1222" s="37">
        <v>40</v>
      </c>
      <c r="U1222" s="37">
        <v>0</v>
      </c>
      <c r="V1222" s="37">
        <v>0</v>
      </c>
      <c r="W1222" s="37">
        <v>39</v>
      </c>
      <c r="X1222" s="37">
        <v>45</v>
      </c>
      <c r="Y1222" s="37">
        <v>26</v>
      </c>
      <c r="Z1222" s="37">
        <v>29</v>
      </c>
      <c r="AA1222" s="37">
        <v>1</v>
      </c>
      <c r="AB1222" s="300">
        <f t="shared" si="113"/>
        <v>5.6550000000000002</v>
      </c>
      <c r="AC1222" s="300">
        <f t="shared" si="114"/>
        <v>3.4066265060240963E-2</v>
      </c>
      <c r="AD1222" s="37" t="s">
        <v>48</v>
      </c>
      <c r="AE1222" s="115" t="s">
        <v>48</v>
      </c>
      <c r="AF1222" s="37" t="s">
        <v>1566</v>
      </c>
      <c r="AG1222" s="115" t="s">
        <v>1566</v>
      </c>
      <c r="AH1222" s="37">
        <v>0</v>
      </c>
      <c r="AI1222" s="309"/>
      <c r="AJ1222" s="309"/>
      <c r="AK1222" s="37" t="s">
        <v>48</v>
      </c>
      <c r="AL1222" s="37" t="s">
        <v>56</v>
      </c>
      <c r="AM1222" s="299">
        <f t="shared" ca="1" si="110"/>
        <v>1.3368055555547471</v>
      </c>
      <c r="AN1222" s="51"/>
      <c r="AO1222" s="104" t="s">
        <v>70</v>
      </c>
      <c r="AP1222" s="106" t="s">
        <v>3266</v>
      </c>
      <c r="AQ1222" s="104" t="s">
        <v>3384</v>
      </c>
      <c r="AR1222" s="111">
        <v>44904.802083333336</v>
      </c>
      <c r="AS1222" s="109" t="s">
        <v>1203</v>
      </c>
      <c r="AT1222" s="109" t="s">
        <v>122</v>
      </c>
      <c r="AU1222" s="110">
        <v>0.80208333333333337</v>
      </c>
      <c r="AV1222" s="104">
        <v>1</v>
      </c>
      <c r="AW1222" s="109" t="s">
        <v>66</v>
      </c>
      <c r="AX1222" s="52"/>
      <c r="AY1222" s="52"/>
      <c r="AZ1222" s="52"/>
      <c r="BA1222" s="52"/>
    </row>
    <row r="1223" spans="1:53" x14ac:dyDescent="0.25">
      <c r="A1223" s="121">
        <v>156</v>
      </c>
      <c r="B1223" s="120">
        <v>44903.465277777781</v>
      </c>
      <c r="C1223" s="114">
        <v>0.47222222222222227</v>
      </c>
      <c r="D1223" s="114">
        <v>0.47916666666666669</v>
      </c>
      <c r="E1223" s="114">
        <v>0.5</v>
      </c>
      <c r="F1223" s="115" t="s">
        <v>171</v>
      </c>
      <c r="G1223" s="115" t="s">
        <v>173</v>
      </c>
      <c r="H1223" s="107" t="s">
        <v>315</v>
      </c>
      <c r="I1223" s="107" t="s">
        <v>172</v>
      </c>
      <c r="J1223" s="107" t="s">
        <v>37</v>
      </c>
      <c r="K1223" s="107" t="s">
        <v>180</v>
      </c>
      <c r="L1223" s="112" t="s">
        <v>206</v>
      </c>
      <c r="M1223" s="115" t="s">
        <v>3266</v>
      </c>
      <c r="N1223" s="115" t="s">
        <v>59</v>
      </c>
      <c r="O1223" s="115" t="s">
        <v>3267</v>
      </c>
      <c r="P1223" s="115">
        <v>801606</v>
      </c>
      <c r="Q1223" s="303">
        <f t="shared" si="111"/>
        <v>0</v>
      </c>
      <c r="R1223" s="303">
        <f t="shared" si="112"/>
        <v>0</v>
      </c>
      <c r="S1223" s="115">
        <v>0</v>
      </c>
      <c r="T1223" s="115">
        <v>0</v>
      </c>
      <c r="U1223" s="115">
        <v>0</v>
      </c>
      <c r="V1223" s="115">
        <v>0</v>
      </c>
      <c r="W1223" s="115">
        <v>0</v>
      </c>
      <c r="X1223" s="37">
        <v>59</v>
      </c>
      <c r="Y1223" s="37">
        <v>47</v>
      </c>
      <c r="Z1223" s="37">
        <v>31</v>
      </c>
      <c r="AA1223" s="37">
        <v>1</v>
      </c>
      <c r="AB1223" s="300">
        <f t="shared" si="113"/>
        <v>14.327166666666667</v>
      </c>
      <c r="AC1223" s="300">
        <f t="shared" si="114"/>
        <v>8.6308232931726903E-2</v>
      </c>
      <c r="AD1223" s="37">
        <v>0</v>
      </c>
      <c r="AE1223" s="115">
        <v>0</v>
      </c>
      <c r="AF1223" s="115" t="s">
        <v>1566</v>
      </c>
      <c r="AG1223" s="115" t="s">
        <v>1566</v>
      </c>
      <c r="AH1223" s="115">
        <v>0</v>
      </c>
      <c r="AI1223" s="309"/>
      <c r="AJ1223" s="309"/>
      <c r="AK1223" s="115" t="s">
        <v>48</v>
      </c>
      <c r="AL1223" s="115" t="s">
        <v>56</v>
      </c>
      <c r="AM1223" s="299">
        <f t="shared" ca="1" si="110"/>
        <v>1.3368055555547471</v>
      </c>
      <c r="AN1223" s="51"/>
      <c r="AO1223" s="104" t="s">
        <v>70</v>
      </c>
      <c r="AP1223" s="106" t="s">
        <v>3266</v>
      </c>
      <c r="AQ1223" s="104" t="s">
        <v>3384</v>
      </c>
      <c r="AR1223" s="111">
        <v>44904.802083333336</v>
      </c>
      <c r="AS1223" s="109" t="s">
        <v>1203</v>
      </c>
      <c r="AT1223" s="109" t="s">
        <v>122</v>
      </c>
      <c r="AU1223" s="110">
        <v>0.80208333333333337</v>
      </c>
      <c r="AV1223" s="104">
        <v>1</v>
      </c>
      <c r="AW1223" s="109" t="s">
        <v>66</v>
      </c>
      <c r="AX1223" s="52"/>
      <c r="AY1223" s="52"/>
      <c r="AZ1223" s="52"/>
      <c r="BA1223" s="52"/>
    </row>
    <row r="1224" spans="1:53" x14ac:dyDescent="0.25">
      <c r="A1224" s="48">
        <v>157</v>
      </c>
      <c r="B1224" s="120">
        <v>44903.465277777781</v>
      </c>
      <c r="C1224" s="114">
        <v>0.47222222222222227</v>
      </c>
      <c r="D1224" s="114">
        <v>0.47916666666666669</v>
      </c>
      <c r="E1224" s="114">
        <v>0.5</v>
      </c>
      <c r="F1224" s="115" t="s">
        <v>171</v>
      </c>
      <c r="G1224" s="115" t="s">
        <v>173</v>
      </c>
      <c r="H1224" s="107" t="s">
        <v>315</v>
      </c>
      <c r="I1224" s="107" t="s">
        <v>172</v>
      </c>
      <c r="J1224" s="107" t="s">
        <v>37</v>
      </c>
      <c r="K1224" s="107" t="s">
        <v>180</v>
      </c>
      <c r="L1224" s="112" t="s">
        <v>206</v>
      </c>
      <c r="M1224" s="115" t="s">
        <v>3266</v>
      </c>
      <c r="N1224" s="115" t="s">
        <v>59</v>
      </c>
      <c r="O1224" s="115" t="s">
        <v>3268</v>
      </c>
      <c r="P1224" s="37">
        <v>814069</v>
      </c>
      <c r="Q1224" s="303">
        <f t="shared" si="111"/>
        <v>1</v>
      </c>
      <c r="R1224" s="303">
        <f t="shared" si="112"/>
        <v>25</v>
      </c>
      <c r="S1224" s="37">
        <v>1</v>
      </c>
      <c r="T1224" s="37">
        <v>25</v>
      </c>
      <c r="U1224" s="37">
        <v>0</v>
      </c>
      <c r="V1224" s="37">
        <v>0</v>
      </c>
      <c r="W1224" s="37">
        <v>23.5</v>
      </c>
      <c r="X1224" s="37">
        <v>54</v>
      </c>
      <c r="Y1224" s="37">
        <v>31</v>
      </c>
      <c r="Z1224" s="37">
        <v>31</v>
      </c>
      <c r="AA1224" s="37">
        <v>1</v>
      </c>
      <c r="AB1224" s="300">
        <f t="shared" si="113"/>
        <v>8.6489999999999991</v>
      </c>
      <c r="AC1224" s="300">
        <f t="shared" si="114"/>
        <v>5.2102409638554212E-2</v>
      </c>
      <c r="AD1224" s="115" t="s">
        <v>48</v>
      </c>
      <c r="AE1224" s="115" t="s">
        <v>48</v>
      </c>
      <c r="AF1224" s="115" t="s">
        <v>1566</v>
      </c>
      <c r="AG1224" s="115" t="s">
        <v>1566</v>
      </c>
      <c r="AH1224" s="115">
        <v>0</v>
      </c>
      <c r="AI1224" s="309"/>
      <c r="AJ1224" s="309"/>
      <c r="AK1224" s="115" t="s">
        <v>48</v>
      </c>
      <c r="AL1224" s="115" t="s">
        <v>56</v>
      </c>
      <c r="AM1224" s="299">
        <f t="shared" ca="1" si="110"/>
        <v>1.3368055555547471</v>
      </c>
      <c r="AN1224" s="51"/>
      <c r="AO1224" s="104" t="s">
        <v>70</v>
      </c>
      <c r="AP1224" s="106" t="s">
        <v>3266</v>
      </c>
      <c r="AQ1224" s="104" t="s">
        <v>3384</v>
      </c>
      <c r="AR1224" s="111">
        <v>44904.802083333336</v>
      </c>
      <c r="AS1224" s="109" t="s">
        <v>1203</v>
      </c>
      <c r="AT1224" s="109" t="s">
        <v>122</v>
      </c>
      <c r="AU1224" s="110">
        <v>0.80208333333333337</v>
      </c>
      <c r="AV1224" s="104">
        <v>1</v>
      </c>
      <c r="AW1224" s="109" t="s">
        <v>66</v>
      </c>
      <c r="AX1224" s="52"/>
      <c r="AY1224" s="52"/>
      <c r="AZ1224" s="52"/>
      <c r="BA1224" s="52"/>
    </row>
    <row r="1225" spans="1:53" x14ac:dyDescent="0.25">
      <c r="A1225" s="48">
        <v>158</v>
      </c>
      <c r="B1225" s="120">
        <v>44903.465277777781</v>
      </c>
      <c r="C1225" s="114">
        <v>0.47222222222222227</v>
      </c>
      <c r="D1225" s="114">
        <v>0.47916666666666669</v>
      </c>
      <c r="E1225" s="114">
        <v>0.5</v>
      </c>
      <c r="F1225" s="115" t="s">
        <v>171</v>
      </c>
      <c r="G1225" s="115" t="s">
        <v>173</v>
      </c>
      <c r="H1225" s="107" t="s">
        <v>315</v>
      </c>
      <c r="I1225" s="107" t="s">
        <v>172</v>
      </c>
      <c r="J1225" s="107" t="s">
        <v>37</v>
      </c>
      <c r="K1225" s="107" t="s">
        <v>180</v>
      </c>
      <c r="L1225" s="112" t="s">
        <v>206</v>
      </c>
      <c r="M1225" s="115" t="s">
        <v>3266</v>
      </c>
      <c r="N1225" s="115" t="s">
        <v>59</v>
      </c>
      <c r="O1225" s="115" t="s">
        <v>3269</v>
      </c>
      <c r="P1225" s="37">
        <v>815965</v>
      </c>
      <c r="Q1225" s="303">
        <f t="shared" si="111"/>
        <v>1</v>
      </c>
      <c r="R1225" s="303">
        <f t="shared" si="112"/>
        <v>25</v>
      </c>
      <c r="S1225" s="37">
        <v>1</v>
      </c>
      <c r="T1225" s="37">
        <v>25</v>
      </c>
      <c r="U1225" s="37">
        <v>0</v>
      </c>
      <c r="V1225" s="37">
        <v>0</v>
      </c>
      <c r="W1225" s="37">
        <v>23.5</v>
      </c>
      <c r="X1225" s="115">
        <v>54</v>
      </c>
      <c r="Y1225" s="115">
        <v>31</v>
      </c>
      <c r="Z1225" s="115">
        <v>31</v>
      </c>
      <c r="AA1225" s="115">
        <v>1</v>
      </c>
      <c r="AB1225" s="300">
        <f t="shared" si="113"/>
        <v>8.6489999999999991</v>
      </c>
      <c r="AC1225" s="300">
        <f t="shared" si="114"/>
        <v>5.2102409638554212E-2</v>
      </c>
      <c r="AD1225" s="115" t="s">
        <v>48</v>
      </c>
      <c r="AE1225" s="115" t="s">
        <v>48</v>
      </c>
      <c r="AF1225" s="115" t="s">
        <v>1566</v>
      </c>
      <c r="AG1225" s="115" t="s">
        <v>1566</v>
      </c>
      <c r="AH1225" s="115">
        <v>0</v>
      </c>
      <c r="AI1225" s="309"/>
      <c r="AJ1225" s="309"/>
      <c r="AK1225" s="115" t="s">
        <v>48</v>
      </c>
      <c r="AL1225" s="115" t="s">
        <v>56</v>
      </c>
      <c r="AM1225" s="299">
        <f t="shared" ca="1" si="110"/>
        <v>1.3368055555547471</v>
      </c>
      <c r="AN1225" s="51"/>
      <c r="AO1225" s="104" t="s">
        <v>70</v>
      </c>
      <c r="AP1225" s="106" t="s">
        <v>3266</v>
      </c>
      <c r="AQ1225" s="104" t="s">
        <v>3384</v>
      </c>
      <c r="AR1225" s="111">
        <v>44904.802083333336</v>
      </c>
      <c r="AS1225" s="109" t="s">
        <v>1203</v>
      </c>
      <c r="AT1225" s="109" t="s">
        <v>122</v>
      </c>
      <c r="AU1225" s="110">
        <v>0.80208333333333337</v>
      </c>
      <c r="AV1225" s="104">
        <v>1</v>
      </c>
      <c r="AW1225" s="109" t="s">
        <v>66</v>
      </c>
      <c r="AX1225" s="52"/>
      <c r="AY1225" s="52"/>
      <c r="AZ1225" s="52"/>
      <c r="BA1225" s="52"/>
    </row>
    <row r="1226" spans="1:53" x14ac:dyDescent="0.25">
      <c r="A1226" s="48">
        <v>159</v>
      </c>
      <c r="B1226" s="120">
        <v>44903.465277777781</v>
      </c>
      <c r="C1226" s="114">
        <v>0.47222222222222227</v>
      </c>
      <c r="D1226" s="114">
        <v>0.47916666666666669</v>
      </c>
      <c r="E1226" s="114">
        <v>0.5</v>
      </c>
      <c r="F1226" s="115" t="s">
        <v>171</v>
      </c>
      <c r="G1226" s="115" t="s">
        <v>173</v>
      </c>
      <c r="H1226" s="107" t="s">
        <v>315</v>
      </c>
      <c r="I1226" s="107" t="s">
        <v>172</v>
      </c>
      <c r="J1226" s="107" t="s">
        <v>37</v>
      </c>
      <c r="K1226" s="107" t="s">
        <v>180</v>
      </c>
      <c r="L1226" s="112" t="s">
        <v>206</v>
      </c>
      <c r="M1226" s="115" t="s">
        <v>3266</v>
      </c>
      <c r="N1226" s="115" t="s">
        <v>59</v>
      </c>
      <c r="O1226" s="115" t="s">
        <v>3270</v>
      </c>
      <c r="P1226" s="37">
        <v>808440</v>
      </c>
      <c r="Q1226" s="303">
        <f t="shared" si="111"/>
        <v>1</v>
      </c>
      <c r="R1226" s="303">
        <f t="shared" si="112"/>
        <v>25</v>
      </c>
      <c r="S1226" s="37">
        <v>1</v>
      </c>
      <c r="T1226" s="37">
        <v>25</v>
      </c>
      <c r="U1226" s="37">
        <v>0</v>
      </c>
      <c r="V1226" s="37">
        <v>0</v>
      </c>
      <c r="W1226" s="37">
        <v>23.5</v>
      </c>
      <c r="X1226" s="115">
        <v>54</v>
      </c>
      <c r="Y1226" s="115">
        <v>31</v>
      </c>
      <c r="Z1226" s="115">
        <v>31</v>
      </c>
      <c r="AA1226" s="115">
        <v>1</v>
      </c>
      <c r="AB1226" s="300">
        <f t="shared" si="113"/>
        <v>8.6489999999999991</v>
      </c>
      <c r="AC1226" s="300">
        <f t="shared" si="114"/>
        <v>5.2102409638554212E-2</v>
      </c>
      <c r="AD1226" s="115" t="s">
        <v>48</v>
      </c>
      <c r="AE1226" s="115" t="s">
        <v>48</v>
      </c>
      <c r="AF1226" s="115" t="s">
        <v>1566</v>
      </c>
      <c r="AG1226" s="115" t="s">
        <v>1566</v>
      </c>
      <c r="AH1226" s="115">
        <v>0</v>
      </c>
      <c r="AI1226" s="309"/>
      <c r="AJ1226" s="309"/>
      <c r="AK1226" s="115" t="s">
        <v>48</v>
      </c>
      <c r="AL1226" s="115" t="s">
        <v>56</v>
      </c>
      <c r="AM1226" s="299">
        <f t="shared" ca="1" si="110"/>
        <v>1.3368055555547471</v>
      </c>
      <c r="AN1226" s="51"/>
      <c r="AO1226" s="104" t="s">
        <v>70</v>
      </c>
      <c r="AP1226" s="106" t="s">
        <v>3266</v>
      </c>
      <c r="AQ1226" s="104" t="s">
        <v>3384</v>
      </c>
      <c r="AR1226" s="111">
        <v>44904.802083333336</v>
      </c>
      <c r="AS1226" s="109" t="s">
        <v>1203</v>
      </c>
      <c r="AT1226" s="109" t="s">
        <v>122</v>
      </c>
      <c r="AU1226" s="110">
        <v>0.80208333333333337</v>
      </c>
      <c r="AV1226" s="104">
        <v>1</v>
      </c>
      <c r="AW1226" s="109" t="s">
        <v>66</v>
      </c>
      <c r="AX1226" s="52"/>
      <c r="AY1226" s="52"/>
      <c r="AZ1226" s="52"/>
      <c r="BA1226" s="52"/>
    </row>
    <row r="1227" spans="1:53" x14ac:dyDescent="0.25">
      <c r="A1227" s="48">
        <v>160</v>
      </c>
      <c r="B1227" s="120">
        <v>44903.465277777781</v>
      </c>
      <c r="C1227" s="114">
        <v>0.47222222222222227</v>
      </c>
      <c r="D1227" s="114">
        <v>0.47916666666666669</v>
      </c>
      <c r="E1227" s="114">
        <v>0.5</v>
      </c>
      <c r="F1227" s="115" t="s">
        <v>171</v>
      </c>
      <c r="G1227" s="115" t="s">
        <v>173</v>
      </c>
      <c r="H1227" s="107" t="s">
        <v>315</v>
      </c>
      <c r="I1227" s="107" t="s">
        <v>172</v>
      </c>
      <c r="J1227" s="107" t="s">
        <v>37</v>
      </c>
      <c r="K1227" s="107" t="s">
        <v>180</v>
      </c>
      <c r="L1227" s="112" t="s">
        <v>206</v>
      </c>
      <c r="M1227" s="115" t="s">
        <v>3266</v>
      </c>
      <c r="N1227" s="115" t="s">
        <v>59</v>
      </c>
      <c r="O1227" s="115" t="s">
        <v>3271</v>
      </c>
      <c r="P1227" s="37">
        <v>781454</v>
      </c>
      <c r="Q1227" s="303">
        <f t="shared" si="111"/>
        <v>2</v>
      </c>
      <c r="R1227" s="303">
        <f t="shared" si="112"/>
        <v>241</v>
      </c>
      <c r="S1227" s="37">
        <v>0</v>
      </c>
      <c r="T1227" s="37">
        <v>0</v>
      </c>
      <c r="U1227" s="37">
        <v>2</v>
      </c>
      <c r="V1227" s="37">
        <f>121+120</f>
        <v>241</v>
      </c>
      <c r="W1227" s="37">
        <v>222</v>
      </c>
      <c r="X1227" s="37">
        <v>95</v>
      </c>
      <c r="Y1227" s="37">
        <v>64</v>
      </c>
      <c r="Z1227" s="37">
        <v>95</v>
      </c>
      <c r="AA1227" s="37">
        <v>2</v>
      </c>
      <c r="AB1227" s="300">
        <f t="shared" si="113"/>
        <v>192.53333333333333</v>
      </c>
      <c r="AC1227" s="300">
        <f t="shared" si="114"/>
        <v>1.1598393574297188</v>
      </c>
      <c r="AD1227" s="115" t="s">
        <v>48</v>
      </c>
      <c r="AE1227" s="115" t="s">
        <v>48</v>
      </c>
      <c r="AF1227" s="115" t="s">
        <v>1566</v>
      </c>
      <c r="AG1227" s="115" t="s">
        <v>1566</v>
      </c>
      <c r="AH1227" s="115">
        <v>0</v>
      </c>
      <c r="AI1227" s="309"/>
      <c r="AJ1227" s="309"/>
      <c r="AK1227" s="115" t="s">
        <v>48</v>
      </c>
      <c r="AL1227" s="115" t="s">
        <v>56</v>
      </c>
      <c r="AM1227" s="299">
        <f t="shared" ca="1" si="110"/>
        <v>1.3368055555547471</v>
      </c>
      <c r="AN1227" s="51"/>
      <c r="AO1227" s="104" t="s">
        <v>70</v>
      </c>
      <c r="AP1227" s="106" t="s">
        <v>3266</v>
      </c>
      <c r="AQ1227" s="104" t="s">
        <v>3384</v>
      </c>
      <c r="AR1227" s="111">
        <v>44904.802083333336</v>
      </c>
      <c r="AS1227" s="109" t="s">
        <v>1203</v>
      </c>
      <c r="AT1227" s="109" t="s">
        <v>122</v>
      </c>
      <c r="AU1227" s="110">
        <v>0.80208333333333337</v>
      </c>
      <c r="AV1227" s="104">
        <v>1</v>
      </c>
      <c r="AW1227" s="109" t="s">
        <v>66</v>
      </c>
      <c r="AX1227" s="52"/>
      <c r="AY1227" s="52"/>
      <c r="AZ1227" s="52"/>
      <c r="BA1227" s="52"/>
    </row>
    <row r="1228" spans="1:53" x14ac:dyDescent="0.25">
      <c r="A1228" s="48">
        <v>161</v>
      </c>
      <c r="B1228" s="46">
        <v>44903.479166666664</v>
      </c>
      <c r="C1228" s="36">
        <v>0.4826388888888889</v>
      </c>
      <c r="D1228" s="36">
        <v>0.4861111111111111</v>
      </c>
      <c r="E1228" s="36">
        <v>0.5</v>
      </c>
      <c r="F1228" s="37" t="s">
        <v>170</v>
      </c>
      <c r="G1228" s="37" t="s">
        <v>3272</v>
      </c>
      <c r="H1228" s="26" t="s">
        <v>57</v>
      </c>
      <c r="I1228" s="26" t="s">
        <v>162</v>
      </c>
      <c r="J1228" s="107" t="s">
        <v>37</v>
      </c>
      <c r="K1228" s="113" t="s">
        <v>63</v>
      </c>
      <c r="L1228" s="113" t="s">
        <v>209</v>
      </c>
      <c r="M1228" s="37" t="s">
        <v>3273</v>
      </c>
      <c r="N1228" s="37" t="s">
        <v>158</v>
      </c>
      <c r="O1228" s="37" t="s">
        <v>3274</v>
      </c>
      <c r="P1228" s="37">
        <v>81975833</v>
      </c>
      <c r="Q1228" s="303">
        <f t="shared" si="111"/>
        <v>2</v>
      </c>
      <c r="R1228" s="303">
        <f t="shared" si="112"/>
        <v>849</v>
      </c>
      <c r="S1228" s="37">
        <v>0</v>
      </c>
      <c r="T1228" s="37">
        <v>0</v>
      </c>
      <c r="U1228" s="37">
        <v>2</v>
      </c>
      <c r="V1228" s="37">
        <f>600-62+379-68</f>
        <v>849</v>
      </c>
      <c r="W1228" s="37">
        <v>845</v>
      </c>
      <c r="X1228" s="37">
        <v>211</v>
      </c>
      <c r="Y1228" s="37">
        <v>135</v>
      </c>
      <c r="Z1228" s="37">
        <v>151</v>
      </c>
      <c r="AA1228" s="37">
        <v>1</v>
      </c>
      <c r="AB1228" s="300">
        <f t="shared" si="113"/>
        <v>716.87249999999995</v>
      </c>
      <c r="AC1228" s="300">
        <f t="shared" si="114"/>
        <v>4.3185090361445777</v>
      </c>
      <c r="AD1228" s="37">
        <v>7806</v>
      </c>
      <c r="AE1228" s="37" t="s">
        <v>109</v>
      </c>
      <c r="AF1228" s="37" t="s">
        <v>317</v>
      </c>
      <c r="AG1228" s="115" t="s">
        <v>317</v>
      </c>
      <c r="AH1228" s="37" t="s">
        <v>3275</v>
      </c>
      <c r="AI1228" s="309"/>
      <c r="AJ1228" s="309"/>
      <c r="AK1228" s="37" t="s">
        <v>37</v>
      </c>
      <c r="AL1228" s="37" t="s">
        <v>47</v>
      </c>
      <c r="AM1228" s="299">
        <f t="shared" ca="1" si="110"/>
        <v>1.0381944444452529</v>
      </c>
      <c r="AN1228" s="51"/>
      <c r="AO1228" s="104" t="s">
        <v>159</v>
      </c>
      <c r="AP1228" s="106" t="s">
        <v>3273</v>
      </c>
      <c r="AQ1228" s="104" t="s">
        <v>3369</v>
      </c>
      <c r="AR1228" s="111">
        <v>44904.517361111109</v>
      </c>
      <c r="AS1228" s="109" t="s">
        <v>136</v>
      </c>
      <c r="AT1228" s="109" t="s">
        <v>225</v>
      </c>
      <c r="AU1228" s="110">
        <v>0.51736111111111105</v>
      </c>
      <c r="AV1228" s="104">
        <v>1</v>
      </c>
      <c r="AW1228" s="109" t="s">
        <v>66</v>
      </c>
      <c r="AX1228" s="52"/>
      <c r="AY1228" s="52"/>
      <c r="AZ1228" s="52"/>
      <c r="BA1228" s="52"/>
    </row>
    <row r="1229" spans="1:53" x14ac:dyDescent="0.25">
      <c r="A1229" s="121">
        <v>161</v>
      </c>
      <c r="B1229" s="120">
        <v>44903.479166666664</v>
      </c>
      <c r="C1229" s="114">
        <v>0.4826388888888889</v>
      </c>
      <c r="D1229" s="114">
        <v>0.4861111111111111</v>
      </c>
      <c r="E1229" s="114">
        <v>0.5</v>
      </c>
      <c r="F1229" s="115" t="s">
        <v>170</v>
      </c>
      <c r="G1229" s="115" t="s">
        <v>3272</v>
      </c>
      <c r="H1229" s="107" t="s">
        <v>57</v>
      </c>
      <c r="I1229" s="107" t="s">
        <v>162</v>
      </c>
      <c r="J1229" s="107" t="s">
        <v>37</v>
      </c>
      <c r="K1229" s="113" t="s">
        <v>63</v>
      </c>
      <c r="L1229" s="113" t="s">
        <v>209</v>
      </c>
      <c r="M1229" s="115" t="s">
        <v>3273</v>
      </c>
      <c r="N1229" s="115" t="s">
        <v>158</v>
      </c>
      <c r="O1229" s="115" t="s">
        <v>3274</v>
      </c>
      <c r="P1229" s="115">
        <v>81975833</v>
      </c>
      <c r="Q1229" s="303">
        <f t="shared" si="111"/>
        <v>0</v>
      </c>
      <c r="R1229" s="303">
        <f t="shared" si="112"/>
        <v>0</v>
      </c>
      <c r="S1229" s="115">
        <v>0</v>
      </c>
      <c r="T1229" s="115">
        <v>0</v>
      </c>
      <c r="U1229" s="115">
        <v>0</v>
      </c>
      <c r="V1229" s="115">
        <v>0</v>
      </c>
      <c r="W1229" s="115">
        <v>0</v>
      </c>
      <c r="X1229" s="37">
        <v>211</v>
      </c>
      <c r="Y1229" s="37">
        <v>97</v>
      </c>
      <c r="Z1229" s="37">
        <v>100</v>
      </c>
      <c r="AA1229" s="37">
        <v>1</v>
      </c>
      <c r="AB1229" s="300">
        <f t="shared" si="113"/>
        <v>341.11666666666667</v>
      </c>
      <c r="AC1229" s="300">
        <f t="shared" si="114"/>
        <v>2.0549196787148594</v>
      </c>
      <c r="AD1229" s="37">
        <v>0</v>
      </c>
      <c r="AE1229" s="115">
        <v>0</v>
      </c>
      <c r="AF1229" s="115" t="s">
        <v>317</v>
      </c>
      <c r="AG1229" s="115" t="s">
        <v>317</v>
      </c>
      <c r="AH1229" s="115" t="s">
        <v>3275</v>
      </c>
      <c r="AI1229" s="309"/>
      <c r="AJ1229" s="309"/>
      <c r="AK1229" s="115" t="s">
        <v>37</v>
      </c>
      <c r="AL1229" s="115" t="s">
        <v>47</v>
      </c>
      <c r="AM1229" s="299">
        <f t="shared" ca="1" si="110"/>
        <v>1.0381944444452529</v>
      </c>
      <c r="AN1229" s="51"/>
      <c r="AO1229" s="104" t="s">
        <v>159</v>
      </c>
      <c r="AP1229" s="106" t="s">
        <v>3273</v>
      </c>
      <c r="AQ1229" s="104" t="s">
        <v>3369</v>
      </c>
      <c r="AR1229" s="111">
        <v>44904.517361111109</v>
      </c>
      <c r="AS1229" s="109" t="s">
        <v>136</v>
      </c>
      <c r="AT1229" s="109" t="s">
        <v>225</v>
      </c>
      <c r="AU1229" s="110">
        <v>0.51736111111111105</v>
      </c>
      <c r="AV1229" s="104">
        <v>1</v>
      </c>
      <c r="AW1229" s="109" t="s">
        <v>66</v>
      </c>
      <c r="AX1229" s="52"/>
      <c r="AY1229" s="52"/>
      <c r="AZ1229" s="52"/>
      <c r="BA1229" s="52"/>
    </row>
    <row r="1230" spans="1:53" x14ac:dyDescent="0.25">
      <c r="A1230" s="48">
        <v>162</v>
      </c>
      <c r="B1230" s="120">
        <v>44903.479166666664</v>
      </c>
      <c r="C1230" s="114">
        <v>0.4826388888888889</v>
      </c>
      <c r="D1230" s="114">
        <v>0.4861111111111111</v>
      </c>
      <c r="E1230" s="114">
        <v>0.5</v>
      </c>
      <c r="F1230" s="115" t="s">
        <v>170</v>
      </c>
      <c r="G1230" s="115" t="s">
        <v>3272</v>
      </c>
      <c r="H1230" s="26" t="s">
        <v>459</v>
      </c>
      <c r="I1230" s="26" t="s">
        <v>62</v>
      </c>
      <c r="J1230" s="107" t="s">
        <v>37</v>
      </c>
      <c r="K1230" s="107" t="s">
        <v>63</v>
      </c>
      <c r="L1230" s="112" t="s">
        <v>206</v>
      </c>
      <c r="M1230" s="37" t="s">
        <v>3276</v>
      </c>
      <c r="N1230" s="37" t="s">
        <v>64</v>
      </c>
      <c r="O1230" s="37" t="s">
        <v>3277</v>
      </c>
      <c r="P1230" s="37">
        <v>4418591627</v>
      </c>
      <c r="Q1230" s="303">
        <f t="shared" si="111"/>
        <v>1</v>
      </c>
      <c r="R1230" s="303">
        <f t="shared" si="112"/>
        <v>185</v>
      </c>
      <c r="S1230" s="37">
        <v>0</v>
      </c>
      <c r="T1230" s="37">
        <v>0</v>
      </c>
      <c r="U1230" s="37">
        <v>1</v>
      </c>
      <c r="V1230" s="37">
        <v>185</v>
      </c>
      <c r="W1230" s="37">
        <v>208</v>
      </c>
      <c r="X1230" s="37">
        <v>68</v>
      </c>
      <c r="Y1230" s="37">
        <v>67</v>
      </c>
      <c r="Z1230" s="37">
        <v>74</v>
      </c>
      <c r="AA1230" s="37">
        <v>1</v>
      </c>
      <c r="AB1230" s="300">
        <f t="shared" si="113"/>
        <v>56.190666666666665</v>
      </c>
      <c r="AC1230" s="300">
        <f t="shared" si="114"/>
        <v>0.3384979919678715</v>
      </c>
      <c r="AD1230" s="37">
        <v>770.18</v>
      </c>
      <c r="AE1230" s="37" t="s">
        <v>111</v>
      </c>
      <c r="AF1230" s="115" t="s">
        <v>317</v>
      </c>
      <c r="AG1230" s="115" t="s">
        <v>317</v>
      </c>
      <c r="AH1230" s="37" t="s">
        <v>3278</v>
      </c>
      <c r="AI1230" s="309"/>
      <c r="AJ1230" s="309"/>
      <c r="AK1230" s="37" t="s">
        <v>41</v>
      </c>
      <c r="AL1230" s="115" t="s">
        <v>47</v>
      </c>
      <c r="AM1230" s="299">
        <f t="shared" ca="1" si="110"/>
        <v>0.21180555555474712</v>
      </c>
      <c r="AN1230" s="51"/>
      <c r="AO1230" s="104" t="s">
        <v>77</v>
      </c>
      <c r="AP1230" s="106" t="s">
        <v>3276</v>
      </c>
      <c r="AQ1230" s="104" t="s">
        <v>3319</v>
      </c>
      <c r="AR1230" s="111">
        <v>44903.690972222219</v>
      </c>
      <c r="AS1230" s="104" t="s">
        <v>117</v>
      </c>
      <c r="AT1230" s="109" t="s">
        <v>225</v>
      </c>
      <c r="AU1230" s="110">
        <v>0.69097222222222221</v>
      </c>
      <c r="AV1230" s="104">
        <v>2</v>
      </c>
      <c r="AW1230" s="109" t="s">
        <v>66</v>
      </c>
      <c r="AX1230" s="52"/>
      <c r="AY1230" s="52"/>
      <c r="AZ1230" s="52"/>
      <c r="BA1230" s="52"/>
    </row>
    <row r="1231" spans="1:53" x14ac:dyDescent="0.25">
      <c r="A1231" s="48">
        <v>163</v>
      </c>
      <c r="B1231" s="120">
        <v>44903.479166666664</v>
      </c>
      <c r="C1231" s="114">
        <v>0.4826388888888889</v>
      </c>
      <c r="D1231" s="114">
        <v>0.4861111111111111</v>
      </c>
      <c r="E1231" s="114">
        <v>0.5</v>
      </c>
      <c r="F1231" s="115" t="s">
        <v>170</v>
      </c>
      <c r="G1231" s="115" t="s">
        <v>3272</v>
      </c>
      <c r="H1231" s="26" t="s">
        <v>46</v>
      </c>
      <c r="I1231" s="26" t="s">
        <v>92</v>
      </c>
      <c r="J1231" s="26" t="s">
        <v>41</v>
      </c>
      <c r="K1231" s="113" t="s">
        <v>63</v>
      </c>
      <c r="L1231" s="113" t="s">
        <v>214</v>
      </c>
      <c r="M1231" s="37" t="s">
        <v>3279</v>
      </c>
      <c r="N1231" s="37" t="s">
        <v>42</v>
      </c>
      <c r="O1231" s="37" t="s">
        <v>3280</v>
      </c>
      <c r="P1231" s="37">
        <v>5910</v>
      </c>
      <c r="Q1231" s="303">
        <f t="shared" si="111"/>
        <v>1</v>
      </c>
      <c r="R1231" s="303">
        <f t="shared" si="112"/>
        <v>105</v>
      </c>
      <c r="S1231" s="37">
        <v>0</v>
      </c>
      <c r="T1231" s="37">
        <v>0</v>
      </c>
      <c r="U1231" s="37">
        <v>1</v>
      </c>
      <c r="V1231" s="37">
        <v>105</v>
      </c>
      <c r="W1231" s="37">
        <v>108.5</v>
      </c>
      <c r="X1231" s="37">
        <v>59</v>
      </c>
      <c r="Y1231" s="37">
        <v>59</v>
      </c>
      <c r="Z1231" s="37">
        <v>56</v>
      </c>
      <c r="AA1231" s="37">
        <v>1</v>
      </c>
      <c r="AB1231" s="300">
        <f t="shared" si="113"/>
        <v>32.489333333333335</v>
      </c>
      <c r="AC1231" s="300">
        <f t="shared" si="114"/>
        <v>0.19571887550200803</v>
      </c>
      <c r="AD1231" s="37" t="s">
        <v>48</v>
      </c>
      <c r="AE1231" s="115" t="s">
        <v>48</v>
      </c>
      <c r="AF1231" s="115" t="s">
        <v>317</v>
      </c>
      <c r="AG1231" s="115" t="s">
        <v>317</v>
      </c>
      <c r="AH1231" s="37" t="s">
        <v>3281</v>
      </c>
      <c r="AI1231" s="309"/>
      <c r="AJ1231" s="309"/>
      <c r="AK1231" s="115" t="s">
        <v>41</v>
      </c>
      <c r="AL1231" s="115" t="s">
        <v>47</v>
      </c>
      <c r="AM1231" s="299">
        <f t="shared" ca="1" si="110"/>
        <v>1.0381944444452529</v>
      </c>
      <c r="AN1231" s="51"/>
      <c r="AO1231" s="104" t="s">
        <v>83</v>
      </c>
      <c r="AP1231" s="106" t="s">
        <v>3279</v>
      </c>
      <c r="AQ1231" s="104" t="s">
        <v>3367</v>
      </c>
      <c r="AR1231" s="111">
        <v>44904.517361111109</v>
      </c>
      <c r="AS1231" s="109" t="s">
        <v>136</v>
      </c>
      <c r="AT1231" s="109" t="s">
        <v>225</v>
      </c>
      <c r="AU1231" s="110">
        <v>0.51736111111111105</v>
      </c>
      <c r="AV1231" s="104">
        <v>1</v>
      </c>
      <c r="AW1231" s="109" t="s">
        <v>66</v>
      </c>
      <c r="AX1231" s="52"/>
      <c r="AY1231" s="52"/>
      <c r="AZ1231" s="52"/>
      <c r="BA1231" s="52"/>
    </row>
    <row r="1232" spans="1:53" x14ac:dyDescent="0.25">
      <c r="A1232" s="121">
        <v>164</v>
      </c>
      <c r="B1232" s="120">
        <v>44903.534722222219</v>
      </c>
      <c r="C1232" s="114">
        <v>0.53472222222222221</v>
      </c>
      <c r="D1232" s="114">
        <v>0.53819444444444442</v>
      </c>
      <c r="E1232" s="114">
        <v>0.54166666666666663</v>
      </c>
      <c r="F1232" s="115" t="s">
        <v>169</v>
      </c>
      <c r="G1232" s="115" t="s">
        <v>3282</v>
      </c>
      <c r="H1232" s="119" t="s">
        <v>553</v>
      </c>
      <c r="I1232" s="119" t="s">
        <v>174</v>
      </c>
      <c r="J1232" s="119" t="s">
        <v>37</v>
      </c>
      <c r="K1232" s="119" t="s">
        <v>63</v>
      </c>
      <c r="L1232" s="113" t="s">
        <v>206</v>
      </c>
      <c r="M1232" s="115" t="s">
        <v>3283</v>
      </c>
      <c r="N1232" s="115" t="s">
        <v>415</v>
      </c>
      <c r="O1232" s="115">
        <v>25181</v>
      </c>
      <c r="P1232" s="115">
        <v>4502500347</v>
      </c>
      <c r="Q1232" s="303">
        <f t="shared" si="111"/>
        <v>1</v>
      </c>
      <c r="R1232" s="303">
        <f t="shared" si="112"/>
        <v>9</v>
      </c>
      <c r="S1232" s="115">
        <v>1</v>
      </c>
      <c r="T1232" s="115">
        <v>9</v>
      </c>
      <c r="U1232" s="115">
        <v>0</v>
      </c>
      <c r="V1232" s="115">
        <v>0</v>
      </c>
      <c r="W1232" s="115">
        <v>9</v>
      </c>
      <c r="X1232" s="115">
        <v>40</v>
      </c>
      <c r="Y1232" s="115">
        <v>30</v>
      </c>
      <c r="Z1232" s="115">
        <v>19</v>
      </c>
      <c r="AA1232" s="115">
        <v>1</v>
      </c>
      <c r="AB1232" s="300">
        <f t="shared" si="113"/>
        <v>3.8</v>
      </c>
      <c r="AC1232" s="300">
        <f t="shared" si="114"/>
        <v>2.289156626506024E-2</v>
      </c>
      <c r="AD1232" s="115">
        <v>117</v>
      </c>
      <c r="AE1232" s="115" t="s">
        <v>111</v>
      </c>
      <c r="AF1232" s="115" t="s">
        <v>1566</v>
      </c>
      <c r="AG1232" s="115" t="s">
        <v>1566</v>
      </c>
      <c r="AH1232" s="115">
        <v>0</v>
      </c>
      <c r="AI1232" s="309"/>
      <c r="AJ1232" s="309"/>
      <c r="AK1232" s="115" t="s">
        <v>48</v>
      </c>
      <c r="AL1232" s="115" t="s">
        <v>56</v>
      </c>
      <c r="AM1232" s="299">
        <f t="shared" ca="1" si="110"/>
        <v>0.15625</v>
      </c>
      <c r="AN1232" s="51"/>
      <c r="AO1232" s="104" t="s">
        <v>402</v>
      </c>
      <c r="AP1232" s="106" t="s">
        <v>3316</v>
      </c>
      <c r="AQ1232" s="104" t="s">
        <v>3315</v>
      </c>
      <c r="AR1232" s="111">
        <v>44903.690972222219</v>
      </c>
      <c r="AS1232" s="104" t="s">
        <v>117</v>
      </c>
      <c r="AT1232" s="109" t="s">
        <v>225</v>
      </c>
      <c r="AU1232" s="110">
        <v>0.69097222222222221</v>
      </c>
      <c r="AV1232" s="104">
        <v>2</v>
      </c>
      <c r="AW1232" s="109" t="s">
        <v>66</v>
      </c>
      <c r="AX1232" s="52"/>
      <c r="AY1232" s="52"/>
      <c r="AZ1232" s="52"/>
      <c r="BA1232" s="52"/>
    </row>
    <row r="1233" spans="1:53" x14ac:dyDescent="0.25">
      <c r="A1233" s="121">
        <v>165</v>
      </c>
      <c r="B1233" s="120">
        <v>44903.534722222219</v>
      </c>
      <c r="C1233" s="114">
        <v>0.53472222222222221</v>
      </c>
      <c r="D1233" s="114">
        <v>0.53819444444444442</v>
      </c>
      <c r="E1233" s="114">
        <v>0.54166666666666663</v>
      </c>
      <c r="F1233" s="115" t="s">
        <v>169</v>
      </c>
      <c r="G1233" s="115" t="s">
        <v>3282</v>
      </c>
      <c r="H1233" s="113" t="s">
        <v>553</v>
      </c>
      <c r="I1233" s="113" t="s">
        <v>174</v>
      </c>
      <c r="J1233" s="113" t="s">
        <v>37</v>
      </c>
      <c r="K1233" s="113" t="s">
        <v>63</v>
      </c>
      <c r="L1233" s="113" t="s">
        <v>206</v>
      </c>
      <c r="M1233" s="115" t="s">
        <v>3283</v>
      </c>
      <c r="N1233" s="115" t="s">
        <v>415</v>
      </c>
      <c r="O1233" s="115">
        <v>25180</v>
      </c>
      <c r="P1233" s="115">
        <v>4502500348</v>
      </c>
      <c r="Q1233" s="303">
        <f t="shared" si="111"/>
        <v>1</v>
      </c>
      <c r="R1233" s="303">
        <f t="shared" si="112"/>
        <v>11</v>
      </c>
      <c r="S1233" s="115">
        <v>1</v>
      </c>
      <c r="T1233" s="115">
        <v>11</v>
      </c>
      <c r="U1233" s="115">
        <v>0</v>
      </c>
      <c r="V1233" s="115">
        <v>0</v>
      </c>
      <c r="W1233" s="115">
        <v>10.5</v>
      </c>
      <c r="X1233" s="115">
        <v>40</v>
      </c>
      <c r="Y1233" s="115">
        <v>30</v>
      </c>
      <c r="Z1233" s="115">
        <v>19</v>
      </c>
      <c r="AA1233" s="115">
        <v>1</v>
      </c>
      <c r="AB1233" s="300">
        <f t="shared" si="113"/>
        <v>3.8</v>
      </c>
      <c r="AC1233" s="300">
        <f t="shared" si="114"/>
        <v>2.289156626506024E-2</v>
      </c>
      <c r="AD1233" s="115">
        <v>147.5</v>
      </c>
      <c r="AE1233" s="115" t="s">
        <v>111</v>
      </c>
      <c r="AF1233" s="115" t="s">
        <v>1566</v>
      </c>
      <c r="AG1233" s="115" t="s">
        <v>1566</v>
      </c>
      <c r="AH1233" s="115">
        <v>0</v>
      </c>
      <c r="AI1233" s="309"/>
      <c r="AJ1233" s="309"/>
      <c r="AK1233" s="115" t="s">
        <v>48</v>
      </c>
      <c r="AL1233" s="115" t="s">
        <v>56</v>
      </c>
      <c r="AM1233" s="299">
        <f t="shared" ca="1" si="110"/>
        <v>0.15625</v>
      </c>
      <c r="AN1233" s="51"/>
      <c r="AO1233" s="104" t="s">
        <v>402</v>
      </c>
      <c r="AP1233" s="106" t="s">
        <v>3316</v>
      </c>
      <c r="AQ1233" s="104" t="s">
        <v>3315</v>
      </c>
      <c r="AR1233" s="111">
        <v>44903.690972222219</v>
      </c>
      <c r="AS1233" s="104" t="s">
        <v>117</v>
      </c>
      <c r="AT1233" s="109" t="s">
        <v>225</v>
      </c>
      <c r="AU1233" s="110">
        <v>0.69097222222222221</v>
      </c>
      <c r="AV1233" s="104">
        <v>2</v>
      </c>
      <c r="AW1233" s="109" t="s">
        <v>66</v>
      </c>
      <c r="AX1233" s="52"/>
      <c r="AY1233" s="52"/>
      <c r="AZ1233" s="52"/>
      <c r="BA1233" s="52"/>
    </row>
    <row r="1234" spans="1:53" x14ac:dyDescent="0.25">
      <c r="A1234" s="121">
        <v>166</v>
      </c>
      <c r="B1234" s="120">
        <v>44903.53125</v>
      </c>
      <c r="C1234" s="114">
        <v>0.53472222222222221</v>
      </c>
      <c r="D1234" s="114">
        <v>0.54861111111111105</v>
      </c>
      <c r="E1234" s="114">
        <v>0.55555555555555558</v>
      </c>
      <c r="F1234" s="115" t="s">
        <v>170</v>
      </c>
      <c r="G1234" s="115" t="s">
        <v>373</v>
      </c>
      <c r="H1234" s="113" t="s">
        <v>227</v>
      </c>
      <c r="I1234" s="113" t="s">
        <v>189</v>
      </c>
      <c r="J1234" s="113" t="s">
        <v>37</v>
      </c>
      <c r="K1234" s="113" t="s">
        <v>63</v>
      </c>
      <c r="L1234" s="118" t="s">
        <v>206</v>
      </c>
      <c r="M1234" s="115" t="s">
        <v>3284</v>
      </c>
      <c r="N1234" s="115" t="s">
        <v>42</v>
      </c>
      <c r="O1234" s="115" t="s">
        <v>3285</v>
      </c>
      <c r="P1234" s="115">
        <v>3729</v>
      </c>
      <c r="Q1234" s="303">
        <f t="shared" si="111"/>
        <v>7</v>
      </c>
      <c r="R1234" s="303">
        <f t="shared" si="112"/>
        <v>1328</v>
      </c>
      <c r="S1234" s="115">
        <v>0</v>
      </c>
      <c r="T1234" s="115">
        <v>0</v>
      </c>
      <c r="U1234" s="115">
        <v>7</v>
      </c>
      <c r="V1234" s="115">
        <v>1328</v>
      </c>
      <c r="W1234" s="115">
        <v>1417</v>
      </c>
      <c r="X1234" s="115">
        <v>160</v>
      </c>
      <c r="Y1234" s="115">
        <v>74</v>
      </c>
      <c r="Z1234" s="115">
        <v>79</v>
      </c>
      <c r="AA1234" s="115">
        <v>1</v>
      </c>
      <c r="AB1234" s="300">
        <f t="shared" si="113"/>
        <v>155.89333333333335</v>
      </c>
      <c r="AC1234" s="300">
        <f t="shared" si="114"/>
        <v>0.93911646586345388</v>
      </c>
      <c r="AD1234" s="115" t="s">
        <v>48</v>
      </c>
      <c r="AE1234" s="115" t="s">
        <v>48</v>
      </c>
      <c r="AF1234" s="115" t="s">
        <v>1566</v>
      </c>
      <c r="AG1234" s="115" t="s">
        <v>1566</v>
      </c>
      <c r="AH1234" s="115" t="s">
        <v>3286</v>
      </c>
      <c r="AI1234" s="309"/>
      <c r="AJ1234" s="309"/>
      <c r="AK1234" s="115" t="s">
        <v>37</v>
      </c>
      <c r="AL1234" s="115" t="s">
        <v>50</v>
      </c>
      <c r="AM1234" s="299">
        <f t="shared" ca="1" si="110"/>
        <v>0.16319444444525288</v>
      </c>
      <c r="AN1234" s="51"/>
      <c r="AO1234" s="104" t="s">
        <v>89</v>
      </c>
      <c r="AP1234" s="106" t="s">
        <v>3284</v>
      </c>
      <c r="AQ1234" s="104" t="s">
        <v>3320</v>
      </c>
      <c r="AR1234" s="111">
        <v>44903.694444444445</v>
      </c>
      <c r="AS1234" s="104" t="s">
        <v>173</v>
      </c>
      <c r="AT1234" s="109" t="s">
        <v>225</v>
      </c>
      <c r="AU1234" s="110">
        <v>0.69444444444444453</v>
      </c>
      <c r="AV1234" s="104">
        <v>2</v>
      </c>
      <c r="AW1234" s="109" t="s">
        <v>66</v>
      </c>
      <c r="AX1234" s="52"/>
      <c r="AY1234" s="52"/>
      <c r="AZ1234" s="52"/>
      <c r="BA1234" s="52"/>
    </row>
    <row r="1235" spans="1:53" x14ac:dyDescent="0.25">
      <c r="A1235" s="121">
        <v>166</v>
      </c>
      <c r="B1235" s="120">
        <v>44903.53125</v>
      </c>
      <c r="C1235" s="114">
        <v>0.53472222222222221</v>
      </c>
      <c r="D1235" s="114">
        <v>0.54861111111111105</v>
      </c>
      <c r="E1235" s="114">
        <v>0.55555555555555558</v>
      </c>
      <c r="F1235" s="115" t="s">
        <v>170</v>
      </c>
      <c r="G1235" s="115" t="s">
        <v>373</v>
      </c>
      <c r="H1235" s="113" t="s">
        <v>227</v>
      </c>
      <c r="I1235" s="113" t="s">
        <v>189</v>
      </c>
      <c r="J1235" s="113" t="s">
        <v>37</v>
      </c>
      <c r="K1235" s="113" t="s">
        <v>63</v>
      </c>
      <c r="L1235" s="118" t="s">
        <v>206</v>
      </c>
      <c r="M1235" s="115" t="s">
        <v>3284</v>
      </c>
      <c r="N1235" s="115" t="s">
        <v>42</v>
      </c>
      <c r="O1235" s="115" t="s">
        <v>3285</v>
      </c>
      <c r="P1235" s="115">
        <v>3729</v>
      </c>
      <c r="Q1235" s="303">
        <f t="shared" si="111"/>
        <v>0</v>
      </c>
      <c r="R1235" s="303">
        <f t="shared" si="112"/>
        <v>0</v>
      </c>
      <c r="S1235" s="115">
        <v>0</v>
      </c>
      <c r="T1235" s="115">
        <v>0</v>
      </c>
      <c r="U1235" s="115">
        <v>0</v>
      </c>
      <c r="V1235" s="115">
        <v>0</v>
      </c>
      <c r="W1235" s="115">
        <v>0</v>
      </c>
      <c r="X1235" s="115">
        <v>160</v>
      </c>
      <c r="Y1235" s="115">
        <v>138</v>
      </c>
      <c r="Z1235" s="115">
        <v>79</v>
      </c>
      <c r="AA1235" s="115">
        <v>6</v>
      </c>
      <c r="AB1235" s="300">
        <f t="shared" si="113"/>
        <v>1744.32</v>
      </c>
      <c r="AC1235" s="300">
        <f t="shared" si="114"/>
        <v>10.507951807228915</v>
      </c>
      <c r="AD1235" s="115">
        <v>0</v>
      </c>
      <c r="AE1235" s="115">
        <v>0</v>
      </c>
      <c r="AF1235" s="115" t="s">
        <v>1566</v>
      </c>
      <c r="AG1235" s="115" t="s">
        <v>1566</v>
      </c>
      <c r="AH1235" s="115" t="s">
        <v>3286</v>
      </c>
      <c r="AI1235" s="309"/>
      <c r="AJ1235" s="309"/>
      <c r="AK1235" s="115" t="s">
        <v>37</v>
      </c>
      <c r="AL1235" s="115" t="s">
        <v>50</v>
      </c>
      <c r="AM1235" s="299">
        <f t="shared" ca="1" si="110"/>
        <v>0.16319444444525288</v>
      </c>
      <c r="AN1235" s="51"/>
      <c r="AO1235" s="104" t="s">
        <v>89</v>
      </c>
      <c r="AP1235" s="106" t="s">
        <v>3284</v>
      </c>
      <c r="AQ1235" s="104" t="s">
        <v>3320</v>
      </c>
      <c r="AR1235" s="111">
        <v>44903.694444444445</v>
      </c>
      <c r="AS1235" s="104" t="s">
        <v>173</v>
      </c>
      <c r="AT1235" s="109" t="s">
        <v>225</v>
      </c>
      <c r="AU1235" s="110">
        <v>0.69444444444444453</v>
      </c>
      <c r="AV1235" s="104">
        <v>2</v>
      </c>
      <c r="AW1235" s="109" t="s">
        <v>66</v>
      </c>
      <c r="AX1235" s="52"/>
      <c r="AY1235" s="52"/>
      <c r="AZ1235" s="52"/>
      <c r="BA1235" s="52"/>
    </row>
    <row r="1236" spans="1:53" x14ac:dyDescent="0.25">
      <c r="A1236" s="121">
        <v>167</v>
      </c>
      <c r="B1236" s="120">
        <v>44903.53125</v>
      </c>
      <c r="C1236" s="114">
        <v>0.53472222222222221</v>
      </c>
      <c r="D1236" s="114">
        <v>0.54861111111111105</v>
      </c>
      <c r="E1236" s="114">
        <v>0.55555555555555558</v>
      </c>
      <c r="F1236" s="115" t="s">
        <v>170</v>
      </c>
      <c r="G1236" s="115" t="s">
        <v>373</v>
      </c>
      <c r="H1236" s="113" t="s">
        <v>227</v>
      </c>
      <c r="I1236" s="113" t="s">
        <v>189</v>
      </c>
      <c r="J1236" s="113" t="s">
        <v>37</v>
      </c>
      <c r="K1236" s="113" t="s">
        <v>63</v>
      </c>
      <c r="L1236" s="118" t="s">
        <v>206</v>
      </c>
      <c r="M1236" s="115" t="s">
        <v>3287</v>
      </c>
      <c r="N1236" s="115" t="s">
        <v>43</v>
      </c>
      <c r="O1236" s="115">
        <v>1058</v>
      </c>
      <c r="P1236" s="115">
        <v>29017</v>
      </c>
      <c r="Q1236" s="303">
        <f t="shared" si="111"/>
        <v>5</v>
      </c>
      <c r="R1236" s="303">
        <f t="shared" si="112"/>
        <v>60</v>
      </c>
      <c r="S1236" s="115">
        <v>5</v>
      </c>
      <c r="T1236" s="115">
        <v>60</v>
      </c>
      <c r="U1236" s="115">
        <v>0</v>
      </c>
      <c r="V1236" s="115">
        <v>0</v>
      </c>
      <c r="W1236" s="115">
        <v>55.55</v>
      </c>
      <c r="X1236" s="115">
        <v>90</v>
      </c>
      <c r="Y1236" s="115">
        <v>37</v>
      </c>
      <c r="Z1236" s="115">
        <v>52</v>
      </c>
      <c r="AA1236" s="115">
        <v>5</v>
      </c>
      <c r="AB1236" s="300">
        <f t="shared" si="113"/>
        <v>144.30000000000001</v>
      </c>
      <c r="AC1236" s="300">
        <f t="shared" si="114"/>
        <v>0.86927710843373496</v>
      </c>
      <c r="AD1236" s="115">
        <v>5451.6</v>
      </c>
      <c r="AE1236" s="115" t="s">
        <v>109</v>
      </c>
      <c r="AF1236" s="115" t="s">
        <v>1566</v>
      </c>
      <c r="AG1236" s="115" t="s">
        <v>1566</v>
      </c>
      <c r="AH1236" s="115" t="s">
        <v>3288</v>
      </c>
      <c r="AI1236" s="309"/>
      <c r="AJ1236" s="309"/>
      <c r="AK1236" s="115" t="s">
        <v>48</v>
      </c>
      <c r="AL1236" s="115" t="s">
        <v>50</v>
      </c>
      <c r="AM1236" s="299">
        <f t="shared" ca="1" si="110"/>
        <v>1.1701388888905058</v>
      </c>
      <c r="AN1236" s="51"/>
      <c r="AO1236" s="104" t="s">
        <v>179</v>
      </c>
      <c r="AP1236" s="106" t="s">
        <v>3287</v>
      </c>
      <c r="AQ1236" s="104" t="s">
        <v>3378</v>
      </c>
      <c r="AR1236" s="111">
        <v>44904.701388888891</v>
      </c>
      <c r="AS1236" s="104" t="s">
        <v>117</v>
      </c>
      <c r="AT1236" s="109" t="s">
        <v>225</v>
      </c>
      <c r="AU1236" s="110">
        <v>0.70138888888888884</v>
      </c>
      <c r="AV1236" s="104">
        <v>2</v>
      </c>
      <c r="AW1236" s="109" t="s">
        <v>66</v>
      </c>
      <c r="AX1236" s="52"/>
      <c r="AY1236" s="52"/>
      <c r="AZ1236" s="52"/>
      <c r="BA1236" s="52"/>
    </row>
    <row r="1237" spans="1:53" x14ac:dyDescent="0.25">
      <c r="A1237" s="121">
        <v>168</v>
      </c>
      <c r="B1237" s="120">
        <v>44903.53125</v>
      </c>
      <c r="C1237" s="114">
        <v>0.53472222222222221</v>
      </c>
      <c r="D1237" s="114">
        <v>0.54861111111111105</v>
      </c>
      <c r="E1237" s="114">
        <v>0.55555555555555558</v>
      </c>
      <c r="F1237" s="115" t="s">
        <v>170</v>
      </c>
      <c r="G1237" s="115" t="s">
        <v>373</v>
      </c>
      <c r="H1237" s="113" t="s">
        <v>227</v>
      </c>
      <c r="I1237" s="113" t="s">
        <v>189</v>
      </c>
      <c r="J1237" s="113" t="s">
        <v>37</v>
      </c>
      <c r="K1237" s="113" t="s">
        <v>63</v>
      </c>
      <c r="L1237" s="118" t="s">
        <v>206</v>
      </c>
      <c r="M1237" s="115" t="s">
        <v>3284</v>
      </c>
      <c r="N1237" s="115" t="s">
        <v>42</v>
      </c>
      <c r="O1237" s="115">
        <v>1055</v>
      </c>
      <c r="P1237" s="115">
        <v>3719</v>
      </c>
      <c r="Q1237" s="303">
        <f t="shared" si="111"/>
        <v>5</v>
      </c>
      <c r="R1237" s="303">
        <f t="shared" si="112"/>
        <v>60</v>
      </c>
      <c r="S1237" s="115">
        <v>5</v>
      </c>
      <c r="T1237" s="115">
        <v>60</v>
      </c>
      <c r="U1237" s="115">
        <v>0</v>
      </c>
      <c r="V1237" s="115">
        <v>0</v>
      </c>
      <c r="W1237" s="115">
        <v>55.55</v>
      </c>
      <c r="X1237" s="115">
        <v>90</v>
      </c>
      <c r="Y1237" s="115">
        <v>37</v>
      </c>
      <c r="Z1237" s="115">
        <v>52</v>
      </c>
      <c r="AA1237" s="115">
        <v>5</v>
      </c>
      <c r="AB1237" s="300">
        <f t="shared" si="113"/>
        <v>144.30000000000001</v>
      </c>
      <c r="AC1237" s="300">
        <f t="shared" si="114"/>
        <v>0.86927710843373496</v>
      </c>
      <c r="AD1237" s="115">
        <v>4295.2</v>
      </c>
      <c r="AE1237" s="115" t="s">
        <v>109</v>
      </c>
      <c r="AF1237" s="115" t="s">
        <v>1566</v>
      </c>
      <c r="AG1237" s="115" t="s">
        <v>1566</v>
      </c>
      <c r="AH1237" s="115" t="s">
        <v>3289</v>
      </c>
      <c r="AI1237" s="309"/>
      <c r="AJ1237" s="309"/>
      <c r="AK1237" s="115" t="s">
        <v>48</v>
      </c>
      <c r="AL1237" s="115" t="s">
        <v>50</v>
      </c>
      <c r="AM1237" s="299">
        <f t="shared" ca="1" si="110"/>
        <v>0.16319444444525288</v>
      </c>
      <c r="AN1237" s="122"/>
      <c r="AO1237" s="104" t="s">
        <v>89</v>
      </c>
      <c r="AP1237" s="106" t="s">
        <v>3284</v>
      </c>
      <c r="AQ1237" s="104" t="s">
        <v>3320</v>
      </c>
      <c r="AR1237" s="111">
        <v>44903.694444444445</v>
      </c>
      <c r="AS1237" s="104" t="s">
        <v>173</v>
      </c>
      <c r="AT1237" s="109" t="s">
        <v>225</v>
      </c>
      <c r="AU1237" s="110">
        <v>0.69444444444444453</v>
      </c>
      <c r="AV1237" s="104">
        <v>2</v>
      </c>
      <c r="AW1237" s="109" t="s">
        <v>66</v>
      </c>
      <c r="AX1237" s="52"/>
      <c r="AY1237" s="52"/>
      <c r="AZ1237" s="52"/>
      <c r="BA1237" s="52"/>
    </row>
    <row r="1238" spans="1:53" x14ac:dyDescent="0.25">
      <c r="A1238" s="121">
        <v>169</v>
      </c>
      <c r="B1238" s="120">
        <v>44903.548611111109</v>
      </c>
      <c r="C1238" s="114">
        <v>0.60416666666666663</v>
      </c>
      <c r="D1238" s="114">
        <v>0.61111111111111105</v>
      </c>
      <c r="E1238" s="114">
        <v>0.63541666666666663</v>
      </c>
      <c r="F1238" s="115" t="s">
        <v>171</v>
      </c>
      <c r="G1238" s="115" t="s">
        <v>3290</v>
      </c>
      <c r="H1238" s="115" t="s">
        <v>1357</v>
      </c>
      <c r="I1238" s="115" t="s">
        <v>1357</v>
      </c>
      <c r="J1238" s="115" t="s">
        <v>37</v>
      </c>
      <c r="K1238" s="115" t="s">
        <v>180</v>
      </c>
      <c r="L1238" s="117" t="s">
        <v>206</v>
      </c>
      <c r="M1238" s="115" t="s">
        <v>3291</v>
      </c>
      <c r="N1238" s="115" t="s">
        <v>44</v>
      </c>
      <c r="O1238" s="115">
        <v>6200021224</v>
      </c>
      <c r="P1238" s="115">
        <v>22845198</v>
      </c>
      <c r="Q1238" s="303">
        <f t="shared" si="111"/>
        <v>1</v>
      </c>
      <c r="R1238" s="303">
        <f t="shared" si="112"/>
        <v>38</v>
      </c>
      <c r="S1238" s="115">
        <v>1</v>
      </c>
      <c r="T1238" s="115">
        <v>38</v>
      </c>
      <c r="U1238" s="115">
        <v>0</v>
      </c>
      <c r="V1238" s="115">
        <v>0</v>
      </c>
      <c r="W1238" s="115">
        <v>42</v>
      </c>
      <c r="X1238" s="115">
        <v>50</v>
      </c>
      <c r="Y1238" s="115">
        <v>45</v>
      </c>
      <c r="Z1238" s="115">
        <v>33</v>
      </c>
      <c r="AA1238" s="115">
        <v>1</v>
      </c>
      <c r="AB1238" s="300">
        <f t="shared" si="113"/>
        <v>12.375</v>
      </c>
      <c r="AC1238" s="300">
        <f t="shared" si="114"/>
        <v>7.4548192771084335E-2</v>
      </c>
      <c r="AD1238" s="115">
        <v>5365</v>
      </c>
      <c r="AE1238" s="115" t="s">
        <v>109</v>
      </c>
      <c r="AF1238" s="115" t="s">
        <v>1566</v>
      </c>
      <c r="AG1238" s="115" t="s">
        <v>1566</v>
      </c>
      <c r="AH1238" s="115" t="s">
        <v>3292</v>
      </c>
      <c r="AI1238" s="309"/>
      <c r="AJ1238" s="309"/>
      <c r="AK1238" s="115" t="s">
        <v>48</v>
      </c>
      <c r="AL1238" s="151" t="s">
        <v>39</v>
      </c>
      <c r="AM1238" s="299">
        <f t="shared" ca="1" si="110"/>
        <v>14.201388888890506</v>
      </c>
      <c r="AN1238" s="122"/>
      <c r="AO1238" s="191" t="s">
        <v>53</v>
      </c>
      <c r="AP1238" s="190" t="s">
        <v>3291</v>
      </c>
      <c r="AQ1238" s="189" t="s">
        <v>4177</v>
      </c>
      <c r="AR1238" s="192">
        <v>44917.75</v>
      </c>
      <c r="AS1238" s="186" t="s">
        <v>173</v>
      </c>
      <c r="AT1238" s="189" t="s">
        <v>225</v>
      </c>
      <c r="AU1238" s="191">
        <v>0.75</v>
      </c>
      <c r="AV1238" s="189">
        <v>2</v>
      </c>
      <c r="AW1238" s="189" t="s">
        <v>66</v>
      </c>
      <c r="AX1238" s="52"/>
      <c r="AY1238" s="52"/>
      <c r="AZ1238" s="52"/>
      <c r="BA1238" s="52"/>
    </row>
    <row r="1239" spans="1:53" x14ac:dyDescent="0.25">
      <c r="A1239" s="48">
        <v>170</v>
      </c>
      <c r="B1239" s="120">
        <v>44903.548611111109</v>
      </c>
      <c r="C1239" s="114">
        <v>0.60416666666666663</v>
      </c>
      <c r="D1239" s="114">
        <v>0.61111111111111105</v>
      </c>
      <c r="E1239" s="114">
        <v>0.63541666666666663</v>
      </c>
      <c r="F1239" s="115" t="s">
        <v>171</v>
      </c>
      <c r="G1239" s="115" t="s">
        <v>3290</v>
      </c>
      <c r="H1239" s="115" t="s">
        <v>1357</v>
      </c>
      <c r="I1239" s="115" t="s">
        <v>1357</v>
      </c>
      <c r="J1239" s="115" t="s">
        <v>37</v>
      </c>
      <c r="K1239" s="115" t="s">
        <v>180</v>
      </c>
      <c r="L1239" s="117" t="s">
        <v>206</v>
      </c>
      <c r="M1239" s="115" t="s">
        <v>3293</v>
      </c>
      <c r="N1239" s="115" t="s">
        <v>44</v>
      </c>
      <c r="O1239" s="115">
        <v>6200021225</v>
      </c>
      <c r="P1239" s="40" t="s">
        <v>3298</v>
      </c>
      <c r="Q1239" s="303">
        <f t="shared" si="111"/>
        <v>1</v>
      </c>
      <c r="R1239" s="303">
        <f t="shared" si="112"/>
        <v>13</v>
      </c>
      <c r="S1239" s="115">
        <v>1</v>
      </c>
      <c r="T1239" s="115">
        <v>13</v>
      </c>
      <c r="U1239" s="115">
        <v>0</v>
      </c>
      <c r="V1239" s="115">
        <v>0</v>
      </c>
      <c r="W1239" s="115">
        <v>10</v>
      </c>
      <c r="X1239" s="115">
        <v>40</v>
      </c>
      <c r="Y1239" s="115">
        <v>40</v>
      </c>
      <c r="Z1239" s="115">
        <v>31</v>
      </c>
      <c r="AA1239" s="115">
        <v>1</v>
      </c>
      <c r="AB1239" s="300">
        <f t="shared" si="113"/>
        <v>8.2666666666666675</v>
      </c>
      <c r="AC1239" s="300">
        <f t="shared" si="114"/>
        <v>4.97991967871486E-2</v>
      </c>
      <c r="AD1239" s="115">
        <v>750</v>
      </c>
      <c r="AE1239" s="115" t="s">
        <v>109</v>
      </c>
      <c r="AF1239" s="115">
        <v>6007530</v>
      </c>
      <c r="AG1239" s="115" t="s">
        <v>3294</v>
      </c>
      <c r="AH1239" s="115" t="s">
        <v>3295</v>
      </c>
      <c r="AI1239" s="309"/>
      <c r="AJ1239" s="309"/>
      <c r="AK1239" s="115" t="s">
        <v>48</v>
      </c>
      <c r="AL1239" s="151" t="s">
        <v>39</v>
      </c>
      <c r="AM1239" s="299">
        <f t="shared" ca="1" si="110"/>
        <v>16.020833333335759</v>
      </c>
      <c r="AN1239" s="122"/>
      <c r="AO1239" s="210" t="s">
        <v>53</v>
      </c>
      <c r="AP1239" s="211" t="s">
        <v>3293</v>
      </c>
      <c r="AQ1239" s="210" t="s">
        <v>4308</v>
      </c>
      <c r="AR1239" s="213">
        <v>44919.569444444445</v>
      </c>
      <c r="AS1239" s="208" t="s">
        <v>293</v>
      </c>
      <c r="AT1239" s="210" t="s">
        <v>65</v>
      </c>
      <c r="AU1239" s="212">
        <v>0.56944444444444442</v>
      </c>
      <c r="AV1239" s="210">
        <v>1</v>
      </c>
      <c r="AW1239" s="210" t="s">
        <v>66</v>
      </c>
      <c r="AX1239" s="52"/>
      <c r="AY1239" s="52"/>
      <c r="AZ1239" s="52"/>
      <c r="BA1239" s="52"/>
    </row>
    <row r="1240" spans="1:53" x14ac:dyDescent="0.25">
      <c r="A1240" s="48">
        <v>171</v>
      </c>
      <c r="B1240" s="120">
        <v>44903.548611111109</v>
      </c>
      <c r="C1240" s="114">
        <v>0.60416666666666663</v>
      </c>
      <c r="D1240" s="114">
        <v>0.61111111111111105</v>
      </c>
      <c r="E1240" s="114">
        <v>0.63541666666666663</v>
      </c>
      <c r="F1240" s="115" t="s">
        <v>171</v>
      </c>
      <c r="G1240" s="115" t="s">
        <v>3290</v>
      </c>
      <c r="H1240" s="115" t="s">
        <v>1357</v>
      </c>
      <c r="I1240" s="115" t="s">
        <v>1357</v>
      </c>
      <c r="J1240" s="115" t="s">
        <v>37</v>
      </c>
      <c r="K1240" s="115" t="s">
        <v>180</v>
      </c>
      <c r="L1240" s="117" t="s">
        <v>206</v>
      </c>
      <c r="M1240" s="115" t="s">
        <v>3296</v>
      </c>
      <c r="N1240" s="115" t="s">
        <v>1358</v>
      </c>
      <c r="O1240" s="115">
        <v>6200021226</v>
      </c>
      <c r="P1240" s="40" t="s">
        <v>3299</v>
      </c>
      <c r="Q1240" s="303">
        <f t="shared" si="111"/>
        <v>1</v>
      </c>
      <c r="R1240" s="303">
        <f t="shared" si="112"/>
        <v>12</v>
      </c>
      <c r="S1240" s="115">
        <v>1</v>
      </c>
      <c r="T1240" s="115">
        <v>12</v>
      </c>
      <c r="U1240" s="115">
        <v>0</v>
      </c>
      <c r="V1240" s="115">
        <v>0</v>
      </c>
      <c r="W1240" s="115">
        <v>10</v>
      </c>
      <c r="X1240" s="115">
        <v>40</v>
      </c>
      <c r="Y1240" s="115">
        <v>40</v>
      </c>
      <c r="Z1240" s="115">
        <v>31</v>
      </c>
      <c r="AA1240" s="115">
        <v>1</v>
      </c>
      <c r="AB1240" s="300">
        <f t="shared" si="113"/>
        <v>8.2666666666666675</v>
      </c>
      <c r="AC1240" s="300">
        <f t="shared" si="114"/>
        <v>4.97991967871486E-2</v>
      </c>
      <c r="AD1240" s="115">
        <v>810</v>
      </c>
      <c r="AE1240" s="115" t="s">
        <v>109</v>
      </c>
      <c r="AF1240" s="115">
        <v>6007566</v>
      </c>
      <c r="AG1240" s="115" t="s">
        <v>3294</v>
      </c>
      <c r="AH1240" s="115" t="s">
        <v>3297</v>
      </c>
      <c r="AI1240" s="309"/>
      <c r="AJ1240" s="309"/>
      <c r="AK1240" s="115" t="s">
        <v>48</v>
      </c>
      <c r="AL1240" s="115" t="s">
        <v>49</v>
      </c>
      <c r="AM1240" s="299">
        <f t="shared" ca="1" si="110"/>
        <v>4.125</v>
      </c>
      <c r="AN1240" s="122"/>
      <c r="AO1240" s="104" t="s">
        <v>1508</v>
      </c>
      <c r="AP1240" s="106" t="s">
        <v>3296</v>
      </c>
      <c r="AQ1240" s="104" t="s">
        <v>3421</v>
      </c>
      <c r="AR1240" s="111">
        <v>44907.673611111109</v>
      </c>
      <c r="AS1240" s="104" t="s">
        <v>498</v>
      </c>
      <c r="AT1240" s="109" t="s">
        <v>225</v>
      </c>
      <c r="AU1240" s="110">
        <v>0.67361111111111116</v>
      </c>
      <c r="AV1240" s="104">
        <v>1</v>
      </c>
      <c r="AW1240" s="109" t="s">
        <v>66</v>
      </c>
      <c r="AX1240" s="52"/>
      <c r="AY1240" s="52"/>
      <c r="AZ1240" s="52"/>
      <c r="BA1240" s="52"/>
    </row>
    <row r="1241" spans="1:53" x14ac:dyDescent="0.25">
      <c r="A1241" s="48">
        <v>172</v>
      </c>
      <c r="B1241" s="120">
        <v>44903.725694444445</v>
      </c>
      <c r="C1241" s="114">
        <v>0.72916666666666663</v>
      </c>
      <c r="D1241" s="114">
        <v>0.73263888888888884</v>
      </c>
      <c r="E1241" s="114">
        <v>0.73611111111111116</v>
      </c>
      <c r="F1241" s="115" t="s">
        <v>169</v>
      </c>
      <c r="G1241" s="115" t="s">
        <v>3300</v>
      </c>
      <c r="H1241" s="115" t="s">
        <v>3301</v>
      </c>
      <c r="I1241" s="115" t="s">
        <v>3302</v>
      </c>
      <c r="J1241" s="115" t="s">
        <v>41</v>
      </c>
      <c r="K1241" s="115" t="s">
        <v>233</v>
      </c>
      <c r="L1241" s="115">
        <v>0</v>
      </c>
      <c r="M1241" s="115" t="s">
        <v>3303</v>
      </c>
      <c r="N1241" s="115" t="s">
        <v>453</v>
      </c>
      <c r="O1241" s="115" t="s">
        <v>3304</v>
      </c>
      <c r="P1241" s="115">
        <v>464450</v>
      </c>
      <c r="Q1241" s="303">
        <f t="shared" si="111"/>
        <v>2</v>
      </c>
      <c r="R1241" s="303">
        <f t="shared" si="112"/>
        <v>38</v>
      </c>
      <c r="S1241" s="115">
        <v>2</v>
      </c>
      <c r="T1241" s="115">
        <v>38</v>
      </c>
      <c r="U1241" s="115">
        <v>0</v>
      </c>
      <c r="V1241" s="115">
        <v>0</v>
      </c>
      <c r="W1241" s="115">
        <v>27</v>
      </c>
      <c r="X1241" s="115">
        <v>96</v>
      </c>
      <c r="Y1241" s="115">
        <v>69</v>
      </c>
      <c r="Z1241" s="115">
        <v>25</v>
      </c>
      <c r="AA1241" s="115">
        <v>2</v>
      </c>
      <c r="AB1241" s="300">
        <f t="shared" si="113"/>
        <v>55.2</v>
      </c>
      <c r="AC1241" s="300">
        <f t="shared" si="114"/>
        <v>0.3325301204819277</v>
      </c>
      <c r="AD1241" s="115">
        <v>3720</v>
      </c>
      <c r="AE1241" s="115" t="s">
        <v>109</v>
      </c>
      <c r="AF1241" s="115">
        <v>6014751</v>
      </c>
      <c r="AG1241" s="115" t="s">
        <v>3294</v>
      </c>
      <c r="AH1241" s="115" t="s">
        <v>3305</v>
      </c>
      <c r="AI1241" s="309"/>
      <c r="AJ1241" s="309"/>
      <c r="AK1241" s="115" t="s">
        <v>48</v>
      </c>
      <c r="AL1241" s="115" t="s">
        <v>50</v>
      </c>
      <c r="AM1241" s="299">
        <f t="shared" ca="1" si="110"/>
        <v>1.0763888888905058</v>
      </c>
      <c r="AN1241" s="122"/>
      <c r="AO1241" s="104" t="s">
        <v>142</v>
      </c>
      <c r="AP1241" s="106" t="s">
        <v>3303</v>
      </c>
      <c r="AQ1241" s="104" t="s">
        <v>3384</v>
      </c>
      <c r="AR1241" s="111">
        <v>44904.802083333336</v>
      </c>
      <c r="AS1241" s="109" t="s">
        <v>1203</v>
      </c>
      <c r="AT1241" s="109" t="s">
        <v>122</v>
      </c>
      <c r="AU1241" s="110">
        <v>0.80208333333333337</v>
      </c>
      <c r="AV1241" s="104">
        <v>1</v>
      </c>
      <c r="AW1241" s="109" t="s">
        <v>66</v>
      </c>
      <c r="AX1241" s="52"/>
      <c r="AY1241" s="52"/>
      <c r="AZ1241" s="52"/>
      <c r="BA1241" s="52"/>
    </row>
    <row r="1242" spans="1:53" ht="15.75" thickBot="1" x14ac:dyDescent="0.3">
      <c r="A1242" s="121">
        <v>173</v>
      </c>
      <c r="B1242" s="120">
        <v>44903.784722222219</v>
      </c>
      <c r="C1242" s="114">
        <v>0.78819444444444453</v>
      </c>
      <c r="D1242" s="114">
        <v>0.79166666666666663</v>
      </c>
      <c r="E1242" s="114">
        <v>0.8125</v>
      </c>
      <c r="F1242" s="115" t="s">
        <v>171</v>
      </c>
      <c r="G1242" s="115" t="s">
        <v>200</v>
      </c>
      <c r="H1242" s="119" t="s">
        <v>119</v>
      </c>
      <c r="I1242" s="119" t="s">
        <v>40</v>
      </c>
      <c r="J1242" s="119" t="s">
        <v>37</v>
      </c>
      <c r="K1242" s="113" t="s">
        <v>180</v>
      </c>
      <c r="L1242" s="118" t="s">
        <v>206</v>
      </c>
      <c r="M1242" s="115" t="s">
        <v>3322</v>
      </c>
      <c r="N1242" s="115" t="s">
        <v>155</v>
      </c>
      <c r="O1242" s="115" t="s">
        <v>3323</v>
      </c>
      <c r="P1242" s="115" t="s">
        <v>3324</v>
      </c>
      <c r="Q1242" s="303">
        <f t="shared" si="111"/>
        <v>1</v>
      </c>
      <c r="R1242" s="303">
        <f t="shared" si="112"/>
        <v>166</v>
      </c>
      <c r="S1242" s="115">
        <v>0</v>
      </c>
      <c r="T1242" s="115">
        <v>0</v>
      </c>
      <c r="U1242" s="115">
        <v>1</v>
      </c>
      <c r="V1242" s="115">
        <v>166</v>
      </c>
      <c r="W1242" s="115" t="s">
        <v>48</v>
      </c>
      <c r="X1242" s="115">
        <v>72</v>
      </c>
      <c r="Y1242" s="115">
        <v>71</v>
      </c>
      <c r="Z1242" s="115">
        <v>78</v>
      </c>
      <c r="AA1242" s="115">
        <v>1</v>
      </c>
      <c r="AB1242" s="300">
        <f t="shared" si="113"/>
        <v>66.456000000000003</v>
      </c>
      <c r="AC1242" s="300">
        <f t="shared" si="114"/>
        <v>0.40033734939759036</v>
      </c>
      <c r="AD1242" s="115" t="s">
        <v>48</v>
      </c>
      <c r="AE1242" s="115" t="s">
        <v>48</v>
      </c>
      <c r="AF1242" s="115" t="s">
        <v>1566</v>
      </c>
      <c r="AG1242" s="115" t="s">
        <v>1566</v>
      </c>
      <c r="AH1242" s="115">
        <v>0</v>
      </c>
      <c r="AI1242" s="309"/>
      <c r="AJ1242" s="309"/>
      <c r="AK1242" s="115" t="s">
        <v>41</v>
      </c>
      <c r="AL1242" s="115" t="s">
        <v>94</v>
      </c>
      <c r="AM1242" s="299">
        <f t="shared" ca="1" si="110"/>
        <v>0.90277777778101154</v>
      </c>
      <c r="AN1242" s="122"/>
      <c r="AO1242" s="104" t="s">
        <v>143</v>
      </c>
      <c r="AP1242" s="106" t="s">
        <v>3322</v>
      </c>
      <c r="AQ1242" s="104" t="s">
        <v>3375</v>
      </c>
      <c r="AR1242" s="111">
        <v>44904.6875</v>
      </c>
      <c r="AS1242" s="104" t="s">
        <v>173</v>
      </c>
      <c r="AT1242" s="109" t="s">
        <v>225</v>
      </c>
      <c r="AU1242" s="110">
        <v>0.6875</v>
      </c>
      <c r="AV1242" s="104">
        <v>2</v>
      </c>
      <c r="AW1242" s="109" t="s">
        <v>66</v>
      </c>
      <c r="AX1242" s="52"/>
      <c r="AY1242" s="52"/>
      <c r="AZ1242" s="52"/>
      <c r="BA1242" s="52"/>
    </row>
    <row r="1243" spans="1:53" ht="15.75" thickBot="1" x14ac:dyDescent="0.3">
      <c r="A1243" s="48">
        <v>174</v>
      </c>
      <c r="B1243" s="120">
        <v>44903.802083333336</v>
      </c>
      <c r="C1243" s="114">
        <v>0.80555555555555547</v>
      </c>
      <c r="D1243" s="114">
        <v>0.80902777777777779</v>
      </c>
      <c r="E1243" s="114">
        <v>0.81597222222222221</v>
      </c>
      <c r="F1243" s="115" t="s">
        <v>171</v>
      </c>
      <c r="G1243" s="115" t="s">
        <v>293</v>
      </c>
      <c r="H1243" s="115" t="s">
        <v>217</v>
      </c>
      <c r="I1243" s="115" t="s">
        <v>141</v>
      </c>
      <c r="J1243" s="115" t="s">
        <v>41</v>
      </c>
      <c r="K1243" s="115" t="s">
        <v>233</v>
      </c>
      <c r="L1243" s="115" t="s">
        <v>209</v>
      </c>
      <c r="M1243" s="115" t="s">
        <v>3325</v>
      </c>
      <c r="N1243" s="115" t="s">
        <v>426</v>
      </c>
      <c r="O1243" s="115" t="s">
        <v>3326</v>
      </c>
      <c r="P1243" s="40">
        <v>450000000</v>
      </c>
      <c r="Q1243" s="303">
        <f t="shared" si="111"/>
        <v>2</v>
      </c>
      <c r="R1243" s="303">
        <f t="shared" si="112"/>
        <v>848</v>
      </c>
      <c r="S1243" s="115">
        <v>0</v>
      </c>
      <c r="T1243" s="115">
        <v>0</v>
      </c>
      <c r="U1243" s="115">
        <v>2</v>
      </c>
      <c r="V1243" s="115">
        <v>848</v>
      </c>
      <c r="W1243" s="115">
        <v>835</v>
      </c>
      <c r="X1243" s="115">
        <v>156</v>
      </c>
      <c r="Y1243" s="115">
        <v>109</v>
      </c>
      <c r="Z1243" s="115">
        <v>106</v>
      </c>
      <c r="AA1243" s="115">
        <v>1</v>
      </c>
      <c r="AB1243" s="300">
        <f t="shared" si="113"/>
        <v>300.404</v>
      </c>
      <c r="AC1243" s="300">
        <f t="shared" si="114"/>
        <v>1.8096626506024096</v>
      </c>
      <c r="AD1243" s="115">
        <v>14556.3</v>
      </c>
      <c r="AE1243" s="115" t="s">
        <v>109</v>
      </c>
      <c r="AF1243" s="115" t="s">
        <v>1566</v>
      </c>
      <c r="AG1243" s="115" t="s">
        <v>1566</v>
      </c>
      <c r="AH1243" s="115" t="s">
        <v>3327</v>
      </c>
      <c r="AI1243" s="309"/>
      <c r="AJ1243" s="309"/>
      <c r="AK1243" s="115" t="s">
        <v>37</v>
      </c>
      <c r="AL1243" s="115" t="s">
        <v>51</v>
      </c>
      <c r="AM1243" s="299">
        <f t="shared" ca="1" si="110"/>
        <v>0.70138888888322981</v>
      </c>
      <c r="AN1243" s="41"/>
      <c r="AO1243" s="104" t="s">
        <v>120</v>
      </c>
      <c r="AP1243" s="106" t="s">
        <v>3325</v>
      </c>
      <c r="AQ1243" s="104" t="s">
        <v>3365</v>
      </c>
      <c r="AR1243" s="111">
        <v>44904.503472222219</v>
      </c>
      <c r="AS1243" s="104" t="s">
        <v>173</v>
      </c>
      <c r="AT1243" s="109" t="s">
        <v>225</v>
      </c>
      <c r="AU1243" s="110">
        <v>0.50347222222222221</v>
      </c>
      <c r="AV1243" s="104">
        <v>1</v>
      </c>
      <c r="AW1243" s="109" t="s">
        <v>66</v>
      </c>
      <c r="AX1243" s="52"/>
      <c r="AY1243" s="52"/>
      <c r="AZ1243" s="52"/>
      <c r="BA1243" s="52"/>
    </row>
    <row r="1244" spans="1:53" ht="15.75" thickBot="1" x14ac:dyDescent="0.3">
      <c r="A1244" s="121">
        <v>174</v>
      </c>
      <c r="B1244" s="120">
        <v>44903.802083333336</v>
      </c>
      <c r="C1244" s="114">
        <v>0.80555555555555547</v>
      </c>
      <c r="D1244" s="114">
        <v>0.80902777777777779</v>
      </c>
      <c r="E1244" s="114">
        <v>0.81597222222222221</v>
      </c>
      <c r="F1244" s="115" t="s">
        <v>171</v>
      </c>
      <c r="G1244" s="115" t="s">
        <v>293</v>
      </c>
      <c r="H1244" s="115" t="s">
        <v>217</v>
      </c>
      <c r="I1244" s="115" t="s">
        <v>141</v>
      </c>
      <c r="J1244" s="115" t="s">
        <v>41</v>
      </c>
      <c r="K1244" s="115" t="s">
        <v>233</v>
      </c>
      <c r="L1244" s="115" t="s">
        <v>209</v>
      </c>
      <c r="M1244" s="115" t="s">
        <v>3325</v>
      </c>
      <c r="N1244" s="115" t="s">
        <v>426</v>
      </c>
      <c r="O1244" s="115" t="s">
        <v>3326</v>
      </c>
      <c r="P1244" s="40">
        <v>450000000</v>
      </c>
      <c r="Q1244" s="303">
        <f t="shared" si="111"/>
        <v>0</v>
      </c>
      <c r="R1244" s="303">
        <f t="shared" si="112"/>
        <v>0</v>
      </c>
      <c r="S1244" s="115">
        <v>0</v>
      </c>
      <c r="T1244" s="115">
        <v>0</v>
      </c>
      <c r="U1244" s="115">
        <v>0</v>
      </c>
      <c r="V1244" s="115">
        <v>0</v>
      </c>
      <c r="W1244" s="115">
        <v>0</v>
      </c>
      <c r="X1244" s="115">
        <v>157</v>
      </c>
      <c r="Y1244" s="115">
        <v>109</v>
      </c>
      <c r="Z1244" s="115">
        <v>150</v>
      </c>
      <c r="AA1244" s="115">
        <v>1</v>
      </c>
      <c r="AB1244" s="300">
        <f t="shared" si="113"/>
        <v>427.82499999999999</v>
      </c>
      <c r="AC1244" s="300">
        <f t="shared" si="114"/>
        <v>2.5772590361445782</v>
      </c>
      <c r="AD1244" s="115">
        <v>0</v>
      </c>
      <c r="AE1244" s="115">
        <v>0</v>
      </c>
      <c r="AF1244" s="115" t="s">
        <v>1566</v>
      </c>
      <c r="AG1244" s="115" t="s">
        <v>1566</v>
      </c>
      <c r="AH1244" s="115" t="s">
        <v>3327</v>
      </c>
      <c r="AI1244" s="309"/>
      <c r="AJ1244" s="309"/>
      <c r="AK1244" s="115" t="s">
        <v>37</v>
      </c>
      <c r="AL1244" s="115" t="s">
        <v>51</v>
      </c>
      <c r="AM1244" s="299">
        <f t="shared" ca="1" si="110"/>
        <v>0.70138888888322981</v>
      </c>
      <c r="AN1244" s="41"/>
      <c r="AO1244" s="104" t="s">
        <v>120</v>
      </c>
      <c r="AP1244" s="106" t="s">
        <v>3325</v>
      </c>
      <c r="AQ1244" s="104" t="s">
        <v>3365</v>
      </c>
      <c r="AR1244" s="111">
        <v>44904.503472222219</v>
      </c>
      <c r="AS1244" s="104" t="s">
        <v>173</v>
      </c>
      <c r="AT1244" s="109" t="s">
        <v>225</v>
      </c>
      <c r="AU1244" s="110">
        <v>0.50347222222222221</v>
      </c>
      <c r="AV1244" s="104">
        <v>1</v>
      </c>
      <c r="AW1244" s="109" t="s">
        <v>66</v>
      </c>
      <c r="AX1244" s="52"/>
      <c r="AY1244" s="52"/>
      <c r="AZ1244" s="52"/>
      <c r="BA1244" s="52"/>
    </row>
    <row r="1245" spans="1:53" ht="15.75" thickBot="1" x14ac:dyDescent="0.3">
      <c r="A1245" s="48">
        <v>175</v>
      </c>
      <c r="B1245" s="120">
        <v>44903.802083333336</v>
      </c>
      <c r="C1245" s="114">
        <v>0.80555555555555547</v>
      </c>
      <c r="D1245" s="114">
        <v>0.80902777777777779</v>
      </c>
      <c r="E1245" s="114">
        <v>0.81597222222222221</v>
      </c>
      <c r="F1245" s="115" t="s">
        <v>171</v>
      </c>
      <c r="G1245" s="115" t="s">
        <v>293</v>
      </c>
      <c r="H1245" s="115" t="s">
        <v>217</v>
      </c>
      <c r="I1245" s="115" t="s">
        <v>141</v>
      </c>
      <c r="J1245" s="115" t="s">
        <v>41</v>
      </c>
      <c r="K1245" s="115" t="s">
        <v>233</v>
      </c>
      <c r="L1245" s="115" t="s">
        <v>209</v>
      </c>
      <c r="M1245" s="115" t="s">
        <v>3328</v>
      </c>
      <c r="N1245" s="115" t="s">
        <v>426</v>
      </c>
      <c r="O1245" s="115" t="s">
        <v>3329</v>
      </c>
      <c r="P1245" s="40">
        <v>4500000000</v>
      </c>
      <c r="Q1245" s="303">
        <f t="shared" si="111"/>
        <v>2</v>
      </c>
      <c r="R1245" s="303">
        <f t="shared" si="112"/>
        <v>1233</v>
      </c>
      <c r="S1245" s="115">
        <v>0</v>
      </c>
      <c r="T1245" s="115">
        <v>0</v>
      </c>
      <c r="U1245" s="115">
        <v>2</v>
      </c>
      <c r="V1245" s="115">
        <v>1233</v>
      </c>
      <c r="W1245" s="115">
        <v>1240</v>
      </c>
      <c r="X1245" s="115">
        <v>223</v>
      </c>
      <c r="Y1245" s="115">
        <v>153</v>
      </c>
      <c r="Z1245" s="115">
        <v>116</v>
      </c>
      <c r="AA1245" s="115">
        <v>2</v>
      </c>
      <c r="AB1245" s="300">
        <f t="shared" si="113"/>
        <v>1319.268</v>
      </c>
      <c r="AC1245" s="300">
        <f t="shared" si="114"/>
        <v>7.9473975903614456</v>
      </c>
      <c r="AD1245" s="115">
        <v>99808.8</v>
      </c>
      <c r="AE1245" s="115" t="s">
        <v>109</v>
      </c>
      <c r="AF1245" s="115" t="s">
        <v>1566</v>
      </c>
      <c r="AG1245" s="115" t="s">
        <v>1566</v>
      </c>
      <c r="AH1245" s="115" t="s">
        <v>3330</v>
      </c>
      <c r="AI1245" s="309"/>
      <c r="AJ1245" s="309"/>
      <c r="AK1245" s="115" t="s">
        <v>37</v>
      </c>
      <c r="AL1245" s="115" t="s">
        <v>51</v>
      </c>
      <c r="AM1245" s="299">
        <f t="shared" ca="1" si="110"/>
        <v>0.70138888888322981</v>
      </c>
      <c r="AN1245" s="41"/>
      <c r="AO1245" s="104" t="s">
        <v>120</v>
      </c>
      <c r="AP1245" s="106" t="s">
        <v>3328</v>
      </c>
      <c r="AQ1245" s="104" t="s">
        <v>3365</v>
      </c>
      <c r="AR1245" s="111">
        <v>44904.503472222219</v>
      </c>
      <c r="AS1245" s="104" t="s">
        <v>173</v>
      </c>
      <c r="AT1245" s="109" t="s">
        <v>225</v>
      </c>
      <c r="AU1245" s="110">
        <v>0.50347222222222221</v>
      </c>
      <c r="AV1245" s="104">
        <v>1</v>
      </c>
      <c r="AW1245" s="109" t="s">
        <v>66</v>
      </c>
      <c r="AX1245" s="52"/>
      <c r="AY1245" s="52"/>
      <c r="AZ1245" s="52"/>
      <c r="BA1245" s="52"/>
    </row>
    <row r="1246" spans="1:53" x14ac:dyDescent="0.25">
      <c r="A1246" s="48">
        <v>176</v>
      </c>
      <c r="B1246" s="46">
        <v>44904.53125</v>
      </c>
      <c r="C1246" s="36">
        <v>0.53472222222222221</v>
      </c>
      <c r="D1246" s="36">
        <v>0.53819444444444442</v>
      </c>
      <c r="E1246" s="36">
        <v>0.53819444444444442</v>
      </c>
      <c r="F1246" s="37" t="s">
        <v>170</v>
      </c>
      <c r="G1246" s="37" t="s">
        <v>3331</v>
      </c>
      <c r="H1246" s="26" t="s">
        <v>57</v>
      </c>
      <c r="I1246" s="26" t="s">
        <v>110</v>
      </c>
      <c r="J1246" s="26" t="s">
        <v>37</v>
      </c>
      <c r="K1246" s="113" t="s">
        <v>63</v>
      </c>
      <c r="L1246" s="113" t="s">
        <v>209</v>
      </c>
      <c r="M1246" s="37" t="s">
        <v>3332</v>
      </c>
      <c r="N1246" s="37" t="s">
        <v>186</v>
      </c>
      <c r="O1246" s="37" t="s">
        <v>3333</v>
      </c>
      <c r="P1246" s="37">
        <v>81979519</v>
      </c>
      <c r="Q1246" s="303">
        <f t="shared" si="111"/>
        <v>1</v>
      </c>
      <c r="R1246" s="303">
        <f t="shared" si="112"/>
        <v>453</v>
      </c>
      <c r="S1246" s="37">
        <v>0</v>
      </c>
      <c r="T1246" s="37">
        <v>0</v>
      </c>
      <c r="U1246" s="37">
        <v>1</v>
      </c>
      <c r="V1246" s="37">
        <v>453</v>
      </c>
      <c r="W1246" s="37">
        <v>452.73</v>
      </c>
      <c r="X1246" s="37">
        <v>147</v>
      </c>
      <c r="Y1246" s="37">
        <v>84</v>
      </c>
      <c r="Z1246" s="37">
        <v>98</v>
      </c>
      <c r="AA1246" s="37">
        <v>1</v>
      </c>
      <c r="AB1246" s="300">
        <f t="shared" si="113"/>
        <v>201.684</v>
      </c>
      <c r="AC1246" s="300">
        <f t="shared" si="114"/>
        <v>1.2149638554216868</v>
      </c>
      <c r="AD1246" s="37">
        <v>4492.03</v>
      </c>
      <c r="AE1246" s="115" t="s">
        <v>109</v>
      </c>
      <c r="AF1246" s="115" t="s">
        <v>1566</v>
      </c>
      <c r="AG1246" s="115" t="s">
        <v>1566</v>
      </c>
      <c r="AH1246" s="37" t="s">
        <v>3334</v>
      </c>
      <c r="AI1246" s="309"/>
      <c r="AJ1246" s="309"/>
      <c r="AK1246" s="115" t="s">
        <v>37</v>
      </c>
      <c r="AL1246" s="115" t="s">
        <v>49</v>
      </c>
      <c r="AM1246" s="299">
        <f t="shared" ca="1" si="110"/>
        <v>4.8611111109494232E-2</v>
      </c>
      <c r="AN1246" s="51"/>
      <c r="AO1246" s="104" t="s">
        <v>131</v>
      </c>
      <c r="AP1246" s="106" t="s">
        <v>3332</v>
      </c>
      <c r="AQ1246" s="104" t="s">
        <v>3372</v>
      </c>
      <c r="AR1246" s="111">
        <v>44904.579861111109</v>
      </c>
      <c r="AS1246" s="109" t="s">
        <v>3373</v>
      </c>
      <c r="AT1246" s="109" t="s">
        <v>65</v>
      </c>
      <c r="AU1246" s="110">
        <v>0.57986111111111105</v>
      </c>
      <c r="AV1246" s="104">
        <v>1</v>
      </c>
      <c r="AW1246" s="109" t="s">
        <v>66</v>
      </c>
      <c r="AX1246" s="52"/>
      <c r="AY1246" s="52"/>
      <c r="AZ1246" s="52"/>
      <c r="BA1246" s="52"/>
    </row>
    <row r="1247" spans="1:53" x14ac:dyDescent="0.25">
      <c r="A1247" s="48">
        <v>177</v>
      </c>
      <c r="B1247" s="46">
        <v>44904.527777777781</v>
      </c>
      <c r="C1247" s="36">
        <v>0.53125</v>
      </c>
      <c r="D1247" s="36">
        <v>0.53472222222222221</v>
      </c>
      <c r="E1247" s="36">
        <v>0.55555555555555558</v>
      </c>
      <c r="F1247" s="37" t="s">
        <v>171</v>
      </c>
      <c r="G1247" s="37" t="s">
        <v>218</v>
      </c>
      <c r="H1247" s="26" t="s">
        <v>1357</v>
      </c>
      <c r="I1247" s="107" t="s">
        <v>1357</v>
      </c>
      <c r="J1247" s="107" t="s">
        <v>37</v>
      </c>
      <c r="K1247" s="107" t="s">
        <v>63</v>
      </c>
      <c r="L1247" s="107" t="s">
        <v>206</v>
      </c>
      <c r="M1247" s="37" t="s">
        <v>3335</v>
      </c>
      <c r="N1247" s="37" t="s">
        <v>44</v>
      </c>
      <c r="O1247" s="37">
        <v>6200021228</v>
      </c>
      <c r="P1247" s="37">
        <v>80553365</v>
      </c>
      <c r="Q1247" s="303">
        <f t="shared" si="111"/>
        <v>1</v>
      </c>
      <c r="R1247" s="303">
        <f t="shared" si="112"/>
        <v>18</v>
      </c>
      <c r="S1247" s="37">
        <v>1</v>
      </c>
      <c r="T1247" s="37">
        <v>18</v>
      </c>
      <c r="U1247" s="37">
        <v>0</v>
      </c>
      <c r="V1247" s="37">
        <v>0</v>
      </c>
      <c r="W1247" s="37">
        <v>20</v>
      </c>
      <c r="X1247" s="37">
        <v>39</v>
      </c>
      <c r="Y1247" s="37">
        <v>39</v>
      </c>
      <c r="Z1247" s="37">
        <v>32</v>
      </c>
      <c r="AA1247" s="37">
        <v>1</v>
      </c>
      <c r="AB1247" s="300">
        <f t="shared" si="113"/>
        <v>8.1120000000000001</v>
      </c>
      <c r="AC1247" s="300">
        <f t="shared" si="114"/>
        <v>4.8867469879518073E-2</v>
      </c>
      <c r="AD1247" s="115">
        <v>2518</v>
      </c>
      <c r="AE1247" s="115" t="s">
        <v>109</v>
      </c>
      <c r="AF1247" s="115" t="s">
        <v>1566</v>
      </c>
      <c r="AG1247" s="115" t="s">
        <v>1566</v>
      </c>
      <c r="AH1247" s="37" t="s">
        <v>3336</v>
      </c>
      <c r="AI1247" s="309"/>
      <c r="AJ1247" s="309"/>
      <c r="AK1247" s="37" t="s">
        <v>48</v>
      </c>
      <c r="AL1247" s="37" t="s">
        <v>50</v>
      </c>
      <c r="AM1247" s="299">
        <f t="shared" ca="1" si="110"/>
        <v>4.1770833333284827</v>
      </c>
      <c r="AN1247" s="51"/>
      <c r="AO1247" s="104" t="s">
        <v>53</v>
      </c>
      <c r="AP1247" s="106" t="s">
        <v>3335</v>
      </c>
      <c r="AQ1247" s="106" t="s">
        <v>3509</v>
      </c>
      <c r="AR1247" s="111">
        <v>44908.704861111109</v>
      </c>
      <c r="AS1247" s="104" t="s">
        <v>117</v>
      </c>
      <c r="AT1247" s="109" t="s">
        <v>225</v>
      </c>
      <c r="AU1247" s="110">
        <v>0.70486111111111116</v>
      </c>
      <c r="AV1247" s="104">
        <v>1</v>
      </c>
      <c r="AW1247" s="109" t="s">
        <v>66</v>
      </c>
      <c r="AX1247" s="52"/>
      <c r="AY1247" s="52"/>
      <c r="AZ1247" s="52"/>
      <c r="BA1247" s="52"/>
    </row>
    <row r="1248" spans="1:53" x14ac:dyDescent="0.25">
      <c r="A1248" s="48">
        <v>178</v>
      </c>
      <c r="B1248" s="120">
        <v>44904.527777777781</v>
      </c>
      <c r="C1248" s="114">
        <v>0.53125</v>
      </c>
      <c r="D1248" s="114">
        <v>0.53472222222222221</v>
      </c>
      <c r="E1248" s="114">
        <v>0.55555555555555558</v>
      </c>
      <c r="F1248" s="115" t="s">
        <v>171</v>
      </c>
      <c r="G1248" s="115" t="s">
        <v>218</v>
      </c>
      <c r="H1248" s="107" t="s">
        <v>1357</v>
      </c>
      <c r="I1248" s="107" t="s">
        <v>1357</v>
      </c>
      <c r="J1248" s="107" t="s">
        <v>37</v>
      </c>
      <c r="K1248" s="107" t="s">
        <v>63</v>
      </c>
      <c r="L1248" s="107" t="s">
        <v>206</v>
      </c>
      <c r="M1248" s="37" t="s">
        <v>3447</v>
      </c>
      <c r="N1248" s="115" t="s">
        <v>44</v>
      </c>
      <c r="O1248" s="115">
        <v>6200021229</v>
      </c>
      <c r="P1248" s="37">
        <v>80553395</v>
      </c>
      <c r="Q1248" s="303">
        <f t="shared" si="111"/>
        <v>1</v>
      </c>
      <c r="R1248" s="303">
        <f t="shared" si="112"/>
        <v>15</v>
      </c>
      <c r="S1248" s="37">
        <v>1</v>
      </c>
      <c r="T1248" s="37">
        <v>15</v>
      </c>
      <c r="U1248" s="37">
        <v>0</v>
      </c>
      <c r="V1248" s="37">
        <v>0</v>
      </c>
      <c r="W1248" s="37">
        <v>20</v>
      </c>
      <c r="X1248" s="37">
        <v>37</v>
      </c>
      <c r="Y1248" s="37">
        <v>37</v>
      </c>
      <c r="Z1248" s="37">
        <v>22</v>
      </c>
      <c r="AA1248" s="37">
        <v>1</v>
      </c>
      <c r="AB1248" s="300">
        <f t="shared" si="113"/>
        <v>5.0196666666666667</v>
      </c>
      <c r="AC1248" s="300">
        <f t="shared" si="114"/>
        <v>3.0238955823293175E-2</v>
      </c>
      <c r="AD1248" s="37">
        <v>1067</v>
      </c>
      <c r="AE1248" s="115" t="s">
        <v>109</v>
      </c>
      <c r="AF1248" s="115" t="s">
        <v>3337</v>
      </c>
      <c r="AG1248" s="53">
        <v>44815</v>
      </c>
      <c r="AH1248" s="37" t="s">
        <v>3338</v>
      </c>
      <c r="AI1248" s="309"/>
      <c r="AJ1248" s="309"/>
      <c r="AK1248" s="115" t="s">
        <v>48</v>
      </c>
      <c r="AL1248" s="115" t="s">
        <v>50</v>
      </c>
      <c r="AM1248" s="299">
        <f t="shared" ca="1" si="110"/>
        <v>4.1770833333284827</v>
      </c>
      <c r="AN1248" s="51"/>
      <c r="AO1248" s="104" t="s">
        <v>53</v>
      </c>
      <c r="AP1248" s="106" t="s">
        <v>3447</v>
      </c>
      <c r="AQ1248" s="106" t="s">
        <v>3509</v>
      </c>
      <c r="AR1248" s="111">
        <v>44908.704861111109</v>
      </c>
      <c r="AS1248" s="104" t="s">
        <v>117</v>
      </c>
      <c r="AT1248" s="109" t="s">
        <v>225</v>
      </c>
      <c r="AU1248" s="110">
        <v>0.70486111111111116</v>
      </c>
      <c r="AV1248" s="104">
        <v>1</v>
      </c>
      <c r="AW1248" s="109" t="s">
        <v>66</v>
      </c>
      <c r="AX1248" s="52"/>
      <c r="AY1248" s="52"/>
      <c r="AZ1248" s="52"/>
      <c r="BA1248" s="52"/>
    </row>
    <row r="1249" spans="1:53" x14ac:dyDescent="0.25">
      <c r="A1249" s="48">
        <v>179</v>
      </c>
      <c r="B1249" s="46">
        <v>44904.541666666664</v>
      </c>
      <c r="C1249" s="36">
        <v>0.54166666666666663</v>
      </c>
      <c r="D1249" s="36">
        <v>0.54999999999999993</v>
      </c>
      <c r="E1249" s="36">
        <v>0.5625</v>
      </c>
      <c r="F1249" s="115" t="s">
        <v>170</v>
      </c>
      <c r="G1249" s="37" t="s">
        <v>2600</v>
      </c>
      <c r="H1249" s="26" t="s">
        <v>227</v>
      </c>
      <c r="I1249" s="26" t="s">
        <v>189</v>
      </c>
      <c r="J1249" s="107" t="s">
        <v>37</v>
      </c>
      <c r="K1249" s="113" t="s">
        <v>63</v>
      </c>
      <c r="L1249" s="118" t="s">
        <v>206</v>
      </c>
      <c r="M1249" s="37" t="s">
        <v>3339</v>
      </c>
      <c r="N1249" s="37" t="s">
        <v>42</v>
      </c>
      <c r="O1249" s="37" t="s">
        <v>3340</v>
      </c>
      <c r="P1249" s="37">
        <v>3720</v>
      </c>
      <c r="Q1249" s="303">
        <f t="shared" si="111"/>
        <v>6</v>
      </c>
      <c r="R1249" s="303">
        <f t="shared" si="112"/>
        <v>208</v>
      </c>
      <c r="S1249" s="37">
        <v>5</v>
      </c>
      <c r="T1249" s="37">
        <f>81-21</f>
        <v>60</v>
      </c>
      <c r="U1249" s="37">
        <v>1</v>
      </c>
      <c r="V1249" s="37">
        <v>148</v>
      </c>
      <c r="W1249" s="37">
        <v>188.55</v>
      </c>
      <c r="X1249" s="37">
        <v>160</v>
      </c>
      <c r="Y1249" s="37">
        <v>74</v>
      </c>
      <c r="Z1249" s="37">
        <v>79</v>
      </c>
      <c r="AA1249" s="37">
        <v>1</v>
      </c>
      <c r="AB1249" s="300">
        <f t="shared" si="113"/>
        <v>155.89333333333335</v>
      </c>
      <c r="AC1249" s="300">
        <f t="shared" si="114"/>
        <v>0.93911646586345388</v>
      </c>
      <c r="AD1249" s="37" t="s">
        <v>48</v>
      </c>
      <c r="AE1249" s="115" t="s">
        <v>48</v>
      </c>
      <c r="AF1249" s="115" t="s">
        <v>1566</v>
      </c>
      <c r="AG1249" s="115" t="s">
        <v>1566</v>
      </c>
      <c r="AH1249" s="37" t="s">
        <v>3341</v>
      </c>
      <c r="AI1249" s="309"/>
      <c r="AJ1249" s="309"/>
      <c r="AK1249" s="37" t="s">
        <v>37</v>
      </c>
      <c r="AL1249" s="37" t="s">
        <v>47</v>
      </c>
      <c r="AM1249" s="299">
        <f t="shared" ca="1" si="110"/>
        <v>0.15972222222626442</v>
      </c>
      <c r="AN1249" s="51"/>
      <c r="AO1249" s="104" t="s">
        <v>89</v>
      </c>
      <c r="AP1249" s="106" t="s">
        <v>3339</v>
      </c>
      <c r="AQ1249" s="104" t="s">
        <v>3380</v>
      </c>
      <c r="AR1249" s="111">
        <v>44904.701388888891</v>
      </c>
      <c r="AS1249" s="104" t="s">
        <v>117</v>
      </c>
      <c r="AT1249" s="109" t="s">
        <v>225</v>
      </c>
      <c r="AU1249" s="110">
        <v>0.70138888888888884</v>
      </c>
      <c r="AV1249" s="104">
        <v>2</v>
      </c>
      <c r="AW1249" s="109" t="s">
        <v>66</v>
      </c>
      <c r="AX1249" s="52"/>
      <c r="AY1249" s="52"/>
      <c r="AZ1249" s="52"/>
      <c r="BA1249" s="52"/>
    </row>
    <row r="1250" spans="1:53" x14ac:dyDescent="0.25">
      <c r="A1250" s="121">
        <v>179</v>
      </c>
      <c r="B1250" s="120">
        <v>44904.541666666664</v>
      </c>
      <c r="C1250" s="114">
        <v>0.54166666666666663</v>
      </c>
      <c r="D1250" s="114">
        <v>0.54999999999999993</v>
      </c>
      <c r="E1250" s="114">
        <v>0.5625</v>
      </c>
      <c r="F1250" s="115" t="s">
        <v>170</v>
      </c>
      <c r="G1250" s="115" t="s">
        <v>2600</v>
      </c>
      <c r="H1250" s="107" t="s">
        <v>227</v>
      </c>
      <c r="I1250" s="107" t="s">
        <v>189</v>
      </c>
      <c r="J1250" s="107" t="s">
        <v>37</v>
      </c>
      <c r="K1250" s="113" t="s">
        <v>63</v>
      </c>
      <c r="L1250" s="118" t="s">
        <v>206</v>
      </c>
      <c r="M1250" s="115" t="s">
        <v>3339</v>
      </c>
      <c r="N1250" s="115" t="s">
        <v>42</v>
      </c>
      <c r="O1250" s="115" t="s">
        <v>3340</v>
      </c>
      <c r="P1250" s="115">
        <v>3720</v>
      </c>
      <c r="Q1250" s="303">
        <f t="shared" si="111"/>
        <v>0</v>
      </c>
      <c r="R1250" s="303">
        <f t="shared" si="112"/>
        <v>0</v>
      </c>
      <c r="S1250" s="115">
        <v>0</v>
      </c>
      <c r="T1250" s="115">
        <v>0</v>
      </c>
      <c r="U1250" s="115">
        <v>0</v>
      </c>
      <c r="V1250" s="115">
        <v>0</v>
      </c>
      <c r="W1250" s="115">
        <v>0</v>
      </c>
      <c r="X1250" s="37">
        <v>90</v>
      </c>
      <c r="Y1250" s="37">
        <v>37</v>
      </c>
      <c r="Z1250" s="37">
        <v>51</v>
      </c>
      <c r="AA1250" s="37">
        <v>5</v>
      </c>
      <c r="AB1250" s="300">
        <f t="shared" si="113"/>
        <v>141.52500000000001</v>
      </c>
      <c r="AC1250" s="300">
        <f t="shared" si="114"/>
        <v>0.85256024096385541</v>
      </c>
      <c r="AD1250" s="37">
        <v>0</v>
      </c>
      <c r="AE1250" s="115">
        <v>0</v>
      </c>
      <c r="AF1250" s="115" t="s">
        <v>1566</v>
      </c>
      <c r="AG1250" s="115" t="s">
        <v>1566</v>
      </c>
      <c r="AH1250" s="115" t="s">
        <v>3341</v>
      </c>
      <c r="AI1250" s="309"/>
      <c r="AJ1250" s="309"/>
      <c r="AK1250" s="37" t="s">
        <v>48</v>
      </c>
      <c r="AL1250" s="37" t="s">
        <v>50</v>
      </c>
      <c r="AM1250" s="299">
        <f t="shared" ca="1" si="110"/>
        <v>0.15972222222626442</v>
      </c>
      <c r="AN1250" s="51"/>
      <c r="AO1250" s="104" t="s">
        <v>89</v>
      </c>
      <c r="AP1250" s="106" t="s">
        <v>3339</v>
      </c>
      <c r="AQ1250" s="104" t="s">
        <v>3380</v>
      </c>
      <c r="AR1250" s="111">
        <v>44904.701388888891</v>
      </c>
      <c r="AS1250" s="104" t="s">
        <v>117</v>
      </c>
      <c r="AT1250" s="109" t="s">
        <v>225</v>
      </c>
      <c r="AU1250" s="110">
        <v>0.70138888888888884</v>
      </c>
      <c r="AV1250" s="104">
        <v>2</v>
      </c>
      <c r="AW1250" s="109" t="s">
        <v>66</v>
      </c>
      <c r="AX1250" s="52"/>
      <c r="AY1250" s="52"/>
      <c r="AZ1250" s="52"/>
      <c r="BA1250" s="52"/>
    </row>
    <row r="1251" spans="1:53" x14ac:dyDescent="0.25">
      <c r="A1251" s="48">
        <v>180</v>
      </c>
      <c r="B1251" s="120">
        <v>44904.541666666664</v>
      </c>
      <c r="C1251" s="114">
        <v>0.54166666666666663</v>
      </c>
      <c r="D1251" s="114">
        <v>0.54999999999999993</v>
      </c>
      <c r="E1251" s="114">
        <v>0.5625</v>
      </c>
      <c r="F1251" s="115" t="s">
        <v>170</v>
      </c>
      <c r="G1251" s="115" t="s">
        <v>2600</v>
      </c>
      <c r="H1251" s="107" t="s">
        <v>227</v>
      </c>
      <c r="I1251" s="107" t="s">
        <v>189</v>
      </c>
      <c r="J1251" s="107" t="s">
        <v>37</v>
      </c>
      <c r="K1251" s="113" t="s">
        <v>63</v>
      </c>
      <c r="L1251" s="118" t="s">
        <v>206</v>
      </c>
      <c r="M1251" s="115" t="s">
        <v>3342</v>
      </c>
      <c r="N1251" s="37" t="s">
        <v>43</v>
      </c>
      <c r="O1251" s="37" t="s">
        <v>3343</v>
      </c>
      <c r="P1251" s="37">
        <v>31785</v>
      </c>
      <c r="Q1251" s="303">
        <f t="shared" si="111"/>
        <v>6</v>
      </c>
      <c r="R1251" s="303">
        <f t="shared" si="112"/>
        <v>227</v>
      </c>
      <c r="S1251" s="37">
        <v>5</v>
      </c>
      <c r="T1251" s="37">
        <f>81-21</f>
        <v>60</v>
      </c>
      <c r="U1251" s="37">
        <v>1</v>
      </c>
      <c r="V1251" s="37">
        <v>167</v>
      </c>
      <c r="W1251" s="37">
        <v>234</v>
      </c>
      <c r="X1251" s="37">
        <v>90</v>
      </c>
      <c r="Y1251" s="37">
        <v>37</v>
      </c>
      <c r="Z1251" s="37">
        <v>51</v>
      </c>
      <c r="AA1251" s="37">
        <v>5</v>
      </c>
      <c r="AB1251" s="300">
        <f t="shared" si="113"/>
        <v>141.52500000000001</v>
      </c>
      <c r="AC1251" s="300">
        <f t="shared" si="114"/>
        <v>0.85256024096385541</v>
      </c>
      <c r="AD1251" s="115" t="s">
        <v>48</v>
      </c>
      <c r="AE1251" s="115" t="s">
        <v>48</v>
      </c>
      <c r="AF1251" s="115" t="s">
        <v>1566</v>
      </c>
      <c r="AG1251" s="115" t="s">
        <v>1566</v>
      </c>
      <c r="AH1251" s="37" t="s">
        <v>3344</v>
      </c>
      <c r="AI1251" s="309"/>
      <c r="AJ1251" s="309"/>
      <c r="AK1251" s="115" t="s">
        <v>48</v>
      </c>
      <c r="AL1251" s="115" t="s">
        <v>50</v>
      </c>
      <c r="AM1251" s="299">
        <f t="shared" ca="1" si="110"/>
        <v>0.15972222222626442</v>
      </c>
      <c r="AN1251" s="51"/>
      <c r="AO1251" s="104" t="s">
        <v>179</v>
      </c>
      <c r="AP1251" s="106" t="s">
        <v>3379</v>
      </c>
      <c r="AQ1251" s="104" t="s">
        <v>3378</v>
      </c>
      <c r="AR1251" s="111">
        <v>44904.701388888891</v>
      </c>
      <c r="AS1251" s="104" t="s">
        <v>117</v>
      </c>
      <c r="AT1251" s="109" t="s">
        <v>225</v>
      </c>
      <c r="AU1251" s="110">
        <v>0.70138888888888884</v>
      </c>
      <c r="AV1251" s="104">
        <v>2</v>
      </c>
      <c r="AW1251" s="109" t="s">
        <v>66</v>
      </c>
      <c r="AX1251" s="52"/>
      <c r="AY1251" s="52"/>
      <c r="AZ1251" s="52"/>
      <c r="BA1251" s="52"/>
    </row>
    <row r="1252" spans="1:53" x14ac:dyDescent="0.25">
      <c r="A1252" s="121">
        <v>180</v>
      </c>
      <c r="B1252" s="120">
        <v>44904.541666666664</v>
      </c>
      <c r="C1252" s="114">
        <v>0.54166666666666663</v>
      </c>
      <c r="D1252" s="114">
        <v>0.54999999999999993</v>
      </c>
      <c r="E1252" s="114">
        <v>0.5625</v>
      </c>
      <c r="F1252" s="115" t="s">
        <v>170</v>
      </c>
      <c r="G1252" s="115" t="s">
        <v>2600</v>
      </c>
      <c r="H1252" s="107" t="s">
        <v>227</v>
      </c>
      <c r="I1252" s="107" t="s">
        <v>189</v>
      </c>
      <c r="J1252" s="107" t="s">
        <v>37</v>
      </c>
      <c r="K1252" s="113" t="s">
        <v>63</v>
      </c>
      <c r="L1252" s="118" t="s">
        <v>206</v>
      </c>
      <c r="M1252" s="115" t="s">
        <v>3342</v>
      </c>
      <c r="N1252" s="115" t="s">
        <v>43</v>
      </c>
      <c r="O1252" s="115" t="s">
        <v>3343</v>
      </c>
      <c r="P1252" s="115">
        <v>31785</v>
      </c>
      <c r="Q1252" s="303">
        <f t="shared" si="111"/>
        <v>0</v>
      </c>
      <c r="R1252" s="303">
        <f t="shared" si="112"/>
        <v>0</v>
      </c>
      <c r="S1252" s="115">
        <v>0</v>
      </c>
      <c r="T1252" s="115">
        <v>0</v>
      </c>
      <c r="U1252" s="115">
        <v>0</v>
      </c>
      <c r="V1252" s="115">
        <v>0</v>
      </c>
      <c r="W1252" s="115">
        <v>0</v>
      </c>
      <c r="X1252" s="37">
        <v>160</v>
      </c>
      <c r="Y1252" s="37">
        <v>74</v>
      </c>
      <c r="Z1252" s="37">
        <v>79</v>
      </c>
      <c r="AA1252" s="37">
        <v>1</v>
      </c>
      <c r="AB1252" s="300">
        <f t="shared" si="113"/>
        <v>155.89333333333335</v>
      </c>
      <c r="AC1252" s="300">
        <f t="shared" si="114"/>
        <v>0.93911646586345388</v>
      </c>
      <c r="AD1252" s="37">
        <v>0</v>
      </c>
      <c r="AE1252" s="37">
        <v>0</v>
      </c>
      <c r="AF1252" s="115" t="s">
        <v>1566</v>
      </c>
      <c r="AG1252" s="115" t="s">
        <v>1566</v>
      </c>
      <c r="AH1252" s="115" t="s">
        <v>3344</v>
      </c>
      <c r="AI1252" s="309"/>
      <c r="AJ1252" s="309"/>
      <c r="AK1252" s="37" t="s">
        <v>37</v>
      </c>
      <c r="AL1252" s="115" t="s">
        <v>47</v>
      </c>
      <c r="AM1252" s="299">
        <f t="shared" ca="1" si="110"/>
        <v>0.15972222222626442</v>
      </c>
      <c r="AN1252" s="51"/>
      <c r="AO1252" s="104" t="s">
        <v>179</v>
      </c>
      <c r="AP1252" s="106" t="s">
        <v>3379</v>
      </c>
      <c r="AQ1252" s="104" t="s">
        <v>3378</v>
      </c>
      <c r="AR1252" s="111">
        <v>44904.701388888891</v>
      </c>
      <c r="AS1252" s="104" t="s">
        <v>117</v>
      </c>
      <c r="AT1252" s="109" t="s">
        <v>225</v>
      </c>
      <c r="AU1252" s="110">
        <v>0.70138888888888884</v>
      </c>
      <c r="AV1252" s="104">
        <v>2</v>
      </c>
      <c r="AW1252" s="109" t="s">
        <v>66</v>
      </c>
      <c r="AX1252" s="52"/>
      <c r="AY1252" s="52"/>
      <c r="AZ1252" s="52"/>
      <c r="BA1252" s="52"/>
    </row>
    <row r="1253" spans="1:53" x14ac:dyDescent="0.25">
      <c r="A1253" s="48">
        <v>181</v>
      </c>
      <c r="B1253" s="46">
        <v>44904.545138888891</v>
      </c>
      <c r="C1253" s="36">
        <v>0.54513888888888895</v>
      </c>
      <c r="D1253" s="36">
        <v>0.54861111111111105</v>
      </c>
      <c r="E1253" s="36">
        <v>0.56944444444444442</v>
      </c>
      <c r="F1253" s="37" t="s">
        <v>169</v>
      </c>
      <c r="G1253" s="37" t="s">
        <v>3345</v>
      </c>
      <c r="H1253" s="26" t="s">
        <v>3346</v>
      </c>
      <c r="I1253" s="26" t="s">
        <v>112</v>
      </c>
      <c r="J1253" s="26" t="s">
        <v>41</v>
      </c>
      <c r="K1253" s="26" t="s">
        <v>233</v>
      </c>
      <c r="L1253" s="26">
        <v>0</v>
      </c>
      <c r="M1253" s="37" t="s">
        <v>3347</v>
      </c>
      <c r="N1253" s="37" t="s">
        <v>42</v>
      </c>
      <c r="O1253" s="37" t="s">
        <v>3348</v>
      </c>
      <c r="P1253" s="37">
        <v>384</v>
      </c>
      <c r="Q1253" s="303">
        <f t="shared" si="111"/>
        <v>3</v>
      </c>
      <c r="R1253" s="303">
        <f t="shared" si="112"/>
        <v>33</v>
      </c>
      <c r="S1253" s="37">
        <v>3</v>
      </c>
      <c r="T1253" s="37">
        <f>47-14</f>
        <v>33</v>
      </c>
      <c r="U1253" s="37">
        <v>0</v>
      </c>
      <c r="V1253" s="37">
        <v>0</v>
      </c>
      <c r="W1253" s="37">
        <v>30</v>
      </c>
      <c r="X1253" s="37">
        <v>60</v>
      </c>
      <c r="Y1253" s="37">
        <v>40</v>
      </c>
      <c r="Z1253" s="37">
        <v>25</v>
      </c>
      <c r="AA1253" s="37">
        <v>3</v>
      </c>
      <c r="AB1253" s="300">
        <f t="shared" si="113"/>
        <v>30</v>
      </c>
      <c r="AC1253" s="300">
        <f t="shared" si="114"/>
        <v>0.18072289156626506</v>
      </c>
      <c r="AD1253" s="37">
        <v>1956.15</v>
      </c>
      <c r="AE1253" s="37" t="s">
        <v>109</v>
      </c>
      <c r="AF1253" s="115" t="s">
        <v>1566</v>
      </c>
      <c r="AG1253" s="115" t="s">
        <v>1566</v>
      </c>
      <c r="AH1253" s="37" t="s">
        <v>3349</v>
      </c>
      <c r="AI1253" s="309"/>
      <c r="AJ1253" s="309"/>
      <c r="AK1253" s="37" t="s">
        <v>48</v>
      </c>
      <c r="AL1253" s="37" t="s">
        <v>50</v>
      </c>
      <c r="AM1253" s="299">
        <f t="shared" ca="1" si="110"/>
        <v>4.1597222222189885</v>
      </c>
      <c r="AN1253" s="51"/>
      <c r="AO1253" s="104" t="s">
        <v>135</v>
      </c>
      <c r="AP1253" s="106" t="s">
        <v>3347</v>
      </c>
      <c r="AQ1253" s="104" t="s">
        <v>3507</v>
      </c>
      <c r="AR1253" s="111">
        <v>44908.704861111109</v>
      </c>
      <c r="AS1253" s="104" t="s">
        <v>117</v>
      </c>
      <c r="AT1253" s="109" t="s">
        <v>225</v>
      </c>
      <c r="AU1253" s="110">
        <v>0.70486111111111116</v>
      </c>
      <c r="AV1253" s="104">
        <v>1</v>
      </c>
      <c r="AW1253" s="109" t="s">
        <v>66</v>
      </c>
      <c r="AX1253" s="52"/>
      <c r="AY1253" s="52"/>
      <c r="AZ1253" s="52"/>
      <c r="BA1253" s="52"/>
    </row>
    <row r="1254" spans="1:53" x14ac:dyDescent="0.25">
      <c r="A1254" s="48">
        <v>182</v>
      </c>
      <c r="B1254" s="46">
        <v>44904.631944444445</v>
      </c>
      <c r="C1254" s="36">
        <v>0.63541666666666663</v>
      </c>
      <c r="D1254" s="36">
        <v>0.63888888888888895</v>
      </c>
      <c r="E1254" s="36">
        <v>0.65277777777777779</v>
      </c>
      <c r="F1254" s="37" t="s">
        <v>170</v>
      </c>
      <c r="G1254" s="37" t="s">
        <v>3350</v>
      </c>
      <c r="H1254" s="26" t="s">
        <v>187</v>
      </c>
      <c r="I1254" s="26" t="s">
        <v>153</v>
      </c>
      <c r="J1254" s="26" t="s">
        <v>37</v>
      </c>
      <c r="K1254" s="115" t="s">
        <v>63</v>
      </c>
      <c r="L1254" s="115" t="s">
        <v>212</v>
      </c>
      <c r="M1254" s="37" t="s">
        <v>3351</v>
      </c>
      <c r="N1254" s="37" t="s">
        <v>42</v>
      </c>
      <c r="O1254" s="37">
        <v>21222231597</v>
      </c>
      <c r="P1254" s="37">
        <v>5051992595</v>
      </c>
      <c r="Q1254" s="303">
        <f t="shared" si="111"/>
        <v>1</v>
      </c>
      <c r="R1254" s="303">
        <f t="shared" si="112"/>
        <v>166</v>
      </c>
      <c r="S1254" s="37">
        <v>0</v>
      </c>
      <c r="T1254" s="37">
        <v>0</v>
      </c>
      <c r="U1254" s="37">
        <v>1</v>
      </c>
      <c r="V1254" s="37">
        <v>166</v>
      </c>
      <c r="W1254" s="37">
        <v>160.5</v>
      </c>
      <c r="X1254" s="37">
        <v>100</v>
      </c>
      <c r="Y1254" s="37">
        <v>62</v>
      </c>
      <c r="Z1254" s="37">
        <v>70</v>
      </c>
      <c r="AA1254" s="37">
        <v>1</v>
      </c>
      <c r="AB1254" s="300">
        <f t="shared" si="113"/>
        <v>72.333333333333329</v>
      </c>
      <c r="AC1254" s="300">
        <f t="shared" si="114"/>
        <v>0.43574297188755018</v>
      </c>
      <c r="AD1254" s="37">
        <v>624.75</v>
      </c>
      <c r="AE1254" s="115" t="s">
        <v>109</v>
      </c>
      <c r="AF1254" s="115" t="s">
        <v>1566</v>
      </c>
      <c r="AG1254" s="115" t="s">
        <v>1566</v>
      </c>
      <c r="AH1254" s="37" t="s">
        <v>3352</v>
      </c>
      <c r="AI1254" s="309"/>
      <c r="AJ1254" s="309"/>
      <c r="AK1254" s="37" t="s">
        <v>41</v>
      </c>
      <c r="AL1254" s="37" t="s">
        <v>106</v>
      </c>
      <c r="AM1254" s="299">
        <f t="shared" ca="1" si="110"/>
        <v>4.8159722222189885</v>
      </c>
      <c r="AN1254" s="51" t="s">
        <v>3416</v>
      </c>
      <c r="AO1254" s="104" t="s">
        <v>120</v>
      </c>
      <c r="AP1254" s="106" t="s">
        <v>3351</v>
      </c>
      <c r="AQ1254" s="104" t="s">
        <v>3549</v>
      </c>
      <c r="AR1254" s="111">
        <v>44909.447916666664</v>
      </c>
      <c r="AS1254" s="104" t="s">
        <v>117</v>
      </c>
      <c r="AT1254" s="134" t="s">
        <v>225</v>
      </c>
      <c r="AU1254" s="110">
        <v>0.44791666666666669</v>
      </c>
      <c r="AV1254" s="104">
        <v>1</v>
      </c>
      <c r="AW1254" s="134" t="s">
        <v>66</v>
      </c>
      <c r="AX1254" s="52"/>
      <c r="AY1254" s="52"/>
      <c r="AZ1254" s="52"/>
      <c r="BA1254" s="52"/>
    </row>
    <row r="1255" spans="1:53" x14ac:dyDescent="0.25">
      <c r="A1255" s="48">
        <v>183</v>
      </c>
      <c r="B1255" s="120">
        <v>44904.631944444445</v>
      </c>
      <c r="C1255" s="114">
        <v>0.63541666666666663</v>
      </c>
      <c r="D1255" s="114">
        <v>0.63888888888888895</v>
      </c>
      <c r="E1255" s="114">
        <v>0.65277777777777779</v>
      </c>
      <c r="F1255" s="115" t="s">
        <v>170</v>
      </c>
      <c r="G1255" s="115" t="s">
        <v>3350</v>
      </c>
      <c r="H1255" s="107" t="s">
        <v>187</v>
      </c>
      <c r="I1255" s="107" t="s">
        <v>153</v>
      </c>
      <c r="J1255" s="107" t="s">
        <v>37</v>
      </c>
      <c r="K1255" s="115" t="s">
        <v>63</v>
      </c>
      <c r="L1255" s="115" t="s">
        <v>212</v>
      </c>
      <c r="M1255" s="115" t="s">
        <v>3351</v>
      </c>
      <c r="N1255" s="115" t="s">
        <v>42</v>
      </c>
      <c r="O1255" s="37">
        <v>21222231644</v>
      </c>
      <c r="P1255" s="37">
        <v>5052010162</v>
      </c>
      <c r="Q1255" s="303">
        <f t="shared" si="111"/>
        <v>1</v>
      </c>
      <c r="R1255" s="303">
        <f t="shared" si="112"/>
        <v>7</v>
      </c>
      <c r="S1255" s="37">
        <v>1</v>
      </c>
      <c r="T1255" s="37">
        <v>7</v>
      </c>
      <c r="U1255" s="37">
        <v>0</v>
      </c>
      <c r="V1255" s="37">
        <v>0</v>
      </c>
      <c r="W1255" s="37">
        <v>7.3</v>
      </c>
      <c r="X1255" s="37">
        <v>31</v>
      </c>
      <c r="Y1255" s="37">
        <v>31</v>
      </c>
      <c r="Z1255" s="37">
        <v>21</v>
      </c>
      <c r="AA1255" s="37">
        <v>1</v>
      </c>
      <c r="AB1255" s="300">
        <f t="shared" si="113"/>
        <v>3.3635000000000002</v>
      </c>
      <c r="AC1255" s="300">
        <f t="shared" si="114"/>
        <v>2.0262048192771085E-2</v>
      </c>
      <c r="AD1255" s="37">
        <v>221.69</v>
      </c>
      <c r="AE1255" s="115" t="s">
        <v>109</v>
      </c>
      <c r="AF1255" s="115" t="s">
        <v>1566</v>
      </c>
      <c r="AG1255" s="115" t="s">
        <v>1566</v>
      </c>
      <c r="AH1255" s="37" t="s">
        <v>3353</v>
      </c>
      <c r="AI1255" s="309"/>
      <c r="AJ1255" s="309"/>
      <c r="AK1255" s="115" t="s">
        <v>48</v>
      </c>
      <c r="AL1255" s="115" t="s">
        <v>47</v>
      </c>
      <c r="AM1255" s="299">
        <f t="shared" ca="1" si="110"/>
        <v>4.8159722222189885</v>
      </c>
      <c r="AN1255" s="51"/>
      <c r="AO1255" s="104" t="s">
        <v>120</v>
      </c>
      <c r="AP1255" s="106" t="s">
        <v>3351</v>
      </c>
      <c r="AQ1255" s="104" t="s">
        <v>3549</v>
      </c>
      <c r="AR1255" s="111">
        <v>44909.447916666664</v>
      </c>
      <c r="AS1255" s="104" t="s">
        <v>117</v>
      </c>
      <c r="AT1255" s="134" t="s">
        <v>225</v>
      </c>
      <c r="AU1255" s="110">
        <v>0.44791666666666669</v>
      </c>
      <c r="AV1255" s="104">
        <v>1</v>
      </c>
      <c r="AW1255" s="134" t="s">
        <v>66</v>
      </c>
      <c r="AX1255" s="52"/>
      <c r="AY1255" s="52"/>
      <c r="AZ1255" s="52"/>
      <c r="BA1255" s="52"/>
    </row>
    <row r="1256" spans="1:53" x14ac:dyDescent="0.25">
      <c r="A1256" s="48">
        <v>184</v>
      </c>
      <c r="B1256" s="120">
        <v>44904.631944444445</v>
      </c>
      <c r="C1256" s="114">
        <v>0.63541666666666663</v>
      </c>
      <c r="D1256" s="114">
        <v>0.63888888888888895</v>
      </c>
      <c r="E1256" s="114">
        <v>0.65277777777777779</v>
      </c>
      <c r="F1256" s="115" t="s">
        <v>170</v>
      </c>
      <c r="G1256" s="115" t="s">
        <v>3350</v>
      </c>
      <c r="H1256" s="107" t="s">
        <v>187</v>
      </c>
      <c r="I1256" s="107" t="s">
        <v>153</v>
      </c>
      <c r="J1256" s="107" t="s">
        <v>37</v>
      </c>
      <c r="K1256" s="115" t="s">
        <v>63</v>
      </c>
      <c r="L1256" s="115" t="s">
        <v>212</v>
      </c>
      <c r="M1256" s="115" t="s">
        <v>3351</v>
      </c>
      <c r="N1256" s="115" t="s">
        <v>42</v>
      </c>
      <c r="O1256" s="37">
        <v>21222231647</v>
      </c>
      <c r="P1256" s="37">
        <v>5052013340</v>
      </c>
      <c r="Q1256" s="303">
        <f t="shared" si="111"/>
        <v>1</v>
      </c>
      <c r="R1256" s="303">
        <f t="shared" si="112"/>
        <v>6</v>
      </c>
      <c r="S1256" s="37">
        <v>1</v>
      </c>
      <c r="T1256" s="37">
        <v>6</v>
      </c>
      <c r="U1256" s="37">
        <v>0</v>
      </c>
      <c r="V1256" s="37">
        <v>0</v>
      </c>
      <c r="W1256" s="37">
        <v>5.75</v>
      </c>
      <c r="X1256" s="37">
        <v>31</v>
      </c>
      <c r="Y1256" s="37">
        <v>29</v>
      </c>
      <c r="Z1256" s="37">
        <v>20</v>
      </c>
      <c r="AA1256" s="37">
        <v>1</v>
      </c>
      <c r="AB1256" s="300">
        <f t="shared" si="113"/>
        <v>2.9966666666666666</v>
      </c>
      <c r="AC1256" s="300">
        <f t="shared" si="114"/>
        <v>1.8052208835341366E-2</v>
      </c>
      <c r="AD1256" s="37">
        <v>195.4</v>
      </c>
      <c r="AE1256" s="115" t="s">
        <v>109</v>
      </c>
      <c r="AF1256" s="115" t="s">
        <v>1566</v>
      </c>
      <c r="AG1256" s="115" t="s">
        <v>1566</v>
      </c>
      <c r="AH1256" s="37" t="s">
        <v>3354</v>
      </c>
      <c r="AI1256" s="309"/>
      <c r="AJ1256" s="309"/>
      <c r="AK1256" s="115" t="s">
        <v>48</v>
      </c>
      <c r="AL1256" s="115" t="s">
        <v>47</v>
      </c>
      <c r="AM1256" s="299">
        <f t="shared" ref="AM1256:AM1319" ca="1" si="115">IF(AP1256="",NOW()-B1256,AR1256-B1256)</f>
        <v>4.8159722222189885</v>
      </c>
      <c r="AN1256" s="51"/>
      <c r="AO1256" s="104" t="s">
        <v>120</v>
      </c>
      <c r="AP1256" s="106" t="s">
        <v>3351</v>
      </c>
      <c r="AQ1256" s="104" t="s">
        <v>3549</v>
      </c>
      <c r="AR1256" s="111">
        <v>44909.447916666664</v>
      </c>
      <c r="AS1256" s="104" t="s">
        <v>117</v>
      </c>
      <c r="AT1256" s="134" t="s">
        <v>225</v>
      </c>
      <c r="AU1256" s="110">
        <v>0.44791666666666669</v>
      </c>
      <c r="AV1256" s="104">
        <v>1</v>
      </c>
      <c r="AW1256" s="134" t="s">
        <v>66</v>
      </c>
      <c r="AX1256" s="52"/>
      <c r="AY1256" s="52"/>
      <c r="AZ1256" s="52"/>
      <c r="BA1256" s="52"/>
    </row>
    <row r="1257" spans="1:53" x14ac:dyDescent="0.25">
      <c r="A1257" s="48">
        <v>185</v>
      </c>
      <c r="B1257" s="120">
        <v>44904.631944444445</v>
      </c>
      <c r="C1257" s="114">
        <v>0.63541666666666663</v>
      </c>
      <c r="D1257" s="114">
        <v>0.63888888888888895</v>
      </c>
      <c r="E1257" s="114">
        <v>0.65277777777777779</v>
      </c>
      <c r="F1257" s="115" t="s">
        <v>170</v>
      </c>
      <c r="G1257" s="115" t="s">
        <v>3350</v>
      </c>
      <c r="H1257" s="26" t="s">
        <v>3355</v>
      </c>
      <c r="I1257" s="26" t="s">
        <v>102</v>
      </c>
      <c r="J1257" s="107" t="s">
        <v>37</v>
      </c>
      <c r="K1257" s="115" t="s">
        <v>63</v>
      </c>
      <c r="L1257" s="26">
        <v>0</v>
      </c>
      <c r="M1257" s="37" t="s">
        <v>3356</v>
      </c>
      <c r="N1257" s="37" t="s">
        <v>3361</v>
      </c>
      <c r="O1257" s="37" t="s">
        <v>3357</v>
      </c>
      <c r="P1257" s="37">
        <v>53473309</v>
      </c>
      <c r="Q1257" s="303">
        <f t="shared" ref="Q1257:Q1320" si="116">S1257+U1257</f>
        <v>2</v>
      </c>
      <c r="R1257" s="303">
        <f t="shared" ref="R1257:R1320" si="117">T1257+V1257</f>
        <v>295</v>
      </c>
      <c r="S1257" s="37">
        <v>0</v>
      </c>
      <c r="T1257" s="37">
        <v>0</v>
      </c>
      <c r="U1257" s="37">
        <v>2</v>
      </c>
      <c r="V1257" s="37">
        <f>130+165</f>
        <v>295</v>
      </c>
      <c r="W1257" s="37">
        <v>296</v>
      </c>
      <c r="X1257" s="37">
        <v>113</v>
      </c>
      <c r="Y1257" s="37">
        <v>79</v>
      </c>
      <c r="Z1257" s="37">
        <v>75</v>
      </c>
      <c r="AA1257" s="37">
        <v>2</v>
      </c>
      <c r="AB1257" s="300">
        <f t="shared" ref="AB1257:AB1320" si="118">X1257*Y1257*Z1257*AA1257/6000</f>
        <v>223.17500000000001</v>
      </c>
      <c r="AC1257" s="300">
        <f t="shared" ref="AC1257:AC1320" si="119">AB1257/166</f>
        <v>1.3444277108433735</v>
      </c>
      <c r="AD1257" s="37">
        <v>4216</v>
      </c>
      <c r="AE1257" s="37" t="s">
        <v>111</v>
      </c>
      <c r="AF1257" s="115" t="s">
        <v>1566</v>
      </c>
      <c r="AG1257" s="115" t="s">
        <v>1566</v>
      </c>
      <c r="AH1257" s="37" t="s">
        <v>3358</v>
      </c>
      <c r="AI1257" s="309"/>
      <c r="AJ1257" s="309"/>
      <c r="AK1257" s="115" t="s">
        <v>41</v>
      </c>
      <c r="AL1257" s="115" t="s">
        <v>47</v>
      </c>
      <c r="AM1257" s="299">
        <f t="shared" ca="1" si="115"/>
        <v>5.5555555554747116E-2</v>
      </c>
      <c r="AN1257" s="51"/>
      <c r="AO1257" s="104" t="s">
        <v>3376</v>
      </c>
      <c r="AP1257" s="106" t="s">
        <v>3356</v>
      </c>
      <c r="AQ1257" s="104" t="s">
        <v>3377</v>
      </c>
      <c r="AR1257" s="111">
        <v>44904.6875</v>
      </c>
      <c r="AS1257" s="104" t="s">
        <v>173</v>
      </c>
      <c r="AT1257" s="109" t="s">
        <v>225</v>
      </c>
      <c r="AU1257" s="110">
        <v>0.6875</v>
      </c>
      <c r="AV1257" s="104">
        <v>2</v>
      </c>
      <c r="AW1257" s="109" t="s">
        <v>66</v>
      </c>
      <c r="AX1257" s="52"/>
      <c r="AY1257" s="52"/>
      <c r="AZ1257" s="52"/>
      <c r="BA1257" s="52"/>
    </row>
    <row r="1258" spans="1:53" x14ac:dyDescent="0.25">
      <c r="A1258" s="48">
        <v>186</v>
      </c>
      <c r="B1258" s="46">
        <v>44904.631944444445</v>
      </c>
      <c r="C1258" s="36">
        <v>0.63541666666666663</v>
      </c>
      <c r="D1258" s="36">
        <v>0.64236111111111105</v>
      </c>
      <c r="E1258" s="36">
        <v>0.65972222222222221</v>
      </c>
      <c r="F1258" s="115" t="s">
        <v>169</v>
      </c>
      <c r="G1258" s="37" t="s">
        <v>324</v>
      </c>
      <c r="H1258" s="26" t="s">
        <v>305</v>
      </c>
      <c r="I1258" s="26" t="s">
        <v>3359</v>
      </c>
      <c r="J1258" s="26" t="s">
        <v>41</v>
      </c>
      <c r="K1258" s="115" t="s">
        <v>241</v>
      </c>
      <c r="L1258" s="115" t="s">
        <v>325</v>
      </c>
      <c r="M1258" s="37" t="s">
        <v>3360</v>
      </c>
      <c r="N1258" s="37" t="s">
        <v>42</v>
      </c>
      <c r="O1258" s="37">
        <v>95002931</v>
      </c>
      <c r="P1258" s="37">
        <v>5030970</v>
      </c>
      <c r="Q1258" s="303">
        <f t="shared" si="116"/>
        <v>28</v>
      </c>
      <c r="R1258" s="303">
        <f t="shared" si="117"/>
        <v>432</v>
      </c>
      <c r="S1258" s="37">
        <v>28</v>
      </c>
      <c r="T1258" s="37">
        <f>275-17+197-23</f>
        <v>432</v>
      </c>
      <c r="U1258" s="37">
        <v>0</v>
      </c>
      <c r="V1258" s="37">
        <v>0</v>
      </c>
      <c r="W1258" s="37">
        <v>437.87</v>
      </c>
      <c r="X1258" s="37">
        <v>59</v>
      </c>
      <c r="Y1258" s="37">
        <v>44</v>
      </c>
      <c r="Z1258" s="37">
        <v>26</v>
      </c>
      <c r="AA1258" s="37">
        <v>27</v>
      </c>
      <c r="AB1258" s="300">
        <f t="shared" si="118"/>
        <v>303.73200000000003</v>
      </c>
      <c r="AC1258" s="300">
        <f t="shared" si="119"/>
        <v>1.8297108433734941</v>
      </c>
      <c r="AD1258" s="37">
        <v>18056</v>
      </c>
      <c r="AE1258" s="37" t="s">
        <v>109</v>
      </c>
      <c r="AF1258" s="115">
        <v>5999264</v>
      </c>
      <c r="AG1258" s="115" t="s">
        <v>3229</v>
      </c>
      <c r="AH1258" s="37" t="s">
        <v>3362</v>
      </c>
      <c r="AI1258" s="309"/>
      <c r="AJ1258" s="309"/>
      <c r="AK1258" s="37" t="s">
        <v>48</v>
      </c>
      <c r="AL1258" s="37" t="s">
        <v>50</v>
      </c>
      <c r="AM1258" s="299">
        <f t="shared" ca="1" si="115"/>
        <v>2.9027777777737356</v>
      </c>
      <c r="AN1258" s="51"/>
      <c r="AO1258" s="104" t="s">
        <v>135</v>
      </c>
      <c r="AP1258" s="106" t="s">
        <v>3360</v>
      </c>
      <c r="AQ1258" s="104" t="s">
        <v>3396</v>
      </c>
      <c r="AR1258" s="111">
        <v>44907.534722222219</v>
      </c>
      <c r="AS1258" s="104" t="s">
        <v>173</v>
      </c>
      <c r="AT1258" s="109" t="s">
        <v>225</v>
      </c>
      <c r="AU1258" s="110">
        <v>0.53472222222222221</v>
      </c>
      <c r="AV1258" s="104">
        <v>1</v>
      </c>
      <c r="AW1258" s="109" t="s">
        <v>66</v>
      </c>
      <c r="AX1258" s="52"/>
      <c r="AY1258" s="52"/>
      <c r="AZ1258" s="52"/>
      <c r="BA1258" s="52"/>
    </row>
    <row r="1259" spans="1:53" x14ac:dyDescent="0.25">
      <c r="A1259" s="121">
        <v>186</v>
      </c>
      <c r="B1259" s="120">
        <v>44904.631944444445</v>
      </c>
      <c r="C1259" s="114">
        <v>0.63541666666666663</v>
      </c>
      <c r="D1259" s="114">
        <v>0.64236111111111105</v>
      </c>
      <c r="E1259" s="114">
        <v>0.65972222222222221</v>
      </c>
      <c r="F1259" s="115" t="s">
        <v>169</v>
      </c>
      <c r="G1259" s="115" t="s">
        <v>324</v>
      </c>
      <c r="H1259" s="107" t="s">
        <v>305</v>
      </c>
      <c r="I1259" s="107" t="s">
        <v>3359</v>
      </c>
      <c r="J1259" s="107" t="s">
        <v>41</v>
      </c>
      <c r="K1259" s="115" t="s">
        <v>241</v>
      </c>
      <c r="L1259" s="115" t="s">
        <v>325</v>
      </c>
      <c r="M1259" s="115" t="s">
        <v>3360</v>
      </c>
      <c r="N1259" s="115" t="s">
        <v>42</v>
      </c>
      <c r="O1259" s="115">
        <v>95002931</v>
      </c>
      <c r="P1259" s="115">
        <v>5030970</v>
      </c>
      <c r="Q1259" s="303">
        <f t="shared" si="116"/>
        <v>0</v>
      </c>
      <c r="R1259" s="303">
        <f t="shared" si="117"/>
        <v>0</v>
      </c>
      <c r="S1259" s="115">
        <v>0</v>
      </c>
      <c r="T1259" s="115">
        <v>0</v>
      </c>
      <c r="U1259" s="115">
        <v>0</v>
      </c>
      <c r="V1259" s="115">
        <v>0</v>
      </c>
      <c r="W1259" s="115">
        <v>0</v>
      </c>
      <c r="X1259" s="37">
        <v>58</v>
      </c>
      <c r="Y1259" s="37">
        <v>45</v>
      </c>
      <c r="Z1259" s="37">
        <v>14</v>
      </c>
      <c r="AA1259" s="37">
        <v>1</v>
      </c>
      <c r="AB1259" s="300">
        <f t="shared" si="118"/>
        <v>6.09</v>
      </c>
      <c r="AC1259" s="300">
        <f t="shared" si="119"/>
        <v>3.6686746987951803E-2</v>
      </c>
      <c r="AD1259" s="37">
        <v>0</v>
      </c>
      <c r="AE1259" s="115">
        <v>0</v>
      </c>
      <c r="AF1259" s="115">
        <v>5999264</v>
      </c>
      <c r="AG1259" s="115" t="s">
        <v>3229</v>
      </c>
      <c r="AH1259" s="115" t="s">
        <v>3362</v>
      </c>
      <c r="AI1259" s="309"/>
      <c r="AJ1259" s="309"/>
      <c r="AK1259" s="115" t="s">
        <v>48</v>
      </c>
      <c r="AL1259" s="115" t="s">
        <v>50</v>
      </c>
      <c r="AM1259" s="299">
        <f t="shared" ca="1" si="115"/>
        <v>2.9027777777737356</v>
      </c>
      <c r="AN1259" s="51"/>
      <c r="AO1259" s="104" t="s">
        <v>135</v>
      </c>
      <c r="AP1259" s="106" t="s">
        <v>3360</v>
      </c>
      <c r="AQ1259" s="104" t="s">
        <v>3396</v>
      </c>
      <c r="AR1259" s="111">
        <v>44907.534722222219</v>
      </c>
      <c r="AS1259" s="104" t="s">
        <v>173</v>
      </c>
      <c r="AT1259" s="109" t="s">
        <v>225</v>
      </c>
      <c r="AU1259" s="110">
        <v>0.53472222222222221</v>
      </c>
      <c r="AV1259" s="104">
        <v>1</v>
      </c>
      <c r="AW1259" s="109" t="s">
        <v>66</v>
      </c>
      <c r="AX1259" s="52"/>
      <c r="AY1259" s="52"/>
      <c r="AZ1259" s="52"/>
      <c r="BA1259" s="52"/>
    </row>
    <row r="1260" spans="1:53" x14ac:dyDescent="0.25">
      <c r="A1260" s="121">
        <v>187</v>
      </c>
      <c r="B1260" s="120">
        <v>44904.75</v>
      </c>
      <c r="C1260" s="114">
        <v>0.75</v>
      </c>
      <c r="D1260" s="114">
        <v>0.75694444444444453</v>
      </c>
      <c r="E1260" s="114">
        <v>0.80208333333333337</v>
      </c>
      <c r="F1260" s="115" t="s">
        <v>169</v>
      </c>
      <c r="G1260" s="115" t="s">
        <v>454</v>
      </c>
      <c r="H1260" s="119" t="s">
        <v>130</v>
      </c>
      <c r="I1260" s="119" t="s">
        <v>100</v>
      </c>
      <c r="J1260" s="119" t="s">
        <v>37</v>
      </c>
      <c r="K1260" s="113" t="s">
        <v>241</v>
      </c>
      <c r="L1260" s="113" t="s">
        <v>206</v>
      </c>
      <c r="M1260" s="115" t="s">
        <v>3381</v>
      </c>
      <c r="N1260" s="115" t="s">
        <v>340</v>
      </c>
      <c r="O1260" s="115" t="s">
        <v>3382</v>
      </c>
      <c r="P1260" s="115">
        <v>1682043</v>
      </c>
      <c r="Q1260" s="303">
        <f t="shared" si="116"/>
        <v>5</v>
      </c>
      <c r="R1260" s="303">
        <f t="shared" si="117"/>
        <v>17</v>
      </c>
      <c r="S1260" s="115">
        <v>5</v>
      </c>
      <c r="T1260" s="115">
        <v>17</v>
      </c>
      <c r="U1260" s="115">
        <v>0</v>
      </c>
      <c r="V1260" s="115">
        <v>0</v>
      </c>
      <c r="W1260" s="115" t="s">
        <v>48</v>
      </c>
      <c r="X1260" s="115">
        <v>59</v>
      </c>
      <c r="Y1260" s="115">
        <v>39</v>
      </c>
      <c r="Z1260" s="115">
        <v>14</v>
      </c>
      <c r="AA1260" s="115">
        <v>3</v>
      </c>
      <c r="AB1260" s="300">
        <f t="shared" si="118"/>
        <v>16.106999999999999</v>
      </c>
      <c r="AC1260" s="300">
        <f t="shared" si="119"/>
        <v>9.7030120481927704E-2</v>
      </c>
      <c r="AD1260" s="115">
        <v>330</v>
      </c>
      <c r="AE1260" s="115" t="s">
        <v>109</v>
      </c>
      <c r="AF1260" s="115" t="s">
        <v>3395</v>
      </c>
      <c r="AG1260" s="115" t="s">
        <v>3395</v>
      </c>
      <c r="AH1260" s="115" t="s">
        <v>3383</v>
      </c>
      <c r="AI1260" s="309"/>
      <c r="AJ1260" s="309"/>
      <c r="AK1260" s="115" t="s">
        <v>48</v>
      </c>
      <c r="AL1260" s="115" t="s">
        <v>50</v>
      </c>
      <c r="AM1260" s="299">
        <f t="shared" ca="1" si="115"/>
        <v>2.9236111111094942</v>
      </c>
      <c r="AN1260" s="51"/>
      <c r="AO1260" s="104" t="s">
        <v>81</v>
      </c>
      <c r="AP1260" s="106" t="s">
        <v>3381</v>
      </c>
      <c r="AQ1260" s="104" t="s">
        <v>3422</v>
      </c>
      <c r="AR1260" s="111">
        <v>44907.673611111109</v>
      </c>
      <c r="AS1260" s="104" t="s">
        <v>498</v>
      </c>
      <c r="AT1260" s="109" t="s">
        <v>225</v>
      </c>
      <c r="AU1260" s="110">
        <v>0.67361111111111116</v>
      </c>
      <c r="AV1260" s="104">
        <v>5</v>
      </c>
      <c r="AW1260" s="109" t="s">
        <v>66</v>
      </c>
      <c r="AX1260" s="52"/>
      <c r="AY1260" s="52"/>
      <c r="AZ1260" s="52"/>
      <c r="BA1260" s="52"/>
    </row>
    <row r="1261" spans="1:53" x14ac:dyDescent="0.25">
      <c r="A1261" s="121">
        <v>187</v>
      </c>
      <c r="B1261" s="120">
        <v>44904.75</v>
      </c>
      <c r="C1261" s="114">
        <v>0.75</v>
      </c>
      <c r="D1261" s="114">
        <v>0.75694444444444453</v>
      </c>
      <c r="E1261" s="114">
        <v>0.80208333333333337</v>
      </c>
      <c r="F1261" s="115" t="s">
        <v>169</v>
      </c>
      <c r="G1261" s="115" t="s">
        <v>454</v>
      </c>
      <c r="H1261" s="113" t="s">
        <v>130</v>
      </c>
      <c r="I1261" s="113" t="s">
        <v>100</v>
      </c>
      <c r="J1261" s="113" t="s">
        <v>37</v>
      </c>
      <c r="K1261" s="113" t="s">
        <v>241</v>
      </c>
      <c r="L1261" s="113" t="s">
        <v>206</v>
      </c>
      <c r="M1261" s="115" t="s">
        <v>3381</v>
      </c>
      <c r="N1261" s="115" t="s">
        <v>340</v>
      </c>
      <c r="O1261" s="115" t="s">
        <v>3382</v>
      </c>
      <c r="P1261" s="115">
        <v>1682043</v>
      </c>
      <c r="Q1261" s="303">
        <f t="shared" si="116"/>
        <v>0</v>
      </c>
      <c r="R1261" s="303">
        <f t="shared" si="117"/>
        <v>0</v>
      </c>
      <c r="S1261" s="115">
        <v>0</v>
      </c>
      <c r="T1261" s="115">
        <v>0</v>
      </c>
      <c r="U1261" s="115">
        <v>0</v>
      </c>
      <c r="V1261" s="115">
        <v>0</v>
      </c>
      <c r="W1261" s="115">
        <v>0</v>
      </c>
      <c r="X1261" s="115">
        <v>38</v>
      </c>
      <c r="Y1261" s="115">
        <v>29</v>
      </c>
      <c r="Z1261" s="115">
        <v>15</v>
      </c>
      <c r="AA1261" s="115">
        <v>2</v>
      </c>
      <c r="AB1261" s="300">
        <f t="shared" si="118"/>
        <v>5.51</v>
      </c>
      <c r="AC1261" s="300">
        <f t="shared" si="119"/>
        <v>3.3192771084337346E-2</v>
      </c>
      <c r="AD1261" s="115">
        <v>0</v>
      </c>
      <c r="AE1261" s="115">
        <v>0</v>
      </c>
      <c r="AF1261" s="115" t="s">
        <v>3395</v>
      </c>
      <c r="AG1261" s="115" t="s">
        <v>3395</v>
      </c>
      <c r="AH1261" s="115" t="s">
        <v>3383</v>
      </c>
      <c r="AI1261" s="309"/>
      <c r="AJ1261" s="309"/>
      <c r="AK1261" s="115" t="s">
        <v>48</v>
      </c>
      <c r="AL1261" s="115" t="s">
        <v>50</v>
      </c>
      <c r="AM1261" s="299">
        <f t="shared" ca="1" si="115"/>
        <v>2.9236111111094942</v>
      </c>
      <c r="AN1261" s="51"/>
      <c r="AO1261" s="104" t="s">
        <v>81</v>
      </c>
      <c r="AP1261" s="106" t="s">
        <v>3381</v>
      </c>
      <c r="AQ1261" s="104" t="s">
        <v>3422</v>
      </c>
      <c r="AR1261" s="111">
        <v>44907.673611111109</v>
      </c>
      <c r="AS1261" s="104" t="s">
        <v>498</v>
      </c>
      <c r="AT1261" s="109" t="s">
        <v>225</v>
      </c>
      <c r="AU1261" s="110">
        <v>0.67361111111111116</v>
      </c>
      <c r="AV1261" s="104">
        <v>5</v>
      </c>
      <c r="AW1261" s="109" t="s">
        <v>66</v>
      </c>
      <c r="AX1261" s="52"/>
      <c r="AY1261" s="52"/>
      <c r="AZ1261" s="52"/>
      <c r="BA1261" s="52"/>
    </row>
    <row r="1262" spans="1:53" x14ac:dyDescent="0.25">
      <c r="A1262" s="121">
        <v>188</v>
      </c>
      <c r="B1262" s="120">
        <v>44905.420138888891</v>
      </c>
      <c r="C1262" s="114">
        <v>0.42708333333333331</v>
      </c>
      <c r="D1262" s="114">
        <v>0.43055555555555558</v>
      </c>
      <c r="E1262" s="114">
        <v>0.44444444444444442</v>
      </c>
      <c r="F1262" s="115" t="s">
        <v>171</v>
      </c>
      <c r="G1262" s="115" t="s">
        <v>136</v>
      </c>
      <c r="H1262" s="113" t="s">
        <v>342</v>
      </c>
      <c r="I1262" s="113" t="s">
        <v>342</v>
      </c>
      <c r="J1262" s="113" t="s">
        <v>37</v>
      </c>
      <c r="K1262" s="115" t="s">
        <v>180</v>
      </c>
      <c r="L1262" s="115">
        <v>0</v>
      </c>
      <c r="M1262" s="115" t="s">
        <v>3385</v>
      </c>
      <c r="N1262" s="115" t="s">
        <v>42</v>
      </c>
      <c r="O1262" s="115" t="s">
        <v>3386</v>
      </c>
      <c r="P1262" s="115">
        <v>29545469</v>
      </c>
      <c r="Q1262" s="303">
        <f t="shared" si="116"/>
        <v>4</v>
      </c>
      <c r="R1262" s="303">
        <f t="shared" si="117"/>
        <v>2525</v>
      </c>
      <c r="S1262" s="115">
        <v>0</v>
      </c>
      <c r="T1262" s="115">
        <v>0</v>
      </c>
      <c r="U1262" s="115">
        <v>4</v>
      </c>
      <c r="V1262" s="115">
        <f>653+659+548+665</f>
        <v>2525</v>
      </c>
      <c r="W1262" s="115">
        <v>2400</v>
      </c>
      <c r="X1262" s="115">
        <v>99</v>
      </c>
      <c r="Y1262" s="115">
        <v>98</v>
      </c>
      <c r="Z1262" s="115">
        <v>75</v>
      </c>
      <c r="AA1262" s="115">
        <v>4</v>
      </c>
      <c r="AB1262" s="300">
        <f t="shared" si="118"/>
        <v>485.1</v>
      </c>
      <c r="AC1262" s="300">
        <f t="shared" si="119"/>
        <v>2.9222891566265061</v>
      </c>
      <c r="AD1262" s="115">
        <v>26449.84</v>
      </c>
      <c r="AE1262" s="115" t="s">
        <v>109</v>
      </c>
      <c r="AF1262" s="115" t="s">
        <v>3395</v>
      </c>
      <c r="AG1262" s="115" t="s">
        <v>3395</v>
      </c>
      <c r="AH1262" s="115" t="s">
        <v>3387</v>
      </c>
      <c r="AI1262" s="309"/>
      <c r="AJ1262" s="309"/>
      <c r="AK1262" s="115" t="s">
        <v>37</v>
      </c>
      <c r="AL1262" s="115" t="s">
        <v>39</v>
      </c>
      <c r="AM1262" s="299">
        <f t="shared" ca="1" si="115"/>
        <v>2.1145833333284827</v>
      </c>
      <c r="AN1262" s="51"/>
      <c r="AO1262" s="104" t="s">
        <v>107</v>
      </c>
      <c r="AP1262" s="106" t="s">
        <v>3385</v>
      </c>
      <c r="AQ1262" s="104" t="s">
        <v>3396</v>
      </c>
      <c r="AR1262" s="111">
        <v>44907.534722222219</v>
      </c>
      <c r="AS1262" s="104" t="s">
        <v>173</v>
      </c>
      <c r="AT1262" s="109" t="s">
        <v>225</v>
      </c>
      <c r="AU1262" s="110">
        <v>0.53472222222222221</v>
      </c>
      <c r="AV1262" s="104">
        <v>1</v>
      </c>
      <c r="AW1262" s="109" t="s">
        <v>66</v>
      </c>
      <c r="AX1262" s="52"/>
      <c r="AY1262" s="52"/>
      <c r="AZ1262" s="52"/>
      <c r="BA1262" s="52"/>
    </row>
    <row r="1263" spans="1:53" x14ac:dyDescent="0.25">
      <c r="A1263" s="48">
        <v>189</v>
      </c>
      <c r="B1263" s="46">
        <v>44905.534722222219</v>
      </c>
      <c r="C1263" s="36">
        <v>0.53472222222222221</v>
      </c>
      <c r="D1263" s="36">
        <v>0.54166666666666663</v>
      </c>
      <c r="E1263" s="36">
        <v>0.54513888888888895</v>
      </c>
      <c r="F1263" s="37" t="s">
        <v>170</v>
      </c>
      <c r="G1263" s="37" t="s">
        <v>3388</v>
      </c>
      <c r="H1263" s="26" t="s">
        <v>3389</v>
      </c>
      <c r="I1263" s="26" t="s">
        <v>62</v>
      </c>
      <c r="J1263" s="113" t="s">
        <v>37</v>
      </c>
      <c r="K1263" s="26" t="s">
        <v>63</v>
      </c>
      <c r="L1263" s="26">
        <v>0</v>
      </c>
      <c r="M1263" s="37" t="s">
        <v>3394</v>
      </c>
      <c r="N1263" s="37" t="s">
        <v>64</v>
      </c>
      <c r="O1263" s="37" t="s">
        <v>3390</v>
      </c>
      <c r="P1263" s="37">
        <v>4417860693</v>
      </c>
      <c r="Q1263" s="303">
        <f t="shared" si="116"/>
        <v>1</v>
      </c>
      <c r="R1263" s="303">
        <f t="shared" si="117"/>
        <v>441</v>
      </c>
      <c r="S1263" s="37">
        <v>0</v>
      </c>
      <c r="T1263" s="37">
        <v>0</v>
      </c>
      <c r="U1263" s="37">
        <v>1</v>
      </c>
      <c r="V1263" s="37">
        <v>441</v>
      </c>
      <c r="W1263" s="37">
        <v>460</v>
      </c>
      <c r="X1263" s="37">
        <v>130</v>
      </c>
      <c r="Y1263" s="37">
        <v>54</v>
      </c>
      <c r="Z1263" s="37">
        <v>73</v>
      </c>
      <c r="AA1263" s="37">
        <v>1</v>
      </c>
      <c r="AB1263" s="300">
        <f t="shared" si="118"/>
        <v>85.41</v>
      </c>
      <c r="AC1263" s="300">
        <f t="shared" si="119"/>
        <v>0.51451807228915658</v>
      </c>
      <c r="AD1263" s="37">
        <v>1782.6</v>
      </c>
      <c r="AE1263" s="115" t="s">
        <v>109</v>
      </c>
      <c r="AF1263" s="115" t="s">
        <v>1566</v>
      </c>
      <c r="AG1263" s="115" t="s">
        <v>1566</v>
      </c>
      <c r="AH1263" s="37" t="s">
        <v>3391</v>
      </c>
      <c r="AI1263" s="309"/>
      <c r="AJ1263" s="309"/>
      <c r="AK1263" s="115" t="s">
        <v>37</v>
      </c>
      <c r="AL1263" s="115" t="s">
        <v>39</v>
      </c>
      <c r="AM1263" s="299">
        <f t="shared" ca="1" si="115"/>
        <v>2</v>
      </c>
      <c r="AN1263" s="51"/>
      <c r="AO1263" s="104" t="s">
        <v>77</v>
      </c>
      <c r="AP1263" s="106" t="s">
        <v>3394</v>
      </c>
      <c r="AQ1263" s="104" t="s">
        <v>3397</v>
      </c>
      <c r="AR1263" s="111">
        <v>44907.534722222219</v>
      </c>
      <c r="AS1263" s="104" t="s">
        <v>173</v>
      </c>
      <c r="AT1263" s="109" t="s">
        <v>225</v>
      </c>
      <c r="AU1263" s="110">
        <v>0.53472222222222221</v>
      </c>
      <c r="AV1263" s="104">
        <v>1</v>
      </c>
      <c r="AW1263" s="109" t="s">
        <v>66</v>
      </c>
      <c r="AX1263" s="52"/>
      <c r="AY1263" s="52"/>
      <c r="AZ1263" s="52"/>
      <c r="BA1263" s="52"/>
    </row>
    <row r="1264" spans="1:53" x14ac:dyDescent="0.25">
      <c r="A1264" s="48">
        <v>190</v>
      </c>
      <c r="B1264" s="120">
        <v>44905.534722222219</v>
      </c>
      <c r="C1264" s="114">
        <v>0.53472222222222221</v>
      </c>
      <c r="D1264" s="114">
        <v>0.54166666666666663</v>
      </c>
      <c r="E1264" s="114">
        <v>0.54513888888888895</v>
      </c>
      <c r="F1264" s="115" t="s">
        <v>170</v>
      </c>
      <c r="G1264" s="115" t="s">
        <v>3388</v>
      </c>
      <c r="H1264" s="26" t="s">
        <v>227</v>
      </c>
      <c r="I1264" s="26" t="s">
        <v>189</v>
      </c>
      <c r="J1264" s="113" t="s">
        <v>37</v>
      </c>
      <c r="K1264" s="113" t="s">
        <v>63</v>
      </c>
      <c r="L1264" s="118" t="s">
        <v>206</v>
      </c>
      <c r="M1264" s="104" t="s">
        <v>3460</v>
      </c>
      <c r="N1264" s="37" t="s">
        <v>42</v>
      </c>
      <c r="O1264" s="37" t="s">
        <v>3392</v>
      </c>
      <c r="P1264" s="37">
        <v>3720</v>
      </c>
      <c r="Q1264" s="303">
        <f t="shared" si="116"/>
        <v>11</v>
      </c>
      <c r="R1264" s="303">
        <f t="shared" si="117"/>
        <v>256</v>
      </c>
      <c r="S1264" s="37">
        <v>10</v>
      </c>
      <c r="T1264" s="37">
        <f>144-23</f>
        <v>121</v>
      </c>
      <c r="U1264" s="37">
        <v>1</v>
      </c>
      <c r="V1264" s="37">
        <v>135</v>
      </c>
      <c r="W1264" s="37">
        <v>272.82</v>
      </c>
      <c r="X1264" s="37">
        <v>161</v>
      </c>
      <c r="Y1264" s="37">
        <v>74</v>
      </c>
      <c r="Z1264" s="37">
        <v>78</v>
      </c>
      <c r="AA1264" s="37">
        <v>1</v>
      </c>
      <c r="AB1264" s="300">
        <f t="shared" si="118"/>
        <v>154.88200000000001</v>
      </c>
      <c r="AC1264" s="300">
        <f t="shared" si="119"/>
        <v>0.93302409638554218</v>
      </c>
      <c r="AD1264" s="37" t="s">
        <v>48</v>
      </c>
      <c r="AE1264" s="115" t="s">
        <v>48</v>
      </c>
      <c r="AF1264" s="115" t="s">
        <v>1566</v>
      </c>
      <c r="AG1264" s="115" t="s">
        <v>1566</v>
      </c>
      <c r="AH1264" s="37" t="s">
        <v>3393</v>
      </c>
      <c r="AI1264" s="309"/>
      <c r="AJ1264" s="309"/>
      <c r="AK1264" s="115" t="s">
        <v>37</v>
      </c>
      <c r="AL1264" s="115" t="s">
        <v>39</v>
      </c>
      <c r="AM1264" s="299">
        <f t="shared" ca="1" si="115"/>
        <v>3.2013888888905058</v>
      </c>
      <c r="AN1264" s="51"/>
      <c r="AO1264" s="104" t="s">
        <v>89</v>
      </c>
      <c r="AP1264" s="106" t="s">
        <v>3460</v>
      </c>
      <c r="AQ1264" s="104" t="s">
        <v>3511</v>
      </c>
      <c r="AR1264" s="111">
        <v>44908.736111111109</v>
      </c>
      <c r="AS1264" s="104" t="s">
        <v>173</v>
      </c>
      <c r="AT1264" s="109" t="s">
        <v>225</v>
      </c>
      <c r="AU1264" s="110">
        <v>0.73611111111111116</v>
      </c>
      <c r="AV1264" s="104">
        <v>1</v>
      </c>
      <c r="AW1264" s="109" t="s">
        <v>66</v>
      </c>
      <c r="AX1264" s="52"/>
      <c r="AY1264" s="52"/>
      <c r="AZ1264" s="52"/>
      <c r="BA1264" s="52"/>
    </row>
    <row r="1265" spans="1:53" x14ac:dyDescent="0.25">
      <c r="A1265" s="121">
        <v>190</v>
      </c>
      <c r="B1265" s="120">
        <v>44905.534722222219</v>
      </c>
      <c r="C1265" s="114">
        <v>0.53472222222222221</v>
      </c>
      <c r="D1265" s="114">
        <v>0.54166666666666663</v>
      </c>
      <c r="E1265" s="114">
        <v>0.54513888888888895</v>
      </c>
      <c r="F1265" s="115" t="s">
        <v>170</v>
      </c>
      <c r="G1265" s="115" t="s">
        <v>3388</v>
      </c>
      <c r="H1265" s="107" t="s">
        <v>227</v>
      </c>
      <c r="I1265" s="107" t="s">
        <v>189</v>
      </c>
      <c r="J1265" s="113" t="s">
        <v>37</v>
      </c>
      <c r="K1265" s="113" t="s">
        <v>63</v>
      </c>
      <c r="L1265" s="118" t="s">
        <v>206</v>
      </c>
      <c r="M1265" s="104" t="s">
        <v>3460</v>
      </c>
      <c r="N1265" s="115" t="s">
        <v>42</v>
      </c>
      <c r="O1265" s="115" t="s">
        <v>3392</v>
      </c>
      <c r="P1265" s="115">
        <v>3720</v>
      </c>
      <c r="Q1265" s="303">
        <f t="shared" si="116"/>
        <v>0</v>
      </c>
      <c r="R1265" s="303">
        <f t="shared" si="117"/>
        <v>0</v>
      </c>
      <c r="S1265" s="115">
        <v>0</v>
      </c>
      <c r="T1265" s="115">
        <v>0</v>
      </c>
      <c r="U1265" s="115">
        <v>0</v>
      </c>
      <c r="V1265" s="115">
        <v>0</v>
      </c>
      <c r="W1265" s="115">
        <v>0</v>
      </c>
      <c r="X1265" s="37">
        <v>90</v>
      </c>
      <c r="Y1265" s="37">
        <v>36</v>
      </c>
      <c r="Z1265" s="37">
        <v>51</v>
      </c>
      <c r="AA1265" s="37">
        <v>10</v>
      </c>
      <c r="AB1265" s="300">
        <f t="shared" si="118"/>
        <v>275.39999999999998</v>
      </c>
      <c r="AC1265" s="300">
        <f t="shared" si="119"/>
        <v>1.6590361445783131</v>
      </c>
      <c r="AD1265" s="37">
        <v>0</v>
      </c>
      <c r="AE1265" s="115">
        <v>0</v>
      </c>
      <c r="AF1265" s="115" t="s">
        <v>1566</v>
      </c>
      <c r="AG1265" s="115" t="s">
        <v>1566</v>
      </c>
      <c r="AH1265" s="115" t="s">
        <v>3393</v>
      </c>
      <c r="AI1265" s="309"/>
      <c r="AJ1265" s="309"/>
      <c r="AK1265" s="37" t="s">
        <v>48</v>
      </c>
      <c r="AL1265" s="37" t="s">
        <v>50</v>
      </c>
      <c r="AM1265" s="299">
        <f t="shared" ca="1" si="115"/>
        <v>3.2013888888905058</v>
      </c>
      <c r="AN1265" s="51"/>
      <c r="AO1265" s="104" t="s">
        <v>89</v>
      </c>
      <c r="AP1265" s="106" t="s">
        <v>3460</v>
      </c>
      <c r="AQ1265" s="104" t="s">
        <v>3511</v>
      </c>
      <c r="AR1265" s="111">
        <v>44908.736111111109</v>
      </c>
      <c r="AS1265" s="104" t="s">
        <v>173</v>
      </c>
      <c r="AT1265" s="109" t="s">
        <v>225</v>
      </c>
      <c r="AU1265" s="110">
        <v>0.73611111111111116</v>
      </c>
      <c r="AV1265" s="104">
        <v>1</v>
      </c>
      <c r="AW1265" s="109" t="s">
        <v>66</v>
      </c>
      <c r="AX1265" s="52"/>
      <c r="AY1265" s="52"/>
      <c r="AZ1265" s="52"/>
      <c r="BA1265" s="52"/>
    </row>
    <row r="1266" spans="1:53" x14ac:dyDescent="0.25">
      <c r="A1266" s="79">
        <v>191</v>
      </c>
      <c r="B1266" s="80">
        <v>44907.479166666664</v>
      </c>
      <c r="C1266" s="81">
        <v>0.4826388888888889</v>
      </c>
      <c r="D1266" s="81">
        <v>0.48958333333333331</v>
      </c>
      <c r="E1266" s="81">
        <v>0.52083333333333337</v>
      </c>
      <c r="F1266" s="82" t="s">
        <v>170</v>
      </c>
      <c r="G1266" s="82" t="s">
        <v>447</v>
      </c>
      <c r="H1266" s="109" t="s">
        <v>3398</v>
      </c>
      <c r="I1266" s="109" t="s">
        <v>3399</v>
      </c>
      <c r="J1266" s="125" t="s">
        <v>37</v>
      </c>
      <c r="K1266" s="125" t="s">
        <v>63</v>
      </c>
      <c r="L1266" s="109">
        <v>0</v>
      </c>
      <c r="M1266" s="82" t="s">
        <v>3400</v>
      </c>
      <c r="N1266" s="82" t="s">
        <v>453</v>
      </c>
      <c r="O1266" s="82">
        <v>15412</v>
      </c>
      <c r="P1266" s="82">
        <v>800844820</v>
      </c>
      <c r="Q1266" s="303">
        <f t="shared" si="116"/>
        <v>1</v>
      </c>
      <c r="R1266" s="303">
        <f t="shared" si="117"/>
        <v>5</v>
      </c>
      <c r="S1266" s="82">
        <v>1</v>
      </c>
      <c r="T1266" s="82">
        <v>5</v>
      </c>
      <c r="U1266" s="82">
        <v>0</v>
      </c>
      <c r="V1266" s="82">
        <v>0</v>
      </c>
      <c r="W1266" s="82">
        <v>4.5999999999999996</v>
      </c>
      <c r="X1266" s="82">
        <v>45</v>
      </c>
      <c r="Y1266" s="82">
        <v>33</v>
      </c>
      <c r="Z1266" s="82">
        <v>15</v>
      </c>
      <c r="AA1266" s="82">
        <v>1</v>
      </c>
      <c r="AB1266" s="300">
        <f t="shared" si="118"/>
        <v>3.7124999999999999</v>
      </c>
      <c r="AC1266" s="300">
        <f t="shared" si="119"/>
        <v>2.2364457831325301E-2</v>
      </c>
      <c r="AD1266" s="82">
        <v>953.5</v>
      </c>
      <c r="AE1266" s="82" t="s">
        <v>109</v>
      </c>
      <c r="AF1266" s="82" t="s">
        <v>317</v>
      </c>
      <c r="AG1266" s="82" t="s">
        <v>317</v>
      </c>
      <c r="AH1266" s="82" t="s">
        <v>3401</v>
      </c>
      <c r="AI1266" s="246"/>
      <c r="AJ1266" s="246"/>
      <c r="AK1266" s="82" t="s">
        <v>48</v>
      </c>
      <c r="AL1266" s="82" t="s">
        <v>49</v>
      </c>
      <c r="AM1266" s="299">
        <f t="shared" ca="1" si="115"/>
        <v>1.2256944444452529</v>
      </c>
      <c r="AN1266" s="51"/>
      <c r="AO1266" s="104" t="s">
        <v>177</v>
      </c>
      <c r="AP1266" s="106" t="s">
        <v>3400</v>
      </c>
      <c r="AQ1266" s="104" t="s">
        <v>3508</v>
      </c>
      <c r="AR1266" s="111">
        <v>44908.704861111109</v>
      </c>
      <c r="AS1266" s="104" t="s">
        <v>117</v>
      </c>
      <c r="AT1266" s="109" t="s">
        <v>225</v>
      </c>
      <c r="AU1266" s="110">
        <v>0.70486111111111116</v>
      </c>
      <c r="AV1266" s="104">
        <v>1</v>
      </c>
      <c r="AW1266" s="109" t="s">
        <v>66</v>
      </c>
      <c r="AX1266" s="52"/>
      <c r="AY1266" s="52"/>
      <c r="AZ1266" s="52"/>
      <c r="BA1266" s="52"/>
    </row>
    <row r="1267" spans="1:53" x14ac:dyDescent="0.25">
      <c r="A1267" s="79">
        <v>192</v>
      </c>
      <c r="B1267" s="80">
        <v>44907.479166666664</v>
      </c>
      <c r="C1267" s="81">
        <v>0.4826388888888889</v>
      </c>
      <c r="D1267" s="81">
        <v>0.48958333333333331</v>
      </c>
      <c r="E1267" s="81">
        <v>0.52083333333333337</v>
      </c>
      <c r="F1267" s="82" t="s">
        <v>170</v>
      </c>
      <c r="G1267" s="82" t="s">
        <v>447</v>
      </c>
      <c r="H1267" s="109" t="s">
        <v>3398</v>
      </c>
      <c r="I1267" s="109" t="s">
        <v>3399</v>
      </c>
      <c r="J1267" s="125" t="s">
        <v>37</v>
      </c>
      <c r="K1267" s="125" t="s">
        <v>63</v>
      </c>
      <c r="L1267" s="109">
        <v>0</v>
      </c>
      <c r="M1267" s="82" t="s">
        <v>3400</v>
      </c>
      <c r="N1267" s="82" t="s">
        <v>453</v>
      </c>
      <c r="O1267" s="82">
        <v>15411</v>
      </c>
      <c r="P1267" s="82">
        <v>800883240</v>
      </c>
      <c r="Q1267" s="303">
        <f t="shared" si="116"/>
        <v>1</v>
      </c>
      <c r="R1267" s="303">
        <f t="shared" si="117"/>
        <v>5</v>
      </c>
      <c r="S1267" s="82">
        <v>1</v>
      </c>
      <c r="T1267" s="82">
        <v>5</v>
      </c>
      <c r="U1267" s="82">
        <v>0</v>
      </c>
      <c r="V1267" s="82">
        <v>0</v>
      </c>
      <c r="W1267" s="82">
        <v>4.5999999999999996</v>
      </c>
      <c r="X1267" s="82">
        <v>45</v>
      </c>
      <c r="Y1267" s="82">
        <v>33</v>
      </c>
      <c r="Z1267" s="82">
        <v>15</v>
      </c>
      <c r="AA1267" s="82">
        <v>1</v>
      </c>
      <c r="AB1267" s="300">
        <f t="shared" si="118"/>
        <v>3.7124999999999999</v>
      </c>
      <c r="AC1267" s="300">
        <f t="shared" si="119"/>
        <v>2.2364457831325301E-2</v>
      </c>
      <c r="AD1267" s="82">
        <v>953.5</v>
      </c>
      <c r="AE1267" s="82" t="s">
        <v>109</v>
      </c>
      <c r="AF1267" s="82" t="s">
        <v>317</v>
      </c>
      <c r="AG1267" s="82" t="s">
        <v>317</v>
      </c>
      <c r="AH1267" s="82" t="s">
        <v>3402</v>
      </c>
      <c r="AI1267" s="246"/>
      <c r="AJ1267" s="246"/>
      <c r="AK1267" s="82" t="s">
        <v>48</v>
      </c>
      <c r="AL1267" s="82" t="s">
        <v>49</v>
      </c>
      <c r="AM1267" s="299">
        <f t="shared" ca="1" si="115"/>
        <v>1.2256944444452529</v>
      </c>
      <c r="AN1267" s="51"/>
      <c r="AO1267" s="104" t="s">
        <v>177</v>
      </c>
      <c r="AP1267" s="106" t="s">
        <v>3400</v>
      </c>
      <c r="AQ1267" s="104" t="s">
        <v>3508</v>
      </c>
      <c r="AR1267" s="111">
        <v>44908.704861111109</v>
      </c>
      <c r="AS1267" s="104" t="s">
        <v>117</v>
      </c>
      <c r="AT1267" s="109" t="s">
        <v>225</v>
      </c>
      <c r="AU1267" s="110">
        <v>0.70486111111111116</v>
      </c>
      <c r="AV1267" s="104">
        <v>1</v>
      </c>
      <c r="AW1267" s="109" t="s">
        <v>66</v>
      </c>
      <c r="AX1267" s="52"/>
      <c r="AY1267" s="52"/>
      <c r="AZ1267" s="52"/>
      <c r="BA1267" s="52"/>
    </row>
    <row r="1268" spans="1:53" x14ac:dyDescent="0.25">
      <c r="A1268" s="79">
        <v>193</v>
      </c>
      <c r="B1268" s="80">
        <v>44907.479166666664</v>
      </c>
      <c r="C1268" s="81">
        <v>0.4826388888888889</v>
      </c>
      <c r="D1268" s="81">
        <v>0.48958333333333331</v>
      </c>
      <c r="E1268" s="81">
        <v>0.52083333333333337</v>
      </c>
      <c r="F1268" s="82" t="s">
        <v>170</v>
      </c>
      <c r="G1268" s="82" t="s">
        <v>447</v>
      </c>
      <c r="H1268" s="109" t="s">
        <v>3398</v>
      </c>
      <c r="I1268" s="109" t="s">
        <v>3399</v>
      </c>
      <c r="J1268" s="125" t="s">
        <v>37</v>
      </c>
      <c r="K1268" s="125" t="s">
        <v>63</v>
      </c>
      <c r="L1268" s="109">
        <v>0</v>
      </c>
      <c r="M1268" s="82" t="s">
        <v>3400</v>
      </c>
      <c r="N1268" s="82" t="s">
        <v>453</v>
      </c>
      <c r="O1268" s="82">
        <v>16416</v>
      </c>
      <c r="P1268" s="82">
        <v>800810769</v>
      </c>
      <c r="Q1268" s="303">
        <f t="shared" si="116"/>
        <v>1</v>
      </c>
      <c r="R1268" s="303">
        <f t="shared" si="117"/>
        <v>1</v>
      </c>
      <c r="S1268" s="82">
        <v>1</v>
      </c>
      <c r="T1268" s="82">
        <v>1</v>
      </c>
      <c r="U1268" s="82">
        <v>0</v>
      </c>
      <c r="V1268" s="82">
        <v>0</v>
      </c>
      <c r="W1268" s="82">
        <v>1.1439999999999999</v>
      </c>
      <c r="X1268" s="82">
        <v>29</v>
      </c>
      <c r="Y1268" s="82">
        <v>22</v>
      </c>
      <c r="Z1268" s="82">
        <v>13</v>
      </c>
      <c r="AA1268" s="82">
        <v>1</v>
      </c>
      <c r="AB1268" s="300">
        <f t="shared" si="118"/>
        <v>1.3823333333333334</v>
      </c>
      <c r="AC1268" s="300">
        <f t="shared" si="119"/>
        <v>8.327309236947791E-3</v>
      </c>
      <c r="AD1268" s="82">
        <v>228.84</v>
      </c>
      <c r="AE1268" s="82" t="s">
        <v>109</v>
      </c>
      <c r="AF1268" s="82" t="s">
        <v>317</v>
      </c>
      <c r="AG1268" s="82" t="s">
        <v>317</v>
      </c>
      <c r="AH1268" s="82" t="s">
        <v>3403</v>
      </c>
      <c r="AI1268" s="246"/>
      <c r="AJ1268" s="246"/>
      <c r="AK1268" s="82" t="s">
        <v>48</v>
      </c>
      <c r="AL1268" s="82" t="s">
        <v>49</v>
      </c>
      <c r="AM1268" s="299">
        <f t="shared" ca="1" si="115"/>
        <v>1.2256944444452529</v>
      </c>
      <c r="AN1268" s="51"/>
      <c r="AO1268" s="104" t="s">
        <v>177</v>
      </c>
      <c r="AP1268" s="106" t="s">
        <v>3400</v>
      </c>
      <c r="AQ1268" s="104" t="s">
        <v>3508</v>
      </c>
      <c r="AR1268" s="111">
        <v>44908.704861111109</v>
      </c>
      <c r="AS1268" s="104" t="s">
        <v>117</v>
      </c>
      <c r="AT1268" s="109" t="s">
        <v>225</v>
      </c>
      <c r="AU1268" s="110">
        <v>0.70486111111111116</v>
      </c>
      <c r="AV1268" s="104">
        <v>1</v>
      </c>
      <c r="AW1268" s="109" t="s">
        <v>66</v>
      </c>
      <c r="AX1268" s="52"/>
      <c r="AY1268" s="52"/>
      <c r="AZ1268" s="52"/>
      <c r="BA1268" s="52"/>
    </row>
    <row r="1269" spans="1:53" x14ac:dyDescent="0.25">
      <c r="A1269" s="79">
        <v>194</v>
      </c>
      <c r="B1269" s="80">
        <v>44907.479166666664</v>
      </c>
      <c r="C1269" s="81">
        <v>0.4826388888888889</v>
      </c>
      <c r="D1269" s="81">
        <v>0.48958333333333331</v>
      </c>
      <c r="E1269" s="81">
        <v>0.52083333333333337</v>
      </c>
      <c r="F1269" s="82" t="s">
        <v>170</v>
      </c>
      <c r="G1269" s="82" t="s">
        <v>447</v>
      </c>
      <c r="H1269" s="109" t="s">
        <v>228</v>
      </c>
      <c r="I1269" s="109" t="s">
        <v>40</v>
      </c>
      <c r="J1269" s="125" t="s">
        <v>37</v>
      </c>
      <c r="K1269" s="125" t="s">
        <v>63</v>
      </c>
      <c r="L1269" s="125" t="s">
        <v>212</v>
      </c>
      <c r="M1269" s="82" t="s">
        <v>3404</v>
      </c>
      <c r="N1269" s="82" t="s">
        <v>42</v>
      </c>
      <c r="O1269" s="82" t="s">
        <v>3405</v>
      </c>
      <c r="P1269" s="82">
        <v>4513310629</v>
      </c>
      <c r="Q1269" s="303">
        <f t="shared" si="116"/>
        <v>1</v>
      </c>
      <c r="R1269" s="303">
        <f t="shared" si="117"/>
        <v>61</v>
      </c>
      <c r="S1269" s="82">
        <v>0</v>
      </c>
      <c r="T1269" s="82">
        <v>0</v>
      </c>
      <c r="U1269" s="82">
        <v>1</v>
      </c>
      <c r="V1269" s="82">
        <v>61</v>
      </c>
      <c r="W1269" s="82">
        <v>60</v>
      </c>
      <c r="X1269" s="82">
        <v>49</v>
      </c>
      <c r="Y1269" s="82">
        <v>38</v>
      </c>
      <c r="Z1269" s="82">
        <v>38</v>
      </c>
      <c r="AA1269" s="82">
        <v>1</v>
      </c>
      <c r="AB1269" s="300">
        <f t="shared" si="118"/>
        <v>11.792666666666667</v>
      </c>
      <c r="AC1269" s="300">
        <f t="shared" si="119"/>
        <v>7.104016064257028E-2</v>
      </c>
      <c r="AD1269" s="82">
        <v>702.05</v>
      </c>
      <c r="AE1269" s="82" t="s">
        <v>109</v>
      </c>
      <c r="AF1269" s="82" t="s">
        <v>317</v>
      </c>
      <c r="AG1269" s="82" t="s">
        <v>317</v>
      </c>
      <c r="AH1269" s="82" t="s">
        <v>3406</v>
      </c>
      <c r="AI1269" s="246"/>
      <c r="AJ1269" s="246"/>
      <c r="AK1269" s="82" t="s">
        <v>37</v>
      </c>
      <c r="AL1269" s="82" t="s">
        <v>49</v>
      </c>
      <c r="AM1269" s="299">
        <f t="shared" ca="1" si="115"/>
        <v>1.96875</v>
      </c>
      <c r="AN1269" s="51"/>
      <c r="AO1269" s="104" t="s">
        <v>120</v>
      </c>
      <c r="AP1269" s="106" t="s">
        <v>3404</v>
      </c>
      <c r="AQ1269" s="104" t="s">
        <v>3549</v>
      </c>
      <c r="AR1269" s="111">
        <v>44909.447916666664</v>
      </c>
      <c r="AS1269" s="104" t="s">
        <v>117</v>
      </c>
      <c r="AT1269" s="134" t="s">
        <v>225</v>
      </c>
      <c r="AU1269" s="110">
        <v>0.44791666666666669</v>
      </c>
      <c r="AV1269" s="104">
        <v>1</v>
      </c>
      <c r="AW1269" s="134" t="s">
        <v>66</v>
      </c>
      <c r="AX1269" s="52"/>
      <c r="AY1269" s="52"/>
      <c r="AZ1269" s="52"/>
      <c r="BA1269" s="52"/>
    </row>
    <row r="1270" spans="1:53" x14ac:dyDescent="0.25">
      <c r="A1270" s="79">
        <v>195</v>
      </c>
      <c r="B1270" s="80">
        <v>44907.479166666664</v>
      </c>
      <c r="C1270" s="81">
        <v>0.4826388888888889</v>
      </c>
      <c r="D1270" s="81">
        <v>0.48958333333333331</v>
      </c>
      <c r="E1270" s="81">
        <v>0.52083333333333337</v>
      </c>
      <c r="F1270" s="82" t="s">
        <v>170</v>
      </c>
      <c r="G1270" s="82" t="s">
        <v>447</v>
      </c>
      <c r="H1270" s="109" t="s">
        <v>228</v>
      </c>
      <c r="I1270" s="109" t="s">
        <v>110</v>
      </c>
      <c r="J1270" s="125" t="s">
        <v>37</v>
      </c>
      <c r="K1270" s="125" t="s">
        <v>63</v>
      </c>
      <c r="L1270" s="125" t="s">
        <v>212</v>
      </c>
      <c r="M1270" s="82" t="s">
        <v>3407</v>
      </c>
      <c r="N1270" s="82" t="s">
        <v>186</v>
      </c>
      <c r="O1270" s="82" t="s">
        <v>3408</v>
      </c>
      <c r="P1270" s="82">
        <v>5051972433</v>
      </c>
      <c r="Q1270" s="303">
        <f t="shared" si="116"/>
        <v>2</v>
      </c>
      <c r="R1270" s="303">
        <f t="shared" si="117"/>
        <v>398</v>
      </c>
      <c r="S1270" s="82">
        <v>0</v>
      </c>
      <c r="T1270" s="82">
        <v>0</v>
      </c>
      <c r="U1270" s="82">
        <v>2</v>
      </c>
      <c r="V1270" s="82">
        <v>398</v>
      </c>
      <c r="W1270" s="82">
        <v>395</v>
      </c>
      <c r="X1270" s="82">
        <v>67</v>
      </c>
      <c r="Y1270" s="82">
        <v>56</v>
      </c>
      <c r="Z1270" s="82">
        <v>48</v>
      </c>
      <c r="AA1270" s="82">
        <v>1</v>
      </c>
      <c r="AB1270" s="300">
        <f t="shared" si="118"/>
        <v>30.015999999999998</v>
      </c>
      <c r="AC1270" s="300">
        <f t="shared" si="119"/>
        <v>0.18081927710843373</v>
      </c>
      <c r="AD1270" s="82">
        <v>2069.94</v>
      </c>
      <c r="AE1270" s="82" t="s">
        <v>109</v>
      </c>
      <c r="AF1270" s="82">
        <v>6090756</v>
      </c>
      <c r="AG1270" s="82" t="s">
        <v>3434</v>
      </c>
      <c r="AH1270" s="82" t="s">
        <v>3409</v>
      </c>
      <c r="AI1270" s="246"/>
      <c r="AJ1270" s="246"/>
      <c r="AK1270" s="82" t="s">
        <v>37</v>
      </c>
      <c r="AL1270" s="82" t="s">
        <v>49</v>
      </c>
      <c r="AM1270" s="299">
        <f t="shared" ca="1" si="115"/>
        <v>1.2256944444452529</v>
      </c>
      <c r="AN1270" s="51"/>
      <c r="AO1270" s="104" t="s">
        <v>131</v>
      </c>
      <c r="AP1270" s="106" t="s">
        <v>3407</v>
      </c>
      <c r="AQ1270" s="104" t="s">
        <v>3506</v>
      </c>
      <c r="AR1270" s="111">
        <v>44908.704861111109</v>
      </c>
      <c r="AS1270" s="104" t="s">
        <v>117</v>
      </c>
      <c r="AT1270" s="109" t="s">
        <v>225</v>
      </c>
      <c r="AU1270" s="110">
        <v>0.70486111111111116</v>
      </c>
      <c r="AV1270" s="104">
        <v>1</v>
      </c>
      <c r="AW1270" s="109" t="s">
        <v>66</v>
      </c>
      <c r="AX1270" s="52"/>
      <c r="AY1270" s="52"/>
      <c r="AZ1270" s="52"/>
      <c r="BA1270" s="52"/>
    </row>
    <row r="1271" spans="1:53" x14ac:dyDescent="0.25">
      <c r="A1271" s="79">
        <v>195</v>
      </c>
      <c r="B1271" s="80">
        <v>44907.479166666664</v>
      </c>
      <c r="C1271" s="81">
        <v>0.4826388888888889</v>
      </c>
      <c r="D1271" s="81">
        <v>0.48958333333333331</v>
      </c>
      <c r="E1271" s="81">
        <v>0.52083333333333337</v>
      </c>
      <c r="F1271" s="82" t="s">
        <v>170</v>
      </c>
      <c r="G1271" s="82" t="s">
        <v>447</v>
      </c>
      <c r="H1271" s="109" t="s">
        <v>228</v>
      </c>
      <c r="I1271" s="109" t="s">
        <v>110</v>
      </c>
      <c r="J1271" s="125" t="s">
        <v>37</v>
      </c>
      <c r="K1271" s="125" t="s">
        <v>63</v>
      </c>
      <c r="L1271" s="125" t="s">
        <v>212</v>
      </c>
      <c r="M1271" s="82" t="s">
        <v>3407</v>
      </c>
      <c r="N1271" s="82" t="s">
        <v>186</v>
      </c>
      <c r="O1271" s="82" t="s">
        <v>3408</v>
      </c>
      <c r="P1271" s="82">
        <v>5051972433</v>
      </c>
      <c r="Q1271" s="303">
        <f t="shared" si="116"/>
        <v>0</v>
      </c>
      <c r="R1271" s="303">
        <f t="shared" si="117"/>
        <v>0</v>
      </c>
      <c r="S1271" s="82">
        <v>0</v>
      </c>
      <c r="T1271" s="82">
        <v>0</v>
      </c>
      <c r="U1271" s="82">
        <v>0</v>
      </c>
      <c r="V1271" s="82">
        <v>0</v>
      </c>
      <c r="W1271" s="82">
        <v>0</v>
      </c>
      <c r="X1271" s="82">
        <v>105</v>
      </c>
      <c r="Y1271" s="82">
        <v>66</v>
      </c>
      <c r="Z1271" s="82">
        <v>49</v>
      </c>
      <c r="AA1271" s="82">
        <v>1</v>
      </c>
      <c r="AB1271" s="300">
        <f t="shared" si="118"/>
        <v>56.594999999999999</v>
      </c>
      <c r="AC1271" s="300">
        <f t="shared" si="119"/>
        <v>0.34093373493975904</v>
      </c>
      <c r="AD1271" s="82">
        <v>0</v>
      </c>
      <c r="AE1271" s="82">
        <v>0</v>
      </c>
      <c r="AF1271" s="82">
        <v>6090756</v>
      </c>
      <c r="AG1271" s="82" t="s">
        <v>3434</v>
      </c>
      <c r="AH1271" s="82" t="s">
        <v>3409</v>
      </c>
      <c r="AI1271" s="246"/>
      <c r="AJ1271" s="246"/>
      <c r="AK1271" s="82" t="s">
        <v>37</v>
      </c>
      <c r="AL1271" s="82" t="s">
        <v>49</v>
      </c>
      <c r="AM1271" s="299">
        <f t="shared" ca="1" si="115"/>
        <v>1.2256944444452529</v>
      </c>
      <c r="AN1271" s="51"/>
      <c r="AO1271" s="104" t="s">
        <v>131</v>
      </c>
      <c r="AP1271" s="106" t="s">
        <v>3407</v>
      </c>
      <c r="AQ1271" s="104" t="s">
        <v>3506</v>
      </c>
      <c r="AR1271" s="111">
        <v>44908.704861111109</v>
      </c>
      <c r="AS1271" s="104" t="s">
        <v>117</v>
      </c>
      <c r="AT1271" s="109" t="s">
        <v>225</v>
      </c>
      <c r="AU1271" s="110">
        <v>0.70486111111111116</v>
      </c>
      <c r="AV1271" s="104">
        <v>1</v>
      </c>
      <c r="AW1271" s="109" t="s">
        <v>66</v>
      </c>
      <c r="AX1271" s="52"/>
      <c r="AY1271" s="52"/>
      <c r="AZ1271" s="52"/>
      <c r="BA1271" s="52"/>
    </row>
    <row r="1272" spans="1:53" x14ac:dyDescent="0.25">
      <c r="A1272" s="79">
        <v>196</v>
      </c>
      <c r="B1272" s="80">
        <v>44907.479166666664</v>
      </c>
      <c r="C1272" s="81">
        <v>0.4826388888888889</v>
      </c>
      <c r="D1272" s="81">
        <v>0.48958333333333331</v>
      </c>
      <c r="E1272" s="81">
        <v>0.52083333333333337</v>
      </c>
      <c r="F1272" s="82" t="s">
        <v>170</v>
      </c>
      <c r="G1272" s="82" t="s">
        <v>447</v>
      </c>
      <c r="H1272" s="109" t="s">
        <v>227</v>
      </c>
      <c r="I1272" s="109" t="s">
        <v>189</v>
      </c>
      <c r="J1272" s="125" t="s">
        <v>37</v>
      </c>
      <c r="K1272" s="125" t="s">
        <v>63</v>
      </c>
      <c r="L1272" s="130" t="s">
        <v>206</v>
      </c>
      <c r="M1272" s="82" t="s">
        <v>3410</v>
      </c>
      <c r="N1272" s="82" t="s">
        <v>43</v>
      </c>
      <c r="O1272" s="82" t="s">
        <v>3411</v>
      </c>
      <c r="P1272" s="82">
        <v>29017</v>
      </c>
      <c r="Q1272" s="303">
        <f t="shared" si="116"/>
        <v>5</v>
      </c>
      <c r="R1272" s="303">
        <f t="shared" si="117"/>
        <v>61</v>
      </c>
      <c r="S1272" s="82">
        <v>5</v>
      </c>
      <c r="T1272" s="82">
        <v>61</v>
      </c>
      <c r="U1272" s="82">
        <v>0</v>
      </c>
      <c r="V1272" s="82">
        <v>0</v>
      </c>
      <c r="W1272" s="82">
        <v>55.55</v>
      </c>
      <c r="X1272" s="82">
        <v>89</v>
      </c>
      <c r="Y1272" s="82">
        <v>36</v>
      </c>
      <c r="Z1272" s="82">
        <v>51</v>
      </c>
      <c r="AA1272" s="82">
        <v>5</v>
      </c>
      <c r="AB1272" s="300">
        <f t="shared" si="118"/>
        <v>136.16999999999999</v>
      </c>
      <c r="AC1272" s="300">
        <f t="shared" si="119"/>
        <v>0.82030120481927704</v>
      </c>
      <c r="AD1272" s="82">
        <v>4060</v>
      </c>
      <c r="AE1272" s="82" t="s">
        <v>109</v>
      </c>
      <c r="AF1272" s="82">
        <v>6080949</v>
      </c>
      <c r="AG1272" s="82" t="s">
        <v>3434</v>
      </c>
      <c r="AH1272" s="82" t="s">
        <v>3412</v>
      </c>
      <c r="AI1272" s="246"/>
      <c r="AJ1272" s="246"/>
      <c r="AK1272" s="82" t="s">
        <v>48</v>
      </c>
      <c r="AL1272" s="82" t="s">
        <v>50</v>
      </c>
      <c r="AM1272" s="299">
        <f t="shared" ca="1" si="115"/>
        <v>1.2569444444452529</v>
      </c>
      <c r="AN1272" s="51"/>
      <c r="AO1272" s="104" t="s">
        <v>179</v>
      </c>
      <c r="AP1272" s="106" t="s">
        <v>3410</v>
      </c>
      <c r="AQ1272" s="104" t="s">
        <v>3510</v>
      </c>
      <c r="AR1272" s="111">
        <v>44908.736111111109</v>
      </c>
      <c r="AS1272" s="104" t="s">
        <v>173</v>
      </c>
      <c r="AT1272" s="109" t="s">
        <v>225</v>
      </c>
      <c r="AU1272" s="110">
        <v>0.73611111111111116</v>
      </c>
      <c r="AV1272" s="104">
        <v>1</v>
      </c>
      <c r="AW1272" s="109" t="s">
        <v>66</v>
      </c>
      <c r="AX1272" s="52"/>
      <c r="AY1272" s="52"/>
      <c r="AZ1272" s="52"/>
      <c r="BA1272" s="52"/>
    </row>
    <row r="1273" spans="1:53" x14ac:dyDescent="0.25">
      <c r="A1273" s="79">
        <v>197</v>
      </c>
      <c r="B1273" s="80">
        <v>44907.5</v>
      </c>
      <c r="C1273" s="81">
        <v>0.50347222222222221</v>
      </c>
      <c r="D1273" s="81">
        <v>0.51041666666666663</v>
      </c>
      <c r="E1273" s="81">
        <v>0.52430555555555558</v>
      </c>
      <c r="F1273" s="82" t="s">
        <v>171</v>
      </c>
      <c r="G1273" s="82" t="s">
        <v>278</v>
      </c>
      <c r="H1273" s="109" t="s">
        <v>91</v>
      </c>
      <c r="I1273" s="109" t="s">
        <v>91</v>
      </c>
      <c r="J1273" s="109" t="s">
        <v>41</v>
      </c>
      <c r="K1273" s="109" t="s">
        <v>180</v>
      </c>
      <c r="L1273" s="109" t="s">
        <v>206</v>
      </c>
      <c r="M1273" s="82" t="s">
        <v>3413</v>
      </c>
      <c r="N1273" s="82" t="s">
        <v>44</v>
      </c>
      <c r="O1273" s="82" t="s">
        <v>3414</v>
      </c>
      <c r="P1273" s="82">
        <v>85176290</v>
      </c>
      <c r="Q1273" s="303">
        <f t="shared" si="116"/>
        <v>2</v>
      </c>
      <c r="R1273" s="303">
        <f t="shared" si="117"/>
        <v>136</v>
      </c>
      <c r="S1273" s="82">
        <v>0</v>
      </c>
      <c r="T1273" s="82">
        <v>0</v>
      </c>
      <c r="U1273" s="82">
        <v>2</v>
      </c>
      <c r="V1273" s="82">
        <v>136</v>
      </c>
      <c r="W1273" s="82">
        <v>140</v>
      </c>
      <c r="X1273" s="82">
        <v>131</v>
      </c>
      <c r="Y1273" s="82">
        <v>76</v>
      </c>
      <c r="Z1273" s="82">
        <v>73</v>
      </c>
      <c r="AA1273" s="82">
        <v>2</v>
      </c>
      <c r="AB1273" s="300">
        <f t="shared" si="118"/>
        <v>242.26266666666666</v>
      </c>
      <c r="AC1273" s="300">
        <f t="shared" si="119"/>
        <v>1.4594136546184739</v>
      </c>
      <c r="AD1273" s="82">
        <v>10203.959999999999</v>
      </c>
      <c r="AE1273" s="82" t="s">
        <v>109</v>
      </c>
      <c r="AF1273" s="82" t="s">
        <v>317</v>
      </c>
      <c r="AG1273" s="82" t="s">
        <v>317</v>
      </c>
      <c r="AH1273" s="82" t="s">
        <v>3415</v>
      </c>
      <c r="AI1273" s="246"/>
      <c r="AJ1273" s="246"/>
      <c r="AK1273" s="82" t="s">
        <v>37</v>
      </c>
      <c r="AL1273" s="82" t="s">
        <v>49</v>
      </c>
      <c r="AM1273" s="299">
        <f t="shared" ca="1" si="115"/>
        <v>0.17361111110949423</v>
      </c>
      <c r="AN1273" s="51"/>
      <c r="AO1273" s="104" t="s">
        <v>53</v>
      </c>
      <c r="AP1273" s="106" t="s">
        <v>3413</v>
      </c>
      <c r="AQ1273" s="104" t="s">
        <v>3423</v>
      </c>
      <c r="AR1273" s="111">
        <v>44907.673611111109</v>
      </c>
      <c r="AS1273" s="104" t="s">
        <v>498</v>
      </c>
      <c r="AT1273" s="109" t="s">
        <v>225</v>
      </c>
      <c r="AU1273" s="110">
        <v>0.67361111111111116</v>
      </c>
      <c r="AV1273" s="104">
        <v>2</v>
      </c>
      <c r="AW1273" s="109" t="s">
        <v>66</v>
      </c>
      <c r="AX1273" s="52"/>
      <c r="AY1273" s="52"/>
      <c r="AZ1273" s="52"/>
      <c r="BA1273" s="52"/>
    </row>
    <row r="1274" spans="1:53" x14ac:dyDescent="0.25">
      <c r="A1274" s="48">
        <v>198</v>
      </c>
      <c r="B1274" s="46">
        <v>44907.618055555555</v>
      </c>
      <c r="C1274" s="36">
        <v>0.62152777777777779</v>
      </c>
      <c r="D1274" s="36">
        <v>0.625</v>
      </c>
      <c r="E1274" s="36">
        <v>0.625</v>
      </c>
      <c r="F1274" s="37" t="s">
        <v>170</v>
      </c>
      <c r="G1274" s="37" t="s">
        <v>3417</v>
      </c>
      <c r="H1274" s="26" t="s">
        <v>204</v>
      </c>
      <c r="I1274" s="26" t="s">
        <v>162</v>
      </c>
      <c r="J1274" s="26" t="s">
        <v>37</v>
      </c>
      <c r="K1274" s="113" t="s">
        <v>63</v>
      </c>
      <c r="L1274" s="113" t="s">
        <v>212</v>
      </c>
      <c r="M1274" s="37" t="s">
        <v>3418</v>
      </c>
      <c r="N1274" s="37" t="s">
        <v>158</v>
      </c>
      <c r="O1274" s="37" t="s">
        <v>3419</v>
      </c>
      <c r="P1274" s="37">
        <v>5051977023</v>
      </c>
      <c r="Q1274" s="303">
        <f t="shared" si="116"/>
        <v>1</v>
      </c>
      <c r="R1274" s="303">
        <f t="shared" si="117"/>
        <v>94</v>
      </c>
      <c r="S1274" s="37">
        <v>0</v>
      </c>
      <c r="T1274" s="37">
        <v>0</v>
      </c>
      <c r="U1274" s="37">
        <v>1</v>
      </c>
      <c r="V1274" s="37">
        <v>94</v>
      </c>
      <c r="W1274" s="37">
        <v>99</v>
      </c>
      <c r="X1274" s="37">
        <v>49</v>
      </c>
      <c r="Y1274" s="37">
        <v>34</v>
      </c>
      <c r="Z1274" s="37">
        <v>73</v>
      </c>
      <c r="AA1274" s="37">
        <v>1</v>
      </c>
      <c r="AB1274" s="300">
        <f t="shared" si="118"/>
        <v>20.269666666666666</v>
      </c>
      <c r="AC1274" s="300">
        <f t="shared" si="119"/>
        <v>0.12210642570281124</v>
      </c>
      <c r="AD1274" s="37">
        <v>993.64</v>
      </c>
      <c r="AE1274" s="82" t="s">
        <v>109</v>
      </c>
      <c r="AF1274" s="82" t="s">
        <v>317</v>
      </c>
      <c r="AG1274" s="82" t="s">
        <v>317</v>
      </c>
      <c r="AH1274" s="37" t="s">
        <v>3420</v>
      </c>
      <c r="AI1274" s="309"/>
      <c r="AJ1274" s="309"/>
      <c r="AK1274" s="37" t="s">
        <v>41</v>
      </c>
      <c r="AL1274" s="37" t="s">
        <v>54</v>
      </c>
      <c r="AM1274" s="299">
        <f t="shared" ca="1" si="115"/>
        <v>2.8368055555547471</v>
      </c>
      <c r="AN1274" s="51"/>
      <c r="AO1274" s="147" t="s">
        <v>159</v>
      </c>
      <c r="AP1274" s="62" t="s">
        <v>3418</v>
      </c>
      <c r="AQ1274" s="147" t="s">
        <v>3687</v>
      </c>
      <c r="AR1274" s="64">
        <v>44910.454861111109</v>
      </c>
      <c r="AS1274" s="104" t="s">
        <v>117</v>
      </c>
      <c r="AT1274" s="147" t="s">
        <v>225</v>
      </c>
      <c r="AU1274" s="110">
        <v>0.4548611111111111</v>
      </c>
      <c r="AV1274" s="147">
        <v>1</v>
      </c>
      <c r="AW1274" s="147" t="s">
        <v>66</v>
      </c>
      <c r="AX1274" s="52"/>
      <c r="AY1274" s="52"/>
      <c r="AZ1274" s="52"/>
      <c r="BA1274" s="52"/>
    </row>
    <row r="1275" spans="1:53" x14ac:dyDescent="0.25">
      <c r="A1275" s="79">
        <v>199</v>
      </c>
      <c r="B1275" s="80">
        <v>44907.666666666664</v>
      </c>
      <c r="C1275" s="81">
        <v>0.67013888888888884</v>
      </c>
      <c r="D1275" s="81">
        <v>0.68402777777777779</v>
      </c>
      <c r="E1275" s="81">
        <v>0.70138888888888884</v>
      </c>
      <c r="F1275" s="82" t="s">
        <v>171</v>
      </c>
      <c r="G1275" s="82" t="s">
        <v>3424</v>
      </c>
      <c r="H1275" s="109" t="s">
        <v>254</v>
      </c>
      <c r="I1275" s="109" t="s">
        <v>141</v>
      </c>
      <c r="J1275" s="82" t="s">
        <v>37</v>
      </c>
      <c r="K1275" s="109" t="s">
        <v>180</v>
      </c>
      <c r="L1275" s="109" t="s">
        <v>268</v>
      </c>
      <c r="M1275" s="82" t="s">
        <v>3425</v>
      </c>
      <c r="N1275" s="82" t="s">
        <v>340</v>
      </c>
      <c r="O1275" s="82" t="s">
        <v>3426</v>
      </c>
      <c r="P1275" s="82" t="s">
        <v>3427</v>
      </c>
      <c r="Q1275" s="303">
        <f t="shared" si="116"/>
        <v>9</v>
      </c>
      <c r="R1275" s="303">
        <f t="shared" si="117"/>
        <v>2265</v>
      </c>
      <c r="S1275" s="82">
        <v>0</v>
      </c>
      <c r="T1275" s="82">
        <v>0</v>
      </c>
      <c r="U1275" s="82">
        <v>9</v>
      </c>
      <c r="V1275" s="82">
        <v>2265</v>
      </c>
      <c r="W1275" s="82">
        <v>2241</v>
      </c>
      <c r="X1275" s="82">
        <v>125</v>
      </c>
      <c r="Y1275" s="82">
        <v>121</v>
      </c>
      <c r="Z1275" s="82">
        <v>76</v>
      </c>
      <c r="AA1275" s="82">
        <v>9</v>
      </c>
      <c r="AB1275" s="300">
        <f t="shared" si="118"/>
        <v>1724.25</v>
      </c>
      <c r="AC1275" s="300">
        <f t="shared" si="119"/>
        <v>10.387048192771084</v>
      </c>
      <c r="AD1275" s="82">
        <v>28725.84</v>
      </c>
      <c r="AE1275" s="82" t="s">
        <v>109</v>
      </c>
      <c r="AF1275" s="82" t="s">
        <v>317</v>
      </c>
      <c r="AG1275" s="82" t="s">
        <v>317</v>
      </c>
      <c r="AH1275" s="82" t="s">
        <v>3428</v>
      </c>
      <c r="AI1275" s="246"/>
      <c r="AJ1275" s="246"/>
      <c r="AK1275" s="82" t="s">
        <v>37</v>
      </c>
      <c r="AL1275" s="82" t="s">
        <v>54</v>
      </c>
      <c r="AM1275" s="299">
        <f t="shared" ca="1" si="115"/>
        <v>1.8090277777810115</v>
      </c>
      <c r="AN1275" s="51"/>
      <c r="AO1275" s="104" t="s">
        <v>81</v>
      </c>
      <c r="AP1275" s="106" t="s">
        <v>3425</v>
      </c>
      <c r="AQ1275" s="104" t="s">
        <v>3551</v>
      </c>
      <c r="AR1275" s="111">
        <v>44909.475694444445</v>
      </c>
      <c r="AS1275" s="134" t="s">
        <v>136</v>
      </c>
      <c r="AT1275" s="134" t="s">
        <v>225</v>
      </c>
      <c r="AU1275" s="110">
        <v>0.47569444444444442</v>
      </c>
      <c r="AV1275" s="104">
        <v>1</v>
      </c>
      <c r="AW1275" s="134" t="s">
        <v>66</v>
      </c>
      <c r="AX1275" s="52"/>
      <c r="AY1275" s="52"/>
      <c r="AZ1275" s="52"/>
      <c r="BA1275" s="52"/>
    </row>
    <row r="1276" spans="1:53" x14ac:dyDescent="0.25">
      <c r="A1276" s="79">
        <v>200</v>
      </c>
      <c r="B1276" s="80">
        <v>44907.774305555555</v>
      </c>
      <c r="C1276" s="81">
        <v>0.77777777777777779</v>
      </c>
      <c r="D1276" s="81">
        <v>0.78125</v>
      </c>
      <c r="E1276" s="81">
        <v>0.80555555555555547</v>
      </c>
      <c r="F1276" s="82" t="s">
        <v>171</v>
      </c>
      <c r="G1276" s="82" t="s">
        <v>327</v>
      </c>
      <c r="H1276" s="109" t="s">
        <v>234</v>
      </c>
      <c r="I1276" s="109" t="s">
        <v>234</v>
      </c>
      <c r="J1276" s="82" t="s">
        <v>37</v>
      </c>
      <c r="K1276" s="109" t="s">
        <v>233</v>
      </c>
      <c r="L1276" s="131" t="s">
        <v>206</v>
      </c>
      <c r="M1276" s="82" t="s">
        <v>3429</v>
      </c>
      <c r="N1276" s="82" t="s">
        <v>42</v>
      </c>
      <c r="O1276" s="82" t="s">
        <v>3430</v>
      </c>
      <c r="P1276" s="82" t="s">
        <v>3431</v>
      </c>
      <c r="Q1276" s="303">
        <f t="shared" si="116"/>
        <v>1</v>
      </c>
      <c r="R1276" s="303">
        <f t="shared" si="117"/>
        <v>246</v>
      </c>
      <c r="S1276" s="82">
        <v>0</v>
      </c>
      <c r="T1276" s="82">
        <v>0</v>
      </c>
      <c r="U1276" s="82">
        <v>1</v>
      </c>
      <c r="V1276" s="82">
        <v>246</v>
      </c>
      <c r="W1276" s="82">
        <v>252</v>
      </c>
      <c r="X1276" s="82">
        <v>107</v>
      </c>
      <c r="Y1276" s="82">
        <v>94</v>
      </c>
      <c r="Z1276" s="82">
        <v>60</v>
      </c>
      <c r="AA1276" s="82">
        <v>1</v>
      </c>
      <c r="AB1276" s="300">
        <f t="shared" si="118"/>
        <v>100.58</v>
      </c>
      <c r="AC1276" s="300">
        <f t="shared" si="119"/>
        <v>0.60590361445783136</v>
      </c>
      <c r="AD1276" s="82">
        <v>1995.12</v>
      </c>
      <c r="AE1276" s="82" t="s">
        <v>109</v>
      </c>
      <c r="AF1276" s="82" t="s">
        <v>3432</v>
      </c>
      <c r="AG1276" s="82" t="s">
        <v>3432</v>
      </c>
      <c r="AH1276" s="82" t="s">
        <v>3433</v>
      </c>
      <c r="AI1276" s="246"/>
      <c r="AJ1276" s="246"/>
      <c r="AK1276" s="82" t="s">
        <v>37</v>
      </c>
      <c r="AL1276" s="82" t="s">
        <v>39</v>
      </c>
      <c r="AM1276" s="299">
        <f t="shared" ca="1" si="115"/>
        <v>4.8854166666642413</v>
      </c>
      <c r="AN1276" s="122"/>
      <c r="AO1276" s="171" t="s">
        <v>120</v>
      </c>
      <c r="AP1276" s="172" t="s">
        <v>3429</v>
      </c>
      <c r="AQ1276" s="171" t="s">
        <v>3857</v>
      </c>
      <c r="AR1276" s="174">
        <v>44912.659722222219</v>
      </c>
      <c r="AS1276" s="168" t="s">
        <v>173</v>
      </c>
      <c r="AT1276" s="171" t="s">
        <v>225</v>
      </c>
      <c r="AU1276" s="173">
        <v>0.65972222222222221</v>
      </c>
      <c r="AV1276" s="171">
        <v>2</v>
      </c>
      <c r="AW1276" s="171" t="s">
        <v>66</v>
      </c>
      <c r="AX1276" s="171"/>
      <c r="AY1276" s="52"/>
      <c r="AZ1276" s="52"/>
      <c r="BA1276" s="52"/>
    </row>
    <row r="1277" spans="1:53" x14ac:dyDescent="0.25">
      <c r="A1277" s="79">
        <v>201</v>
      </c>
      <c r="B1277" s="120">
        <v>44908.423611111109</v>
      </c>
      <c r="C1277" s="114">
        <v>0.43055555555555558</v>
      </c>
      <c r="D1277" s="114">
        <v>0.4375</v>
      </c>
      <c r="E1277" s="114">
        <v>0.44791666666666669</v>
      </c>
      <c r="F1277" s="115" t="s">
        <v>170</v>
      </c>
      <c r="G1277" s="115" t="s">
        <v>3435</v>
      </c>
      <c r="H1277" s="115" t="s">
        <v>129</v>
      </c>
      <c r="I1277" s="115" t="s">
        <v>92</v>
      </c>
      <c r="J1277" s="115" t="s">
        <v>37</v>
      </c>
      <c r="K1277" s="115" t="s">
        <v>63</v>
      </c>
      <c r="L1277" s="115" t="s">
        <v>221</v>
      </c>
      <c r="M1277" s="115" t="s">
        <v>3436</v>
      </c>
      <c r="N1277" s="115" t="s">
        <v>42</v>
      </c>
      <c r="O1277" s="115" t="s">
        <v>3437</v>
      </c>
      <c r="P1277" s="115">
        <v>5051971870</v>
      </c>
      <c r="Q1277" s="303">
        <f t="shared" si="116"/>
        <v>2</v>
      </c>
      <c r="R1277" s="303">
        <f t="shared" si="117"/>
        <v>924</v>
      </c>
      <c r="S1277" s="115">
        <v>0</v>
      </c>
      <c r="T1277" s="115">
        <v>0</v>
      </c>
      <c r="U1277" s="115">
        <v>2</v>
      </c>
      <c r="V1277" s="115">
        <v>924</v>
      </c>
      <c r="W1277" s="115">
        <v>919</v>
      </c>
      <c r="X1277" s="115">
        <v>97</v>
      </c>
      <c r="Y1277" s="115">
        <v>71</v>
      </c>
      <c r="Z1277" s="115">
        <v>91</v>
      </c>
      <c r="AA1277" s="115">
        <v>1</v>
      </c>
      <c r="AB1277" s="300">
        <f t="shared" si="118"/>
        <v>104.45283333333333</v>
      </c>
      <c r="AC1277" s="300">
        <f t="shared" si="119"/>
        <v>0.62923393574297182</v>
      </c>
      <c r="AD1277" s="115" t="s">
        <v>48</v>
      </c>
      <c r="AE1277" s="115" t="s">
        <v>48</v>
      </c>
      <c r="AF1277" s="115" t="s">
        <v>317</v>
      </c>
      <c r="AG1277" s="115" t="s">
        <v>317</v>
      </c>
      <c r="AH1277" s="115" t="s">
        <v>3438</v>
      </c>
      <c r="AI1277" s="309"/>
      <c r="AJ1277" s="309"/>
      <c r="AK1277" s="115" t="s">
        <v>37</v>
      </c>
      <c r="AL1277" s="115" t="s">
        <v>39</v>
      </c>
      <c r="AM1277" s="299">
        <f t="shared" ca="1" si="115"/>
        <v>1.0243055555547471</v>
      </c>
      <c r="AN1277" s="122"/>
      <c r="AO1277" s="104" t="s">
        <v>83</v>
      </c>
      <c r="AP1277" s="106" t="s">
        <v>3436</v>
      </c>
      <c r="AQ1277" s="104" t="s">
        <v>3550</v>
      </c>
      <c r="AR1277" s="111">
        <v>44909.447916666664</v>
      </c>
      <c r="AS1277" s="104" t="s">
        <v>117</v>
      </c>
      <c r="AT1277" s="134" t="s">
        <v>225</v>
      </c>
      <c r="AU1277" s="110">
        <v>0.44791666666666669</v>
      </c>
      <c r="AV1277" s="104">
        <v>1</v>
      </c>
      <c r="AW1277" s="134" t="s">
        <v>66</v>
      </c>
      <c r="AX1277" s="52"/>
      <c r="AY1277" s="52"/>
      <c r="AZ1277" s="52"/>
      <c r="BA1277" s="52"/>
    </row>
    <row r="1278" spans="1:53" x14ac:dyDescent="0.25">
      <c r="A1278" s="79">
        <v>201</v>
      </c>
      <c r="B1278" s="120">
        <v>44908.423611111109</v>
      </c>
      <c r="C1278" s="114">
        <v>0.43055555555555558</v>
      </c>
      <c r="D1278" s="114">
        <v>0.4375</v>
      </c>
      <c r="E1278" s="114">
        <v>0.44791666666666669</v>
      </c>
      <c r="F1278" s="115" t="s">
        <v>170</v>
      </c>
      <c r="G1278" s="115" t="s">
        <v>3435</v>
      </c>
      <c r="H1278" s="115" t="s">
        <v>129</v>
      </c>
      <c r="I1278" s="115" t="s">
        <v>92</v>
      </c>
      <c r="J1278" s="115" t="s">
        <v>37</v>
      </c>
      <c r="K1278" s="115" t="s">
        <v>63</v>
      </c>
      <c r="L1278" s="115" t="s">
        <v>221</v>
      </c>
      <c r="M1278" s="115" t="s">
        <v>3436</v>
      </c>
      <c r="N1278" s="115" t="s">
        <v>42</v>
      </c>
      <c r="O1278" s="115" t="s">
        <v>3437</v>
      </c>
      <c r="P1278" s="115">
        <v>5051971870</v>
      </c>
      <c r="Q1278" s="303">
        <f t="shared" si="116"/>
        <v>0</v>
      </c>
      <c r="R1278" s="303">
        <f t="shared" si="117"/>
        <v>0</v>
      </c>
      <c r="S1278" s="115">
        <v>0</v>
      </c>
      <c r="T1278" s="115">
        <v>0</v>
      </c>
      <c r="U1278" s="115">
        <v>0</v>
      </c>
      <c r="V1278" s="115">
        <v>0</v>
      </c>
      <c r="W1278" s="115">
        <v>0</v>
      </c>
      <c r="X1278" s="115">
        <v>59</v>
      </c>
      <c r="Y1278" s="115">
        <v>58</v>
      </c>
      <c r="Z1278" s="115">
        <v>54</v>
      </c>
      <c r="AA1278" s="115">
        <v>1</v>
      </c>
      <c r="AB1278" s="300">
        <f t="shared" si="118"/>
        <v>30.797999999999998</v>
      </c>
      <c r="AC1278" s="300">
        <f t="shared" si="119"/>
        <v>0.18553012048192771</v>
      </c>
      <c r="AD1278" s="115">
        <v>0</v>
      </c>
      <c r="AE1278" s="115">
        <v>0</v>
      </c>
      <c r="AF1278" s="115" t="s">
        <v>317</v>
      </c>
      <c r="AG1278" s="115" t="s">
        <v>317</v>
      </c>
      <c r="AH1278" s="115" t="s">
        <v>3438</v>
      </c>
      <c r="AI1278" s="309"/>
      <c r="AJ1278" s="309"/>
      <c r="AK1278" s="115" t="s">
        <v>37</v>
      </c>
      <c r="AL1278" s="115" t="s">
        <v>39</v>
      </c>
      <c r="AM1278" s="299">
        <f t="shared" ca="1" si="115"/>
        <v>1.0243055555547471</v>
      </c>
      <c r="AN1278" s="122"/>
      <c r="AO1278" s="104" t="s">
        <v>83</v>
      </c>
      <c r="AP1278" s="106" t="s">
        <v>3436</v>
      </c>
      <c r="AQ1278" s="104" t="s">
        <v>3550</v>
      </c>
      <c r="AR1278" s="111">
        <v>44909.447916666664</v>
      </c>
      <c r="AS1278" s="104" t="s">
        <v>117</v>
      </c>
      <c r="AT1278" s="134" t="s">
        <v>225</v>
      </c>
      <c r="AU1278" s="110">
        <v>0.44791666666666669</v>
      </c>
      <c r="AV1278" s="104">
        <v>1</v>
      </c>
      <c r="AW1278" s="134" t="s">
        <v>66</v>
      </c>
      <c r="AX1278" s="52"/>
      <c r="AY1278" s="52"/>
      <c r="AZ1278" s="52"/>
      <c r="BA1278" s="52"/>
    </row>
    <row r="1279" spans="1:53" x14ac:dyDescent="0.25">
      <c r="A1279" s="79">
        <v>202</v>
      </c>
      <c r="B1279" s="120">
        <v>44908.423611111109</v>
      </c>
      <c r="C1279" s="114">
        <v>0.43055555555555558</v>
      </c>
      <c r="D1279" s="114">
        <v>0.4375</v>
      </c>
      <c r="E1279" s="114">
        <v>0.44791666666666669</v>
      </c>
      <c r="F1279" s="115" t="s">
        <v>170</v>
      </c>
      <c r="G1279" s="115" t="s">
        <v>3435</v>
      </c>
      <c r="H1279" s="115" t="s">
        <v>45</v>
      </c>
      <c r="I1279" s="115" t="s">
        <v>71</v>
      </c>
      <c r="J1279" s="115" t="s">
        <v>37</v>
      </c>
      <c r="K1279" s="115" t="s">
        <v>63</v>
      </c>
      <c r="L1279" s="115" t="s">
        <v>215</v>
      </c>
      <c r="M1279" s="115" t="s">
        <v>3439</v>
      </c>
      <c r="N1279" s="115" t="s">
        <v>139</v>
      </c>
      <c r="O1279" s="115">
        <v>3500781</v>
      </c>
      <c r="P1279" s="115">
        <v>5051995407</v>
      </c>
      <c r="Q1279" s="303">
        <f t="shared" si="116"/>
        <v>1</v>
      </c>
      <c r="R1279" s="303">
        <f t="shared" si="117"/>
        <v>189</v>
      </c>
      <c r="S1279" s="115">
        <v>0</v>
      </c>
      <c r="T1279" s="115">
        <v>0</v>
      </c>
      <c r="U1279" s="115">
        <v>1</v>
      </c>
      <c r="V1279" s="115">
        <v>189</v>
      </c>
      <c r="W1279" s="115">
        <v>187.36</v>
      </c>
      <c r="X1279" s="115">
        <v>90</v>
      </c>
      <c r="Y1279" s="115">
        <v>80</v>
      </c>
      <c r="Z1279" s="115">
        <v>50</v>
      </c>
      <c r="AA1279" s="115">
        <v>1</v>
      </c>
      <c r="AB1279" s="300">
        <f t="shared" si="118"/>
        <v>60</v>
      </c>
      <c r="AC1279" s="300">
        <f t="shared" si="119"/>
        <v>0.36144578313253012</v>
      </c>
      <c r="AD1279" s="115">
        <v>4237.3999999999996</v>
      </c>
      <c r="AE1279" s="115" t="s">
        <v>109</v>
      </c>
      <c r="AF1279" s="115" t="s">
        <v>317</v>
      </c>
      <c r="AG1279" s="115" t="s">
        <v>317</v>
      </c>
      <c r="AH1279" s="115" t="s">
        <v>3440</v>
      </c>
      <c r="AI1279" s="309"/>
      <c r="AJ1279" s="309"/>
      <c r="AK1279" s="115" t="s">
        <v>37</v>
      </c>
      <c r="AL1279" s="115" t="s">
        <v>39</v>
      </c>
      <c r="AM1279" s="299">
        <f t="shared" ca="1" si="115"/>
        <v>0.28125</v>
      </c>
      <c r="AN1279" s="122"/>
      <c r="AO1279" s="104" t="s">
        <v>72</v>
      </c>
      <c r="AP1279" s="106" t="s">
        <v>3439</v>
      </c>
      <c r="AQ1279" s="104" t="s">
        <v>3505</v>
      </c>
      <c r="AR1279" s="111">
        <v>44908.704861111109</v>
      </c>
      <c r="AS1279" s="104" t="s">
        <v>117</v>
      </c>
      <c r="AT1279" s="109" t="s">
        <v>225</v>
      </c>
      <c r="AU1279" s="110">
        <v>0.70486111111111116</v>
      </c>
      <c r="AV1279" s="104">
        <v>1</v>
      </c>
      <c r="AW1279" s="109" t="s">
        <v>66</v>
      </c>
      <c r="AX1279" s="52"/>
      <c r="AY1279" s="52"/>
      <c r="AZ1279" s="52"/>
      <c r="BA1279" s="52"/>
    </row>
    <row r="1280" spans="1:53" x14ac:dyDescent="0.25">
      <c r="A1280" s="79">
        <v>203</v>
      </c>
      <c r="B1280" s="120">
        <v>44908.423611111109</v>
      </c>
      <c r="C1280" s="114">
        <v>0.43055555555555558</v>
      </c>
      <c r="D1280" s="114">
        <v>0.4375</v>
      </c>
      <c r="E1280" s="114">
        <v>0.44791666666666669</v>
      </c>
      <c r="F1280" s="115" t="s">
        <v>170</v>
      </c>
      <c r="G1280" s="115" t="s">
        <v>3435</v>
      </c>
      <c r="H1280" s="115" t="s">
        <v>45</v>
      </c>
      <c r="I1280" s="115" t="s">
        <v>71</v>
      </c>
      <c r="J1280" s="115" t="s">
        <v>37</v>
      </c>
      <c r="K1280" s="115" t="s">
        <v>63</v>
      </c>
      <c r="L1280" s="115" t="s">
        <v>215</v>
      </c>
      <c r="M1280" s="115" t="s">
        <v>3441</v>
      </c>
      <c r="N1280" s="115" t="s">
        <v>139</v>
      </c>
      <c r="O1280" s="115">
        <v>3500780</v>
      </c>
      <c r="P1280" s="115">
        <v>5051998868</v>
      </c>
      <c r="Q1280" s="303">
        <f t="shared" si="116"/>
        <v>1</v>
      </c>
      <c r="R1280" s="303">
        <f t="shared" si="117"/>
        <v>186</v>
      </c>
      <c r="S1280" s="115">
        <v>0</v>
      </c>
      <c r="T1280" s="115">
        <v>0</v>
      </c>
      <c r="U1280" s="115">
        <v>1</v>
      </c>
      <c r="V1280" s="115">
        <v>186</v>
      </c>
      <c r="W1280" s="115">
        <v>184.446</v>
      </c>
      <c r="X1280" s="115">
        <v>90</v>
      </c>
      <c r="Y1280" s="115">
        <v>80</v>
      </c>
      <c r="Z1280" s="115">
        <v>50</v>
      </c>
      <c r="AA1280" s="115">
        <v>1</v>
      </c>
      <c r="AB1280" s="300">
        <f t="shared" si="118"/>
        <v>60</v>
      </c>
      <c r="AC1280" s="300">
        <f t="shared" si="119"/>
        <v>0.36144578313253012</v>
      </c>
      <c r="AD1280" s="115">
        <v>4924.5</v>
      </c>
      <c r="AE1280" s="115" t="s">
        <v>109</v>
      </c>
      <c r="AF1280" s="115" t="s">
        <v>317</v>
      </c>
      <c r="AG1280" s="115" t="s">
        <v>317</v>
      </c>
      <c r="AH1280" s="115" t="s">
        <v>3442</v>
      </c>
      <c r="AI1280" s="309"/>
      <c r="AJ1280" s="309"/>
      <c r="AK1280" s="115" t="s">
        <v>37</v>
      </c>
      <c r="AL1280" s="115" t="s">
        <v>39</v>
      </c>
      <c r="AM1280" s="299">
        <f t="shared" ca="1" si="115"/>
        <v>0.28125</v>
      </c>
      <c r="AN1280" s="122"/>
      <c r="AO1280" s="104" t="s">
        <v>72</v>
      </c>
      <c r="AP1280" s="106" t="s">
        <v>3441</v>
      </c>
      <c r="AQ1280" s="104" t="s">
        <v>3505</v>
      </c>
      <c r="AR1280" s="111">
        <v>44908.704861111109</v>
      </c>
      <c r="AS1280" s="104" t="s">
        <v>117</v>
      </c>
      <c r="AT1280" s="109" t="s">
        <v>225</v>
      </c>
      <c r="AU1280" s="110">
        <v>0.70486111111111116</v>
      </c>
      <c r="AV1280" s="104">
        <v>1</v>
      </c>
      <c r="AW1280" s="109" t="s">
        <v>66</v>
      </c>
      <c r="AX1280" s="52"/>
      <c r="AY1280" s="52"/>
      <c r="AZ1280" s="52"/>
      <c r="BA1280" s="52"/>
    </row>
    <row r="1281" spans="1:53" x14ac:dyDescent="0.25">
      <c r="A1281" s="48">
        <v>204</v>
      </c>
      <c r="B1281" s="46">
        <v>44908.475694444445</v>
      </c>
      <c r="C1281" s="36">
        <v>0.47916666666666669</v>
      </c>
      <c r="D1281" s="36">
        <v>0.4861111111111111</v>
      </c>
      <c r="E1281" s="36">
        <v>0.49305555555555558</v>
      </c>
      <c r="F1281" s="115" t="s">
        <v>170</v>
      </c>
      <c r="G1281" s="37" t="s">
        <v>435</v>
      </c>
      <c r="H1281" s="26" t="s">
        <v>227</v>
      </c>
      <c r="I1281" s="26" t="s">
        <v>189</v>
      </c>
      <c r="J1281" s="115" t="s">
        <v>37</v>
      </c>
      <c r="K1281" s="113" t="s">
        <v>63</v>
      </c>
      <c r="L1281" s="118" t="s">
        <v>206</v>
      </c>
      <c r="M1281" s="37" t="s">
        <v>3443</v>
      </c>
      <c r="N1281" s="37" t="s">
        <v>42</v>
      </c>
      <c r="O1281" s="37">
        <v>1077</v>
      </c>
      <c r="P1281" s="37">
        <v>3719</v>
      </c>
      <c r="Q1281" s="303">
        <f t="shared" si="116"/>
        <v>5</v>
      </c>
      <c r="R1281" s="303">
        <f t="shared" si="117"/>
        <v>57</v>
      </c>
      <c r="S1281" s="37">
        <v>5</v>
      </c>
      <c r="T1281" s="37">
        <f>81-24</f>
        <v>57</v>
      </c>
      <c r="U1281" s="37">
        <v>0</v>
      </c>
      <c r="V1281" s="37">
        <v>0</v>
      </c>
      <c r="W1281" s="37">
        <v>55.55</v>
      </c>
      <c r="X1281" s="37">
        <v>89</v>
      </c>
      <c r="Y1281" s="37">
        <v>36</v>
      </c>
      <c r="Z1281" s="37">
        <v>51</v>
      </c>
      <c r="AA1281" s="37">
        <v>5</v>
      </c>
      <c r="AB1281" s="300">
        <f t="shared" si="118"/>
        <v>136.16999999999999</v>
      </c>
      <c r="AC1281" s="300">
        <f t="shared" si="119"/>
        <v>0.82030120481927704</v>
      </c>
      <c r="AD1281" s="37">
        <v>4295.2</v>
      </c>
      <c r="AE1281" s="115" t="s">
        <v>109</v>
      </c>
      <c r="AF1281" s="115" t="s">
        <v>317</v>
      </c>
      <c r="AG1281" s="115" t="s">
        <v>317</v>
      </c>
      <c r="AH1281" s="37" t="s">
        <v>3444</v>
      </c>
      <c r="AI1281" s="309"/>
      <c r="AJ1281" s="309"/>
      <c r="AK1281" s="115" t="s">
        <v>48</v>
      </c>
      <c r="AL1281" s="37" t="s">
        <v>50</v>
      </c>
      <c r="AM1281" s="299">
        <f t="shared" ca="1" si="115"/>
        <v>0.26041666666424135</v>
      </c>
      <c r="AN1281" s="122"/>
      <c r="AO1281" s="104" t="s">
        <v>89</v>
      </c>
      <c r="AP1281" s="106" t="s">
        <v>3443</v>
      </c>
      <c r="AQ1281" s="104" t="s">
        <v>3511</v>
      </c>
      <c r="AR1281" s="111">
        <v>44908.736111111109</v>
      </c>
      <c r="AS1281" s="104" t="s">
        <v>173</v>
      </c>
      <c r="AT1281" s="109" t="s">
        <v>225</v>
      </c>
      <c r="AU1281" s="110">
        <v>0.73611111111111116</v>
      </c>
      <c r="AV1281" s="104">
        <v>1</v>
      </c>
      <c r="AW1281" s="109" t="s">
        <v>66</v>
      </c>
      <c r="AX1281" s="52"/>
      <c r="AY1281" s="52"/>
      <c r="AZ1281" s="52"/>
      <c r="BA1281" s="52"/>
    </row>
    <row r="1282" spans="1:53" x14ac:dyDescent="0.25">
      <c r="A1282" s="48">
        <v>205</v>
      </c>
      <c r="B1282" s="120">
        <v>44908.475694444445</v>
      </c>
      <c r="C1282" s="114">
        <v>0.47916666666666669</v>
      </c>
      <c r="D1282" s="114">
        <v>0.4861111111111111</v>
      </c>
      <c r="E1282" s="114">
        <v>0.49305555555555558</v>
      </c>
      <c r="F1282" s="115" t="s">
        <v>170</v>
      </c>
      <c r="G1282" s="115" t="s">
        <v>435</v>
      </c>
      <c r="H1282" s="107" t="s">
        <v>227</v>
      </c>
      <c r="I1282" s="107" t="s">
        <v>189</v>
      </c>
      <c r="J1282" s="115" t="s">
        <v>37</v>
      </c>
      <c r="K1282" s="113" t="s">
        <v>63</v>
      </c>
      <c r="L1282" s="118" t="s">
        <v>206</v>
      </c>
      <c r="M1282" s="37" t="s">
        <v>3445</v>
      </c>
      <c r="N1282" s="37" t="s">
        <v>43</v>
      </c>
      <c r="O1282" s="37">
        <v>1076</v>
      </c>
      <c r="P1282" s="37">
        <v>28958</v>
      </c>
      <c r="Q1282" s="303">
        <f t="shared" si="116"/>
        <v>5</v>
      </c>
      <c r="R1282" s="303">
        <f t="shared" si="117"/>
        <v>1007</v>
      </c>
      <c r="S1282" s="37">
        <v>0</v>
      </c>
      <c r="T1282" s="37">
        <v>0</v>
      </c>
      <c r="U1282" s="37">
        <v>5</v>
      </c>
      <c r="V1282" s="37">
        <f>201+201+201+201+203</f>
        <v>1007</v>
      </c>
      <c r="W1282" s="37">
        <v>975</v>
      </c>
      <c r="X1282" s="37">
        <v>170</v>
      </c>
      <c r="Y1282" s="37">
        <v>97</v>
      </c>
      <c r="Z1282" s="37">
        <v>94</v>
      </c>
      <c r="AA1282" s="37">
        <v>5</v>
      </c>
      <c r="AB1282" s="300">
        <f t="shared" si="118"/>
        <v>1291.7166666666667</v>
      </c>
      <c r="AC1282" s="300">
        <f t="shared" si="119"/>
        <v>7.7814257028112452</v>
      </c>
      <c r="AD1282" s="37">
        <v>14278</v>
      </c>
      <c r="AE1282" s="115" t="s">
        <v>109</v>
      </c>
      <c r="AF1282" s="115" t="s">
        <v>317</v>
      </c>
      <c r="AG1282" s="115" t="s">
        <v>317</v>
      </c>
      <c r="AH1282" s="37" t="s">
        <v>3446</v>
      </c>
      <c r="AI1282" s="309"/>
      <c r="AJ1282" s="309"/>
      <c r="AK1282" s="37" t="s">
        <v>37</v>
      </c>
      <c r="AL1282" s="37" t="s">
        <v>49</v>
      </c>
      <c r="AM1282" s="299">
        <f t="shared" ca="1" si="115"/>
        <v>0.26041666666424135</v>
      </c>
      <c r="AN1282" s="122"/>
      <c r="AO1282" s="104" t="s">
        <v>179</v>
      </c>
      <c r="AP1282" s="106" t="s">
        <v>3445</v>
      </c>
      <c r="AQ1282" s="104" t="s">
        <v>3510</v>
      </c>
      <c r="AR1282" s="111">
        <v>44908.736111111109</v>
      </c>
      <c r="AS1282" s="104" t="s">
        <v>173</v>
      </c>
      <c r="AT1282" s="109" t="s">
        <v>225</v>
      </c>
      <c r="AU1282" s="110">
        <v>0.73611111111111116</v>
      </c>
      <c r="AV1282" s="104">
        <v>1</v>
      </c>
      <c r="AW1282" s="109" t="s">
        <v>66</v>
      </c>
      <c r="AX1282" s="52"/>
      <c r="AY1282" s="52"/>
      <c r="AZ1282" s="52"/>
      <c r="BA1282" s="52"/>
    </row>
    <row r="1283" spans="1:53" x14ac:dyDescent="0.25">
      <c r="A1283" s="121">
        <v>206</v>
      </c>
      <c r="B1283" s="120">
        <v>44908.5</v>
      </c>
      <c r="C1283" s="114">
        <v>0.50347222222222221</v>
      </c>
      <c r="D1283" s="114">
        <v>0.51041666666666663</v>
      </c>
      <c r="E1283" s="114">
        <v>0.51388888888888895</v>
      </c>
      <c r="F1283" s="115" t="s">
        <v>170</v>
      </c>
      <c r="G1283" s="115" t="s">
        <v>3449</v>
      </c>
      <c r="H1283" s="119" t="s">
        <v>332</v>
      </c>
      <c r="I1283" s="119" t="s">
        <v>40</v>
      </c>
      <c r="J1283" s="115" t="s">
        <v>37</v>
      </c>
      <c r="K1283" s="119" t="s">
        <v>63</v>
      </c>
      <c r="L1283" s="47" t="s">
        <v>206</v>
      </c>
      <c r="M1283" s="115" t="s">
        <v>3450</v>
      </c>
      <c r="N1283" s="115" t="s">
        <v>42</v>
      </c>
      <c r="O1283" s="115">
        <v>2053092465</v>
      </c>
      <c r="P1283" s="115">
        <v>15265</v>
      </c>
      <c r="Q1283" s="303">
        <f t="shared" si="116"/>
        <v>1</v>
      </c>
      <c r="R1283" s="303">
        <f t="shared" si="117"/>
        <v>46</v>
      </c>
      <c r="S1283" s="115">
        <v>0</v>
      </c>
      <c r="T1283" s="115">
        <v>0</v>
      </c>
      <c r="U1283" s="115">
        <v>1</v>
      </c>
      <c r="V1283" s="115">
        <v>46</v>
      </c>
      <c r="W1283" s="115">
        <v>43</v>
      </c>
      <c r="X1283" s="115">
        <v>51</v>
      </c>
      <c r="Y1283" s="115">
        <v>40</v>
      </c>
      <c r="Z1283" s="115">
        <v>41</v>
      </c>
      <c r="AA1283" s="115">
        <v>1</v>
      </c>
      <c r="AB1283" s="300">
        <f t="shared" si="118"/>
        <v>13.94</v>
      </c>
      <c r="AC1283" s="300">
        <f t="shared" si="119"/>
        <v>8.3975903614457822E-2</v>
      </c>
      <c r="AD1283" s="115">
        <v>191.4</v>
      </c>
      <c r="AE1283" s="115" t="s">
        <v>109</v>
      </c>
      <c r="AF1283" s="115" t="s">
        <v>317</v>
      </c>
      <c r="AG1283" s="115" t="s">
        <v>317</v>
      </c>
      <c r="AH1283" s="115" t="s">
        <v>3451</v>
      </c>
      <c r="AI1283" s="309"/>
      <c r="AJ1283" s="309"/>
      <c r="AK1283" s="115" t="s">
        <v>37</v>
      </c>
      <c r="AL1283" s="115" t="s">
        <v>56</v>
      </c>
      <c r="AM1283" s="299">
        <f t="shared" ca="1" si="115"/>
        <v>0.94791666666424135</v>
      </c>
      <c r="AN1283" s="122"/>
      <c r="AO1283" s="104" t="s">
        <v>120</v>
      </c>
      <c r="AP1283" s="106" t="s">
        <v>3450</v>
      </c>
      <c r="AQ1283" s="104" t="s">
        <v>3549</v>
      </c>
      <c r="AR1283" s="111">
        <v>44909.447916666664</v>
      </c>
      <c r="AS1283" s="104" t="s">
        <v>117</v>
      </c>
      <c r="AT1283" s="134" t="s">
        <v>225</v>
      </c>
      <c r="AU1283" s="110">
        <v>0.44791666666666669</v>
      </c>
      <c r="AV1283" s="104">
        <v>1</v>
      </c>
      <c r="AW1283" s="134" t="s">
        <v>66</v>
      </c>
      <c r="AX1283" s="52"/>
      <c r="AY1283" s="52"/>
      <c r="AZ1283" s="52"/>
      <c r="BA1283" s="52"/>
    </row>
    <row r="1284" spans="1:53" x14ac:dyDescent="0.25">
      <c r="A1284" s="121">
        <v>207</v>
      </c>
      <c r="B1284" s="120">
        <v>44908.5</v>
      </c>
      <c r="C1284" s="114">
        <v>0.50347222222222221</v>
      </c>
      <c r="D1284" s="114">
        <v>0.51041666666666663</v>
      </c>
      <c r="E1284" s="114">
        <v>0.51388888888888895</v>
      </c>
      <c r="F1284" s="115" t="s">
        <v>170</v>
      </c>
      <c r="G1284" s="115" t="s">
        <v>3449</v>
      </c>
      <c r="H1284" s="113" t="s">
        <v>332</v>
      </c>
      <c r="I1284" s="113" t="s">
        <v>40</v>
      </c>
      <c r="J1284" s="115" t="s">
        <v>37</v>
      </c>
      <c r="K1284" s="113" t="s">
        <v>63</v>
      </c>
      <c r="L1284" s="118" t="s">
        <v>206</v>
      </c>
      <c r="M1284" s="115" t="s">
        <v>3452</v>
      </c>
      <c r="N1284" s="115" t="s">
        <v>42</v>
      </c>
      <c r="O1284" s="115">
        <v>2053092464</v>
      </c>
      <c r="P1284" s="115" t="s">
        <v>3453</v>
      </c>
      <c r="Q1284" s="303">
        <f t="shared" si="116"/>
        <v>3</v>
      </c>
      <c r="R1284" s="303">
        <f t="shared" si="117"/>
        <v>337</v>
      </c>
      <c r="S1284" s="115">
        <v>0</v>
      </c>
      <c r="T1284" s="115">
        <v>0</v>
      </c>
      <c r="U1284" s="115">
        <v>3</v>
      </c>
      <c r="V1284" s="115">
        <v>337</v>
      </c>
      <c r="W1284" s="115">
        <v>332</v>
      </c>
      <c r="X1284" s="115">
        <v>83</v>
      </c>
      <c r="Y1284" s="115">
        <v>44</v>
      </c>
      <c r="Z1284" s="115">
        <v>65</v>
      </c>
      <c r="AA1284" s="115">
        <v>1</v>
      </c>
      <c r="AB1284" s="300">
        <f t="shared" si="118"/>
        <v>39.563333333333333</v>
      </c>
      <c r="AC1284" s="300">
        <f t="shared" si="119"/>
        <v>0.23833333333333334</v>
      </c>
      <c r="AD1284" s="115">
        <v>2730.3</v>
      </c>
      <c r="AE1284" s="115" t="s">
        <v>109</v>
      </c>
      <c r="AF1284" s="115" t="s">
        <v>317</v>
      </c>
      <c r="AG1284" s="115" t="s">
        <v>317</v>
      </c>
      <c r="AH1284" s="115" t="s">
        <v>3454</v>
      </c>
      <c r="AI1284" s="309"/>
      <c r="AJ1284" s="309"/>
      <c r="AK1284" s="115" t="s">
        <v>41</v>
      </c>
      <c r="AL1284" s="115" t="s">
        <v>56</v>
      </c>
      <c r="AM1284" s="299">
        <f t="shared" ca="1" si="115"/>
        <v>0.94791666666424135</v>
      </c>
      <c r="AN1284" s="51"/>
      <c r="AO1284" s="104" t="s">
        <v>120</v>
      </c>
      <c r="AP1284" s="106" t="s">
        <v>3452</v>
      </c>
      <c r="AQ1284" s="104" t="s">
        <v>3549</v>
      </c>
      <c r="AR1284" s="111">
        <v>44909.447916666664</v>
      </c>
      <c r="AS1284" s="104" t="s">
        <v>117</v>
      </c>
      <c r="AT1284" s="134" t="s">
        <v>225</v>
      </c>
      <c r="AU1284" s="110">
        <v>0.44791666666666669</v>
      </c>
      <c r="AV1284" s="104">
        <v>1</v>
      </c>
      <c r="AW1284" s="134" t="s">
        <v>66</v>
      </c>
      <c r="AX1284" s="52"/>
      <c r="AY1284" s="52"/>
      <c r="AZ1284" s="52"/>
      <c r="BA1284" s="52"/>
    </row>
    <row r="1285" spans="1:53" x14ac:dyDescent="0.25">
      <c r="A1285" s="121">
        <v>207</v>
      </c>
      <c r="B1285" s="120">
        <v>44908.5</v>
      </c>
      <c r="C1285" s="114">
        <v>0.50347222222222221</v>
      </c>
      <c r="D1285" s="114">
        <v>0.51041666666666663</v>
      </c>
      <c r="E1285" s="114">
        <v>0.51388888888888895</v>
      </c>
      <c r="F1285" s="115" t="s">
        <v>170</v>
      </c>
      <c r="G1285" s="115" t="s">
        <v>3449</v>
      </c>
      <c r="H1285" s="113" t="s">
        <v>332</v>
      </c>
      <c r="I1285" s="113" t="s">
        <v>40</v>
      </c>
      <c r="J1285" s="115" t="s">
        <v>37</v>
      </c>
      <c r="K1285" s="113" t="s">
        <v>63</v>
      </c>
      <c r="L1285" s="118" t="s">
        <v>206</v>
      </c>
      <c r="M1285" s="115" t="s">
        <v>3452</v>
      </c>
      <c r="N1285" s="115" t="s">
        <v>42</v>
      </c>
      <c r="O1285" s="115">
        <v>2053092464</v>
      </c>
      <c r="P1285" s="115" t="s">
        <v>3453</v>
      </c>
      <c r="Q1285" s="303">
        <f t="shared" si="116"/>
        <v>0</v>
      </c>
      <c r="R1285" s="303">
        <f t="shared" si="117"/>
        <v>0</v>
      </c>
      <c r="S1285" s="115">
        <v>0</v>
      </c>
      <c r="T1285" s="115">
        <v>0</v>
      </c>
      <c r="U1285" s="115">
        <v>0</v>
      </c>
      <c r="V1285" s="115">
        <v>0</v>
      </c>
      <c r="W1285" s="115">
        <v>0</v>
      </c>
      <c r="X1285" s="115">
        <v>87</v>
      </c>
      <c r="Y1285" s="115">
        <v>46</v>
      </c>
      <c r="Z1285" s="115">
        <v>52</v>
      </c>
      <c r="AA1285" s="115">
        <v>1</v>
      </c>
      <c r="AB1285" s="300">
        <f t="shared" si="118"/>
        <v>34.683999999999997</v>
      </c>
      <c r="AC1285" s="300">
        <f t="shared" si="119"/>
        <v>0.20893975903614456</v>
      </c>
      <c r="AD1285" s="115">
        <v>0</v>
      </c>
      <c r="AE1285" s="115">
        <v>0</v>
      </c>
      <c r="AF1285" s="115" t="s">
        <v>317</v>
      </c>
      <c r="AG1285" s="115" t="s">
        <v>317</v>
      </c>
      <c r="AH1285" s="115" t="s">
        <v>3454</v>
      </c>
      <c r="AI1285" s="309"/>
      <c r="AJ1285" s="309"/>
      <c r="AK1285" s="115" t="s">
        <v>37</v>
      </c>
      <c r="AL1285" s="115" t="s">
        <v>56</v>
      </c>
      <c r="AM1285" s="299">
        <f t="shared" ca="1" si="115"/>
        <v>0.94791666666424135</v>
      </c>
      <c r="AN1285" s="51"/>
      <c r="AO1285" s="104" t="s">
        <v>120</v>
      </c>
      <c r="AP1285" s="106" t="s">
        <v>3452</v>
      </c>
      <c r="AQ1285" s="104" t="s">
        <v>3549</v>
      </c>
      <c r="AR1285" s="111">
        <v>44909.447916666664</v>
      </c>
      <c r="AS1285" s="104" t="s">
        <v>117</v>
      </c>
      <c r="AT1285" s="134" t="s">
        <v>225</v>
      </c>
      <c r="AU1285" s="110">
        <v>0.44791666666666669</v>
      </c>
      <c r="AV1285" s="104">
        <v>1</v>
      </c>
      <c r="AW1285" s="134" t="s">
        <v>66</v>
      </c>
      <c r="AX1285" s="52"/>
      <c r="AY1285" s="52"/>
      <c r="AZ1285" s="52"/>
      <c r="BA1285" s="52"/>
    </row>
    <row r="1286" spans="1:53" x14ac:dyDescent="0.25">
      <c r="A1286" s="121">
        <v>207</v>
      </c>
      <c r="B1286" s="120">
        <v>44908.5</v>
      </c>
      <c r="C1286" s="114">
        <v>0.50347222222222221</v>
      </c>
      <c r="D1286" s="114">
        <v>0.51041666666666663</v>
      </c>
      <c r="E1286" s="114">
        <v>0.51388888888888895</v>
      </c>
      <c r="F1286" s="115" t="s">
        <v>170</v>
      </c>
      <c r="G1286" s="115" t="s">
        <v>3449</v>
      </c>
      <c r="H1286" s="113" t="s">
        <v>332</v>
      </c>
      <c r="I1286" s="113" t="s">
        <v>40</v>
      </c>
      <c r="J1286" s="115" t="s">
        <v>37</v>
      </c>
      <c r="K1286" s="113" t="s">
        <v>63</v>
      </c>
      <c r="L1286" s="118" t="s">
        <v>206</v>
      </c>
      <c r="M1286" s="115" t="s">
        <v>3452</v>
      </c>
      <c r="N1286" s="115" t="s">
        <v>42</v>
      </c>
      <c r="O1286" s="115">
        <v>2053092464</v>
      </c>
      <c r="P1286" s="115" t="s">
        <v>3453</v>
      </c>
      <c r="Q1286" s="303">
        <f t="shared" si="116"/>
        <v>0</v>
      </c>
      <c r="R1286" s="303">
        <f t="shared" si="117"/>
        <v>0</v>
      </c>
      <c r="S1286" s="115">
        <v>0</v>
      </c>
      <c r="T1286" s="115">
        <v>0</v>
      </c>
      <c r="U1286" s="115">
        <v>0</v>
      </c>
      <c r="V1286" s="115">
        <v>0</v>
      </c>
      <c r="W1286" s="115">
        <v>0</v>
      </c>
      <c r="X1286" s="115">
        <v>61</v>
      </c>
      <c r="Y1286" s="115">
        <v>46</v>
      </c>
      <c r="Z1286" s="115">
        <v>51</v>
      </c>
      <c r="AA1286" s="115">
        <v>1</v>
      </c>
      <c r="AB1286" s="300">
        <f t="shared" si="118"/>
        <v>23.850999999999999</v>
      </c>
      <c r="AC1286" s="300">
        <f t="shared" si="119"/>
        <v>0.14368072289156625</v>
      </c>
      <c r="AD1286" s="115">
        <v>0</v>
      </c>
      <c r="AE1286" s="115">
        <v>0</v>
      </c>
      <c r="AF1286" s="115" t="s">
        <v>317</v>
      </c>
      <c r="AG1286" s="115" t="s">
        <v>317</v>
      </c>
      <c r="AH1286" s="115" t="s">
        <v>3454</v>
      </c>
      <c r="AI1286" s="309"/>
      <c r="AJ1286" s="309"/>
      <c r="AK1286" s="115" t="s">
        <v>37</v>
      </c>
      <c r="AL1286" s="115" t="s">
        <v>56</v>
      </c>
      <c r="AM1286" s="299">
        <f t="shared" ca="1" si="115"/>
        <v>0.94791666666424135</v>
      </c>
      <c r="AN1286" s="51"/>
      <c r="AO1286" s="104" t="s">
        <v>120</v>
      </c>
      <c r="AP1286" s="106" t="s">
        <v>3452</v>
      </c>
      <c r="AQ1286" s="104" t="s">
        <v>3549</v>
      </c>
      <c r="AR1286" s="111">
        <v>44909.447916666664</v>
      </c>
      <c r="AS1286" s="104" t="s">
        <v>117</v>
      </c>
      <c r="AT1286" s="134" t="s">
        <v>225</v>
      </c>
      <c r="AU1286" s="110">
        <v>0.44791666666666669</v>
      </c>
      <c r="AV1286" s="104">
        <v>1</v>
      </c>
      <c r="AW1286" s="134" t="s">
        <v>66</v>
      </c>
      <c r="AX1286" s="52"/>
      <c r="AY1286" s="52"/>
      <c r="AZ1286" s="52"/>
      <c r="BA1286" s="52"/>
    </row>
    <row r="1287" spans="1:53" x14ac:dyDescent="0.25">
      <c r="A1287" s="121">
        <v>208</v>
      </c>
      <c r="B1287" s="120">
        <v>44908.510416666664</v>
      </c>
      <c r="C1287" s="114">
        <v>0.51388888888888895</v>
      </c>
      <c r="D1287" s="114">
        <v>0.52430555555555558</v>
      </c>
      <c r="E1287" s="114">
        <v>0.53125</v>
      </c>
      <c r="F1287" s="115" t="s">
        <v>169</v>
      </c>
      <c r="G1287" s="115" t="s">
        <v>3455</v>
      </c>
      <c r="H1287" s="113" t="s">
        <v>282</v>
      </c>
      <c r="I1287" s="113" t="s">
        <v>281</v>
      </c>
      <c r="J1287" s="115" t="s">
        <v>37</v>
      </c>
      <c r="K1287" s="113" t="s">
        <v>233</v>
      </c>
      <c r="L1287" s="113" t="s">
        <v>285</v>
      </c>
      <c r="M1287" s="115" t="s">
        <v>3456</v>
      </c>
      <c r="N1287" s="115" t="s">
        <v>38</v>
      </c>
      <c r="O1287" s="115" t="s">
        <v>3457</v>
      </c>
      <c r="P1287" s="115">
        <v>2000061569</v>
      </c>
      <c r="Q1287" s="303">
        <f t="shared" si="116"/>
        <v>21</v>
      </c>
      <c r="R1287" s="303">
        <f t="shared" si="117"/>
        <v>187</v>
      </c>
      <c r="S1287" s="115">
        <v>21</v>
      </c>
      <c r="T1287" s="115">
        <v>187</v>
      </c>
      <c r="U1287" s="115">
        <v>0</v>
      </c>
      <c r="V1287" s="115">
        <v>0</v>
      </c>
      <c r="W1287" s="115">
        <v>169</v>
      </c>
      <c r="X1287" s="115">
        <v>56</v>
      </c>
      <c r="Y1287" s="115">
        <v>42</v>
      </c>
      <c r="Z1287" s="115">
        <v>38</v>
      </c>
      <c r="AA1287" s="115">
        <v>12</v>
      </c>
      <c r="AB1287" s="300">
        <f t="shared" si="118"/>
        <v>178.75200000000001</v>
      </c>
      <c r="AC1287" s="300">
        <f t="shared" si="119"/>
        <v>1.0768192771084337</v>
      </c>
      <c r="AD1287" s="115">
        <v>2457.6</v>
      </c>
      <c r="AE1287" s="115" t="s">
        <v>109</v>
      </c>
      <c r="AF1287" s="115">
        <v>6106376</v>
      </c>
      <c r="AG1287" s="115" t="s">
        <v>3458</v>
      </c>
      <c r="AH1287" s="115" t="s">
        <v>3459</v>
      </c>
      <c r="AI1287" s="309"/>
      <c r="AJ1287" s="309"/>
      <c r="AK1287" s="115" t="s">
        <v>48</v>
      </c>
      <c r="AL1287" s="115" t="s">
        <v>50</v>
      </c>
      <c r="AM1287" s="299">
        <f t="shared" ca="1" si="115"/>
        <v>3.2083333333357587</v>
      </c>
      <c r="AN1287" s="51"/>
      <c r="AO1287" s="147" t="s">
        <v>67</v>
      </c>
      <c r="AP1287" s="62" t="s">
        <v>3456</v>
      </c>
      <c r="AQ1287" s="147" t="s">
        <v>3775</v>
      </c>
      <c r="AR1287" s="64">
        <v>44911.71875</v>
      </c>
      <c r="AS1287" s="147" t="s">
        <v>136</v>
      </c>
      <c r="AT1287" s="147" t="s">
        <v>225</v>
      </c>
      <c r="AU1287" s="110">
        <v>0.71875</v>
      </c>
      <c r="AV1287" s="147">
        <v>2</v>
      </c>
      <c r="AW1287" s="147" t="s">
        <v>66</v>
      </c>
      <c r="AX1287" s="52"/>
      <c r="AY1287" s="52"/>
      <c r="AZ1287" s="52"/>
      <c r="BA1287" s="52"/>
    </row>
    <row r="1288" spans="1:53" x14ac:dyDescent="0.25">
      <c r="A1288" s="121">
        <v>208</v>
      </c>
      <c r="B1288" s="120">
        <v>44908.510416666664</v>
      </c>
      <c r="C1288" s="114">
        <v>0.51388888888888895</v>
      </c>
      <c r="D1288" s="114">
        <v>0.52430555555555558</v>
      </c>
      <c r="E1288" s="114">
        <v>0.53125</v>
      </c>
      <c r="F1288" s="115" t="s">
        <v>169</v>
      </c>
      <c r="G1288" s="115" t="s">
        <v>3455</v>
      </c>
      <c r="H1288" s="113" t="s">
        <v>282</v>
      </c>
      <c r="I1288" s="113" t="s">
        <v>281</v>
      </c>
      <c r="J1288" s="115" t="s">
        <v>37</v>
      </c>
      <c r="K1288" s="113" t="s">
        <v>233</v>
      </c>
      <c r="L1288" s="113" t="s">
        <v>285</v>
      </c>
      <c r="M1288" s="115" t="s">
        <v>3456</v>
      </c>
      <c r="N1288" s="115" t="s">
        <v>38</v>
      </c>
      <c r="O1288" s="115" t="s">
        <v>3457</v>
      </c>
      <c r="P1288" s="115">
        <v>2000061569</v>
      </c>
      <c r="Q1288" s="303">
        <f t="shared" si="116"/>
        <v>0</v>
      </c>
      <c r="R1288" s="303">
        <f t="shared" si="117"/>
        <v>0</v>
      </c>
      <c r="S1288" s="115">
        <v>0</v>
      </c>
      <c r="T1288" s="115">
        <v>0</v>
      </c>
      <c r="U1288" s="115">
        <v>0</v>
      </c>
      <c r="V1288" s="115">
        <v>0</v>
      </c>
      <c r="W1288" s="115">
        <v>0</v>
      </c>
      <c r="X1288" s="115">
        <v>48</v>
      </c>
      <c r="Y1288" s="115">
        <v>36</v>
      </c>
      <c r="Z1288" s="115">
        <v>35</v>
      </c>
      <c r="AA1288" s="115">
        <v>5</v>
      </c>
      <c r="AB1288" s="300">
        <f t="shared" si="118"/>
        <v>50.4</v>
      </c>
      <c r="AC1288" s="300">
        <f t="shared" si="119"/>
        <v>0.30361445783132529</v>
      </c>
      <c r="AD1288" s="115">
        <v>0</v>
      </c>
      <c r="AE1288" s="115">
        <v>0</v>
      </c>
      <c r="AF1288" s="115">
        <v>6106376</v>
      </c>
      <c r="AG1288" s="115" t="s">
        <v>3458</v>
      </c>
      <c r="AH1288" s="115" t="s">
        <v>3459</v>
      </c>
      <c r="AI1288" s="309"/>
      <c r="AJ1288" s="309"/>
      <c r="AK1288" s="115" t="s">
        <v>48</v>
      </c>
      <c r="AL1288" s="115" t="s">
        <v>50</v>
      </c>
      <c r="AM1288" s="299">
        <f t="shared" ca="1" si="115"/>
        <v>3.2083333333357587</v>
      </c>
      <c r="AN1288" s="51"/>
      <c r="AO1288" s="147" t="s">
        <v>67</v>
      </c>
      <c r="AP1288" s="62" t="s">
        <v>3456</v>
      </c>
      <c r="AQ1288" s="147" t="s">
        <v>3775</v>
      </c>
      <c r="AR1288" s="64">
        <v>44911.71875</v>
      </c>
      <c r="AS1288" s="147" t="s">
        <v>136</v>
      </c>
      <c r="AT1288" s="147" t="s">
        <v>225</v>
      </c>
      <c r="AU1288" s="110">
        <v>0.71875</v>
      </c>
      <c r="AV1288" s="147">
        <v>2</v>
      </c>
      <c r="AW1288" s="147" t="s">
        <v>66</v>
      </c>
      <c r="AX1288" s="52"/>
      <c r="AY1288" s="52"/>
      <c r="AZ1288" s="52"/>
      <c r="BA1288" s="52"/>
    </row>
    <row r="1289" spans="1:53" x14ac:dyDescent="0.25">
      <c r="A1289" s="121">
        <v>208</v>
      </c>
      <c r="B1289" s="120">
        <v>44908.510416666664</v>
      </c>
      <c r="C1289" s="114">
        <v>0.51388888888888895</v>
      </c>
      <c r="D1289" s="114">
        <v>0.52430555555555558</v>
      </c>
      <c r="E1289" s="114">
        <v>0.53125</v>
      </c>
      <c r="F1289" s="115" t="s">
        <v>169</v>
      </c>
      <c r="G1289" s="115" t="s">
        <v>3455</v>
      </c>
      <c r="H1289" s="113" t="s">
        <v>282</v>
      </c>
      <c r="I1289" s="113" t="s">
        <v>281</v>
      </c>
      <c r="J1289" s="115" t="s">
        <v>37</v>
      </c>
      <c r="K1289" s="113" t="s">
        <v>233</v>
      </c>
      <c r="L1289" s="113" t="s">
        <v>285</v>
      </c>
      <c r="M1289" s="115" t="s">
        <v>3456</v>
      </c>
      <c r="N1289" s="115" t="s">
        <v>38</v>
      </c>
      <c r="O1289" s="115" t="s">
        <v>3457</v>
      </c>
      <c r="P1289" s="115">
        <v>2000061569</v>
      </c>
      <c r="Q1289" s="303">
        <f t="shared" si="116"/>
        <v>0</v>
      </c>
      <c r="R1289" s="303">
        <f t="shared" si="117"/>
        <v>0</v>
      </c>
      <c r="S1289" s="115">
        <v>0</v>
      </c>
      <c r="T1289" s="115">
        <v>0</v>
      </c>
      <c r="U1289" s="115">
        <v>0</v>
      </c>
      <c r="V1289" s="115">
        <v>0</v>
      </c>
      <c r="W1289" s="115">
        <v>0</v>
      </c>
      <c r="X1289" s="115">
        <v>54</v>
      </c>
      <c r="Y1289" s="115">
        <v>29</v>
      </c>
      <c r="Z1289" s="115">
        <v>37</v>
      </c>
      <c r="AA1289" s="115">
        <v>4</v>
      </c>
      <c r="AB1289" s="300">
        <f t="shared" si="118"/>
        <v>38.628</v>
      </c>
      <c r="AC1289" s="300">
        <f t="shared" si="119"/>
        <v>0.23269879518072289</v>
      </c>
      <c r="AD1289" s="115">
        <v>0</v>
      </c>
      <c r="AE1289" s="115">
        <v>0</v>
      </c>
      <c r="AF1289" s="115">
        <v>6106376</v>
      </c>
      <c r="AG1289" s="115" t="s">
        <v>3458</v>
      </c>
      <c r="AH1289" s="115" t="s">
        <v>3459</v>
      </c>
      <c r="AI1289" s="309"/>
      <c r="AJ1289" s="309"/>
      <c r="AK1289" s="115" t="s">
        <v>48</v>
      </c>
      <c r="AL1289" s="115" t="s">
        <v>50</v>
      </c>
      <c r="AM1289" s="299">
        <f t="shared" ca="1" si="115"/>
        <v>3.2083333333357587</v>
      </c>
      <c r="AN1289" s="51"/>
      <c r="AO1289" s="147" t="s">
        <v>67</v>
      </c>
      <c r="AP1289" s="62" t="s">
        <v>3456</v>
      </c>
      <c r="AQ1289" s="147" t="s">
        <v>3775</v>
      </c>
      <c r="AR1289" s="64">
        <v>44911.71875</v>
      </c>
      <c r="AS1289" s="147" t="s">
        <v>136</v>
      </c>
      <c r="AT1289" s="147" t="s">
        <v>225</v>
      </c>
      <c r="AU1289" s="110">
        <v>0.71875</v>
      </c>
      <c r="AV1289" s="147">
        <v>2</v>
      </c>
      <c r="AW1289" s="147" t="s">
        <v>66</v>
      </c>
      <c r="AX1289" s="52"/>
      <c r="AY1289" s="52"/>
      <c r="AZ1289" s="52"/>
      <c r="BA1289" s="52"/>
    </row>
    <row r="1290" spans="1:53" x14ac:dyDescent="0.25">
      <c r="A1290" s="121">
        <v>209</v>
      </c>
      <c r="B1290" s="120">
        <v>44908.541666666664</v>
      </c>
      <c r="C1290" s="114">
        <v>0.54166666666666663</v>
      </c>
      <c r="D1290" s="114">
        <v>0.54513888888888895</v>
      </c>
      <c r="E1290" s="114">
        <v>0.54861111111111105</v>
      </c>
      <c r="F1290" s="115" t="s">
        <v>169</v>
      </c>
      <c r="G1290" s="115" t="s">
        <v>3461</v>
      </c>
      <c r="H1290" s="119" t="s">
        <v>97</v>
      </c>
      <c r="I1290" s="119" t="s">
        <v>80</v>
      </c>
      <c r="J1290" s="119" t="s">
        <v>37</v>
      </c>
      <c r="K1290" s="119" t="s">
        <v>241</v>
      </c>
      <c r="L1290" s="119" t="s">
        <v>206</v>
      </c>
      <c r="M1290" s="115" t="s">
        <v>3462</v>
      </c>
      <c r="N1290" s="115" t="s">
        <v>81</v>
      </c>
      <c r="O1290" s="115">
        <v>95</v>
      </c>
      <c r="P1290" s="115" t="s">
        <v>3463</v>
      </c>
      <c r="Q1290" s="303">
        <f t="shared" si="116"/>
        <v>4</v>
      </c>
      <c r="R1290" s="303">
        <f t="shared" si="117"/>
        <v>32</v>
      </c>
      <c r="S1290" s="115">
        <v>4</v>
      </c>
      <c r="T1290" s="115">
        <v>32</v>
      </c>
      <c r="U1290" s="115">
        <v>0</v>
      </c>
      <c r="V1290" s="115">
        <v>0</v>
      </c>
      <c r="W1290" s="115" t="s">
        <v>48</v>
      </c>
      <c r="X1290" s="115">
        <v>58</v>
      </c>
      <c r="Y1290" s="115">
        <v>38</v>
      </c>
      <c r="Z1290" s="115">
        <v>30</v>
      </c>
      <c r="AA1290" s="115">
        <v>4</v>
      </c>
      <c r="AB1290" s="300">
        <f t="shared" si="118"/>
        <v>44.08</v>
      </c>
      <c r="AC1290" s="300">
        <f t="shared" si="119"/>
        <v>0.26554216867469876</v>
      </c>
      <c r="AD1290" s="115">
        <v>1251</v>
      </c>
      <c r="AE1290" s="115" t="s">
        <v>109</v>
      </c>
      <c r="AF1290" s="115">
        <v>6096820</v>
      </c>
      <c r="AG1290" s="115" t="s">
        <v>3434</v>
      </c>
      <c r="AH1290" s="115" t="s">
        <v>3464</v>
      </c>
      <c r="AI1290" s="309"/>
      <c r="AJ1290" s="309"/>
      <c r="AK1290" s="115" t="s">
        <v>48</v>
      </c>
      <c r="AL1290" s="115" t="s">
        <v>50</v>
      </c>
      <c r="AM1290" s="299">
        <f t="shared" ca="1" si="115"/>
        <v>2.0833333333357587</v>
      </c>
      <c r="AN1290" s="51"/>
      <c r="AO1290" s="147" t="s">
        <v>81</v>
      </c>
      <c r="AP1290" s="62" t="s">
        <v>3462</v>
      </c>
      <c r="AQ1290" s="147" t="s">
        <v>3692</v>
      </c>
      <c r="AR1290" s="64">
        <v>44910.625</v>
      </c>
      <c r="AS1290" s="104" t="s">
        <v>117</v>
      </c>
      <c r="AT1290" s="147" t="s">
        <v>225</v>
      </c>
      <c r="AU1290" s="110">
        <v>0.625</v>
      </c>
      <c r="AV1290" s="147">
        <v>2</v>
      </c>
      <c r="AW1290" s="147" t="s">
        <v>66</v>
      </c>
      <c r="AX1290" s="52"/>
      <c r="AY1290" s="52"/>
      <c r="AZ1290" s="52"/>
      <c r="BA1290" s="52"/>
    </row>
    <row r="1291" spans="1:53" x14ac:dyDescent="0.25">
      <c r="A1291" s="121">
        <v>210</v>
      </c>
      <c r="B1291" s="120">
        <v>44908.541666666664</v>
      </c>
      <c r="C1291" s="114">
        <v>0.54513888888888895</v>
      </c>
      <c r="D1291" s="114">
        <v>0.54861111111111105</v>
      </c>
      <c r="E1291" s="114">
        <v>0.55208333333333337</v>
      </c>
      <c r="F1291" s="115" t="s">
        <v>171</v>
      </c>
      <c r="G1291" s="115" t="s">
        <v>263</v>
      </c>
      <c r="H1291" s="113" t="s">
        <v>3465</v>
      </c>
      <c r="I1291" s="113" t="s">
        <v>3466</v>
      </c>
      <c r="J1291" s="113" t="s">
        <v>37</v>
      </c>
      <c r="K1291" s="113" t="s">
        <v>180</v>
      </c>
      <c r="L1291" s="113" t="s">
        <v>206</v>
      </c>
      <c r="M1291" s="115" t="s">
        <v>3467</v>
      </c>
      <c r="N1291" s="115" t="s">
        <v>42</v>
      </c>
      <c r="O1291" s="115">
        <v>4</v>
      </c>
      <c r="P1291" s="115">
        <v>13990</v>
      </c>
      <c r="Q1291" s="303">
        <f t="shared" si="116"/>
        <v>1</v>
      </c>
      <c r="R1291" s="303">
        <f t="shared" si="117"/>
        <v>328</v>
      </c>
      <c r="S1291" s="115">
        <v>0</v>
      </c>
      <c r="T1291" s="115">
        <v>0</v>
      </c>
      <c r="U1291" s="115">
        <v>1</v>
      </c>
      <c r="V1291" s="115">
        <v>328</v>
      </c>
      <c r="W1291" s="115">
        <v>322</v>
      </c>
      <c r="X1291" s="115">
        <v>98</v>
      </c>
      <c r="Y1291" s="115">
        <v>88</v>
      </c>
      <c r="Z1291" s="115">
        <v>113</v>
      </c>
      <c r="AA1291" s="115">
        <v>1</v>
      </c>
      <c r="AB1291" s="300">
        <f t="shared" si="118"/>
        <v>162.41866666666667</v>
      </c>
      <c r="AC1291" s="300">
        <f t="shared" si="119"/>
        <v>0.97842570281124497</v>
      </c>
      <c r="AD1291" s="115">
        <v>83</v>
      </c>
      <c r="AE1291" s="115" t="s">
        <v>109</v>
      </c>
      <c r="AF1291" s="115">
        <v>6080811</v>
      </c>
      <c r="AG1291" s="115" t="s">
        <v>3434</v>
      </c>
      <c r="AH1291" s="115" t="s">
        <v>3468</v>
      </c>
      <c r="AI1291" s="309"/>
      <c r="AJ1291" s="309"/>
      <c r="AK1291" s="115" t="s">
        <v>37</v>
      </c>
      <c r="AL1291" s="115" t="s">
        <v>47</v>
      </c>
      <c r="AM1291" s="299">
        <f t="shared" ca="1" si="115"/>
        <v>3.1770833333357587</v>
      </c>
      <c r="AN1291" s="51"/>
      <c r="AO1291" s="147" t="s">
        <v>1516</v>
      </c>
      <c r="AP1291" s="62" t="s">
        <v>3467</v>
      </c>
      <c r="AQ1291" s="147" t="s">
        <v>3772</v>
      </c>
      <c r="AR1291" s="64">
        <v>44911.71875</v>
      </c>
      <c r="AS1291" s="147" t="s">
        <v>136</v>
      </c>
      <c r="AT1291" s="147" t="s">
        <v>225</v>
      </c>
      <c r="AU1291" s="110">
        <v>0.71875</v>
      </c>
      <c r="AV1291" s="147">
        <v>2</v>
      </c>
      <c r="AW1291" s="147" t="s">
        <v>66</v>
      </c>
      <c r="AX1291" s="52"/>
      <c r="AY1291" s="52"/>
      <c r="AZ1291" s="52"/>
      <c r="BA1291" s="52"/>
    </row>
    <row r="1292" spans="1:53" x14ac:dyDescent="0.25">
      <c r="A1292" s="121">
        <v>211</v>
      </c>
      <c r="B1292" s="120">
        <v>44908.590277777781</v>
      </c>
      <c r="C1292" s="114">
        <v>0.59722222222222221</v>
      </c>
      <c r="D1292" s="114">
        <v>0.60069444444444442</v>
      </c>
      <c r="E1292" s="114">
        <v>0.61111111111111105</v>
      </c>
      <c r="F1292" s="115" t="s">
        <v>171</v>
      </c>
      <c r="G1292" s="115" t="s">
        <v>3469</v>
      </c>
      <c r="H1292" s="113" t="s">
        <v>140</v>
      </c>
      <c r="I1292" s="113" t="s">
        <v>69</v>
      </c>
      <c r="J1292" s="113" t="s">
        <v>37</v>
      </c>
      <c r="K1292" s="113" t="s">
        <v>180</v>
      </c>
      <c r="L1292" s="118" t="s">
        <v>206</v>
      </c>
      <c r="M1292" s="115" t="s">
        <v>3470</v>
      </c>
      <c r="N1292" s="115" t="s">
        <v>42</v>
      </c>
      <c r="O1292" s="115">
        <v>1008100805</v>
      </c>
      <c r="P1292" s="115">
        <v>605242</v>
      </c>
      <c r="Q1292" s="303">
        <f t="shared" si="116"/>
        <v>1</v>
      </c>
      <c r="R1292" s="303">
        <f t="shared" si="117"/>
        <v>391</v>
      </c>
      <c r="S1292" s="115">
        <v>0</v>
      </c>
      <c r="T1292" s="115">
        <v>0</v>
      </c>
      <c r="U1292" s="115">
        <v>1</v>
      </c>
      <c r="V1292" s="115">
        <v>391</v>
      </c>
      <c r="W1292" s="115">
        <v>370</v>
      </c>
      <c r="X1292" s="115">
        <v>84</v>
      </c>
      <c r="Y1292" s="115">
        <v>83</v>
      </c>
      <c r="Z1292" s="115">
        <v>70</v>
      </c>
      <c r="AA1292" s="115">
        <v>1</v>
      </c>
      <c r="AB1292" s="300">
        <f t="shared" si="118"/>
        <v>81.34</v>
      </c>
      <c r="AC1292" s="300">
        <f t="shared" si="119"/>
        <v>0.49000000000000005</v>
      </c>
      <c r="AD1292" s="115" t="s">
        <v>48</v>
      </c>
      <c r="AE1292" s="115" t="s">
        <v>48</v>
      </c>
      <c r="AF1292" s="115" t="s">
        <v>1566</v>
      </c>
      <c r="AG1292" s="115" t="s">
        <v>1566</v>
      </c>
      <c r="AH1292" s="115" t="s">
        <v>3471</v>
      </c>
      <c r="AI1292" s="309"/>
      <c r="AJ1292" s="309"/>
      <c r="AK1292" s="115" t="s">
        <v>37</v>
      </c>
      <c r="AL1292" s="115" t="s">
        <v>49</v>
      </c>
      <c r="AM1292" s="299">
        <f t="shared" ca="1" si="115"/>
        <v>3.0486111111094942</v>
      </c>
      <c r="AN1292" s="51"/>
      <c r="AO1292" s="147" t="s">
        <v>96</v>
      </c>
      <c r="AP1292" s="62" t="s">
        <v>3470</v>
      </c>
      <c r="AQ1292" s="147" t="s">
        <v>3771</v>
      </c>
      <c r="AR1292" s="64">
        <v>44911.638888888891</v>
      </c>
      <c r="AS1292" s="104" t="s">
        <v>240</v>
      </c>
      <c r="AT1292" s="147" t="s">
        <v>65</v>
      </c>
      <c r="AU1292" s="110">
        <v>0.63888888888888895</v>
      </c>
      <c r="AV1292" s="147">
        <v>1</v>
      </c>
      <c r="AW1292" s="147" t="s">
        <v>66</v>
      </c>
      <c r="AX1292" s="52"/>
      <c r="AY1292" s="52"/>
      <c r="AZ1292" s="52"/>
      <c r="BA1292" s="52"/>
    </row>
    <row r="1293" spans="1:53" x14ac:dyDescent="0.25">
      <c r="A1293" s="121">
        <v>212</v>
      </c>
      <c r="B1293" s="120">
        <v>44908.597222222219</v>
      </c>
      <c r="C1293" s="114">
        <v>0.60069444444444442</v>
      </c>
      <c r="D1293" s="114">
        <v>0.60416666666666663</v>
      </c>
      <c r="E1293" s="114">
        <v>0.63194444444444442</v>
      </c>
      <c r="F1293" s="115" t="s">
        <v>171</v>
      </c>
      <c r="G1293" s="115" t="s">
        <v>470</v>
      </c>
      <c r="H1293" s="113" t="s">
        <v>85</v>
      </c>
      <c r="I1293" s="113" t="s">
        <v>86</v>
      </c>
      <c r="J1293" s="113" t="s">
        <v>37</v>
      </c>
      <c r="K1293" s="113" t="s">
        <v>180</v>
      </c>
      <c r="L1293" s="113" t="s">
        <v>207</v>
      </c>
      <c r="M1293" s="115" t="s">
        <v>3472</v>
      </c>
      <c r="N1293" s="115" t="s">
        <v>42</v>
      </c>
      <c r="O1293" s="115" t="s">
        <v>3473</v>
      </c>
      <c r="P1293" s="115">
        <v>9208</v>
      </c>
      <c r="Q1293" s="303">
        <f t="shared" si="116"/>
        <v>1</v>
      </c>
      <c r="R1293" s="303">
        <f t="shared" si="117"/>
        <v>373</v>
      </c>
      <c r="S1293" s="115">
        <v>0</v>
      </c>
      <c r="T1293" s="115">
        <v>0</v>
      </c>
      <c r="U1293" s="115">
        <v>1</v>
      </c>
      <c r="V1293" s="115">
        <v>373</v>
      </c>
      <c r="W1293" s="115">
        <v>365</v>
      </c>
      <c r="X1293" s="115">
        <v>121</v>
      </c>
      <c r="Y1293" s="115">
        <v>80</v>
      </c>
      <c r="Z1293" s="115">
        <v>84</v>
      </c>
      <c r="AA1293" s="115">
        <v>1</v>
      </c>
      <c r="AB1293" s="300">
        <f t="shared" si="118"/>
        <v>135.52000000000001</v>
      </c>
      <c r="AC1293" s="300">
        <f t="shared" si="119"/>
        <v>0.81638554216867476</v>
      </c>
      <c r="AD1293" s="115">
        <v>5052.28</v>
      </c>
      <c r="AE1293" s="115" t="s">
        <v>109</v>
      </c>
      <c r="AF1293" s="115" t="s">
        <v>1566</v>
      </c>
      <c r="AG1293" s="115" t="s">
        <v>1566</v>
      </c>
      <c r="AH1293" s="115" t="s">
        <v>3474</v>
      </c>
      <c r="AI1293" s="309"/>
      <c r="AJ1293" s="309"/>
      <c r="AK1293" s="115" t="s">
        <v>37</v>
      </c>
      <c r="AL1293" s="115" t="s">
        <v>39</v>
      </c>
      <c r="AM1293" s="299">
        <f t="shared" ca="1" si="115"/>
        <v>3.0416666666715173</v>
      </c>
      <c r="AN1293" s="51"/>
      <c r="AO1293" s="147" t="s">
        <v>87</v>
      </c>
      <c r="AP1293" s="62" t="s">
        <v>3472</v>
      </c>
      <c r="AQ1293" s="147" t="s">
        <v>3771</v>
      </c>
      <c r="AR1293" s="64">
        <v>44911.638888888891</v>
      </c>
      <c r="AS1293" s="104" t="s">
        <v>240</v>
      </c>
      <c r="AT1293" s="147" t="s">
        <v>65</v>
      </c>
      <c r="AU1293" s="110">
        <v>0.63888888888888895</v>
      </c>
      <c r="AV1293" s="147">
        <v>1</v>
      </c>
      <c r="AW1293" s="147" t="s">
        <v>66</v>
      </c>
      <c r="AX1293" s="52"/>
      <c r="AY1293" s="52"/>
      <c r="AZ1293" s="52"/>
      <c r="BA1293" s="52"/>
    </row>
    <row r="1294" spans="1:53" x14ac:dyDescent="0.25">
      <c r="A1294" s="121">
        <v>213</v>
      </c>
      <c r="B1294" s="120">
        <v>44908.611111111109</v>
      </c>
      <c r="C1294" s="114">
        <v>0.61458333333333337</v>
      </c>
      <c r="D1294" s="114">
        <v>0.625</v>
      </c>
      <c r="E1294" s="114">
        <v>0.63194444444444442</v>
      </c>
      <c r="F1294" s="115" t="s">
        <v>171</v>
      </c>
      <c r="G1294" s="115" t="s">
        <v>173</v>
      </c>
      <c r="H1294" s="119" t="s">
        <v>3119</v>
      </c>
      <c r="I1294" s="119" t="s">
        <v>110</v>
      </c>
      <c r="J1294" s="119" t="s">
        <v>37</v>
      </c>
      <c r="K1294" s="113" t="s">
        <v>180</v>
      </c>
      <c r="L1294" s="113">
        <v>0</v>
      </c>
      <c r="M1294" s="115" t="s">
        <v>3475</v>
      </c>
      <c r="N1294" s="115" t="s">
        <v>186</v>
      </c>
      <c r="O1294" s="115" t="s">
        <v>3476</v>
      </c>
      <c r="P1294" s="115" t="s">
        <v>364</v>
      </c>
      <c r="Q1294" s="303">
        <f t="shared" si="116"/>
        <v>2</v>
      </c>
      <c r="R1294" s="303">
        <f t="shared" si="117"/>
        <v>118</v>
      </c>
      <c r="S1294" s="115">
        <v>0</v>
      </c>
      <c r="T1294" s="115">
        <v>0</v>
      </c>
      <c r="U1294" s="115">
        <v>2</v>
      </c>
      <c r="V1294" s="115">
        <v>118</v>
      </c>
      <c r="W1294" s="115">
        <v>117.5</v>
      </c>
      <c r="X1294" s="115">
        <v>92</v>
      </c>
      <c r="Y1294" s="115">
        <v>36</v>
      </c>
      <c r="Z1294" s="115">
        <v>43</v>
      </c>
      <c r="AA1294" s="115">
        <v>1</v>
      </c>
      <c r="AB1294" s="300">
        <f t="shared" si="118"/>
        <v>23.736000000000001</v>
      </c>
      <c r="AC1294" s="300">
        <f t="shared" si="119"/>
        <v>0.14298795180722892</v>
      </c>
      <c r="AD1294" s="115">
        <v>4148.2299999999996</v>
      </c>
      <c r="AE1294" s="115" t="s">
        <v>109</v>
      </c>
      <c r="AF1294" s="115" t="s">
        <v>1566</v>
      </c>
      <c r="AG1294" s="115" t="s">
        <v>1566</v>
      </c>
      <c r="AH1294" s="115" t="s">
        <v>3477</v>
      </c>
      <c r="AI1294" s="309"/>
      <c r="AJ1294" s="309"/>
      <c r="AK1294" s="115" t="s">
        <v>37</v>
      </c>
      <c r="AL1294" s="115" t="s">
        <v>39</v>
      </c>
      <c r="AM1294" s="299">
        <f t="shared" ca="1" si="115"/>
        <v>9.375E-2</v>
      </c>
      <c r="AN1294" s="51"/>
      <c r="AO1294" s="104" t="s">
        <v>131</v>
      </c>
      <c r="AP1294" s="106" t="s">
        <v>3475</v>
      </c>
      <c r="AQ1294" s="104" t="s">
        <v>3506</v>
      </c>
      <c r="AR1294" s="111">
        <v>44908.704861111109</v>
      </c>
      <c r="AS1294" s="104" t="s">
        <v>117</v>
      </c>
      <c r="AT1294" s="109" t="s">
        <v>225</v>
      </c>
      <c r="AU1294" s="110">
        <v>0.70486111111111116</v>
      </c>
      <c r="AV1294" s="104">
        <v>1</v>
      </c>
      <c r="AW1294" s="109" t="s">
        <v>66</v>
      </c>
      <c r="AX1294" s="52"/>
      <c r="AY1294" s="52"/>
      <c r="AZ1294" s="52"/>
      <c r="BA1294" s="52"/>
    </row>
    <row r="1295" spans="1:53" x14ac:dyDescent="0.25">
      <c r="A1295" s="121">
        <v>213</v>
      </c>
      <c r="B1295" s="120">
        <v>44908.611111111109</v>
      </c>
      <c r="C1295" s="114">
        <v>0.61458333333333337</v>
      </c>
      <c r="D1295" s="114">
        <v>0.625</v>
      </c>
      <c r="E1295" s="114">
        <v>0.63194444444444442</v>
      </c>
      <c r="F1295" s="115" t="s">
        <v>171</v>
      </c>
      <c r="G1295" s="115" t="s">
        <v>173</v>
      </c>
      <c r="H1295" s="113" t="s">
        <v>3119</v>
      </c>
      <c r="I1295" s="113" t="s">
        <v>110</v>
      </c>
      <c r="J1295" s="113" t="s">
        <v>37</v>
      </c>
      <c r="K1295" s="113" t="s">
        <v>180</v>
      </c>
      <c r="L1295" s="113">
        <v>0</v>
      </c>
      <c r="M1295" s="115" t="s">
        <v>3475</v>
      </c>
      <c r="N1295" s="115" t="s">
        <v>186</v>
      </c>
      <c r="O1295" s="115" t="s">
        <v>3476</v>
      </c>
      <c r="P1295" s="115" t="s">
        <v>364</v>
      </c>
      <c r="Q1295" s="303">
        <f t="shared" si="116"/>
        <v>0</v>
      </c>
      <c r="R1295" s="303">
        <f t="shared" si="117"/>
        <v>0</v>
      </c>
      <c r="S1295" s="115">
        <v>0</v>
      </c>
      <c r="T1295" s="115">
        <v>0</v>
      </c>
      <c r="U1295" s="115">
        <v>0</v>
      </c>
      <c r="V1295" s="115">
        <v>0</v>
      </c>
      <c r="W1295" s="115">
        <v>0</v>
      </c>
      <c r="X1295" s="115">
        <v>93</v>
      </c>
      <c r="Y1295" s="115">
        <v>37</v>
      </c>
      <c r="Z1295" s="115">
        <v>43</v>
      </c>
      <c r="AA1295" s="115">
        <v>1</v>
      </c>
      <c r="AB1295" s="300">
        <f t="shared" si="118"/>
        <v>24.660499999999999</v>
      </c>
      <c r="AC1295" s="300">
        <f t="shared" si="119"/>
        <v>0.14855722891566264</v>
      </c>
      <c r="AD1295" s="115">
        <v>0</v>
      </c>
      <c r="AE1295" s="115">
        <v>0</v>
      </c>
      <c r="AF1295" s="115" t="s">
        <v>1566</v>
      </c>
      <c r="AG1295" s="115" t="s">
        <v>1566</v>
      </c>
      <c r="AH1295" s="115" t="s">
        <v>3477</v>
      </c>
      <c r="AI1295" s="309"/>
      <c r="AJ1295" s="309"/>
      <c r="AK1295" s="115" t="s">
        <v>37</v>
      </c>
      <c r="AL1295" s="115" t="s">
        <v>39</v>
      </c>
      <c r="AM1295" s="299">
        <f t="shared" ca="1" si="115"/>
        <v>9.375E-2</v>
      </c>
      <c r="AN1295" s="51"/>
      <c r="AO1295" s="104" t="s">
        <v>131</v>
      </c>
      <c r="AP1295" s="106" t="s">
        <v>3475</v>
      </c>
      <c r="AQ1295" s="104" t="s">
        <v>3506</v>
      </c>
      <c r="AR1295" s="111">
        <v>44908.704861111109</v>
      </c>
      <c r="AS1295" s="104" t="s">
        <v>117</v>
      </c>
      <c r="AT1295" s="109" t="s">
        <v>225</v>
      </c>
      <c r="AU1295" s="110">
        <v>0.70486111111111116</v>
      </c>
      <c r="AV1295" s="104">
        <v>1</v>
      </c>
      <c r="AW1295" s="109" t="s">
        <v>66</v>
      </c>
      <c r="AX1295" s="52"/>
      <c r="AY1295" s="52"/>
      <c r="AZ1295" s="52"/>
      <c r="BA1295" s="52"/>
    </row>
    <row r="1296" spans="1:53" x14ac:dyDescent="0.25">
      <c r="A1296" s="121">
        <v>214</v>
      </c>
      <c r="B1296" s="120">
        <v>44908.611111111109</v>
      </c>
      <c r="C1296" s="114">
        <v>0.61458333333333337</v>
      </c>
      <c r="D1296" s="114">
        <v>0.625</v>
      </c>
      <c r="E1296" s="114">
        <v>0.63194444444444442</v>
      </c>
      <c r="F1296" s="115" t="s">
        <v>171</v>
      </c>
      <c r="G1296" s="115" t="s">
        <v>173</v>
      </c>
      <c r="H1296" s="113" t="s">
        <v>3119</v>
      </c>
      <c r="I1296" s="113" t="s">
        <v>71</v>
      </c>
      <c r="J1296" s="113" t="s">
        <v>37</v>
      </c>
      <c r="K1296" s="113" t="s">
        <v>180</v>
      </c>
      <c r="L1296" s="113">
        <v>0</v>
      </c>
      <c r="M1296" s="115" t="s">
        <v>3478</v>
      </c>
      <c r="N1296" s="115" t="s">
        <v>139</v>
      </c>
      <c r="O1296" s="115" t="s">
        <v>3479</v>
      </c>
      <c r="P1296" s="115" t="s">
        <v>364</v>
      </c>
      <c r="Q1296" s="303">
        <f t="shared" si="116"/>
        <v>2</v>
      </c>
      <c r="R1296" s="303">
        <f t="shared" si="117"/>
        <v>143</v>
      </c>
      <c r="S1296" s="115">
        <v>0</v>
      </c>
      <c r="T1296" s="115">
        <v>0</v>
      </c>
      <c r="U1296" s="115">
        <v>2</v>
      </c>
      <c r="V1296" s="115">
        <v>143</v>
      </c>
      <c r="W1296" s="115">
        <v>145.6</v>
      </c>
      <c r="X1296" s="115">
        <v>143</v>
      </c>
      <c r="Y1296" s="115">
        <v>34</v>
      </c>
      <c r="Z1296" s="115">
        <v>28</v>
      </c>
      <c r="AA1296" s="115">
        <v>1</v>
      </c>
      <c r="AB1296" s="300">
        <f t="shared" si="118"/>
        <v>22.689333333333334</v>
      </c>
      <c r="AC1296" s="300">
        <f t="shared" si="119"/>
        <v>0.13668273092369479</v>
      </c>
      <c r="AD1296" s="115">
        <v>5931.08</v>
      </c>
      <c r="AE1296" s="115" t="s">
        <v>109</v>
      </c>
      <c r="AF1296" s="115" t="s">
        <v>1566</v>
      </c>
      <c r="AG1296" s="115" t="s">
        <v>1566</v>
      </c>
      <c r="AH1296" s="115" t="s">
        <v>3480</v>
      </c>
      <c r="AI1296" s="309"/>
      <c r="AJ1296" s="309"/>
      <c r="AK1296" s="115" t="s">
        <v>37</v>
      </c>
      <c r="AL1296" s="115" t="s">
        <v>39</v>
      </c>
      <c r="AM1296" s="299">
        <f t="shared" ca="1" si="115"/>
        <v>9.375E-2</v>
      </c>
      <c r="AN1296" s="51"/>
      <c r="AO1296" s="104" t="s">
        <v>72</v>
      </c>
      <c r="AP1296" s="106" t="s">
        <v>3478</v>
      </c>
      <c r="AQ1296" s="104" t="s">
        <v>3505</v>
      </c>
      <c r="AR1296" s="111">
        <v>44908.704861111109</v>
      </c>
      <c r="AS1296" s="104" t="s">
        <v>117</v>
      </c>
      <c r="AT1296" s="109" t="s">
        <v>225</v>
      </c>
      <c r="AU1296" s="110">
        <v>0.70486111111111116</v>
      </c>
      <c r="AV1296" s="104">
        <v>1</v>
      </c>
      <c r="AW1296" s="109" t="s">
        <v>66</v>
      </c>
      <c r="AX1296" s="52"/>
      <c r="AY1296" s="52"/>
      <c r="AZ1296" s="52"/>
      <c r="BA1296" s="52"/>
    </row>
    <row r="1297" spans="1:53" x14ac:dyDescent="0.25">
      <c r="A1297" s="121">
        <v>214</v>
      </c>
      <c r="B1297" s="120">
        <v>44908.611111111109</v>
      </c>
      <c r="C1297" s="114">
        <v>0.61458333333333337</v>
      </c>
      <c r="D1297" s="114">
        <v>0.625</v>
      </c>
      <c r="E1297" s="114">
        <v>0.63194444444444442</v>
      </c>
      <c r="F1297" s="115" t="s">
        <v>171</v>
      </c>
      <c r="G1297" s="115" t="s">
        <v>173</v>
      </c>
      <c r="H1297" s="113" t="s">
        <v>3119</v>
      </c>
      <c r="I1297" s="113" t="s">
        <v>71</v>
      </c>
      <c r="J1297" s="113" t="s">
        <v>37</v>
      </c>
      <c r="K1297" s="113" t="s">
        <v>180</v>
      </c>
      <c r="L1297" s="113">
        <v>0</v>
      </c>
      <c r="M1297" s="115" t="s">
        <v>3478</v>
      </c>
      <c r="N1297" s="115" t="s">
        <v>139</v>
      </c>
      <c r="O1297" s="115" t="s">
        <v>3479</v>
      </c>
      <c r="P1297" s="115" t="s">
        <v>364</v>
      </c>
      <c r="Q1297" s="303">
        <f t="shared" si="116"/>
        <v>0</v>
      </c>
      <c r="R1297" s="303">
        <f t="shared" si="117"/>
        <v>0</v>
      </c>
      <c r="S1297" s="115">
        <v>0</v>
      </c>
      <c r="T1297" s="115">
        <v>0</v>
      </c>
      <c r="U1297" s="115">
        <v>0</v>
      </c>
      <c r="V1297" s="115">
        <v>0</v>
      </c>
      <c r="W1297" s="115">
        <v>0</v>
      </c>
      <c r="X1297" s="115">
        <v>143</v>
      </c>
      <c r="Y1297" s="115">
        <v>47</v>
      </c>
      <c r="Z1297" s="115">
        <v>28</v>
      </c>
      <c r="AA1297" s="115">
        <v>1</v>
      </c>
      <c r="AB1297" s="300">
        <f t="shared" si="118"/>
        <v>31.364666666666668</v>
      </c>
      <c r="AC1297" s="300">
        <f t="shared" si="119"/>
        <v>0.18894377510040161</v>
      </c>
      <c r="AD1297" s="115">
        <v>0</v>
      </c>
      <c r="AE1297" s="115">
        <v>0</v>
      </c>
      <c r="AF1297" s="115" t="s">
        <v>1566</v>
      </c>
      <c r="AG1297" s="115" t="s">
        <v>1566</v>
      </c>
      <c r="AH1297" s="115" t="s">
        <v>3480</v>
      </c>
      <c r="AI1297" s="309"/>
      <c r="AJ1297" s="309"/>
      <c r="AK1297" s="115" t="s">
        <v>37</v>
      </c>
      <c r="AL1297" s="115" t="s">
        <v>39</v>
      </c>
      <c r="AM1297" s="299">
        <f t="shared" ca="1" si="115"/>
        <v>9.375E-2</v>
      </c>
      <c r="AN1297" s="51"/>
      <c r="AO1297" s="104" t="s">
        <v>72</v>
      </c>
      <c r="AP1297" s="106" t="s">
        <v>3478</v>
      </c>
      <c r="AQ1297" s="104" t="s">
        <v>3505</v>
      </c>
      <c r="AR1297" s="111">
        <v>44908.704861111109</v>
      </c>
      <c r="AS1297" s="104" t="s">
        <v>117</v>
      </c>
      <c r="AT1297" s="109" t="s">
        <v>225</v>
      </c>
      <c r="AU1297" s="110">
        <v>0.70486111111111116</v>
      </c>
      <c r="AV1297" s="104">
        <v>1</v>
      </c>
      <c r="AW1297" s="109" t="s">
        <v>66</v>
      </c>
      <c r="AX1297" s="52"/>
      <c r="AY1297" s="52"/>
      <c r="AZ1297" s="52"/>
      <c r="BA1297" s="52"/>
    </row>
    <row r="1298" spans="1:53" x14ac:dyDescent="0.25">
      <c r="A1298" s="121">
        <v>215</v>
      </c>
      <c r="B1298" s="120">
        <v>44908.611111111109</v>
      </c>
      <c r="C1298" s="114">
        <v>0.61458333333333337</v>
      </c>
      <c r="D1298" s="114">
        <v>0.625</v>
      </c>
      <c r="E1298" s="114">
        <v>0.63194444444444442</v>
      </c>
      <c r="F1298" s="115" t="s">
        <v>171</v>
      </c>
      <c r="G1298" s="115" t="s">
        <v>173</v>
      </c>
      <c r="H1298" s="113" t="s">
        <v>3119</v>
      </c>
      <c r="I1298" s="113" t="s">
        <v>162</v>
      </c>
      <c r="J1298" s="113" t="s">
        <v>37</v>
      </c>
      <c r="K1298" s="113" t="s">
        <v>180</v>
      </c>
      <c r="L1298" s="113">
        <v>0</v>
      </c>
      <c r="M1298" s="115" t="s">
        <v>3481</v>
      </c>
      <c r="N1298" s="115" t="s">
        <v>158</v>
      </c>
      <c r="O1298" s="115" t="s">
        <v>3482</v>
      </c>
      <c r="P1298" s="115" t="s">
        <v>316</v>
      </c>
      <c r="Q1298" s="303">
        <f t="shared" si="116"/>
        <v>3</v>
      </c>
      <c r="R1298" s="303">
        <f t="shared" si="117"/>
        <v>152</v>
      </c>
      <c r="S1298" s="115">
        <v>0</v>
      </c>
      <c r="T1298" s="115">
        <v>0</v>
      </c>
      <c r="U1298" s="115">
        <v>3</v>
      </c>
      <c r="V1298" s="115">
        <v>152</v>
      </c>
      <c r="W1298" s="115">
        <v>151.4</v>
      </c>
      <c r="X1298" s="115">
        <v>143</v>
      </c>
      <c r="Y1298" s="115">
        <v>47</v>
      </c>
      <c r="Z1298" s="115">
        <v>28</v>
      </c>
      <c r="AA1298" s="115">
        <v>2</v>
      </c>
      <c r="AB1298" s="300">
        <f t="shared" si="118"/>
        <v>62.729333333333336</v>
      </c>
      <c r="AC1298" s="300">
        <f t="shared" si="119"/>
        <v>0.37788755020080322</v>
      </c>
      <c r="AD1298" s="115">
        <v>4015.03</v>
      </c>
      <c r="AE1298" s="115" t="s">
        <v>109</v>
      </c>
      <c r="AF1298" s="115" t="s">
        <v>1566</v>
      </c>
      <c r="AG1298" s="115" t="s">
        <v>1566</v>
      </c>
      <c r="AH1298" s="115" t="s">
        <v>3483</v>
      </c>
      <c r="AI1298" s="309"/>
      <c r="AJ1298" s="309"/>
      <c r="AK1298" s="115" t="s">
        <v>37</v>
      </c>
      <c r="AL1298" s="115" t="s">
        <v>39</v>
      </c>
      <c r="AM1298" s="299">
        <f t="shared" ca="1" si="115"/>
        <v>1.84375</v>
      </c>
      <c r="AN1298" s="51"/>
      <c r="AO1298" s="147" t="s">
        <v>159</v>
      </c>
      <c r="AP1298" s="62" t="s">
        <v>3481</v>
      </c>
      <c r="AQ1298" s="147" t="s">
        <v>3687</v>
      </c>
      <c r="AR1298" s="64">
        <v>44910.454861111109</v>
      </c>
      <c r="AS1298" s="104" t="s">
        <v>117</v>
      </c>
      <c r="AT1298" s="147" t="s">
        <v>225</v>
      </c>
      <c r="AU1298" s="110">
        <v>0.4548611111111111</v>
      </c>
      <c r="AV1298" s="147">
        <v>1</v>
      </c>
      <c r="AW1298" s="147" t="s">
        <v>66</v>
      </c>
      <c r="AX1298" s="52"/>
      <c r="AY1298" s="52"/>
      <c r="AZ1298" s="52"/>
      <c r="BA1298" s="52"/>
    </row>
    <row r="1299" spans="1:53" x14ac:dyDescent="0.25">
      <c r="A1299" s="121">
        <v>215</v>
      </c>
      <c r="B1299" s="120">
        <v>44908.611111111109</v>
      </c>
      <c r="C1299" s="114">
        <v>0.61458333333333337</v>
      </c>
      <c r="D1299" s="114">
        <v>0.625</v>
      </c>
      <c r="E1299" s="114">
        <v>0.63194444444444442</v>
      </c>
      <c r="F1299" s="115" t="s">
        <v>171</v>
      </c>
      <c r="G1299" s="115" t="s">
        <v>173</v>
      </c>
      <c r="H1299" s="113" t="s">
        <v>3119</v>
      </c>
      <c r="I1299" s="113" t="s">
        <v>162</v>
      </c>
      <c r="J1299" s="113" t="s">
        <v>37</v>
      </c>
      <c r="K1299" s="113" t="s">
        <v>180</v>
      </c>
      <c r="L1299" s="113">
        <v>0</v>
      </c>
      <c r="M1299" s="115" t="s">
        <v>3481</v>
      </c>
      <c r="N1299" s="115" t="s">
        <v>158</v>
      </c>
      <c r="O1299" s="115" t="s">
        <v>3482</v>
      </c>
      <c r="P1299" s="115" t="s">
        <v>316</v>
      </c>
      <c r="Q1299" s="303">
        <f t="shared" si="116"/>
        <v>0</v>
      </c>
      <c r="R1299" s="303">
        <f t="shared" si="117"/>
        <v>0</v>
      </c>
      <c r="S1299" s="115">
        <v>0</v>
      </c>
      <c r="T1299" s="115">
        <v>0</v>
      </c>
      <c r="U1299" s="115">
        <v>0</v>
      </c>
      <c r="V1299" s="115">
        <v>0</v>
      </c>
      <c r="W1299" s="115">
        <v>0</v>
      </c>
      <c r="X1299" s="115">
        <v>72</v>
      </c>
      <c r="Y1299" s="115">
        <v>37</v>
      </c>
      <c r="Z1299" s="115">
        <v>29</v>
      </c>
      <c r="AA1299" s="115">
        <v>1</v>
      </c>
      <c r="AB1299" s="300">
        <f t="shared" si="118"/>
        <v>12.875999999999999</v>
      </c>
      <c r="AC1299" s="300">
        <f t="shared" si="119"/>
        <v>7.756626506024096E-2</v>
      </c>
      <c r="AD1299" s="115">
        <v>0</v>
      </c>
      <c r="AE1299" s="115">
        <v>0</v>
      </c>
      <c r="AF1299" s="115" t="s">
        <v>1566</v>
      </c>
      <c r="AG1299" s="115" t="s">
        <v>1566</v>
      </c>
      <c r="AH1299" s="115" t="s">
        <v>3483</v>
      </c>
      <c r="AI1299" s="309"/>
      <c r="AJ1299" s="309"/>
      <c r="AK1299" s="115" t="s">
        <v>37</v>
      </c>
      <c r="AL1299" s="115" t="s">
        <v>39</v>
      </c>
      <c r="AM1299" s="299">
        <f t="shared" ca="1" si="115"/>
        <v>1.84375</v>
      </c>
      <c r="AN1299" s="51"/>
      <c r="AO1299" s="147" t="s">
        <v>159</v>
      </c>
      <c r="AP1299" s="62" t="s">
        <v>3481</v>
      </c>
      <c r="AQ1299" s="147" t="s">
        <v>3687</v>
      </c>
      <c r="AR1299" s="64">
        <v>44910.454861111109</v>
      </c>
      <c r="AS1299" s="104" t="s">
        <v>117</v>
      </c>
      <c r="AT1299" s="147" t="s">
        <v>225</v>
      </c>
      <c r="AU1299" s="110">
        <v>0.4548611111111111</v>
      </c>
      <c r="AV1299" s="147">
        <v>1</v>
      </c>
      <c r="AW1299" s="147" t="s">
        <v>66</v>
      </c>
      <c r="AX1299" s="52"/>
      <c r="AY1299" s="52"/>
      <c r="AZ1299" s="52"/>
      <c r="BA1299" s="52"/>
    </row>
    <row r="1300" spans="1:53" x14ac:dyDescent="0.25">
      <c r="A1300" s="121">
        <v>216</v>
      </c>
      <c r="B1300" s="120">
        <v>44908.611111111109</v>
      </c>
      <c r="C1300" s="114">
        <v>0.61458333333333337</v>
      </c>
      <c r="D1300" s="114">
        <v>0.625</v>
      </c>
      <c r="E1300" s="114">
        <v>0.64583333333333337</v>
      </c>
      <c r="F1300" s="115" t="s">
        <v>171</v>
      </c>
      <c r="G1300" s="115" t="s">
        <v>173</v>
      </c>
      <c r="H1300" s="113" t="s">
        <v>291</v>
      </c>
      <c r="I1300" s="113" t="s">
        <v>172</v>
      </c>
      <c r="J1300" s="113" t="s">
        <v>37</v>
      </c>
      <c r="K1300" s="113" t="s">
        <v>180</v>
      </c>
      <c r="L1300" s="118" t="s">
        <v>206</v>
      </c>
      <c r="M1300" s="115" t="s">
        <v>3484</v>
      </c>
      <c r="N1300" s="115" t="s">
        <v>59</v>
      </c>
      <c r="O1300" s="115" t="s">
        <v>3485</v>
      </c>
      <c r="P1300" s="115">
        <v>813652</v>
      </c>
      <c r="Q1300" s="303">
        <f t="shared" si="116"/>
        <v>3</v>
      </c>
      <c r="R1300" s="303">
        <f t="shared" si="117"/>
        <v>40</v>
      </c>
      <c r="S1300" s="115">
        <v>3</v>
      </c>
      <c r="T1300" s="115">
        <v>40</v>
      </c>
      <c r="U1300" s="115">
        <v>0</v>
      </c>
      <c r="V1300" s="115">
        <v>0</v>
      </c>
      <c r="W1300" s="115">
        <v>43</v>
      </c>
      <c r="X1300" s="115">
        <v>57</v>
      </c>
      <c r="Y1300" s="115">
        <v>31</v>
      </c>
      <c r="Z1300" s="115">
        <v>22</v>
      </c>
      <c r="AA1300" s="115">
        <v>3</v>
      </c>
      <c r="AB1300" s="300">
        <f t="shared" si="118"/>
        <v>19.437000000000001</v>
      </c>
      <c r="AC1300" s="300">
        <f t="shared" si="119"/>
        <v>0.11709036144578314</v>
      </c>
      <c r="AD1300" s="115">
        <v>922</v>
      </c>
      <c r="AE1300" s="115" t="s">
        <v>111</v>
      </c>
      <c r="AF1300" s="115">
        <v>5986504</v>
      </c>
      <c r="AG1300" s="115" t="s">
        <v>3486</v>
      </c>
      <c r="AH1300" s="115" t="s">
        <v>3487</v>
      </c>
      <c r="AI1300" s="309"/>
      <c r="AJ1300" s="309"/>
      <c r="AK1300" s="115" t="s">
        <v>48</v>
      </c>
      <c r="AL1300" s="115" t="s">
        <v>50</v>
      </c>
      <c r="AM1300" s="299">
        <f t="shared" ca="1" si="115"/>
        <v>3.1076388888905058</v>
      </c>
      <c r="AN1300" s="51"/>
      <c r="AO1300" s="147" t="s">
        <v>70</v>
      </c>
      <c r="AP1300" s="62" t="s">
        <v>3484</v>
      </c>
      <c r="AQ1300" s="147" t="s">
        <v>3775</v>
      </c>
      <c r="AR1300" s="64">
        <v>44911.71875</v>
      </c>
      <c r="AS1300" s="147" t="s">
        <v>136</v>
      </c>
      <c r="AT1300" s="147" t="s">
        <v>225</v>
      </c>
      <c r="AU1300" s="110">
        <v>0.71875</v>
      </c>
      <c r="AV1300" s="147">
        <v>2</v>
      </c>
      <c r="AW1300" s="147" t="s">
        <v>66</v>
      </c>
      <c r="AX1300" s="52"/>
      <c r="AY1300" s="52"/>
      <c r="AZ1300" s="52"/>
      <c r="BA1300" s="52"/>
    </row>
    <row r="1301" spans="1:53" x14ac:dyDescent="0.25">
      <c r="A1301" s="121">
        <v>217</v>
      </c>
      <c r="B1301" s="120">
        <v>44908.611111111109</v>
      </c>
      <c r="C1301" s="114">
        <v>0.61458333333333337</v>
      </c>
      <c r="D1301" s="114">
        <v>0.625</v>
      </c>
      <c r="E1301" s="114">
        <v>0.64583333333333337</v>
      </c>
      <c r="F1301" s="115" t="s">
        <v>171</v>
      </c>
      <c r="G1301" s="115" t="s">
        <v>173</v>
      </c>
      <c r="H1301" s="113" t="s">
        <v>291</v>
      </c>
      <c r="I1301" s="113" t="s">
        <v>172</v>
      </c>
      <c r="J1301" s="113" t="s">
        <v>37</v>
      </c>
      <c r="K1301" s="113" t="s">
        <v>180</v>
      </c>
      <c r="L1301" s="118" t="s">
        <v>206</v>
      </c>
      <c r="M1301" s="115" t="s">
        <v>3488</v>
      </c>
      <c r="N1301" s="115" t="s">
        <v>59</v>
      </c>
      <c r="O1301" s="115" t="s">
        <v>3489</v>
      </c>
      <c r="P1301" s="115">
        <v>827512</v>
      </c>
      <c r="Q1301" s="303">
        <f t="shared" si="116"/>
        <v>1</v>
      </c>
      <c r="R1301" s="303">
        <f t="shared" si="117"/>
        <v>5</v>
      </c>
      <c r="S1301" s="115">
        <v>1</v>
      </c>
      <c r="T1301" s="115">
        <v>5</v>
      </c>
      <c r="U1301" s="115">
        <v>0</v>
      </c>
      <c r="V1301" s="115">
        <v>0</v>
      </c>
      <c r="W1301" s="115">
        <v>8</v>
      </c>
      <c r="X1301" s="115">
        <v>47</v>
      </c>
      <c r="Y1301" s="115">
        <v>28</v>
      </c>
      <c r="Z1301" s="115">
        <v>19</v>
      </c>
      <c r="AA1301" s="115">
        <v>1</v>
      </c>
      <c r="AB1301" s="300">
        <f t="shared" si="118"/>
        <v>4.1673333333333336</v>
      </c>
      <c r="AC1301" s="300">
        <f t="shared" si="119"/>
        <v>2.5104417670682732E-2</v>
      </c>
      <c r="AD1301" s="115">
        <v>378</v>
      </c>
      <c r="AE1301" s="115" t="s">
        <v>111</v>
      </c>
      <c r="AF1301" s="115" t="s">
        <v>3490</v>
      </c>
      <c r="AG1301" s="115" t="s">
        <v>1566</v>
      </c>
      <c r="AH1301" s="115" t="s">
        <v>3487</v>
      </c>
      <c r="AI1301" s="309"/>
      <c r="AJ1301" s="309"/>
      <c r="AK1301" s="115" t="s">
        <v>48</v>
      </c>
      <c r="AL1301" s="115" t="s">
        <v>50</v>
      </c>
      <c r="AM1301" s="299">
        <f t="shared" ca="1" si="115"/>
        <v>7.9513888888905058</v>
      </c>
      <c r="AN1301" s="51"/>
      <c r="AO1301" s="189" t="s">
        <v>70</v>
      </c>
      <c r="AP1301" s="91" t="s">
        <v>3488</v>
      </c>
      <c r="AQ1301" s="189" t="s">
        <v>4071</v>
      </c>
      <c r="AR1301" s="192">
        <v>44916.5625</v>
      </c>
      <c r="AS1301" s="186" t="s">
        <v>483</v>
      </c>
      <c r="AT1301" s="189" t="s">
        <v>225</v>
      </c>
      <c r="AU1301" s="191">
        <v>0.5625</v>
      </c>
      <c r="AV1301" s="189">
        <v>1</v>
      </c>
      <c r="AW1301" s="189" t="s">
        <v>66</v>
      </c>
      <c r="AX1301" s="52"/>
      <c r="AY1301" s="52"/>
      <c r="AZ1301" s="52"/>
      <c r="BA1301" s="52"/>
    </row>
    <row r="1302" spans="1:53" x14ac:dyDescent="0.25">
      <c r="A1302" s="121">
        <v>218</v>
      </c>
      <c r="B1302" s="120">
        <v>44908.614583333336</v>
      </c>
      <c r="C1302" s="114">
        <v>0.61805555555555558</v>
      </c>
      <c r="D1302" s="114">
        <v>0.63541666666666663</v>
      </c>
      <c r="E1302" s="114">
        <v>0.65972222222222221</v>
      </c>
      <c r="F1302" s="115" t="s">
        <v>169</v>
      </c>
      <c r="G1302" s="115" t="s">
        <v>3491</v>
      </c>
      <c r="H1302" s="113" t="s">
        <v>494</v>
      </c>
      <c r="I1302" s="113" t="s">
        <v>377</v>
      </c>
      <c r="J1302" s="113" t="s">
        <v>41</v>
      </c>
      <c r="K1302" s="113" t="s">
        <v>241</v>
      </c>
      <c r="L1302" s="113">
        <v>0</v>
      </c>
      <c r="M1302" s="115" t="s">
        <v>3492</v>
      </c>
      <c r="N1302" s="115" t="s">
        <v>125</v>
      </c>
      <c r="O1302" s="115" t="s">
        <v>3493</v>
      </c>
      <c r="P1302" s="115">
        <v>10049349</v>
      </c>
      <c r="Q1302" s="303">
        <f t="shared" si="116"/>
        <v>9</v>
      </c>
      <c r="R1302" s="303">
        <f t="shared" si="117"/>
        <v>42</v>
      </c>
      <c r="S1302" s="115">
        <v>9</v>
      </c>
      <c r="T1302" s="115">
        <v>42</v>
      </c>
      <c r="U1302" s="115">
        <v>0</v>
      </c>
      <c r="V1302" s="115">
        <v>0</v>
      </c>
      <c r="W1302" s="115">
        <v>38.409999999999997</v>
      </c>
      <c r="X1302" s="115">
        <v>66</v>
      </c>
      <c r="Y1302" s="115">
        <v>47</v>
      </c>
      <c r="Z1302" s="115">
        <v>32</v>
      </c>
      <c r="AA1302" s="115">
        <v>2</v>
      </c>
      <c r="AB1302" s="300">
        <f t="shared" si="118"/>
        <v>33.088000000000001</v>
      </c>
      <c r="AC1302" s="300">
        <f t="shared" si="119"/>
        <v>0.19932530120481928</v>
      </c>
      <c r="AD1302" s="115">
        <v>946.29</v>
      </c>
      <c r="AE1302" s="115" t="s">
        <v>109</v>
      </c>
      <c r="AF1302" s="115">
        <v>6112055</v>
      </c>
      <c r="AG1302" s="115" t="s">
        <v>3458</v>
      </c>
      <c r="AH1302" s="115" t="s">
        <v>3494</v>
      </c>
      <c r="AI1302" s="309"/>
      <c r="AJ1302" s="309"/>
      <c r="AK1302" s="115" t="s">
        <v>48</v>
      </c>
      <c r="AL1302" s="115" t="s">
        <v>50</v>
      </c>
      <c r="AM1302" s="299">
        <f t="shared" ca="1" si="115"/>
        <v>3.1041666666642413</v>
      </c>
      <c r="AN1302" s="51"/>
      <c r="AO1302" s="147" t="s">
        <v>142</v>
      </c>
      <c r="AP1302" s="62" t="s">
        <v>3492</v>
      </c>
      <c r="AQ1302" s="147" t="s">
        <v>3775</v>
      </c>
      <c r="AR1302" s="64">
        <v>44911.71875</v>
      </c>
      <c r="AS1302" s="147" t="s">
        <v>136</v>
      </c>
      <c r="AT1302" s="147" t="s">
        <v>225</v>
      </c>
      <c r="AU1302" s="110">
        <v>0.71875</v>
      </c>
      <c r="AV1302" s="147">
        <v>2</v>
      </c>
      <c r="AW1302" s="147" t="s">
        <v>66</v>
      </c>
      <c r="AX1302" s="52"/>
      <c r="AY1302" s="52"/>
      <c r="AZ1302" s="52"/>
      <c r="BA1302" s="52"/>
    </row>
    <row r="1303" spans="1:53" x14ac:dyDescent="0.25">
      <c r="A1303" s="121">
        <v>218</v>
      </c>
      <c r="B1303" s="120">
        <v>44908.614583333336</v>
      </c>
      <c r="C1303" s="114">
        <v>0.61805555555555558</v>
      </c>
      <c r="D1303" s="114">
        <v>0.63541666666666663</v>
      </c>
      <c r="E1303" s="114">
        <v>0.65972222222222221</v>
      </c>
      <c r="F1303" s="115" t="s">
        <v>169</v>
      </c>
      <c r="G1303" s="115" t="s">
        <v>3491</v>
      </c>
      <c r="H1303" s="113" t="s">
        <v>494</v>
      </c>
      <c r="I1303" s="113" t="s">
        <v>377</v>
      </c>
      <c r="J1303" s="113" t="s">
        <v>41</v>
      </c>
      <c r="K1303" s="113" t="s">
        <v>241</v>
      </c>
      <c r="L1303" s="113">
        <v>0</v>
      </c>
      <c r="M1303" s="115" t="s">
        <v>3492</v>
      </c>
      <c r="N1303" s="115" t="s">
        <v>125</v>
      </c>
      <c r="O1303" s="115" t="s">
        <v>3493</v>
      </c>
      <c r="P1303" s="115">
        <v>10049349</v>
      </c>
      <c r="Q1303" s="303">
        <f t="shared" si="116"/>
        <v>0</v>
      </c>
      <c r="R1303" s="303">
        <f t="shared" si="117"/>
        <v>0</v>
      </c>
      <c r="S1303" s="115">
        <v>0</v>
      </c>
      <c r="T1303" s="115">
        <v>0</v>
      </c>
      <c r="U1303" s="115">
        <v>0</v>
      </c>
      <c r="V1303" s="115">
        <v>0</v>
      </c>
      <c r="W1303" s="115">
        <v>0</v>
      </c>
      <c r="X1303" s="115">
        <v>66</v>
      </c>
      <c r="Y1303" s="115">
        <v>47</v>
      </c>
      <c r="Z1303" s="115">
        <v>16</v>
      </c>
      <c r="AA1303" s="115">
        <v>7</v>
      </c>
      <c r="AB1303" s="300">
        <f t="shared" si="118"/>
        <v>57.904000000000003</v>
      </c>
      <c r="AC1303" s="300">
        <f t="shared" si="119"/>
        <v>0.34881927710843375</v>
      </c>
      <c r="AD1303" s="115">
        <v>0</v>
      </c>
      <c r="AE1303" s="115">
        <v>0</v>
      </c>
      <c r="AF1303" s="115">
        <v>6112055</v>
      </c>
      <c r="AG1303" s="115" t="s">
        <v>3458</v>
      </c>
      <c r="AH1303" s="115" t="s">
        <v>3494</v>
      </c>
      <c r="AI1303" s="309"/>
      <c r="AJ1303" s="309"/>
      <c r="AK1303" s="115" t="s">
        <v>48</v>
      </c>
      <c r="AL1303" s="115" t="s">
        <v>50</v>
      </c>
      <c r="AM1303" s="299">
        <f t="shared" ca="1" si="115"/>
        <v>3.1041666666642413</v>
      </c>
      <c r="AN1303" s="51"/>
      <c r="AO1303" s="147" t="s">
        <v>142</v>
      </c>
      <c r="AP1303" s="62" t="s">
        <v>3492</v>
      </c>
      <c r="AQ1303" s="147" t="s">
        <v>3775</v>
      </c>
      <c r="AR1303" s="64">
        <v>44911.71875</v>
      </c>
      <c r="AS1303" s="147" t="s">
        <v>136</v>
      </c>
      <c r="AT1303" s="147" t="s">
        <v>225</v>
      </c>
      <c r="AU1303" s="110">
        <v>0.71875</v>
      </c>
      <c r="AV1303" s="147">
        <v>2</v>
      </c>
      <c r="AW1303" s="147" t="s">
        <v>66</v>
      </c>
      <c r="AX1303" s="52"/>
      <c r="AY1303" s="52"/>
      <c r="AZ1303" s="52"/>
      <c r="BA1303" s="52"/>
    </row>
    <row r="1304" spans="1:53" x14ac:dyDescent="0.25">
      <c r="A1304" s="121">
        <v>219</v>
      </c>
      <c r="B1304" s="120">
        <v>44908.614583333336</v>
      </c>
      <c r="C1304" s="114">
        <v>0.61805555555555558</v>
      </c>
      <c r="D1304" s="114">
        <v>0.63541666666666663</v>
      </c>
      <c r="E1304" s="114">
        <v>0.65972222222222221</v>
      </c>
      <c r="F1304" s="115" t="s">
        <v>169</v>
      </c>
      <c r="G1304" s="115" t="s">
        <v>3491</v>
      </c>
      <c r="H1304" s="113" t="s">
        <v>494</v>
      </c>
      <c r="I1304" s="113" t="s">
        <v>377</v>
      </c>
      <c r="J1304" s="113" t="s">
        <v>41</v>
      </c>
      <c r="K1304" s="113" t="s">
        <v>241</v>
      </c>
      <c r="L1304" s="113">
        <v>0</v>
      </c>
      <c r="M1304" s="115" t="s">
        <v>3495</v>
      </c>
      <c r="N1304" s="115" t="s">
        <v>42</v>
      </c>
      <c r="O1304" s="115" t="s">
        <v>3496</v>
      </c>
      <c r="P1304" s="115">
        <v>10049257</v>
      </c>
      <c r="Q1304" s="303">
        <f t="shared" si="116"/>
        <v>34</v>
      </c>
      <c r="R1304" s="303">
        <f t="shared" si="117"/>
        <v>403</v>
      </c>
      <c r="S1304" s="115">
        <v>34</v>
      </c>
      <c r="T1304" s="115">
        <v>403</v>
      </c>
      <c r="U1304" s="115">
        <v>0</v>
      </c>
      <c r="V1304" s="115">
        <v>0</v>
      </c>
      <c r="W1304" s="115">
        <v>413.99</v>
      </c>
      <c r="X1304" s="115">
        <v>66</v>
      </c>
      <c r="Y1304" s="115">
        <v>47</v>
      </c>
      <c r="Z1304" s="115">
        <v>16</v>
      </c>
      <c r="AA1304" s="115">
        <v>1</v>
      </c>
      <c r="AB1304" s="300">
        <f t="shared" si="118"/>
        <v>8.2720000000000002</v>
      </c>
      <c r="AC1304" s="300">
        <f t="shared" si="119"/>
        <v>4.9831325301204821E-2</v>
      </c>
      <c r="AD1304" s="115">
        <v>13404.74</v>
      </c>
      <c r="AE1304" s="115" t="s">
        <v>109</v>
      </c>
      <c r="AF1304" s="115">
        <v>6112045</v>
      </c>
      <c r="AG1304" s="115" t="s">
        <v>3458</v>
      </c>
      <c r="AH1304" s="115" t="s">
        <v>3497</v>
      </c>
      <c r="AI1304" s="309"/>
      <c r="AJ1304" s="309"/>
      <c r="AK1304" s="115" t="s">
        <v>48</v>
      </c>
      <c r="AL1304" s="115" t="s">
        <v>50</v>
      </c>
      <c r="AM1304" s="299">
        <f t="shared" ca="1" si="115"/>
        <v>3.0243055555547471</v>
      </c>
      <c r="AN1304" s="51"/>
      <c r="AO1304" s="147" t="s">
        <v>107</v>
      </c>
      <c r="AP1304" s="62" t="s">
        <v>3495</v>
      </c>
      <c r="AQ1304" s="147" t="s">
        <v>3771</v>
      </c>
      <c r="AR1304" s="64">
        <v>44911.638888888891</v>
      </c>
      <c r="AS1304" s="104" t="s">
        <v>240</v>
      </c>
      <c r="AT1304" s="147" t="s">
        <v>65</v>
      </c>
      <c r="AU1304" s="110">
        <v>0.63888888888888895</v>
      </c>
      <c r="AV1304" s="147">
        <v>1</v>
      </c>
      <c r="AW1304" s="147" t="s">
        <v>66</v>
      </c>
      <c r="AX1304" s="52"/>
      <c r="AY1304" s="52"/>
      <c r="AZ1304" s="52"/>
      <c r="BA1304" s="52"/>
    </row>
    <row r="1305" spans="1:53" x14ac:dyDescent="0.25">
      <c r="A1305" s="121">
        <v>219</v>
      </c>
      <c r="B1305" s="120">
        <v>44908.614583333336</v>
      </c>
      <c r="C1305" s="114">
        <v>0.61805555555555558</v>
      </c>
      <c r="D1305" s="114">
        <v>0.63541666666666663</v>
      </c>
      <c r="E1305" s="114">
        <v>0.65972222222222221</v>
      </c>
      <c r="F1305" s="115" t="s">
        <v>169</v>
      </c>
      <c r="G1305" s="115" t="s">
        <v>3491</v>
      </c>
      <c r="H1305" s="113" t="s">
        <v>494</v>
      </c>
      <c r="I1305" s="113" t="s">
        <v>377</v>
      </c>
      <c r="J1305" s="113" t="s">
        <v>41</v>
      </c>
      <c r="K1305" s="113" t="s">
        <v>241</v>
      </c>
      <c r="L1305" s="113">
        <v>0</v>
      </c>
      <c r="M1305" s="115" t="s">
        <v>3495</v>
      </c>
      <c r="N1305" s="115" t="s">
        <v>42</v>
      </c>
      <c r="O1305" s="115" t="s">
        <v>3496</v>
      </c>
      <c r="P1305" s="115">
        <v>10049257</v>
      </c>
      <c r="Q1305" s="303">
        <f t="shared" si="116"/>
        <v>0</v>
      </c>
      <c r="R1305" s="303">
        <f t="shared" si="117"/>
        <v>0</v>
      </c>
      <c r="S1305" s="115">
        <v>0</v>
      </c>
      <c r="T1305" s="115">
        <v>0</v>
      </c>
      <c r="U1305" s="115">
        <v>0</v>
      </c>
      <c r="V1305" s="115">
        <v>0</v>
      </c>
      <c r="W1305" s="115">
        <v>0</v>
      </c>
      <c r="X1305" s="115">
        <v>66</v>
      </c>
      <c r="Y1305" s="115">
        <v>47</v>
      </c>
      <c r="Z1305" s="115">
        <v>32</v>
      </c>
      <c r="AA1305" s="115">
        <v>32</v>
      </c>
      <c r="AB1305" s="300">
        <f t="shared" si="118"/>
        <v>529.40800000000002</v>
      </c>
      <c r="AC1305" s="300">
        <f t="shared" si="119"/>
        <v>3.1892048192771085</v>
      </c>
      <c r="AD1305" s="115">
        <v>0</v>
      </c>
      <c r="AE1305" s="115">
        <v>0</v>
      </c>
      <c r="AF1305" s="115">
        <v>6112045</v>
      </c>
      <c r="AG1305" s="115" t="s">
        <v>3458</v>
      </c>
      <c r="AH1305" s="115" t="s">
        <v>3497</v>
      </c>
      <c r="AI1305" s="309"/>
      <c r="AJ1305" s="309"/>
      <c r="AK1305" s="115" t="s">
        <v>48</v>
      </c>
      <c r="AL1305" s="115" t="s">
        <v>50</v>
      </c>
      <c r="AM1305" s="299">
        <f t="shared" ca="1" si="115"/>
        <v>3.0243055555547471</v>
      </c>
      <c r="AN1305" s="51"/>
      <c r="AO1305" s="147" t="s">
        <v>107</v>
      </c>
      <c r="AP1305" s="62" t="s">
        <v>3495</v>
      </c>
      <c r="AQ1305" s="147" t="s">
        <v>3771</v>
      </c>
      <c r="AR1305" s="64">
        <v>44911.638888888891</v>
      </c>
      <c r="AS1305" s="104" t="s">
        <v>240</v>
      </c>
      <c r="AT1305" s="147" t="s">
        <v>65</v>
      </c>
      <c r="AU1305" s="110">
        <v>0.63888888888888895</v>
      </c>
      <c r="AV1305" s="147">
        <v>1</v>
      </c>
      <c r="AW1305" s="147" t="s">
        <v>66</v>
      </c>
      <c r="AX1305" s="52"/>
      <c r="AY1305" s="52"/>
      <c r="AZ1305" s="52"/>
      <c r="BA1305" s="52"/>
    </row>
    <row r="1306" spans="1:53" x14ac:dyDescent="0.25">
      <c r="A1306" s="121">
        <v>219</v>
      </c>
      <c r="B1306" s="120">
        <v>44908.614583333336</v>
      </c>
      <c r="C1306" s="114">
        <v>0.61805555555555558</v>
      </c>
      <c r="D1306" s="114">
        <v>0.63541666666666663</v>
      </c>
      <c r="E1306" s="114">
        <v>0.65972222222222221</v>
      </c>
      <c r="F1306" s="115" t="s">
        <v>169</v>
      </c>
      <c r="G1306" s="115" t="s">
        <v>3491</v>
      </c>
      <c r="H1306" s="113" t="s">
        <v>494</v>
      </c>
      <c r="I1306" s="113" t="s">
        <v>377</v>
      </c>
      <c r="J1306" s="113" t="s">
        <v>41</v>
      </c>
      <c r="K1306" s="113" t="s">
        <v>241</v>
      </c>
      <c r="L1306" s="113">
        <v>0</v>
      </c>
      <c r="M1306" s="115" t="s">
        <v>3495</v>
      </c>
      <c r="N1306" s="115" t="s">
        <v>42</v>
      </c>
      <c r="O1306" s="115" t="s">
        <v>3496</v>
      </c>
      <c r="P1306" s="115">
        <v>10049257</v>
      </c>
      <c r="Q1306" s="303">
        <f t="shared" si="116"/>
        <v>0</v>
      </c>
      <c r="R1306" s="303">
        <f t="shared" si="117"/>
        <v>0</v>
      </c>
      <c r="S1306" s="115">
        <v>0</v>
      </c>
      <c r="T1306" s="115">
        <v>0</v>
      </c>
      <c r="U1306" s="115">
        <v>0</v>
      </c>
      <c r="V1306" s="115">
        <v>0</v>
      </c>
      <c r="W1306" s="115">
        <v>0</v>
      </c>
      <c r="X1306" s="115">
        <v>66</v>
      </c>
      <c r="Y1306" s="115">
        <v>47</v>
      </c>
      <c r="Z1306" s="115">
        <v>21</v>
      </c>
      <c r="AA1306" s="115">
        <v>1</v>
      </c>
      <c r="AB1306" s="300">
        <f t="shared" si="118"/>
        <v>10.856999999999999</v>
      </c>
      <c r="AC1306" s="300">
        <f t="shared" si="119"/>
        <v>6.5403614457831327E-2</v>
      </c>
      <c r="AD1306" s="115">
        <v>0</v>
      </c>
      <c r="AE1306" s="115">
        <v>0</v>
      </c>
      <c r="AF1306" s="115">
        <v>6112045</v>
      </c>
      <c r="AG1306" s="115" t="s">
        <v>3458</v>
      </c>
      <c r="AH1306" s="115" t="s">
        <v>3497</v>
      </c>
      <c r="AI1306" s="309"/>
      <c r="AJ1306" s="309"/>
      <c r="AK1306" s="115" t="s">
        <v>48</v>
      </c>
      <c r="AL1306" s="115" t="s">
        <v>50</v>
      </c>
      <c r="AM1306" s="299">
        <f t="shared" ca="1" si="115"/>
        <v>3.0243055555547471</v>
      </c>
      <c r="AN1306" s="51"/>
      <c r="AO1306" s="147" t="s">
        <v>107</v>
      </c>
      <c r="AP1306" s="62" t="s">
        <v>3495</v>
      </c>
      <c r="AQ1306" s="147" t="s">
        <v>3771</v>
      </c>
      <c r="AR1306" s="64">
        <v>44911.638888888891</v>
      </c>
      <c r="AS1306" s="104" t="s">
        <v>240</v>
      </c>
      <c r="AT1306" s="147" t="s">
        <v>65</v>
      </c>
      <c r="AU1306" s="110">
        <v>0.63888888888888895</v>
      </c>
      <c r="AV1306" s="147">
        <v>1</v>
      </c>
      <c r="AW1306" s="147" t="s">
        <v>66</v>
      </c>
      <c r="AX1306" s="52"/>
      <c r="AY1306" s="52"/>
      <c r="AZ1306" s="52"/>
      <c r="BA1306" s="52"/>
    </row>
    <row r="1307" spans="1:53" x14ac:dyDescent="0.25">
      <c r="A1307" s="121">
        <v>220</v>
      </c>
      <c r="B1307" s="120">
        <v>44908.635416666664</v>
      </c>
      <c r="C1307" s="114">
        <v>0.63888888888888895</v>
      </c>
      <c r="D1307" s="114">
        <v>0.64236111111111105</v>
      </c>
      <c r="E1307" s="114">
        <v>0.65972222222222221</v>
      </c>
      <c r="F1307" s="115" t="s">
        <v>171</v>
      </c>
      <c r="G1307" s="115" t="s">
        <v>2535</v>
      </c>
      <c r="H1307" s="113" t="s">
        <v>149</v>
      </c>
      <c r="I1307" s="113" t="s">
        <v>149</v>
      </c>
      <c r="J1307" s="113" t="s">
        <v>37</v>
      </c>
      <c r="K1307" s="113" t="s">
        <v>180</v>
      </c>
      <c r="L1307" s="118" t="s">
        <v>206</v>
      </c>
      <c r="M1307" s="115" t="s">
        <v>3498</v>
      </c>
      <c r="N1307" s="115" t="s">
        <v>42</v>
      </c>
      <c r="O1307" s="115" t="s">
        <v>3499</v>
      </c>
      <c r="P1307" s="115" t="s">
        <v>3500</v>
      </c>
      <c r="Q1307" s="303">
        <f t="shared" si="116"/>
        <v>1</v>
      </c>
      <c r="R1307" s="303">
        <f t="shared" si="117"/>
        <v>355</v>
      </c>
      <c r="S1307" s="115">
        <v>0</v>
      </c>
      <c r="T1307" s="115">
        <v>0</v>
      </c>
      <c r="U1307" s="115">
        <v>1</v>
      </c>
      <c r="V1307" s="115">
        <v>355</v>
      </c>
      <c r="W1307" s="115">
        <v>388.46</v>
      </c>
      <c r="X1307" s="115">
        <v>109</v>
      </c>
      <c r="Y1307" s="115">
        <v>56</v>
      </c>
      <c r="Z1307" s="115">
        <v>66</v>
      </c>
      <c r="AA1307" s="115">
        <v>1</v>
      </c>
      <c r="AB1307" s="300">
        <f t="shared" si="118"/>
        <v>67.144000000000005</v>
      </c>
      <c r="AC1307" s="300">
        <f t="shared" si="119"/>
        <v>0.4044819277108434</v>
      </c>
      <c r="AD1307" s="115">
        <v>1637.6</v>
      </c>
      <c r="AE1307" s="115" t="s">
        <v>109</v>
      </c>
      <c r="AF1307" s="115" t="s">
        <v>317</v>
      </c>
      <c r="AG1307" s="115" t="s">
        <v>317</v>
      </c>
      <c r="AH1307" s="115" t="s">
        <v>3501</v>
      </c>
      <c r="AI1307" s="309"/>
      <c r="AJ1307" s="309"/>
      <c r="AK1307" s="115" t="s">
        <v>37</v>
      </c>
      <c r="AL1307" s="115" t="s">
        <v>39</v>
      </c>
      <c r="AM1307" s="299">
        <f t="shared" ca="1" si="115"/>
        <v>3.0034722222262644</v>
      </c>
      <c r="AN1307" s="51"/>
      <c r="AO1307" s="147" t="s">
        <v>409</v>
      </c>
      <c r="AP1307" s="62" t="s">
        <v>3498</v>
      </c>
      <c r="AQ1307" s="147" t="s">
        <v>3771</v>
      </c>
      <c r="AR1307" s="64">
        <v>44911.638888888891</v>
      </c>
      <c r="AS1307" s="104" t="s">
        <v>240</v>
      </c>
      <c r="AT1307" s="147" t="s">
        <v>65</v>
      </c>
      <c r="AU1307" s="110">
        <v>0.63888888888888895</v>
      </c>
      <c r="AV1307" s="147">
        <v>1</v>
      </c>
      <c r="AW1307" s="147" t="s">
        <v>66</v>
      </c>
      <c r="AX1307" s="52"/>
      <c r="AY1307" s="52"/>
      <c r="AZ1307" s="52"/>
      <c r="BA1307" s="52"/>
    </row>
    <row r="1308" spans="1:53" x14ac:dyDescent="0.25">
      <c r="A1308" s="121">
        <v>221</v>
      </c>
      <c r="B1308" s="120">
        <v>44908.736111111109</v>
      </c>
      <c r="C1308" s="114">
        <v>0.73611111111111116</v>
      </c>
      <c r="D1308" s="114">
        <v>0.74305555555555547</v>
      </c>
      <c r="E1308" s="114">
        <v>0.74305555555555547</v>
      </c>
      <c r="F1308" s="115" t="s">
        <v>169</v>
      </c>
      <c r="G1308" s="115" t="s">
        <v>448</v>
      </c>
      <c r="H1308" s="113" t="s">
        <v>416</v>
      </c>
      <c r="I1308" s="113" t="s">
        <v>2789</v>
      </c>
      <c r="J1308" s="113" t="s">
        <v>41</v>
      </c>
      <c r="K1308" s="113" t="s">
        <v>233</v>
      </c>
      <c r="L1308" s="113" t="s">
        <v>417</v>
      </c>
      <c r="M1308" s="115" t="s">
        <v>3502</v>
      </c>
      <c r="N1308" s="115" t="s">
        <v>42</v>
      </c>
      <c r="O1308" s="115" t="s">
        <v>3503</v>
      </c>
      <c r="P1308" s="115">
        <v>25670</v>
      </c>
      <c r="Q1308" s="303">
        <f t="shared" si="116"/>
        <v>42</v>
      </c>
      <c r="R1308" s="303">
        <f t="shared" si="117"/>
        <v>469</v>
      </c>
      <c r="S1308" s="115">
        <v>42</v>
      </c>
      <c r="T1308" s="115">
        <v>469</v>
      </c>
      <c r="U1308" s="115">
        <v>0</v>
      </c>
      <c r="V1308" s="115">
        <v>0</v>
      </c>
      <c r="W1308" s="115">
        <v>432.35199999999998</v>
      </c>
      <c r="X1308" s="115">
        <v>62</v>
      </c>
      <c r="Y1308" s="115">
        <v>39</v>
      </c>
      <c r="Z1308" s="115">
        <v>37</v>
      </c>
      <c r="AA1308" s="115">
        <v>29</v>
      </c>
      <c r="AB1308" s="300">
        <f t="shared" si="118"/>
        <v>432.41899999999998</v>
      </c>
      <c r="AC1308" s="300">
        <f t="shared" si="119"/>
        <v>2.6049337349397588</v>
      </c>
      <c r="AD1308" s="115">
        <v>14465.56</v>
      </c>
      <c r="AE1308" s="115" t="s">
        <v>109</v>
      </c>
      <c r="AF1308" s="132">
        <v>6121540</v>
      </c>
      <c r="AG1308" s="115" t="s">
        <v>3458</v>
      </c>
      <c r="AH1308" s="115" t="s">
        <v>3504</v>
      </c>
      <c r="AI1308" s="309"/>
      <c r="AJ1308" s="309"/>
      <c r="AK1308" s="115" t="s">
        <v>48</v>
      </c>
      <c r="AL1308" s="115" t="s">
        <v>50</v>
      </c>
      <c r="AM1308" s="299">
        <f t="shared" ca="1" si="115"/>
        <v>2.9027777777810115</v>
      </c>
      <c r="AN1308" s="51"/>
      <c r="AO1308" s="147" t="s">
        <v>93</v>
      </c>
      <c r="AP1308" s="62" t="s">
        <v>3502</v>
      </c>
      <c r="AQ1308" s="147" t="s">
        <v>3771</v>
      </c>
      <c r="AR1308" s="64">
        <v>44911.638888888891</v>
      </c>
      <c r="AS1308" s="104" t="s">
        <v>240</v>
      </c>
      <c r="AT1308" s="147" t="s">
        <v>65</v>
      </c>
      <c r="AU1308" s="110">
        <v>0.63888888888888895</v>
      </c>
      <c r="AV1308" s="147">
        <v>1</v>
      </c>
      <c r="AW1308" s="147" t="s">
        <v>66</v>
      </c>
      <c r="AX1308" s="52"/>
      <c r="AY1308" s="52"/>
      <c r="AZ1308" s="52"/>
      <c r="BA1308" s="52"/>
    </row>
    <row r="1309" spans="1:53" x14ac:dyDescent="0.25">
      <c r="A1309" s="121">
        <v>221</v>
      </c>
      <c r="B1309" s="120">
        <v>44908.736111111109</v>
      </c>
      <c r="C1309" s="114">
        <v>0.73611111111111116</v>
      </c>
      <c r="D1309" s="114">
        <v>0.74305555555555547</v>
      </c>
      <c r="E1309" s="114">
        <v>0.74305555555555547</v>
      </c>
      <c r="F1309" s="115" t="s">
        <v>169</v>
      </c>
      <c r="G1309" s="115" t="s">
        <v>448</v>
      </c>
      <c r="H1309" s="113" t="s">
        <v>416</v>
      </c>
      <c r="I1309" s="113" t="s">
        <v>2789</v>
      </c>
      <c r="J1309" s="113" t="s">
        <v>41</v>
      </c>
      <c r="K1309" s="113" t="s">
        <v>233</v>
      </c>
      <c r="L1309" s="113" t="s">
        <v>417</v>
      </c>
      <c r="M1309" s="115" t="s">
        <v>3502</v>
      </c>
      <c r="N1309" s="115" t="s">
        <v>42</v>
      </c>
      <c r="O1309" s="115" t="s">
        <v>3503</v>
      </c>
      <c r="P1309" s="115">
        <v>25670</v>
      </c>
      <c r="Q1309" s="303">
        <f t="shared" si="116"/>
        <v>0</v>
      </c>
      <c r="R1309" s="303">
        <f t="shared" si="117"/>
        <v>0</v>
      </c>
      <c r="S1309" s="115">
        <v>0</v>
      </c>
      <c r="T1309" s="115">
        <v>0</v>
      </c>
      <c r="U1309" s="115">
        <v>0</v>
      </c>
      <c r="V1309" s="115">
        <v>0</v>
      </c>
      <c r="W1309" s="115">
        <v>0</v>
      </c>
      <c r="X1309" s="115">
        <v>62</v>
      </c>
      <c r="Y1309" s="115">
        <v>39</v>
      </c>
      <c r="Z1309" s="115">
        <v>18</v>
      </c>
      <c r="AA1309" s="115">
        <v>13</v>
      </c>
      <c r="AB1309" s="300">
        <f t="shared" si="118"/>
        <v>94.302000000000007</v>
      </c>
      <c r="AC1309" s="300">
        <f t="shared" si="119"/>
        <v>0.56808433734939767</v>
      </c>
      <c r="AD1309" s="115">
        <v>0</v>
      </c>
      <c r="AE1309" s="115">
        <v>0</v>
      </c>
      <c r="AF1309" s="132">
        <v>6121540</v>
      </c>
      <c r="AG1309" s="115" t="s">
        <v>3458</v>
      </c>
      <c r="AH1309" s="115" t="s">
        <v>3504</v>
      </c>
      <c r="AI1309" s="309"/>
      <c r="AJ1309" s="309"/>
      <c r="AK1309" s="115" t="s">
        <v>48</v>
      </c>
      <c r="AL1309" s="115" t="s">
        <v>50</v>
      </c>
      <c r="AM1309" s="299">
        <f t="shared" ca="1" si="115"/>
        <v>2.9027777777810115</v>
      </c>
      <c r="AN1309" s="51"/>
      <c r="AO1309" s="147" t="s">
        <v>93</v>
      </c>
      <c r="AP1309" s="62" t="s">
        <v>3502</v>
      </c>
      <c r="AQ1309" s="147" t="s">
        <v>3771</v>
      </c>
      <c r="AR1309" s="64">
        <v>44911.638888888891</v>
      </c>
      <c r="AS1309" s="104" t="s">
        <v>240</v>
      </c>
      <c r="AT1309" s="147" t="s">
        <v>65</v>
      </c>
      <c r="AU1309" s="110">
        <v>0.63888888888888895</v>
      </c>
      <c r="AV1309" s="147">
        <v>1</v>
      </c>
      <c r="AW1309" s="147" t="s">
        <v>66</v>
      </c>
      <c r="AX1309" s="52"/>
      <c r="AY1309" s="52"/>
      <c r="AZ1309" s="52"/>
      <c r="BA1309" s="52"/>
    </row>
    <row r="1310" spans="1:53" x14ac:dyDescent="0.25">
      <c r="A1310" s="142">
        <v>222</v>
      </c>
      <c r="B1310" s="141">
        <v>44908.791666666664</v>
      </c>
      <c r="C1310" s="136">
        <v>0.79861111111111116</v>
      </c>
      <c r="D1310" s="136">
        <v>0.80208333333333337</v>
      </c>
      <c r="E1310" s="136">
        <v>0.80902777777777779</v>
      </c>
      <c r="F1310" s="137" t="s">
        <v>169</v>
      </c>
      <c r="G1310" s="137" t="s">
        <v>3515</v>
      </c>
      <c r="H1310" s="133" t="s">
        <v>300</v>
      </c>
      <c r="I1310" s="137" t="s">
        <v>353</v>
      </c>
      <c r="J1310" s="137" t="s">
        <v>37</v>
      </c>
      <c r="K1310" s="137" t="s">
        <v>233</v>
      </c>
      <c r="L1310" s="137" t="s">
        <v>285</v>
      </c>
      <c r="M1310" s="137" t="s">
        <v>3516</v>
      </c>
      <c r="N1310" s="137" t="s">
        <v>38</v>
      </c>
      <c r="O1310" s="137">
        <v>307</v>
      </c>
      <c r="P1310" s="137">
        <v>200061568</v>
      </c>
      <c r="Q1310" s="303">
        <f t="shared" si="116"/>
        <v>14</v>
      </c>
      <c r="R1310" s="303">
        <f t="shared" si="117"/>
        <v>95</v>
      </c>
      <c r="S1310" s="137">
        <v>14</v>
      </c>
      <c r="T1310" s="137">
        <v>95</v>
      </c>
      <c r="U1310" s="137">
        <v>0</v>
      </c>
      <c r="V1310" s="137">
        <v>0</v>
      </c>
      <c r="W1310" s="137">
        <v>119.8</v>
      </c>
      <c r="X1310" s="137">
        <v>44</v>
      </c>
      <c r="Y1310" s="137">
        <v>34</v>
      </c>
      <c r="Z1310" s="137">
        <v>25</v>
      </c>
      <c r="AA1310" s="137">
        <v>4</v>
      </c>
      <c r="AB1310" s="300">
        <f t="shared" si="118"/>
        <v>24.933333333333334</v>
      </c>
      <c r="AC1310" s="300">
        <f t="shared" si="119"/>
        <v>0.1502008032128514</v>
      </c>
      <c r="AD1310" s="137" t="s">
        <v>48</v>
      </c>
      <c r="AE1310" s="137" t="s">
        <v>48</v>
      </c>
      <c r="AF1310" s="137" t="s">
        <v>1566</v>
      </c>
      <c r="AG1310" s="137" t="s">
        <v>1566</v>
      </c>
      <c r="AH1310" s="137" t="s">
        <v>3517</v>
      </c>
      <c r="AI1310" s="309"/>
      <c r="AJ1310" s="309"/>
      <c r="AK1310" s="137" t="s">
        <v>48</v>
      </c>
      <c r="AL1310" s="137" t="s">
        <v>50</v>
      </c>
      <c r="AM1310" s="299">
        <f t="shared" ca="1" si="115"/>
        <v>2.9270833333357587</v>
      </c>
      <c r="AN1310" s="143"/>
      <c r="AO1310" s="147" t="s">
        <v>67</v>
      </c>
      <c r="AP1310" s="62" t="s">
        <v>3516</v>
      </c>
      <c r="AQ1310" s="147" t="s">
        <v>3775</v>
      </c>
      <c r="AR1310" s="64">
        <v>44911.71875</v>
      </c>
      <c r="AS1310" s="147" t="s">
        <v>136</v>
      </c>
      <c r="AT1310" s="147" t="s">
        <v>225</v>
      </c>
      <c r="AU1310" s="110">
        <v>0.71875</v>
      </c>
      <c r="AV1310" s="147">
        <v>2</v>
      </c>
      <c r="AW1310" s="147" t="s">
        <v>66</v>
      </c>
      <c r="AX1310" s="144"/>
      <c r="AY1310" s="144"/>
      <c r="AZ1310" s="144"/>
      <c r="BA1310" s="144"/>
    </row>
    <row r="1311" spans="1:53" x14ac:dyDescent="0.25">
      <c r="A1311" s="142">
        <v>222</v>
      </c>
      <c r="B1311" s="141">
        <v>44908.791666666664</v>
      </c>
      <c r="C1311" s="136">
        <v>0.79861111111111116</v>
      </c>
      <c r="D1311" s="136">
        <v>0.80208333333333337</v>
      </c>
      <c r="E1311" s="136">
        <v>0.80902777777777779</v>
      </c>
      <c r="F1311" s="137" t="s">
        <v>169</v>
      </c>
      <c r="G1311" s="137" t="s">
        <v>3515</v>
      </c>
      <c r="H1311" s="133" t="s">
        <v>300</v>
      </c>
      <c r="I1311" s="137" t="s">
        <v>353</v>
      </c>
      <c r="J1311" s="137" t="s">
        <v>37</v>
      </c>
      <c r="K1311" s="137" t="s">
        <v>233</v>
      </c>
      <c r="L1311" s="137" t="s">
        <v>285</v>
      </c>
      <c r="M1311" s="137" t="s">
        <v>3516</v>
      </c>
      <c r="N1311" s="137" t="s">
        <v>38</v>
      </c>
      <c r="O1311" s="137">
        <v>307</v>
      </c>
      <c r="P1311" s="137">
        <v>200061568</v>
      </c>
      <c r="Q1311" s="303">
        <f t="shared" si="116"/>
        <v>0</v>
      </c>
      <c r="R1311" s="303">
        <f t="shared" si="117"/>
        <v>0</v>
      </c>
      <c r="S1311" s="137">
        <v>0</v>
      </c>
      <c r="T1311" s="137">
        <v>0</v>
      </c>
      <c r="U1311" s="137">
        <v>0</v>
      </c>
      <c r="V1311" s="137">
        <v>0</v>
      </c>
      <c r="W1311" s="137">
        <v>0</v>
      </c>
      <c r="X1311" s="137">
        <v>51</v>
      </c>
      <c r="Y1311" s="137">
        <v>41</v>
      </c>
      <c r="Z1311" s="137">
        <v>28</v>
      </c>
      <c r="AA1311" s="137">
        <v>10</v>
      </c>
      <c r="AB1311" s="300">
        <f t="shared" si="118"/>
        <v>97.58</v>
      </c>
      <c r="AC1311" s="300">
        <f t="shared" si="119"/>
        <v>0.58783132530120485</v>
      </c>
      <c r="AD1311" s="137">
        <v>0</v>
      </c>
      <c r="AE1311" s="137">
        <v>0</v>
      </c>
      <c r="AF1311" s="137" t="s">
        <v>1566</v>
      </c>
      <c r="AG1311" s="137" t="s">
        <v>1566</v>
      </c>
      <c r="AH1311" s="137" t="s">
        <v>3517</v>
      </c>
      <c r="AI1311" s="309"/>
      <c r="AJ1311" s="309"/>
      <c r="AK1311" s="137" t="s">
        <v>48</v>
      </c>
      <c r="AL1311" s="137" t="s">
        <v>50</v>
      </c>
      <c r="AM1311" s="299">
        <f t="shared" ca="1" si="115"/>
        <v>2.9270833333357587</v>
      </c>
      <c r="AN1311" s="143"/>
      <c r="AO1311" s="147" t="s">
        <v>67</v>
      </c>
      <c r="AP1311" s="62" t="s">
        <v>3516</v>
      </c>
      <c r="AQ1311" s="147" t="s">
        <v>3775</v>
      </c>
      <c r="AR1311" s="64">
        <v>44911.71875</v>
      </c>
      <c r="AS1311" s="147" t="s">
        <v>136</v>
      </c>
      <c r="AT1311" s="147" t="s">
        <v>225</v>
      </c>
      <c r="AU1311" s="110">
        <v>0.71875</v>
      </c>
      <c r="AV1311" s="147">
        <v>2</v>
      </c>
      <c r="AW1311" s="147" t="s">
        <v>66</v>
      </c>
      <c r="AX1311" s="144"/>
      <c r="AY1311" s="144"/>
      <c r="AZ1311" s="144"/>
      <c r="BA1311" s="144"/>
    </row>
    <row r="1312" spans="1:53" x14ac:dyDescent="0.25">
      <c r="A1312" s="142">
        <v>223</v>
      </c>
      <c r="B1312" s="141">
        <v>44908.809027777781</v>
      </c>
      <c r="C1312" s="136">
        <v>0.8125</v>
      </c>
      <c r="D1312" s="136">
        <v>0.81597222222222221</v>
      </c>
      <c r="E1312" s="136">
        <v>0.82291666666666663</v>
      </c>
      <c r="F1312" s="137" t="s">
        <v>171</v>
      </c>
      <c r="G1312" s="137" t="s">
        <v>3512</v>
      </c>
      <c r="H1312" s="133" t="s">
        <v>3513</v>
      </c>
      <c r="I1312" s="133" t="s">
        <v>3518</v>
      </c>
      <c r="J1312" s="133" t="s">
        <v>41</v>
      </c>
      <c r="K1312" s="133" t="s">
        <v>233</v>
      </c>
      <c r="L1312" s="133">
        <v>0</v>
      </c>
      <c r="M1312" s="137" t="s">
        <v>3514</v>
      </c>
      <c r="N1312" s="137" t="s">
        <v>3519</v>
      </c>
      <c r="O1312" s="137">
        <v>2998</v>
      </c>
      <c r="P1312" s="137">
        <v>4800071073</v>
      </c>
      <c r="Q1312" s="303">
        <f t="shared" si="116"/>
        <v>3</v>
      </c>
      <c r="R1312" s="303">
        <f t="shared" si="117"/>
        <v>764</v>
      </c>
      <c r="S1312" s="137">
        <v>0</v>
      </c>
      <c r="T1312" s="137">
        <v>0</v>
      </c>
      <c r="U1312" s="137">
        <v>3</v>
      </c>
      <c r="V1312" s="137">
        <v>764</v>
      </c>
      <c r="W1312" s="137">
        <v>750.5</v>
      </c>
      <c r="X1312" s="137">
        <v>224</v>
      </c>
      <c r="Y1312" s="137">
        <v>154</v>
      </c>
      <c r="Z1312" s="137">
        <v>88</v>
      </c>
      <c r="AA1312" s="137">
        <v>2</v>
      </c>
      <c r="AB1312" s="300">
        <f t="shared" si="118"/>
        <v>1011.8826666666666</v>
      </c>
      <c r="AC1312" s="300">
        <f t="shared" si="119"/>
        <v>6.0956787148594378</v>
      </c>
      <c r="AD1312" s="137" t="s">
        <v>48</v>
      </c>
      <c r="AE1312" s="137" t="s">
        <v>48</v>
      </c>
      <c r="AF1312" s="137" t="s">
        <v>1566</v>
      </c>
      <c r="AG1312" s="137" t="s">
        <v>1566</v>
      </c>
      <c r="AH1312" s="137" t="s">
        <v>3520</v>
      </c>
      <c r="AI1312" s="309"/>
      <c r="AJ1312" s="309"/>
      <c r="AK1312" s="137" t="s">
        <v>37</v>
      </c>
      <c r="AL1312" s="137" t="s">
        <v>49</v>
      </c>
      <c r="AM1312" s="299">
        <f t="shared" ca="1" si="115"/>
        <v>10.847222222218988</v>
      </c>
      <c r="AN1312" s="143" t="s">
        <v>3548</v>
      </c>
      <c r="AO1312" s="210" t="s">
        <v>409</v>
      </c>
      <c r="AP1312" s="211" t="s">
        <v>3514</v>
      </c>
      <c r="AQ1312" s="210" t="s">
        <v>4312</v>
      </c>
      <c r="AR1312" s="213">
        <v>44919.65625</v>
      </c>
      <c r="AS1312" s="208" t="s">
        <v>3313</v>
      </c>
      <c r="AT1312" s="210" t="s">
        <v>308</v>
      </c>
      <c r="AU1312" s="212">
        <v>0.65625</v>
      </c>
      <c r="AV1312" s="210">
        <v>1</v>
      </c>
      <c r="AW1312" s="210" t="s">
        <v>66</v>
      </c>
      <c r="AX1312" s="144"/>
      <c r="AY1312" s="144"/>
      <c r="AZ1312" s="144"/>
      <c r="BA1312" s="144"/>
    </row>
    <row r="1313" spans="1:53" x14ac:dyDescent="0.25">
      <c r="A1313" s="142">
        <v>223</v>
      </c>
      <c r="B1313" s="141">
        <v>44908.809027777781</v>
      </c>
      <c r="C1313" s="136">
        <v>0.8125</v>
      </c>
      <c r="D1313" s="136">
        <v>0.81597222222222221</v>
      </c>
      <c r="E1313" s="136">
        <v>0.82291666666666663</v>
      </c>
      <c r="F1313" s="137" t="s">
        <v>171</v>
      </c>
      <c r="G1313" s="137" t="s">
        <v>3512</v>
      </c>
      <c r="H1313" s="133" t="s">
        <v>3513</v>
      </c>
      <c r="I1313" s="133" t="s">
        <v>3518</v>
      </c>
      <c r="J1313" s="133" t="s">
        <v>41</v>
      </c>
      <c r="K1313" s="133" t="s">
        <v>233</v>
      </c>
      <c r="L1313" s="133">
        <v>0</v>
      </c>
      <c r="M1313" s="137" t="s">
        <v>3514</v>
      </c>
      <c r="N1313" s="137" t="s">
        <v>3519</v>
      </c>
      <c r="O1313" s="137">
        <v>2998</v>
      </c>
      <c r="P1313" s="137">
        <v>4800071073</v>
      </c>
      <c r="Q1313" s="303">
        <f t="shared" si="116"/>
        <v>0</v>
      </c>
      <c r="R1313" s="303">
        <f t="shared" si="117"/>
        <v>0</v>
      </c>
      <c r="S1313" s="137">
        <v>0</v>
      </c>
      <c r="T1313" s="137">
        <v>0</v>
      </c>
      <c r="U1313" s="137">
        <v>0</v>
      </c>
      <c r="V1313" s="137">
        <v>0</v>
      </c>
      <c r="W1313" s="137">
        <v>0</v>
      </c>
      <c r="X1313" s="137">
        <v>125</v>
      </c>
      <c r="Y1313" s="137">
        <v>68</v>
      </c>
      <c r="Z1313" s="137">
        <v>76</v>
      </c>
      <c r="AA1313" s="137">
        <v>1</v>
      </c>
      <c r="AB1313" s="300">
        <f t="shared" si="118"/>
        <v>107.66666666666667</v>
      </c>
      <c r="AC1313" s="300">
        <f t="shared" si="119"/>
        <v>0.64859437751004023</v>
      </c>
      <c r="AD1313" s="137">
        <v>0</v>
      </c>
      <c r="AE1313" s="137">
        <v>0</v>
      </c>
      <c r="AF1313" s="137" t="s">
        <v>1566</v>
      </c>
      <c r="AG1313" s="137" t="s">
        <v>1566</v>
      </c>
      <c r="AH1313" s="137" t="s">
        <v>3520</v>
      </c>
      <c r="AI1313" s="309"/>
      <c r="AJ1313" s="309"/>
      <c r="AK1313" s="137" t="s">
        <v>37</v>
      </c>
      <c r="AL1313" s="137" t="s">
        <v>49</v>
      </c>
      <c r="AM1313" s="299">
        <f t="shared" ca="1" si="115"/>
        <v>10.847222222218988</v>
      </c>
      <c r="AN1313" s="143" t="s">
        <v>3548</v>
      </c>
      <c r="AO1313" s="210" t="s">
        <v>409</v>
      </c>
      <c r="AP1313" s="211" t="s">
        <v>3514</v>
      </c>
      <c r="AQ1313" s="210" t="s">
        <v>4312</v>
      </c>
      <c r="AR1313" s="213">
        <v>44919.65625</v>
      </c>
      <c r="AS1313" s="208" t="s">
        <v>3313</v>
      </c>
      <c r="AT1313" s="210" t="s">
        <v>308</v>
      </c>
      <c r="AU1313" s="212">
        <v>0.65625</v>
      </c>
      <c r="AV1313" s="210">
        <v>1</v>
      </c>
      <c r="AW1313" s="210" t="s">
        <v>66</v>
      </c>
      <c r="AX1313" s="144"/>
      <c r="AY1313" s="144"/>
      <c r="AZ1313" s="144"/>
      <c r="BA1313" s="144"/>
    </row>
    <row r="1314" spans="1:53" x14ac:dyDescent="0.25">
      <c r="A1314" s="142">
        <v>224</v>
      </c>
      <c r="B1314" s="141">
        <v>44909.402777777781</v>
      </c>
      <c r="C1314" s="136">
        <v>0.40277777777777773</v>
      </c>
      <c r="D1314" s="136">
        <v>0.40625</v>
      </c>
      <c r="E1314" s="136">
        <v>0.42708333333333331</v>
      </c>
      <c r="F1314" s="137" t="s">
        <v>171</v>
      </c>
      <c r="G1314" s="137" t="s">
        <v>327</v>
      </c>
      <c r="H1314" s="140" t="s">
        <v>3119</v>
      </c>
      <c r="I1314" s="140" t="s">
        <v>92</v>
      </c>
      <c r="J1314" s="140" t="s">
        <v>37</v>
      </c>
      <c r="K1314" s="135" t="s">
        <v>180</v>
      </c>
      <c r="L1314" s="135">
        <v>0</v>
      </c>
      <c r="M1314" s="137" t="s">
        <v>3521</v>
      </c>
      <c r="N1314" s="137" t="s">
        <v>42</v>
      </c>
      <c r="O1314" s="137" t="s">
        <v>3522</v>
      </c>
      <c r="P1314" s="137">
        <v>5051981761</v>
      </c>
      <c r="Q1314" s="303">
        <f t="shared" si="116"/>
        <v>2</v>
      </c>
      <c r="R1314" s="303">
        <f t="shared" si="117"/>
        <v>107</v>
      </c>
      <c r="S1314" s="137">
        <v>0</v>
      </c>
      <c r="T1314" s="137">
        <v>0</v>
      </c>
      <c r="U1314" s="137">
        <v>2</v>
      </c>
      <c r="V1314" s="137">
        <v>107</v>
      </c>
      <c r="W1314" s="137">
        <v>107</v>
      </c>
      <c r="X1314" s="137">
        <v>143</v>
      </c>
      <c r="Y1314" s="137">
        <v>47</v>
      </c>
      <c r="Z1314" s="137">
        <v>29</v>
      </c>
      <c r="AA1314" s="137">
        <v>1</v>
      </c>
      <c r="AB1314" s="300">
        <f t="shared" si="118"/>
        <v>32.484833333333334</v>
      </c>
      <c r="AC1314" s="300">
        <f t="shared" si="119"/>
        <v>0.1956917670682731</v>
      </c>
      <c r="AD1314" s="137">
        <v>5753.94</v>
      </c>
      <c r="AE1314" s="137" t="s">
        <v>109</v>
      </c>
      <c r="AF1314" s="137" t="s">
        <v>1566</v>
      </c>
      <c r="AG1314" s="137" t="s">
        <v>1566</v>
      </c>
      <c r="AH1314" s="137" t="s">
        <v>3523</v>
      </c>
      <c r="AI1314" s="309"/>
      <c r="AJ1314" s="309"/>
      <c r="AK1314" s="137" t="s">
        <v>37</v>
      </c>
      <c r="AL1314" s="137" t="s">
        <v>49</v>
      </c>
      <c r="AM1314" s="299">
        <f t="shared" ca="1" si="115"/>
        <v>4.5138888883229811E-2</v>
      </c>
      <c r="AN1314" s="143"/>
      <c r="AO1314" s="104" t="s">
        <v>120</v>
      </c>
      <c r="AP1314" s="106" t="s">
        <v>3521</v>
      </c>
      <c r="AQ1314" s="104" t="s">
        <v>3549</v>
      </c>
      <c r="AR1314" s="111">
        <v>44909.447916666664</v>
      </c>
      <c r="AS1314" s="104" t="s">
        <v>117</v>
      </c>
      <c r="AT1314" s="134" t="s">
        <v>225</v>
      </c>
      <c r="AU1314" s="110">
        <v>0.44791666666666669</v>
      </c>
      <c r="AV1314" s="104">
        <v>1</v>
      </c>
      <c r="AW1314" s="134" t="s">
        <v>66</v>
      </c>
      <c r="AX1314" s="144"/>
      <c r="AY1314" s="144"/>
      <c r="AZ1314" s="144"/>
      <c r="BA1314" s="144"/>
    </row>
    <row r="1315" spans="1:53" x14ac:dyDescent="0.25">
      <c r="A1315" s="142">
        <v>224</v>
      </c>
      <c r="B1315" s="141">
        <v>44909.402777777781</v>
      </c>
      <c r="C1315" s="136">
        <v>0.40277777777777773</v>
      </c>
      <c r="D1315" s="136">
        <v>0.40625</v>
      </c>
      <c r="E1315" s="136">
        <v>0.42708333333333331</v>
      </c>
      <c r="F1315" s="137" t="s">
        <v>171</v>
      </c>
      <c r="G1315" s="137" t="s">
        <v>327</v>
      </c>
      <c r="H1315" s="135" t="s">
        <v>3119</v>
      </c>
      <c r="I1315" s="135" t="s">
        <v>92</v>
      </c>
      <c r="J1315" s="135" t="s">
        <v>37</v>
      </c>
      <c r="K1315" s="135" t="s">
        <v>180</v>
      </c>
      <c r="L1315" s="135">
        <v>0</v>
      </c>
      <c r="M1315" s="137" t="s">
        <v>3521</v>
      </c>
      <c r="N1315" s="137" t="s">
        <v>42</v>
      </c>
      <c r="O1315" s="137" t="s">
        <v>3522</v>
      </c>
      <c r="P1315" s="137">
        <v>5051981761</v>
      </c>
      <c r="Q1315" s="303">
        <f t="shared" si="116"/>
        <v>0</v>
      </c>
      <c r="R1315" s="303">
        <f t="shared" si="117"/>
        <v>0</v>
      </c>
      <c r="S1315" s="137">
        <v>0</v>
      </c>
      <c r="T1315" s="137">
        <v>0</v>
      </c>
      <c r="U1315" s="137">
        <v>0</v>
      </c>
      <c r="V1315" s="137">
        <v>0</v>
      </c>
      <c r="W1315" s="137">
        <v>0</v>
      </c>
      <c r="X1315" s="137">
        <v>93</v>
      </c>
      <c r="Y1315" s="137">
        <v>37</v>
      </c>
      <c r="Z1315" s="137">
        <v>43</v>
      </c>
      <c r="AA1315" s="137">
        <v>1</v>
      </c>
      <c r="AB1315" s="300">
        <f t="shared" si="118"/>
        <v>24.660499999999999</v>
      </c>
      <c r="AC1315" s="300">
        <f t="shared" si="119"/>
        <v>0.14855722891566264</v>
      </c>
      <c r="AD1315" s="137">
        <v>0</v>
      </c>
      <c r="AE1315" s="137">
        <v>0</v>
      </c>
      <c r="AF1315" s="137" t="s">
        <v>1566</v>
      </c>
      <c r="AG1315" s="137" t="s">
        <v>1566</v>
      </c>
      <c r="AH1315" s="137" t="s">
        <v>3523</v>
      </c>
      <c r="AI1315" s="309"/>
      <c r="AJ1315" s="309"/>
      <c r="AK1315" s="137" t="s">
        <v>37</v>
      </c>
      <c r="AL1315" s="137" t="s">
        <v>49</v>
      </c>
      <c r="AM1315" s="299">
        <f t="shared" ca="1" si="115"/>
        <v>4.5138888883229811E-2</v>
      </c>
      <c r="AN1315" s="51"/>
      <c r="AO1315" s="104" t="s">
        <v>120</v>
      </c>
      <c r="AP1315" s="106" t="s">
        <v>3521</v>
      </c>
      <c r="AQ1315" s="104" t="s">
        <v>3549</v>
      </c>
      <c r="AR1315" s="111">
        <v>44909.447916666664</v>
      </c>
      <c r="AS1315" s="104" t="s">
        <v>117</v>
      </c>
      <c r="AT1315" s="134" t="s">
        <v>225</v>
      </c>
      <c r="AU1315" s="110">
        <v>0.44791666666666669</v>
      </c>
      <c r="AV1315" s="104">
        <v>1</v>
      </c>
      <c r="AW1315" s="134" t="s">
        <v>66</v>
      </c>
      <c r="AX1315" s="52"/>
      <c r="AY1315" s="52"/>
      <c r="AZ1315" s="52"/>
      <c r="BA1315" s="52"/>
    </row>
    <row r="1316" spans="1:53" x14ac:dyDescent="0.25">
      <c r="A1316" s="142">
        <v>225</v>
      </c>
      <c r="B1316" s="141">
        <v>44909.40625</v>
      </c>
      <c r="C1316" s="136">
        <v>0.40625</v>
      </c>
      <c r="D1316" s="136">
        <v>0.40972222222222227</v>
      </c>
      <c r="E1316" s="136">
        <v>0.43402777777777773</v>
      </c>
      <c r="F1316" s="137" t="s">
        <v>171</v>
      </c>
      <c r="G1316" s="137" t="s">
        <v>117</v>
      </c>
      <c r="H1316" s="135" t="s">
        <v>91</v>
      </c>
      <c r="I1316" s="135" t="s">
        <v>287</v>
      </c>
      <c r="J1316" s="135" t="s">
        <v>41</v>
      </c>
      <c r="K1316" s="137" t="s">
        <v>233</v>
      </c>
      <c r="L1316" s="138" t="s">
        <v>206</v>
      </c>
      <c r="M1316" s="137" t="s">
        <v>3524</v>
      </c>
      <c r="N1316" s="137" t="s">
        <v>175</v>
      </c>
      <c r="O1316" s="137">
        <v>1054969842</v>
      </c>
      <c r="P1316" s="137">
        <v>1214016979</v>
      </c>
      <c r="Q1316" s="303">
        <f t="shared" si="116"/>
        <v>1</v>
      </c>
      <c r="R1316" s="303">
        <f t="shared" si="117"/>
        <v>45</v>
      </c>
      <c r="S1316" s="137">
        <v>0</v>
      </c>
      <c r="T1316" s="137">
        <v>0</v>
      </c>
      <c r="U1316" s="137">
        <v>1</v>
      </c>
      <c r="V1316" s="137">
        <v>45</v>
      </c>
      <c r="W1316" s="137">
        <v>45</v>
      </c>
      <c r="X1316" s="137">
        <v>100</v>
      </c>
      <c r="Y1316" s="137">
        <v>77</v>
      </c>
      <c r="Z1316" s="137">
        <v>52</v>
      </c>
      <c r="AA1316" s="137">
        <v>1</v>
      </c>
      <c r="AB1316" s="300">
        <f t="shared" si="118"/>
        <v>66.733333333333334</v>
      </c>
      <c r="AC1316" s="300">
        <f t="shared" si="119"/>
        <v>0.40200803212851405</v>
      </c>
      <c r="AD1316" s="137">
        <v>7762.36</v>
      </c>
      <c r="AE1316" s="137" t="s">
        <v>109</v>
      </c>
      <c r="AF1316" s="137" t="s">
        <v>1566</v>
      </c>
      <c r="AG1316" s="137" t="s">
        <v>1566</v>
      </c>
      <c r="AH1316" s="137" t="s">
        <v>3525</v>
      </c>
      <c r="AI1316" s="309"/>
      <c r="AJ1316" s="309"/>
      <c r="AK1316" s="137" t="s">
        <v>37</v>
      </c>
      <c r="AL1316" s="137" t="s">
        <v>49</v>
      </c>
      <c r="AM1316" s="299">
        <f t="shared" ca="1" si="115"/>
        <v>1.15625</v>
      </c>
      <c r="AN1316" s="51"/>
      <c r="AO1316" s="147" t="s">
        <v>181</v>
      </c>
      <c r="AP1316" s="62" t="s">
        <v>3524</v>
      </c>
      <c r="AQ1316" s="20" t="s">
        <v>3688</v>
      </c>
      <c r="AR1316" s="64">
        <v>44910.5625</v>
      </c>
      <c r="AS1316" s="104" t="s">
        <v>173</v>
      </c>
      <c r="AT1316" s="147" t="s">
        <v>225</v>
      </c>
      <c r="AU1316" s="110">
        <v>0.5625</v>
      </c>
      <c r="AV1316" s="147">
        <v>2</v>
      </c>
      <c r="AW1316" s="147" t="s">
        <v>66</v>
      </c>
      <c r="AX1316" s="52"/>
      <c r="AY1316" s="52"/>
      <c r="AZ1316" s="52"/>
      <c r="BA1316" s="52"/>
    </row>
    <row r="1317" spans="1:53" x14ac:dyDescent="0.25">
      <c r="A1317" s="142">
        <v>226</v>
      </c>
      <c r="B1317" s="141">
        <v>44909.40625</v>
      </c>
      <c r="C1317" s="136">
        <v>0.40625</v>
      </c>
      <c r="D1317" s="136">
        <v>0.40972222222222227</v>
      </c>
      <c r="E1317" s="136">
        <v>0.43402777777777773</v>
      </c>
      <c r="F1317" s="137" t="s">
        <v>171</v>
      </c>
      <c r="G1317" s="137" t="s">
        <v>117</v>
      </c>
      <c r="H1317" s="135" t="s">
        <v>91</v>
      </c>
      <c r="I1317" s="135" t="s">
        <v>118</v>
      </c>
      <c r="J1317" s="135" t="s">
        <v>41</v>
      </c>
      <c r="K1317" s="135" t="s">
        <v>180</v>
      </c>
      <c r="L1317" s="138" t="s">
        <v>206</v>
      </c>
      <c r="M1317" s="137" t="s">
        <v>3526</v>
      </c>
      <c r="N1317" s="137" t="s">
        <v>44</v>
      </c>
      <c r="O1317" s="137">
        <v>1054969877</v>
      </c>
      <c r="P1317" s="137">
        <v>1214028091</v>
      </c>
      <c r="Q1317" s="303">
        <f t="shared" si="116"/>
        <v>1</v>
      </c>
      <c r="R1317" s="303">
        <f t="shared" si="117"/>
        <v>69</v>
      </c>
      <c r="S1317" s="137">
        <v>0</v>
      </c>
      <c r="T1317" s="137">
        <v>0</v>
      </c>
      <c r="U1317" s="137">
        <v>1</v>
      </c>
      <c r="V1317" s="137">
        <v>69</v>
      </c>
      <c r="W1317" s="137">
        <v>70</v>
      </c>
      <c r="X1317" s="137">
        <v>100</v>
      </c>
      <c r="Y1317" s="137">
        <v>76</v>
      </c>
      <c r="Z1317" s="137">
        <v>72</v>
      </c>
      <c r="AA1317" s="137">
        <v>1</v>
      </c>
      <c r="AB1317" s="300">
        <f t="shared" si="118"/>
        <v>91.2</v>
      </c>
      <c r="AC1317" s="300">
        <f t="shared" si="119"/>
        <v>0.54939759036144575</v>
      </c>
      <c r="AD1317" s="137">
        <v>3300.29</v>
      </c>
      <c r="AE1317" s="137" t="s">
        <v>109</v>
      </c>
      <c r="AF1317" s="137" t="s">
        <v>1566</v>
      </c>
      <c r="AG1317" s="137" t="s">
        <v>1566</v>
      </c>
      <c r="AH1317" s="137" t="s">
        <v>3527</v>
      </c>
      <c r="AI1317" s="309"/>
      <c r="AJ1317" s="309"/>
      <c r="AK1317" s="137" t="s">
        <v>37</v>
      </c>
      <c r="AL1317" s="137" t="s">
        <v>39</v>
      </c>
      <c r="AM1317" s="299">
        <f t="shared" ca="1" si="115"/>
        <v>0.10416666666424135</v>
      </c>
      <c r="AN1317" s="51"/>
      <c r="AO1317" s="104" t="s">
        <v>53</v>
      </c>
      <c r="AP1317" s="106" t="s">
        <v>3526</v>
      </c>
      <c r="AQ1317" s="104" t="s">
        <v>3552</v>
      </c>
      <c r="AR1317" s="111">
        <v>44909.510416666664</v>
      </c>
      <c r="AS1317" s="104" t="s">
        <v>173</v>
      </c>
      <c r="AT1317" s="134" t="s">
        <v>225</v>
      </c>
      <c r="AU1317" s="110">
        <v>0.51041666666666663</v>
      </c>
      <c r="AV1317" s="104">
        <v>1</v>
      </c>
      <c r="AW1317" s="134" t="s">
        <v>66</v>
      </c>
      <c r="AX1317" s="52"/>
      <c r="AY1317" s="52"/>
      <c r="AZ1317" s="52"/>
      <c r="BA1317" s="52"/>
    </row>
    <row r="1318" spans="1:53" x14ac:dyDescent="0.25">
      <c r="A1318" s="142">
        <v>227</v>
      </c>
      <c r="B1318" s="141">
        <v>44909.409722222219</v>
      </c>
      <c r="C1318" s="136">
        <v>0.40972222222222227</v>
      </c>
      <c r="D1318" s="136">
        <v>0.41666666666666669</v>
      </c>
      <c r="E1318" s="136">
        <v>0.44097222222222227</v>
      </c>
      <c r="F1318" s="137" t="s">
        <v>171</v>
      </c>
      <c r="G1318" s="137" t="s">
        <v>3528</v>
      </c>
      <c r="H1318" s="135" t="s">
        <v>199</v>
      </c>
      <c r="I1318" s="135" t="s">
        <v>174</v>
      </c>
      <c r="J1318" s="135" t="s">
        <v>37</v>
      </c>
      <c r="K1318" s="135" t="s">
        <v>180</v>
      </c>
      <c r="L1318" s="139" t="s">
        <v>206</v>
      </c>
      <c r="M1318" s="137" t="s">
        <v>3547</v>
      </c>
      <c r="N1318" s="137" t="s">
        <v>42</v>
      </c>
      <c r="O1318" s="137">
        <v>274010829</v>
      </c>
      <c r="P1318" s="137" t="s">
        <v>3529</v>
      </c>
      <c r="Q1318" s="303">
        <f t="shared" si="116"/>
        <v>5</v>
      </c>
      <c r="R1318" s="303">
        <f t="shared" si="117"/>
        <v>358</v>
      </c>
      <c r="S1318" s="137">
        <v>3</v>
      </c>
      <c r="T1318" s="137">
        <v>44</v>
      </c>
      <c r="U1318" s="137">
        <v>2</v>
      </c>
      <c r="V1318" s="137">
        <v>314</v>
      </c>
      <c r="W1318" s="137">
        <v>355.45</v>
      </c>
      <c r="X1318" s="137">
        <v>123</v>
      </c>
      <c r="Y1318" s="137">
        <v>82</v>
      </c>
      <c r="Z1318" s="137">
        <v>76</v>
      </c>
      <c r="AA1318" s="137">
        <v>2</v>
      </c>
      <c r="AB1318" s="300">
        <f t="shared" si="118"/>
        <v>255.512</v>
      </c>
      <c r="AC1318" s="300">
        <f t="shared" si="119"/>
        <v>1.5392289156626506</v>
      </c>
      <c r="AD1318" s="137">
        <v>9421.44</v>
      </c>
      <c r="AE1318" s="137" t="s">
        <v>109</v>
      </c>
      <c r="AF1318" s="137" t="s">
        <v>3530</v>
      </c>
      <c r="AG1318" s="145" t="s">
        <v>3531</v>
      </c>
      <c r="AH1318" s="137" t="s">
        <v>3532</v>
      </c>
      <c r="AI1318" s="309"/>
      <c r="AJ1318" s="309"/>
      <c r="AK1318" s="137" t="s">
        <v>37</v>
      </c>
      <c r="AL1318" s="137" t="s">
        <v>49</v>
      </c>
      <c r="AM1318" s="299">
        <f t="shared" ca="1" si="115"/>
        <v>2.3090277777810115</v>
      </c>
      <c r="AN1318" s="51"/>
      <c r="AO1318" s="147" t="s">
        <v>232</v>
      </c>
      <c r="AP1318" s="62" t="s">
        <v>3547</v>
      </c>
      <c r="AQ1318" s="147" t="s">
        <v>3772</v>
      </c>
      <c r="AR1318" s="64">
        <v>44911.71875</v>
      </c>
      <c r="AS1318" s="147" t="s">
        <v>136</v>
      </c>
      <c r="AT1318" s="147" t="s">
        <v>225</v>
      </c>
      <c r="AU1318" s="110">
        <v>0.71875</v>
      </c>
      <c r="AV1318" s="147">
        <v>2</v>
      </c>
      <c r="AW1318" s="147" t="s">
        <v>66</v>
      </c>
      <c r="AX1318" s="52"/>
      <c r="AY1318" s="52"/>
      <c r="AZ1318" s="52"/>
      <c r="BA1318" s="52"/>
    </row>
    <row r="1319" spans="1:53" x14ac:dyDescent="0.25">
      <c r="A1319" s="142">
        <v>227</v>
      </c>
      <c r="B1319" s="141">
        <v>44909.409722222219</v>
      </c>
      <c r="C1319" s="136">
        <v>0.40972222222222227</v>
      </c>
      <c r="D1319" s="136">
        <v>0.41666666666666669</v>
      </c>
      <c r="E1319" s="136">
        <v>0.44097222222222227</v>
      </c>
      <c r="F1319" s="137" t="s">
        <v>171</v>
      </c>
      <c r="G1319" s="137" t="s">
        <v>3528</v>
      </c>
      <c r="H1319" s="135" t="s">
        <v>199</v>
      </c>
      <c r="I1319" s="135" t="s">
        <v>174</v>
      </c>
      <c r="J1319" s="135" t="s">
        <v>37</v>
      </c>
      <c r="K1319" s="135" t="s">
        <v>180</v>
      </c>
      <c r="L1319" s="139" t="s">
        <v>206</v>
      </c>
      <c r="M1319" s="137" t="s">
        <v>3547</v>
      </c>
      <c r="N1319" s="137" t="s">
        <v>42</v>
      </c>
      <c r="O1319" s="137">
        <v>274010829</v>
      </c>
      <c r="P1319" s="137" t="s">
        <v>3529</v>
      </c>
      <c r="Q1319" s="303">
        <f t="shared" si="116"/>
        <v>0</v>
      </c>
      <c r="R1319" s="303">
        <f t="shared" si="117"/>
        <v>0</v>
      </c>
      <c r="S1319" s="137">
        <v>0</v>
      </c>
      <c r="T1319" s="137">
        <v>0</v>
      </c>
      <c r="U1319" s="137">
        <v>0</v>
      </c>
      <c r="V1319" s="137">
        <v>0</v>
      </c>
      <c r="W1319" s="137">
        <v>0</v>
      </c>
      <c r="X1319" s="137">
        <v>60</v>
      </c>
      <c r="Y1319" s="137">
        <v>42</v>
      </c>
      <c r="Z1319" s="137">
        <v>30</v>
      </c>
      <c r="AA1319" s="137">
        <v>3</v>
      </c>
      <c r="AB1319" s="300">
        <f t="shared" si="118"/>
        <v>37.799999999999997</v>
      </c>
      <c r="AC1319" s="300">
        <f t="shared" si="119"/>
        <v>0.22771084337349395</v>
      </c>
      <c r="AD1319" s="137">
        <v>0</v>
      </c>
      <c r="AE1319" s="137">
        <v>0</v>
      </c>
      <c r="AF1319" s="137" t="s">
        <v>3530</v>
      </c>
      <c r="AG1319" s="145" t="s">
        <v>3531</v>
      </c>
      <c r="AH1319" s="137" t="s">
        <v>3532</v>
      </c>
      <c r="AI1319" s="309"/>
      <c r="AJ1319" s="309"/>
      <c r="AK1319" s="137" t="s">
        <v>48</v>
      </c>
      <c r="AL1319" s="151" t="s">
        <v>49</v>
      </c>
      <c r="AM1319" s="299">
        <f t="shared" ca="1" si="115"/>
        <v>2.3090277777810115</v>
      </c>
      <c r="AN1319" s="51"/>
      <c r="AO1319" s="147" t="s">
        <v>232</v>
      </c>
      <c r="AP1319" s="62" t="s">
        <v>3547</v>
      </c>
      <c r="AQ1319" s="147" t="s">
        <v>3772</v>
      </c>
      <c r="AR1319" s="64">
        <v>44911.71875</v>
      </c>
      <c r="AS1319" s="147" t="s">
        <v>136</v>
      </c>
      <c r="AT1319" s="147" t="s">
        <v>225</v>
      </c>
      <c r="AU1319" s="110">
        <v>0.71875</v>
      </c>
      <c r="AV1319" s="147">
        <v>2</v>
      </c>
      <c r="AW1319" s="147" t="s">
        <v>66</v>
      </c>
      <c r="AX1319" s="52"/>
      <c r="AY1319" s="52"/>
      <c r="AZ1319" s="52"/>
      <c r="BA1319" s="52"/>
    </row>
    <row r="1320" spans="1:53" x14ac:dyDescent="0.25">
      <c r="A1320" s="142">
        <v>228</v>
      </c>
      <c r="B1320" s="141">
        <v>44909.416666666664</v>
      </c>
      <c r="C1320" s="136">
        <v>0.41666666666666669</v>
      </c>
      <c r="D1320" s="136">
        <v>0.4201388888888889</v>
      </c>
      <c r="E1320" s="136">
        <v>0.44444444444444442</v>
      </c>
      <c r="F1320" s="137" t="s">
        <v>171</v>
      </c>
      <c r="G1320" s="137" t="s">
        <v>2085</v>
      </c>
      <c r="H1320" s="135" t="s">
        <v>3533</v>
      </c>
      <c r="I1320" s="135" t="s">
        <v>251</v>
      </c>
      <c r="J1320" s="135" t="s">
        <v>37</v>
      </c>
      <c r="K1320" s="135" t="s">
        <v>180</v>
      </c>
      <c r="L1320" s="135">
        <v>0</v>
      </c>
      <c r="M1320" s="137" t="s">
        <v>3534</v>
      </c>
      <c r="N1320" s="137" t="s">
        <v>160</v>
      </c>
      <c r="O1320" s="137" t="s">
        <v>3535</v>
      </c>
      <c r="P1320" s="137">
        <v>8819</v>
      </c>
      <c r="Q1320" s="303">
        <f t="shared" si="116"/>
        <v>7</v>
      </c>
      <c r="R1320" s="303">
        <f t="shared" si="117"/>
        <v>103</v>
      </c>
      <c r="S1320" s="137">
        <v>7</v>
      </c>
      <c r="T1320" s="137">
        <v>103</v>
      </c>
      <c r="U1320" s="137">
        <v>0</v>
      </c>
      <c r="V1320" s="137">
        <v>0</v>
      </c>
      <c r="W1320" s="137">
        <v>98.7</v>
      </c>
      <c r="X1320" s="137">
        <v>40</v>
      </c>
      <c r="Y1320" s="137">
        <v>30</v>
      </c>
      <c r="Z1320" s="137">
        <v>20</v>
      </c>
      <c r="AA1320" s="137">
        <v>7</v>
      </c>
      <c r="AB1320" s="300">
        <f t="shared" si="118"/>
        <v>28</v>
      </c>
      <c r="AC1320" s="300">
        <f t="shared" si="119"/>
        <v>0.16867469879518071</v>
      </c>
      <c r="AD1320" s="137">
        <v>2545</v>
      </c>
      <c r="AE1320" s="137" t="s">
        <v>109</v>
      </c>
      <c r="AF1320" s="137" t="s">
        <v>1566</v>
      </c>
      <c r="AG1320" s="137" t="s">
        <v>1566</v>
      </c>
      <c r="AH1320" s="137" t="s">
        <v>3536</v>
      </c>
      <c r="AI1320" s="309"/>
      <c r="AJ1320" s="309"/>
      <c r="AK1320" s="137" t="s">
        <v>48</v>
      </c>
      <c r="AL1320" s="137" t="s">
        <v>50</v>
      </c>
      <c r="AM1320" s="299">
        <f t="shared" ref="AM1320:AM1383" ca="1" si="120">IF(AP1320="",NOW()-B1320,AR1320-B1320)</f>
        <v>2.1215277777810115</v>
      </c>
      <c r="AN1320" s="51"/>
      <c r="AO1320" s="147" t="s">
        <v>229</v>
      </c>
      <c r="AP1320" s="62" t="s">
        <v>3534</v>
      </c>
      <c r="AQ1320" s="147" t="s">
        <v>3768</v>
      </c>
      <c r="AR1320" s="64">
        <v>44911.538194444445</v>
      </c>
      <c r="AS1320" s="147" t="s">
        <v>136</v>
      </c>
      <c r="AT1320" s="147" t="s">
        <v>225</v>
      </c>
      <c r="AU1320" s="110">
        <v>0.53819444444444442</v>
      </c>
      <c r="AV1320" s="147">
        <v>1</v>
      </c>
      <c r="AW1320" s="147" t="s">
        <v>66</v>
      </c>
      <c r="AX1320" s="52"/>
      <c r="AY1320" s="52"/>
      <c r="AZ1320" s="52"/>
      <c r="BA1320" s="52"/>
    </row>
    <row r="1321" spans="1:53" x14ac:dyDescent="0.25">
      <c r="A1321" s="142">
        <v>229</v>
      </c>
      <c r="B1321" s="141">
        <v>44909.420138888891</v>
      </c>
      <c r="C1321" s="136">
        <v>0.4201388888888889</v>
      </c>
      <c r="D1321" s="136">
        <v>0.42708333333333331</v>
      </c>
      <c r="E1321" s="136">
        <v>0.4513888888888889</v>
      </c>
      <c r="F1321" s="137" t="s">
        <v>171</v>
      </c>
      <c r="G1321" s="137" t="s">
        <v>2642</v>
      </c>
      <c r="H1321" s="135" t="s">
        <v>195</v>
      </c>
      <c r="I1321" s="135" t="s">
        <v>195</v>
      </c>
      <c r="J1321" s="135" t="s">
        <v>37</v>
      </c>
      <c r="K1321" s="135" t="s">
        <v>180</v>
      </c>
      <c r="L1321" s="135" t="s">
        <v>209</v>
      </c>
      <c r="M1321" s="137" t="s">
        <v>3537</v>
      </c>
      <c r="N1321" s="137" t="s">
        <v>44</v>
      </c>
      <c r="O1321" s="137" t="s">
        <v>3538</v>
      </c>
      <c r="P1321" s="137">
        <v>2101095688</v>
      </c>
      <c r="Q1321" s="303">
        <f t="shared" ref="Q1321:Q1384" si="121">S1321+U1321</f>
        <v>1</v>
      </c>
      <c r="R1321" s="303">
        <f t="shared" ref="R1321:R1384" si="122">T1321+V1321</f>
        <v>63</v>
      </c>
      <c r="S1321" s="137">
        <v>0</v>
      </c>
      <c r="T1321" s="137">
        <v>0</v>
      </c>
      <c r="U1321" s="137">
        <v>1</v>
      </c>
      <c r="V1321" s="137">
        <v>63</v>
      </c>
      <c r="W1321" s="137">
        <v>63</v>
      </c>
      <c r="X1321" s="137">
        <v>80</v>
      </c>
      <c r="Y1321" s="137">
        <v>61</v>
      </c>
      <c r="Z1321" s="137">
        <v>34</v>
      </c>
      <c r="AA1321" s="137">
        <v>1</v>
      </c>
      <c r="AB1321" s="300">
        <f t="shared" ref="AB1321:AB1384" si="123">X1321*Y1321*Z1321*AA1321/6000</f>
        <v>27.653333333333332</v>
      </c>
      <c r="AC1321" s="300">
        <f t="shared" ref="AC1321:AC1384" si="124">AB1321/166</f>
        <v>0.16658634538152609</v>
      </c>
      <c r="AD1321" s="137">
        <v>1852.8</v>
      </c>
      <c r="AE1321" s="137" t="s">
        <v>109</v>
      </c>
      <c r="AF1321" s="137" t="s">
        <v>1566</v>
      </c>
      <c r="AG1321" s="137" t="s">
        <v>1566</v>
      </c>
      <c r="AH1321" s="137" t="s">
        <v>3539</v>
      </c>
      <c r="AI1321" s="309"/>
      <c r="AJ1321" s="309"/>
      <c r="AK1321" s="137" t="s">
        <v>37</v>
      </c>
      <c r="AL1321" s="137" t="s">
        <v>54</v>
      </c>
      <c r="AM1321" s="299">
        <f t="shared" ca="1" si="120"/>
        <v>9.0277777773735579E-2</v>
      </c>
      <c r="AN1321" s="51"/>
      <c r="AO1321" s="104" t="s">
        <v>53</v>
      </c>
      <c r="AP1321" s="106" t="s">
        <v>3537</v>
      </c>
      <c r="AQ1321" s="104" t="s">
        <v>3552</v>
      </c>
      <c r="AR1321" s="111">
        <v>44909.510416666664</v>
      </c>
      <c r="AS1321" s="104" t="s">
        <v>173</v>
      </c>
      <c r="AT1321" s="134" t="s">
        <v>225</v>
      </c>
      <c r="AU1321" s="110">
        <v>0.51041666666666663</v>
      </c>
      <c r="AV1321" s="104">
        <v>1</v>
      </c>
      <c r="AW1321" s="134" t="s">
        <v>66</v>
      </c>
      <c r="AX1321" s="52"/>
      <c r="AY1321" s="52"/>
      <c r="AZ1321" s="52"/>
      <c r="BA1321" s="52"/>
    </row>
    <row r="1322" spans="1:53" x14ac:dyDescent="0.25">
      <c r="A1322" s="142">
        <v>230</v>
      </c>
      <c r="B1322" s="141">
        <v>44909.420138888891</v>
      </c>
      <c r="C1322" s="136">
        <v>0.4201388888888889</v>
      </c>
      <c r="D1322" s="136">
        <v>0.42708333333333331</v>
      </c>
      <c r="E1322" s="136">
        <v>0.4513888888888889</v>
      </c>
      <c r="F1322" s="137" t="s">
        <v>171</v>
      </c>
      <c r="G1322" s="137" t="s">
        <v>2642</v>
      </c>
      <c r="H1322" s="135" t="s">
        <v>195</v>
      </c>
      <c r="I1322" s="135" t="s">
        <v>195</v>
      </c>
      <c r="J1322" s="135" t="s">
        <v>37</v>
      </c>
      <c r="K1322" s="135" t="s">
        <v>180</v>
      </c>
      <c r="L1322" s="135" t="s">
        <v>209</v>
      </c>
      <c r="M1322" s="137" t="s">
        <v>3537</v>
      </c>
      <c r="N1322" s="137" t="s">
        <v>44</v>
      </c>
      <c r="O1322" s="137" t="s">
        <v>3540</v>
      </c>
      <c r="P1322" s="137">
        <v>2101095498</v>
      </c>
      <c r="Q1322" s="303">
        <f t="shared" si="121"/>
        <v>3</v>
      </c>
      <c r="R1322" s="303">
        <f t="shared" si="122"/>
        <v>1230</v>
      </c>
      <c r="S1322" s="137">
        <v>0</v>
      </c>
      <c r="T1322" s="137">
        <v>0</v>
      </c>
      <c r="U1322" s="137">
        <v>3</v>
      </c>
      <c r="V1322" s="137">
        <v>1230</v>
      </c>
      <c r="W1322" s="137">
        <v>1216</v>
      </c>
      <c r="X1322" s="137">
        <v>115</v>
      </c>
      <c r="Y1322" s="137">
        <v>80</v>
      </c>
      <c r="Z1322" s="137">
        <v>95</v>
      </c>
      <c r="AA1322" s="137">
        <v>2</v>
      </c>
      <c r="AB1322" s="300">
        <f t="shared" si="123"/>
        <v>291.33333333333331</v>
      </c>
      <c r="AC1322" s="300">
        <f t="shared" si="124"/>
        <v>1.755020080321285</v>
      </c>
      <c r="AD1322" s="137">
        <v>79812.960000000006</v>
      </c>
      <c r="AE1322" s="137" t="s">
        <v>109</v>
      </c>
      <c r="AF1322" s="137" t="s">
        <v>1566</v>
      </c>
      <c r="AG1322" s="137" t="s">
        <v>1566</v>
      </c>
      <c r="AH1322" s="137" t="s">
        <v>3541</v>
      </c>
      <c r="AI1322" s="309"/>
      <c r="AJ1322" s="309"/>
      <c r="AK1322" s="137" t="s">
        <v>37</v>
      </c>
      <c r="AL1322" s="137" t="s">
        <v>54</v>
      </c>
      <c r="AM1322" s="299">
        <f t="shared" ca="1" si="120"/>
        <v>9.0277777773735579E-2</v>
      </c>
      <c r="AN1322" s="51"/>
      <c r="AO1322" s="104" t="s">
        <v>53</v>
      </c>
      <c r="AP1322" s="106" t="s">
        <v>3537</v>
      </c>
      <c r="AQ1322" s="104" t="s">
        <v>3552</v>
      </c>
      <c r="AR1322" s="111">
        <v>44909.510416666664</v>
      </c>
      <c r="AS1322" s="104" t="s">
        <v>173</v>
      </c>
      <c r="AT1322" s="134" t="s">
        <v>225</v>
      </c>
      <c r="AU1322" s="110">
        <v>0.51041666666666663</v>
      </c>
      <c r="AV1322" s="104">
        <v>1</v>
      </c>
      <c r="AW1322" s="134" t="s">
        <v>66</v>
      </c>
      <c r="AX1322" s="52"/>
      <c r="AY1322" s="52"/>
      <c r="AZ1322" s="52"/>
      <c r="BA1322" s="52"/>
    </row>
    <row r="1323" spans="1:53" x14ac:dyDescent="0.25">
      <c r="A1323" s="142">
        <v>230</v>
      </c>
      <c r="B1323" s="141">
        <v>44909.420138888891</v>
      </c>
      <c r="C1323" s="136">
        <v>0.4201388888888889</v>
      </c>
      <c r="D1323" s="136">
        <v>0.42708333333333331</v>
      </c>
      <c r="E1323" s="136">
        <v>0.4513888888888889</v>
      </c>
      <c r="F1323" s="137" t="s">
        <v>171</v>
      </c>
      <c r="G1323" s="137" t="s">
        <v>2642</v>
      </c>
      <c r="H1323" s="135" t="s">
        <v>195</v>
      </c>
      <c r="I1323" s="135" t="s">
        <v>195</v>
      </c>
      <c r="J1323" s="135" t="s">
        <v>37</v>
      </c>
      <c r="K1323" s="135" t="s">
        <v>180</v>
      </c>
      <c r="L1323" s="135" t="s">
        <v>209</v>
      </c>
      <c r="M1323" s="137" t="s">
        <v>3537</v>
      </c>
      <c r="N1323" s="137" t="s">
        <v>44</v>
      </c>
      <c r="O1323" s="137" t="s">
        <v>3540</v>
      </c>
      <c r="P1323" s="137">
        <v>2101095498</v>
      </c>
      <c r="Q1323" s="303">
        <f t="shared" si="121"/>
        <v>0</v>
      </c>
      <c r="R1323" s="303">
        <f t="shared" si="122"/>
        <v>0</v>
      </c>
      <c r="S1323" s="137">
        <v>0</v>
      </c>
      <c r="T1323" s="137">
        <v>0</v>
      </c>
      <c r="U1323" s="137">
        <v>0</v>
      </c>
      <c r="V1323" s="137">
        <v>0</v>
      </c>
      <c r="W1323" s="137">
        <v>0</v>
      </c>
      <c r="X1323" s="137">
        <v>115</v>
      </c>
      <c r="Y1323" s="137">
        <v>80</v>
      </c>
      <c r="Z1323" s="137">
        <v>93</v>
      </c>
      <c r="AA1323" s="137">
        <v>1</v>
      </c>
      <c r="AB1323" s="300">
        <f t="shared" si="123"/>
        <v>142.6</v>
      </c>
      <c r="AC1323" s="300">
        <f t="shared" si="124"/>
        <v>0.85903614457831323</v>
      </c>
      <c r="AD1323" s="137">
        <v>0</v>
      </c>
      <c r="AE1323" s="137">
        <v>0</v>
      </c>
      <c r="AF1323" s="137" t="s">
        <v>1566</v>
      </c>
      <c r="AG1323" s="137" t="s">
        <v>1566</v>
      </c>
      <c r="AH1323" s="137" t="s">
        <v>3541</v>
      </c>
      <c r="AI1323" s="309"/>
      <c r="AJ1323" s="309"/>
      <c r="AK1323" s="137" t="s">
        <v>37</v>
      </c>
      <c r="AL1323" s="137" t="s">
        <v>54</v>
      </c>
      <c r="AM1323" s="299">
        <f t="shared" ca="1" si="120"/>
        <v>9.0277777773735579E-2</v>
      </c>
      <c r="AN1323" s="51"/>
      <c r="AO1323" s="104" t="s">
        <v>53</v>
      </c>
      <c r="AP1323" s="106" t="s">
        <v>3537</v>
      </c>
      <c r="AQ1323" s="104" t="s">
        <v>3552</v>
      </c>
      <c r="AR1323" s="111">
        <v>44909.510416666664</v>
      </c>
      <c r="AS1323" s="104" t="s">
        <v>173</v>
      </c>
      <c r="AT1323" s="134" t="s">
        <v>225</v>
      </c>
      <c r="AU1323" s="110">
        <v>0.51041666666666663</v>
      </c>
      <c r="AV1323" s="104">
        <v>1</v>
      </c>
      <c r="AW1323" s="134" t="s">
        <v>66</v>
      </c>
      <c r="AX1323" s="52"/>
      <c r="AY1323" s="52"/>
      <c r="AZ1323" s="52"/>
      <c r="BA1323" s="52"/>
    </row>
    <row r="1324" spans="1:53" x14ac:dyDescent="0.25">
      <c r="A1324" s="142">
        <v>231</v>
      </c>
      <c r="B1324" s="141">
        <v>44909.427083333336</v>
      </c>
      <c r="C1324" s="136">
        <v>0.42708333333333331</v>
      </c>
      <c r="D1324" s="136">
        <v>0.43402777777777773</v>
      </c>
      <c r="E1324" s="136">
        <v>0.45833333333333331</v>
      </c>
      <c r="F1324" s="137" t="s">
        <v>170</v>
      </c>
      <c r="G1324" s="137" t="s">
        <v>378</v>
      </c>
      <c r="H1324" s="135" t="s">
        <v>204</v>
      </c>
      <c r="I1324" s="135" t="s">
        <v>162</v>
      </c>
      <c r="J1324" s="135" t="s">
        <v>37</v>
      </c>
      <c r="K1324" s="135" t="s">
        <v>63</v>
      </c>
      <c r="L1324" s="135" t="s">
        <v>212</v>
      </c>
      <c r="M1324" s="137" t="s">
        <v>3542</v>
      </c>
      <c r="N1324" s="137" t="s">
        <v>158</v>
      </c>
      <c r="O1324" s="137" t="s">
        <v>3543</v>
      </c>
      <c r="P1324" s="137">
        <v>5051915338</v>
      </c>
      <c r="Q1324" s="303">
        <f t="shared" si="121"/>
        <v>2</v>
      </c>
      <c r="R1324" s="303">
        <f t="shared" si="122"/>
        <v>432</v>
      </c>
      <c r="S1324" s="137">
        <v>0</v>
      </c>
      <c r="T1324" s="137">
        <v>0</v>
      </c>
      <c r="U1324" s="137">
        <v>2</v>
      </c>
      <c r="V1324" s="137">
        <v>432</v>
      </c>
      <c r="W1324" s="137">
        <v>445</v>
      </c>
      <c r="X1324" s="137">
        <v>54</v>
      </c>
      <c r="Y1324" s="137">
        <v>52</v>
      </c>
      <c r="Z1324" s="137">
        <v>55</v>
      </c>
      <c r="AA1324" s="137">
        <v>2</v>
      </c>
      <c r="AB1324" s="300">
        <f t="shared" si="123"/>
        <v>51.48</v>
      </c>
      <c r="AC1324" s="300">
        <f t="shared" si="124"/>
        <v>0.3101204819277108</v>
      </c>
      <c r="AD1324" s="137">
        <v>10586.84</v>
      </c>
      <c r="AE1324" s="137" t="s">
        <v>109</v>
      </c>
      <c r="AF1324" s="137" t="s">
        <v>317</v>
      </c>
      <c r="AG1324" s="137" t="s">
        <v>317</v>
      </c>
      <c r="AH1324" s="137" t="s">
        <v>3544</v>
      </c>
      <c r="AI1324" s="309"/>
      <c r="AJ1324" s="309"/>
      <c r="AK1324" s="137" t="s">
        <v>41</v>
      </c>
      <c r="AL1324" s="137" t="s">
        <v>94</v>
      </c>
      <c r="AM1324" s="299">
        <f t="shared" ca="1" si="120"/>
        <v>1.0277777777737356</v>
      </c>
      <c r="AN1324" s="51"/>
      <c r="AO1324" s="147" t="s">
        <v>159</v>
      </c>
      <c r="AP1324" s="62" t="s">
        <v>3542</v>
      </c>
      <c r="AQ1324" s="147" t="s">
        <v>3687</v>
      </c>
      <c r="AR1324" s="64">
        <v>44910.454861111109</v>
      </c>
      <c r="AS1324" s="104" t="s">
        <v>117</v>
      </c>
      <c r="AT1324" s="147" t="s">
        <v>225</v>
      </c>
      <c r="AU1324" s="110">
        <v>0.4548611111111111</v>
      </c>
      <c r="AV1324" s="147">
        <v>1</v>
      </c>
      <c r="AW1324" s="147" t="s">
        <v>66</v>
      </c>
      <c r="AX1324" s="52"/>
      <c r="AY1324" s="52"/>
      <c r="AZ1324" s="52"/>
      <c r="BA1324" s="52"/>
    </row>
    <row r="1325" spans="1:53" x14ac:dyDescent="0.25">
      <c r="A1325" s="142">
        <v>232</v>
      </c>
      <c r="B1325" s="141">
        <v>44909.444444444445</v>
      </c>
      <c r="C1325" s="136">
        <v>0.44791666666666669</v>
      </c>
      <c r="D1325" s="136">
        <v>0.4513888888888889</v>
      </c>
      <c r="E1325" s="136">
        <v>0.46875</v>
      </c>
      <c r="F1325" s="137" t="s">
        <v>171</v>
      </c>
      <c r="G1325" s="137" t="s">
        <v>275</v>
      </c>
      <c r="H1325" s="135" t="s">
        <v>217</v>
      </c>
      <c r="I1325" s="135" t="s">
        <v>141</v>
      </c>
      <c r="J1325" s="135" t="s">
        <v>37</v>
      </c>
      <c r="K1325" s="135" t="s">
        <v>233</v>
      </c>
      <c r="L1325" s="135" t="s">
        <v>209</v>
      </c>
      <c r="M1325" s="137" t="s">
        <v>3545</v>
      </c>
      <c r="N1325" s="137" t="s">
        <v>270</v>
      </c>
      <c r="O1325" s="137" t="s">
        <v>3546</v>
      </c>
      <c r="P1325" s="137">
        <v>1145</v>
      </c>
      <c r="Q1325" s="303">
        <f t="shared" si="121"/>
        <v>1</v>
      </c>
      <c r="R1325" s="303">
        <f t="shared" si="122"/>
        <v>42</v>
      </c>
      <c r="S1325" s="137">
        <v>0</v>
      </c>
      <c r="T1325" s="137">
        <v>0</v>
      </c>
      <c r="U1325" s="137">
        <v>1</v>
      </c>
      <c r="V1325" s="137">
        <v>42</v>
      </c>
      <c r="W1325" s="137">
        <v>40.799999999999997</v>
      </c>
      <c r="X1325" s="137">
        <v>66</v>
      </c>
      <c r="Y1325" s="137">
        <v>64</v>
      </c>
      <c r="Z1325" s="137">
        <v>68</v>
      </c>
      <c r="AA1325" s="137">
        <v>1</v>
      </c>
      <c r="AB1325" s="300">
        <f t="shared" si="123"/>
        <v>47.872</v>
      </c>
      <c r="AC1325" s="300">
        <f t="shared" si="124"/>
        <v>0.28838554216867468</v>
      </c>
      <c r="AD1325" s="137">
        <v>2471.33</v>
      </c>
      <c r="AE1325" s="137" t="s">
        <v>111</v>
      </c>
      <c r="AF1325" s="137" t="s">
        <v>1566</v>
      </c>
      <c r="AG1325" s="137" t="s">
        <v>1566</v>
      </c>
      <c r="AH1325" s="137">
        <v>0</v>
      </c>
      <c r="AI1325" s="309"/>
      <c r="AJ1325" s="309"/>
      <c r="AK1325" s="137" t="s">
        <v>37</v>
      </c>
      <c r="AL1325" s="137" t="s">
        <v>49</v>
      </c>
      <c r="AM1325" s="299">
        <f t="shared" ca="1" si="120"/>
        <v>2.09375</v>
      </c>
      <c r="AN1325" s="51"/>
      <c r="AO1325" s="147" t="s">
        <v>143</v>
      </c>
      <c r="AP1325" s="62" t="s">
        <v>3545</v>
      </c>
      <c r="AQ1325" s="147" t="s">
        <v>3770</v>
      </c>
      <c r="AR1325" s="64">
        <v>44911.538194444445</v>
      </c>
      <c r="AS1325" s="147" t="s">
        <v>136</v>
      </c>
      <c r="AT1325" s="147" t="s">
        <v>225</v>
      </c>
      <c r="AU1325" s="110">
        <v>0.53819444444444442</v>
      </c>
      <c r="AV1325" s="147">
        <v>1</v>
      </c>
      <c r="AW1325" s="147" t="s">
        <v>66</v>
      </c>
      <c r="AX1325" s="52"/>
      <c r="AY1325" s="52"/>
      <c r="AZ1325" s="52"/>
      <c r="BA1325" s="52"/>
    </row>
    <row r="1326" spans="1:53" x14ac:dyDescent="0.25">
      <c r="A1326" s="157">
        <v>233</v>
      </c>
      <c r="B1326" s="155">
        <v>44909.475694444445</v>
      </c>
      <c r="C1326" s="150">
        <v>0.47569444444444442</v>
      </c>
      <c r="D1326" s="150">
        <v>0.4826388888888889</v>
      </c>
      <c r="E1326" s="150">
        <v>0.51041666666666663</v>
      </c>
      <c r="F1326" s="151" t="s">
        <v>170</v>
      </c>
      <c r="G1326" s="151" t="s">
        <v>3555</v>
      </c>
      <c r="H1326" s="146" t="s">
        <v>57</v>
      </c>
      <c r="I1326" s="146" t="s">
        <v>92</v>
      </c>
      <c r="J1326" s="146" t="s">
        <v>37</v>
      </c>
      <c r="K1326" s="149" t="s">
        <v>63</v>
      </c>
      <c r="L1326" s="149" t="s">
        <v>209</v>
      </c>
      <c r="M1326" s="151" t="s">
        <v>3556</v>
      </c>
      <c r="N1326" s="151" t="s">
        <v>42</v>
      </c>
      <c r="O1326" s="151" t="s">
        <v>3557</v>
      </c>
      <c r="P1326" s="151">
        <v>81975704</v>
      </c>
      <c r="Q1326" s="303">
        <f t="shared" si="121"/>
        <v>4</v>
      </c>
      <c r="R1326" s="303">
        <f t="shared" si="122"/>
        <v>2985</v>
      </c>
      <c r="S1326" s="151">
        <v>0</v>
      </c>
      <c r="T1326" s="151">
        <v>0</v>
      </c>
      <c r="U1326" s="151">
        <v>4</v>
      </c>
      <c r="V1326" s="151">
        <v>2985</v>
      </c>
      <c r="W1326" s="151">
        <v>2956</v>
      </c>
      <c r="X1326" s="151">
        <v>199</v>
      </c>
      <c r="Y1326" s="151">
        <v>84</v>
      </c>
      <c r="Z1326" s="151">
        <v>101</v>
      </c>
      <c r="AA1326" s="151">
        <v>4</v>
      </c>
      <c r="AB1326" s="300">
        <f t="shared" si="123"/>
        <v>1125.5440000000001</v>
      </c>
      <c r="AC1326" s="300">
        <f t="shared" si="124"/>
        <v>6.7803855421686752</v>
      </c>
      <c r="AD1326" s="151">
        <v>35179.360000000001</v>
      </c>
      <c r="AE1326" s="151" t="s">
        <v>109</v>
      </c>
      <c r="AF1326" s="151" t="s">
        <v>317</v>
      </c>
      <c r="AG1326" s="151" t="s">
        <v>317</v>
      </c>
      <c r="AH1326" s="151" t="s">
        <v>3558</v>
      </c>
      <c r="AI1326" s="309"/>
      <c r="AJ1326" s="309"/>
      <c r="AK1326" s="151" t="s">
        <v>37</v>
      </c>
      <c r="AL1326" s="151" t="s">
        <v>47</v>
      </c>
      <c r="AM1326" s="299">
        <f t="shared" ca="1" si="120"/>
        <v>0.96875</v>
      </c>
      <c r="AN1326" s="158"/>
      <c r="AO1326" s="147" t="s">
        <v>83</v>
      </c>
      <c r="AP1326" s="62" t="s">
        <v>3556</v>
      </c>
      <c r="AQ1326" s="147" t="s">
        <v>3686</v>
      </c>
      <c r="AR1326" s="64">
        <v>44910.444444444445</v>
      </c>
      <c r="AS1326" s="104" t="s">
        <v>173</v>
      </c>
      <c r="AT1326" s="147" t="s">
        <v>225</v>
      </c>
      <c r="AU1326" s="110">
        <v>0.44444444444444442</v>
      </c>
      <c r="AV1326" s="147">
        <v>1</v>
      </c>
      <c r="AW1326" s="147" t="s">
        <v>66</v>
      </c>
      <c r="AX1326" s="159"/>
      <c r="AY1326" s="159"/>
      <c r="AZ1326" s="159"/>
      <c r="BA1326" s="159"/>
    </row>
    <row r="1327" spans="1:53" x14ac:dyDescent="0.25">
      <c r="A1327" s="157">
        <v>234</v>
      </c>
      <c r="B1327" s="155">
        <v>44909.486111111109</v>
      </c>
      <c r="C1327" s="150">
        <v>0.48958333333333331</v>
      </c>
      <c r="D1327" s="150">
        <v>0.50347222222222221</v>
      </c>
      <c r="E1327" s="150">
        <v>0.52777777777777779</v>
      </c>
      <c r="F1327" s="151" t="s">
        <v>170</v>
      </c>
      <c r="G1327" s="151" t="s">
        <v>252</v>
      </c>
      <c r="H1327" s="146" t="s">
        <v>3559</v>
      </c>
      <c r="I1327" s="146" t="s">
        <v>3560</v>
      </c>
      <c r="J1327" s="146" t="s">
        <v>37</v>
      </c>
      <c r="K1327" s="149" t="s">
        <v>63</v>
      </c>
      <c r="L1327" s="146">
        <v>0</v>
      </c>
      <c r="M1327" s="151" t="s">
        <v>3561</v>
      </c>
      <c r="N1327" s="151" t="s">
        <v>43</v>
      </c>
      <c r="O1327" s="151" t="s">
        <v>3562</v>
      </c>
      <c r="P1327" s="151">
        <v>665</v>
      </c>
      <c r="Q1327" s="303">
        <f t="shared" si="121"/>
        <v>1</v>
      </c>
      <c r="R1327" s="303">
        <f t="shared" si="122"/>
        <v>118</v>
      </c>
      <c r="S1327" s="151">
        <v>0</v>
      </c>
      <c r="T1327" s="151">
        <v>0</v>
      </c>
      <c r="U1327" s="151">
        <v>1</v>
      </c>
      <c r="V1327" s="151">
        <v>118</v>
      </c>
      <c r="W1327" s="151">
        <v>126</v>
      </c>
      <c r="X1327" s="151">
        <v>79</v>
      </c>
      <c r="Y1327" s="151">
        <v>58</v>
      </c>
      <c r="Z1327" s="151">
        <v>50</v>
      </c>
      <c r="AA1327" s="151">
        <v>1</v>
      </c>
      <c r="AB1327" s="300">
        <f t="shared" si="123"/>
        <v>38.18333333333333</v>
      </c>
      <c r="AC1327" s="300">
        <f t="shared" si="124"/>
        <v>0.23002008032128513</v>
      </c>
      <c r="AD1327" s="151">
        <v>1706.85</v>
      </c>
      <c r="AE1327" s="151" t="s">
        <v>111</v>
      </c>
      <c r="AF1327" s="151" t="s">
        <v>317</v>
      </c>
      <c r="AG1327" s="151" t="s">
        <v>317</v>
      </c>
      <c r="AH1327" s="151" t="s">
        <v>3563</v>
      </c>
      <c r="AI1327" s="309"/>
      <c r="AJ1327" s="309"/>
      <c r="AK1327" s="151" t="s">
        <v>37</v>
      </c>
      <c r="AL1327" s="151" t="s">
        <v>94</v>
      </c>
      <c r="AM1327" s="299">
        <f t="shared" ca="1" si="120"/>
        <v>1.0763888888905058</v>
      </c>
      <c r="AN1327" s="158"/>
      <c r="AO1327" s="147" t="s">
        <v>161</v>
      </c>
      <c r="AP1327" s="62" t="s">
        <v>3561</v>
      </c>
      <c r="AQ1327" s="147" t="s">
        <v>3689</v>
      </c>
      <c r="AR1327" s="64">
        <v>44910.5625</v>
      </c>
      <c r="AS1327" s="104" t="s">
        <v>173</v>
      </c>
      <c r="AT1327" s="147" t="s">
        <v>225</v>
      </c>
      <c r="AU1327" s="110">
        <v>0.5625</v>
      </c>
      <c r="AV1327" s="147">
        <v>2</v>
      </c>
      <c r="AW1327" s="147" t="s">
        <v>66</v>
      </c>
      <c r="AX1327" s="159"/>
      <c r="AY1327" s="159"/>
      <c r="AZ1327" s="159"/>
      <c r="BA1327" s="159"/>
    </row>
    <row r="1328" spans="1:53" x14ac:dyDescent="0.25">
      <c r="A1328" s="157">
        <v>235</v>
      </c>
      <c r="B1328" s="155">
        <v>44909.486111111109</v>
      </c>
      <c r="C1328" s="150">
        <v>0.48958333333333331</v>
      </c>
      <c r="D1328" s="150">
        <v>0.50347222222222221</v>
      </c>
      <c r="E1328" s="150">
        <v>0.52777777777777779</v>
      </c>
      <c r="F1328" s="151" t="s">
        <v>170</v>
      </c>
      <c r="G1328" s="151" t="s">
        <v>252</v>
      </c>
      <c r="H1328" s="146" t="s">
        <v>138</v>
      </c>
      <c r="I1328" s="146" t="s">
        <v>71</v>
      </c>
      <c r="J1328" s="146" t="s">
        <v>37</v>
      </c>
      <c r="K1328" s="149" t="s">
        <v>63</v>
      </c>
      <c r="L1328" s="149" t="s">
        <v>219</v>
      </c>
      <c r="M1328" s="151" t="s">
        <v>3564</v>
      </c>
      <c r="N1328" s="151" t="s">
        <v>139</v>
      </c>
      <c r="O1328" s="151" t="s">
        <v>3565</v>
      </c>
      <c r="P1328" s="151">
        <v>5051988116</v>
      </c>
      <c r="Q1328" s="303">
        <f t="shared" si="121"/>
        <v>2</v>
      </c>
      <c r="R1328" s="303">
        <f t="shared" si="122"/>
        <v>240</v>
      </c>
      <c r="S1328" s="151">
        <v>0</v>
      </c>
      <c r="T1328" s="151">
        <v>0</v>
      </c>
      <c r="U1328" s="151">
        <v>2</v>
      </c>
      <c r="V1328" s="151">
        <v>240</v>
      </c>
      <c r="W1328" s="151">
        <v>231</v>
      </c>
      <c r="X1328" s="151">
        <v>124</v>
      </c>
      <c r="Y1328" s="151">
        <v>50</v>
      </c>
      <c r="Z1328" s="151">
        <v>48</v>
      </c>
      <c r="AA1328" s="151">
        <v>2</v>
      </c>
      <c r="AB1328" s="300">
        <f t="shared" si="123"/>
        <v>99.2</v>
      </c>
      <c r="AC1328" s="300">
        <f t="shared" si="124"/>
        <v>0.59759036144578315</v>
      </c>
      <c r="AD1328" s="151">
        <v>5654.09</v>
      </c>
      <c r="AE1328" s="151" t="s">
        <v>111</v>
      </c>
      <c r="AF1328" s="151" t="s">
        <v>317</v>
      </c>
      <c r="AG1328" s="151" t="s">
        <v>317</v>
      </c>
      <c r="AH1328" s="151" t="s">
        <v>3566</v>
      </c>
      <c r="AI1328" s="309"/>
      <c r="AJ1328" s="309"/>
      <c r="AK1328" s="151" t="s">
        <v>41</v>
      </c>
      <c r="AL1328" s="151" t="s">
        <v>54</v>
      </c>
      <c r="AM1328" s="299">
        <f t="shared" ca="1" si="120"/>
        <v>3.0104166666715173</v>
      </c>
      <c r="AN1328" s="158"/>
      <c r="AO1328" s="171" t="s">
        <v>72</v>
      </c>
      <c r="AP1328" s="172" t="s">
        <v>3564</v>
      </c>
      <c r="AQ1328" s="171" t="s">
        <v>3849</v>
      </c>
      <c r="AR1328" s="174">
        <v>44912.496527777781</v>
      </c>
      <c r="AS1328" s="168" t="s">
        <v>173</v>
      </c>
      <c r="AT1328" s="171" t="s">
        <v>225</v>
      </c>
      <c r="AU1328" s="173">
        <v>0.49652777777777773</v>
      </c>
      <c r="AV1328" s="171">
        <v>1</v>
      </c>
      <c r="AW1328" s="171" t="s">
        <v>66</v>
      </c>
      <c r="AX1328" s="171"/>
      <c r="AY1328" s="159"/>
      <c r="AZ1328" s="159"/>
      <c r="BA1328" s="159"/>
    </row>
    <row r="1329" spans="1:53" x14ac:dyDescent="0.25">
      <c r="A1329" s="157">
        <v>236</v>
      </c>
      <c r="B1329" s="155">
        <v>44909.486111111109</v>
      </c>
      <c r="C1329" s="150">
        <v>0.48958333333333331</v>
      </c>
      <c r="D1329" s="150">
        <v>0.50347222222222221</v>
      </c>
      <c r="E1329" s="150">
        <v>0.52777777777777779</v>
      </c>
      <c r="F1329" s="151" t="s">
        <v>170</v>
      </c>
      <c r="G1329" s="151" t="s">
        <v>252</v>
      </c>
      <c r="H1329" s="146" t="s">
        <v>3567</v>
      </c>
      <c r="I1329" s="146" t="s">
        <v>3568</v>
      </c>
      <c r="J1329" s="146" t="s">
        <v>37</v>
      </c>
      <c r="K1329" s="149" t="s">
        <v>63</v>
      </c>
      <c r="L1329" s="146">
        <v>0</v>
      </c>
      <c r="M1329" s="151" t="s">
        <v>3569</v>
      </c>
      <c r="N1329" s="151" t="s">
        <v>42</v>
      </c>
      <c r="O1329" s="151" t="s">
        <v>3570</v>
      </c>
      <c r="P1329" s="151">
        <v>11441172</v>
      </c>
      <c r="Q1329" s="303">
        <f t="shared" si="121"/>
        <v>1</v>
      </c>
      <c r="R1329" s="303">
        <f t="shared" si="122"/>
        <v>62</v>
      </c>
      <c r="S1329" s="151">
        <v>0</v>
      </c>
      <c r="T1329" s="151">
        <v>0</v>
      </c>
      <c r="U1329" s="151">
        <v>1</v>
      </c>
      <c r="V1329" s="151">
        <v>62</v>
      </c>
      <c r="W1329" s="151">
        <v>61.34</v>
      </c>
      <c r="X1329" s="151">
        <v>84</v>
      </c>
      <c r="Y1329" s="151">
        <v>47</v>
      </c>
      <c r="Z1329" s="151">
        <v>47</v>
      </c>
      <c r="AA1329" s="151">
        <v>1</v>
      </c>
      <c r="AB1329" s="300">
        <f t="shared" si="123"/>
        <v>30.925999999999998</v>
      </c>
      <c r="AC1329" s="300">
        <f t="shared" si="124"/>
        <v>0.18630120481927709</v>
      </c>
      <c r="AD1329" s="151">
        <v>648.48</v>
      </c>
      <c r="AE1329" s="151" t="s">
        <v>109</v>
      </c>
      <c r="AF1329" s="151" t="s">
        <v>317</v>
      </c>
      <c r="AG1329" s="151" t="s">
        <v>317</v>
      </c>
      <c r="AH1329" s="151" t="s">
        <v>3571</v>
      </c>
      <c r="AI1329" s="309"/>
      <c r="AJ1329" s="309"/>
      <c r="AK1329" s="151" t="s">
        <v>37</v>
      </c>
      <c r="AL1329" s="151" t="s">
        <v>54</v>
      </c>
      <c r="AM1329" s="299">
        <f t="shared" ca="1" si="120"/>
        <v>2.1527777777810115</v>
      </c>
      <c r="AN1329" s="158"/>
      <c r="AO1329" s="147" t="s">
        <v>259</v>
      </c>
      <c r="AP1329" s="62" t="s">
        <v>3569</v>
      </c>
      <c r="AQ1329" s="147" t="s">
        <v>3771</v>
      </c>
      <c r="AR1329" s="64">
        <v>44911.638888888891</v>
      </c>
      <c r="AS1329" s="104" t="s">
        <v>240</v>
      </c>
      <c r="AT1329" s="147" t="s">
        <v>65</v>
      </c>
      <c r="AU1329" s="110">
        <v>0.63888888888888895</v>
      </c>
      <c r="AV1329" s="147">
        <v>1</v>
      </c>
      <c r="AW1329" s="147" t="s">
        <v>66</v>
      </c>
      <c r="AX1329" s="159"/>
      <c r="AY1329" s="159"/>
      <c r="AZ1329" s="159"/>
      <c r="BA1329" s="159"/>
    </row>
    <row r="1330" spans="1:53" x14ac:dyDescent="0.25">
      <c r="A1330" s="157">
        <v>237</v>
      </c>
      <c r="B1330" s="155">
        <v>44909.486111111109</v>
      </c>
      <c r="C1330" s="150">
        <v>0.48958333333333331</v>
      </c>
      <c r="D1330" s="150">
        <v>0.50347222222222221</v>
      </c>
      <c r="E1330" s="150">
        <v>0.52777777777777779</v>
      </c>
      <c r="F1330" s="151" t="s">
        <v>170</v>
      </c>
      <c r="G1330" s="151" t="s">
        <v>252</v>
      </c>
      <c r="H1330" s="146" t="s">
        <v>57</v>
      </c>
      <c r="I1330" s="146" t="s">
        <v>162</v>
      </c>
      <c r="J1330" s="146" t="s">
        <v>37</v>
      </c>
      <c r="K1330" s="149" t="s">
        <v>63</v>
      </c>
      <c r="L1330" s="149" t="s">
        <v>209</v>
      </c>
      <c r="M1330" s="151" t="s">
        <v>3572</v>
      </c>
      <c r="N1330" s="151" t="s">
        <v>158</v>
      </c>
      <c r="O1330" s="151" t="s">
        <v>3573</v>
      </c>
      <c r="P1330" s="151">
        <v>81971055</v>
      </c>
      <c r="Q1330" s="303">
        <f t="shared" si="121"/>
        <v>2</v>
      </c>
      <c r="R1330" s="303">
        <f t="shared" si="122"/>
        <v>1085</v>
      </c>
      <c r="S1330" s="151">
        <v>0</v>
      </c>
      <c r="T1330" s="151">
        <v>0</v>
      </c>
      <c r="U1330" s="151">
        <v>2</v>
      </c>
      <c r="V1330" s="151">
        <v>1085</v>
      </c>
      <c r="W1330" s="151">
        <v>1088</v>
      </c>
      <c r="X1330" s="151">
        <v>147</v>
      </c>
      <c r="Y1330" s="151">
        <v>83</v>
      </c>
      <c r="Z1330" s="151">
        <v>91</v>
      </c>
      <c r="AA1330" s="151">
        <v>2</v>
      </c>
      <c r="AB1330" s="300">
        <f t="shared" si="123"/>
        <v>370.09699999999998</v>
      </c>
      <c r="AC1330" s="300">
        <f t="shared" si="124"/>
        <v>2.2294999999999998</v>
      </c>
      <c r="AD1330" s="151">
        <v>6407.98</v>
      </c>
      <c r="AE1330" s="151" t="s">
        <v>109</v>
      </c>
      <c r="AF1330" s="151" t="s">
        <v>317</v>
      </c>
      <c r="AG1330" s="151" t="s">
        <v>317</v>
      </c>
      <c r="AH1330" s="151" t="s">
        <v>3574</v>
      </c>
      <c r="AI1330" s="309"/>
      <c r="AJ1330" s="309"/>
      <c r="AK1330" s="151" t="s">
        <v>37</v>
      </c>
      <c r="AL1330" s="151" t="s">
        <v>54</v>
      </c>
      <c r="AM1330" s="299">
        <f t="shared" ca="1" si="120"/>
        <v>0.96875</v>
      </c>
      <c r="AN1330" s="158"/>
      <c r="AO1330" s="147" t="s">
        <v>159</v>
      </c>
      <c r="AP1330" s="62" t="s">
        <v>3572</v>
      </c>
      <c r="AQ1330" s="147" t="s">
        <v>3687</v>
      </c>
      <c r="AR1330" s="64">
        <v>44910.454861111109</v>
      </c>
      <c r="AS1330" s="104" t="s">
        <v>117</v>
      </c>
      <c r="AT1330" s="147" t="s">
        <v>225</v>
      </c>
      <c r="AU1330" s="110">
        <v>0.4548611111111111</v>
      </c>
      <c r="AV1330" s="147">
        <v>1</v>
      </c>
      <c r="AW1330" s="147" t="s">
        <v>66</v>
      </c>
      <c r="AX1330" s="159"/>
      <c r="AY1330" s="159"/>
      <c r="AZ1330" s="159"/>
      <c r="BA1330" s="159"/>
    </row>
    <row r="1331" spans="1:53" x14ac:dyDescent="0.25">
      <c r="A1331" s="157">
        <v>238</v>
      </c>
      <c r="B1331" s="155">
        <v>44909.486111111109</v>
      </c>
      <c r="C1331" s="150">
        <v>0.48958333333333331</v>
      </c>
      <c r="D1331" s="150">
        <v>0.50347222222222221</v>
      </c>
      <c r="E1331" s="150">
        <v>0.52777777777777779</v>
      </c>
      <c r="F1331" s="151" t="s">
        <v>170</v>
      </c>
      <c r="G1331" s="151" t="s">
        <v>252</v>
      </c>
      <c r="H1331" s="146" t="s">
        <v>57</v>
      </c>
      <c r="I1331" s="146" t="s">
        <v>92</v>
      </c>
      <c r="J1331" s="146" t="s">
        <v>37</v>
      </c>
      <c r="K1331" s="149" t="s">
        <v>63</v>
      </c>
      <c r="L1331" s="149" t="s">
        <v>209</v>
      </c>
      <c r="M1331" s="151" t="s">
        <v>3575</v>
      </c>
      <c r="N1331" s="151" t="s">
        <v>42</v>
      </c>
      <c r="O1331" s="151" t="s">
        <v>3576</v>
      </c>
      <c r="P1331" s="151">
        <v>81975735</v>
      </c>
      <c r="Q1331" s="303">
        <f t="shared" si="121"/>
        <v>1</v>
      </c>
      <c r="R1331" s="303">
        <f t="shared" si="122"/>
        <v>914</v>
      </c>
      <c r="S1331" s="151">
        <v>0</v>
      </c>
      <c r="T1331" s="151">
        <v>0</v>
      </c>
      <c r="U1331" s="151">
        <v>1</v>
      </c>
      <c r="V1331" s="151">
        <v>914</v>
      </c>
      <c r="W1331" s="151">
        <v>903</v>
      </c>
      <c r="X1331" s="151">
        <v>109</v>
      </c>
      <c r="Y1331" s="151">
        <v>109</v>
      </c>
      <c r="Z1331" s="151">
        <v>99</v>
      </c>
      <c r="AA1331" s="151">
        <v>1</v>
      </c>
      <c r="AB1331" s="300">
        <f t="shared" si="123"/>
        <v>196.03649999999999</v>
      </c>
      <c r="AC1331" s="300">
        <f t="shared" si="124"/>
        <v>1.1809427710843372</v>
      </c>
      <c r="AD1331" s="151">
        <v>3432.24</v>
      </c>
      <c r="AE1331" s="151" t="s">
        <v>109</v>
      </c>
      <c r="AF1331" s="151" t="s">
        <v>317</v>
      </c>
      <c r="AG1331" s="151" t="s">
        <v>317</v>
      </c>
      <c r="AH1331" s="151" t="s">
        <v>3577</v>
      </c>
      <c r="AI1331" s="309"/>
      <c r="AJ1331" s="309"/>
      <c r="AK1331" s="151" t="s">
        <v>37</v>
      </c>
      <c r="AL1331" s="151" t="s">
        <v>54</v>
      </c>
      <c r="AM1331" s="299">
        <f t="shared" ca="1" si="120"/>
        <v>0.95833333333575865</v>
      </c>
      <c r="AN1331" s="158"/>
      <c r="AO1331" s="147" t="s">
        <v>83</v>
      </c>
      <c r="AP1331" s="62" t="s">
        <v>3575</v>
      </c>
      <c r="AQ1331" s="147" t="s">
        <v>3686</v>
      </c>
      <c r="AR1331" s="64">
        <v>44910.444444444445</v>
      </c>
      <c r="AS1331" s="104" t="s">
        <v>173</v>
      </c>
      <c r="AT1331" s="147" t="s">
        <v>225</v>
      </c>
      <c r="AU1331" s="110">
        <v>0.44444444444444442</v>
      </c>
      <c r="AV1331" s="147">
        <v>1</v>
      </c>
      <c r="AW1331" s="147" t="s">
        <v>66</v>
      </c>
      <c r="AX1331" s="159"/>
      <c r="AY1331" s="159"/>
      <c r="AZ1331" s="159"/>
      <c r="BA1331" s="159"/>
    </row>
    <row r="1332" spans="1:53" x14ac:dyDescent="0.25">
      <c r="A1332" s="157">
        <v>239</v>
      </c>
      <c r="B1332" s="155">
        <v>44909.486111111109</v>
      </c>
      <c r="C1332" s="150">
        <v>0.48958333333333331</v>
      </c>
      <c r="D1332" s="150">
        <v>0.50347222222222221</v>
      </c>
      <c r="E1332" s="150">
        <v>0.52777777777777779</v>
      </c>
      <c r="F1332" s="151" t="s">
        <v>170</v>
      </c>
      <c r="G1332" s="151" t="s">
        <v>252</v>
      </c>
      <c r="H1332" s="146" t="s">
        <v>3567</v>
      </c>
      <c r="I1332" s="146" t="s">
        <v>3568</v>
      </c>
      <c r="J1332" s="146" t="s">
        <v>37</v>
      </c>
      <c r="K1332" s="149" t="s">
        <v>63</v>
      </c>
      <c r="L1332" s="146">
        <v>0</v>
      </c>
      <c r="M1332" s="151" t="s">
        <v>3569</v>
      </c>
      <c r="N1332" s="151" t="s">
        <v>42</v>
      </c>
      <c r="O1332" s="151" t="s">
        <v>3578</v>
      </c>
      <c r="P1332" s="151">
        <v>11441172</v>
      </c>
      <c r="Q1332" s="303">
        <f t="shared" si="121"/>
        <v>1</v>
      </c>
      <c r="R1332" s="303">
        <f t="shared" si="122"/>
        <v>110</v>
      </c>
      <c r="S1332" s="151">
        <v>0</v>
      </c>
      <c r="T1332" s="151">
        <v>0</v>
      </c>
      <c r="U1332" s="151">
        <v>1</v>
      </c>
      <c r="V1332" s="151">
        <v>110</v>
      </c>
      <c r="W1332" s="151">
        <v>108.24</v>
      </c>
      <c r="X1332" s="151">
        <v>82</v>
      </c>
      <c r="Y1332" s="151">
        <v>48</v>
      </c>
      <c r="Z1332" s="151">
        <v>58</v>
      </c>
      <c r="AA1332" s="151">
        <v>1</v>
      </c>
      <c r="AB1332" s="300">
        <f t="shared" si="123"/>
        <v>38.048000000000002</v>
      </c>
      <c r="AC1332" s="300">
        <f t="shared" si="124"/>
        <v>0.22920481927710845</v>
      </c>
      <c r="AD1332" s="151">
        <v>1247.6199999999999</v>
      </c>
      <c r="AE1332" s="151" t="s">
        <v>109</v>
      </c>
      <c r="AF1332" s="151" t="s">
        <v>317</v>
      </c>
      <c r="AG1332" s="151" t="s">
        <v>317</v>
      </c>
      <c r="AH1332" s="151" t="s">
        <v>3579</v>
      </c>
      <c r="AI1332" s="309"/>
      <c r="AJ1332" s="309"/>
      <c r="AK1332" s="151" t="s">
        <v>37</v>
      </c>
      <c r="AL1332" s="151" t="s">
        <v>54</v>
      </c>
      <c r="AM1332" s="299">
        <f t="shared" ca="1" si="120"/>
        <v>2.1527777777810115</v>
      </c>
      <c r="AN1332" s="158"/>
      <c r="AO1332" s="147" t="s">
        <v>259</v>
      </c>
      <c r="AP1332" s="62" t="s">
        <v>3569</v>
      </c>
      <c r="AQ1332" s="147" t="s">
        <v>3771</v>
      </c>
      <c r="AR1332" s="64">
        <v>44911.638888888891</v>
      </c>
      <c r="AS1332" s="104" t="s">
        <v>240</v>
      </c>
      <c r="AT1332" s="147" t="s">
        <v>65</v>
      </c>
      <c r="AU1332" s="110">
        <v>0.63888888888888895</v>
      </c>
      <c r="AV1332" s="147">
        <v>1</v>
      </c>
      <c r="AW1332" s="147" t="s">
        <v>66</v>
      </c>
      <c r="AX1332" s="159"/>
      <c r="AY1332" s="159"/>
      <c r="AZ1332" s="159"/>
      <c r="BA1332" s="159"/>
    </row>
    <row r="1333" spans="1:53" x14ac:dyDescent="0.25">
      <c r="A1333" s="157">
        <v>240</v>
      </c>
      <c r="B1333" s="155">
        <v>44909.486111111109</v>
      </c>
      <c r="C1333" s="150">
        <v>0.48958333333333331</v>
      </c>
      <c r="D1333" s="150">
        <v>0.50347222222222221</v>
      </c>
      <c r="E1333" s="150">
        <v>0.52777777777777779</v>
      </c>
      <c r="F1333" s="151" t="s">
        <v>170</v>
      </c>
      <c r="G1333" s="151" t="s">
        <v>252</v>
      </c>
      <c r="H1333" s="146" t="s">
        <v>156</v>
      </c>
      <c r="I1333" s="146" t="s">
        <v>3580</v>
      </c>
      <c r="J1333" s="146" t="s">
        <v>37</v>
      </c>
      <c r="K1333" s="149" t="s">
        <v>63</v>
      </c>
      <c r="L1333" s="149" t="s">
        <v>212</v>
      </c>
      <c r="M1333" s="151" t="s">
        <v>3581</v>
      </c>
      <c r="N1333" s="151" t="s">
        <v>42</v>
      </c>
      <c r="O1333" s="151" t="s">
        <v>3582</v>
      </c>
      <c r="P1333" s="151" t="s">
        <v>421</v>
      </c>
      <c r="Q1333" s="303">
        <f t="shared" si="121"/>
        <v>8</v>
      </c>
      <c r="R1333" s="303">
        <f t="shared" si="122"/>
        <v>124</v>
      </c>
      <c r="S1333" s="151">
        <v>0</v>
      </c>
      <c r="T1333" s="151">
        <v>0</v>
      </c>
      <c r="U1333" s="151">
        <v>8</v>
      </c>
      <c r="V1333" s="151">
        <v>124</v>
      </c>
      <c r="W1333" s="151">
        <v>140.15</v>
      </c>
      <c r="X1333" s="151">
        <v>33</v>
      </c>
      <c r="Y1333" s="151">
        <v>17</v>
      </c>
      <c r="Z1333" s="151">
        <v>22</v>
      </c>
      <c r="AA1333" s="151">
        <v>2</v>
      </c>
      <c r="AB1333" s="300">
        <f t="shared" si="123"/>
        <v>4.1139999999999999</v>
      </c>
      <c r="AC1333" s="300">
        <f t="shared" si="124"/>
        <v>2.4783132530120482E-2</v>
      </c>
      <c r="AD1333" s="151">
        <v>2777.72</v>
      </c>
      <c r="AE1333" s="151" t="s">
        <v>109</v>
      </c>
      <c r="AF1333" s="151" t="s">
        <v>317</v>
      </c>
      <c r="AG1333" s="151" t="s">
        <v>317</v>
      </c>
      <c r="AH1333" s="151" t="s">
        <v>3583</v>
      </c>
      <c r="AI1333" s="309"/>
      <c r="AJ1333" s="309"/>
      <c r="AK1333" s="151" t="s">
        <v>37</v>
      </c>
      <c r="AL1333" s="151" t="s">
        <v>54</v>
      </c>
      <c r="AM1333" s="299">
        <f t="shared" ca="1" si="120"/>
        <v>3.1736111111094942</v>
      </c>
      <c r="AN1333" s="158"/>
      <c r="AO1333" s="171" t="s">
        <v>120</v>
      </c>
      <c r="AP1333" s="172" t="s">
        <v>3581</v>
      </c>
      <c r="AQ1333" s="171" t="s">
        <v>3857</v>
      </c>
      <c r="AR1333" s="174">
        <v>44912.659722222219</v>
      </c>
      <c r="AS1333" s="168" t="s">
        <v>173</v>
      </c>
      <c r="AT1333" s="171" t="s">
        <v>225</v>
      </c>
      <c r="AU1333" s="173">
        <v>0.65972222222222221</v>
      </c>
      <c r="AV1333" s="171">
        <v>2</v>
      </c>
      <c r="AW1333" s="171" t="s">
        <v>66</v>
      </c>
      <c r="AX1333" s="171"/>
      <c r="AY1333" s="159"/>
      <c r="AZ1333" s="159"/>
      <c r="BA1333" s="159"/>
    </row>
    <row r="1334" spans="1:53" x14ac:dyDescent="0.25">
      <c r="A1334" s="157">
        <v>240</v>
      </c>
      <c r="B1334" s="155">
        <v>44909.486111111109</v>
      </c>
      <c r="C1334" s="150">
        <v>0.48958333333333331</v>
      </c>
      <c r="D1334" s="150">
        <v>0.50347222222222221</v>
      </c>
      <c r="E1334" s="150">
        <v>0.52777777777777779</v>
      </c>
      <c r="F1334" s="151" t="s">
        <v>170</v>
      </c>
      <c r="G1334" s="151" t="s">
        <v>252</v>
      </c>
      <c r="H1334" s="146" t="s">
        <v>156</v>
      </c>
      <c r="I1334" s="146" t="s">
        <v>3580</v>
      </c>
      <c r="J1334" s="146" t="s">
        <v>37</v>
      </c>
      <c r="K1334" s="149" t="s">
        <v>63</v>
      </c>
      <c r="L1334" s="149" t="s">
        <v>212</v>
      </c>
      <c r="M1334" s="151" t="s">
        <v>3581</v>
      </c>
      <c r="N1334" s="151" t="s">
        <v>42</v>
      </c>
      <c r="O1334" s="151" t="s">
        <v>3582</v>
      </c>
      <c r="P1334" s="151" t="s">
        <v>421</v>
      </c>
      <c r="Q1334" s="303">
        <f t="shared" si="121"/>
        <v>0</v>
      </c>
      <c r="R1334" s="303">
        <f t="shared" si="122"/>
        <v>0</v>
      </c>
      <c r="S1334" s="151">
        <v>0</v>
      </c>
      <c r="T1334" s="151">
        <v>0</v>
      </c>
      <c r="U1334" s="151">
        <v>0</v>
      </c>
      <c r="V1334" s="151">
        <v>0</v>
      </c>
      <c r="W1334" s="151">
        <v>0</v>
      </c>
      <c r="X1334" s="151">
        <v>54</v>
      </c>
      <c r="Y1334" s="151">
        <v>26</v>
      </c>
      <c r="Z1334" s="151">
        <v>31</v>
      </c>
      <c r="AA1334" s="151">
        <v>1</v>
      </c>
      <c r="AB1334" s="300">
        <f t="shared" si="123"/>
        <v>7.2539999999999996</v>
      </c>
      <c r="AC1334" s="300">
        <f t="shared" si="124"/>
        <v>4.3698795180722887E-2</v>
      </c>
      <c r="AD1334" s="151">
        <v>0</v>
      </c>
      <c r="AE1334" s="151">
        <v>0</v>
      </c>
      <c r="AF1334" s="151" t="s">
        <v>317</v>
      </c>
      <c r="AG1334" s="151" t="s">
        <v>317</v>
      </c>
      <c r="AH1334" s="151" t="s">
        <v>3583</v>
      </c>
      <c r="AI1334" s="309"/>
      <c r="AJ1334" s="309"/>
      <c r="AK1334" s="151" t="s">
        <v>37</v>
      </c>
      <c r="AL1334" s="151" t="s">
        <v>54</v>
      </c>
      <c r="AM1334" s="299">
        <f t="shared" ca="1" si="120"/>
        <v>3.1736111111094942</v>
      </c>
      <c r="AN1334" s="158"/>
      <c r="AO1334" s="171" t="s">
        <v>120</v>
      </c>
      <c r="AP1334" s="172" t="s">
        <v>3581</v>
      </c>
      <c r="AQ1334" s="171" t="s">
        <v>3857</v>
      </c>
      <c r="AR1334" s="174">
        <v>44912.659722222219</v>
      </c>
      <c r="AS1334" s="168" t="s">
        <v>173</v>
      </c>
      <c r="AT1334" s="171" t="s">
        <v>225</v>
      </c>
      <c r="AU1334" s="173">
        <v>0.65972222222222221</v>
      </c>
      <c r="AV1334" s="171">
        <v>2</v>
      </c>
      <c r="AW1334" s="171" t="s">
        <v>66</v>
      </c>
      <c r="AX1334" s="171"/>
      <c r="AY1334" s="159"/>
      <c r="AZ1334" s="159"/>
      <c r="BA1334" s="159"/>
    </row>
    <row r="1335" spans="1:53" x14ac:dyDescent="0.25">
      <c r="A1335" s="157">
        <v>240</v>
      </c>
      <c r="B1335" s="155">
        <v>44909.486111111109</v>
      </c>
      <c r="C1335" s="150">
        <v>0.48958333333333331</v>
      </c>
      <c r="D1335" s="150">
        <v>0.50347222222222221</v>
      </c>
      <c r="E1335" s="150">
        <v>0.52777777777777779</v>
      </c>
      <c r="F1335" s="151" t="s">
        <v>170</v>
      </c>
      <c r="G1335" s="151" t="s">
        <v>252</v>
      </c>
      <c r="H1335" s="146" t="s">
        <v>156</v>
      </c>
      <c r="I1335" s="146" t="s">
        <v>3580</v>
      </c>
      <c r="J1335" s="146" t="s">
        <v>37</v>
      </c>
      <c r="K1335" s="149" t="s">
        <v>63</v>
      </c>
      <c r="L1335" s="149" t="s">
        <v>212</v>
      </c>
      <c r="M1335" s="151" t="s">
        <v>3581</v>
      </c>
      <c r="N1335" s="151" t="s">
        <v>42</v>
      </c>
      <c r="O1335" s="151" t="s">
        <v>3582</v>
      </c>
      <c r="P1335" s="151" t="s">
        <v>421</v>
      </c>
      <c r="Q1335" s="303">
        <f t="shared" si="121"/>
        <v>0</v>
      </c>
      <c r="R1335" s="303">
        <f t="shared" si="122"/>
        <v>0</v>
      </c>
      <c r="S1335" s="151">
        <v>0</v>
      </c>
      <c r="T1335" s="151">
        <v>0</v>
      </c>
      <c r="U1335" s="151">
        <v>0</v>
      </c>
      <c r="V1335" s="151">
        <v>0</v>
      </c>
      <c r="W1335" s="151">
        <v>0</v>
      </c>
      <c r="X1335" s="151">
        <v>21</v>
      </c>
      <c r="Y1335" s="151">
        <v>18</v>
      </c>
      <c r="Z1335" s="151">
        <v>22</v>
      </c>
      <c r="AA1335" s="151">
        <v>1</v>
      </c>
      <c r="AB1335" s="300">
        <f t="shared" si="123"/>
        <v>1.3859999999999999</v>
      </c>
      <c r="AC1335" s="300">
        <f t="shared" si="124"/>
        <v>8.3493975903614452E-3</v>
      </c>
      <c r="AD1335" s="151">
        <v>0</v>
      </c>
      <c r="AE1335" s="151">
        <v>0</v>
      </c>
      <c r="AF1335" s="151" t="s">
        <v>317</v>
      </c>
      <c r="AG1335" s="151" t="s">
        <v>317</v>
      </c>
      <c r="AH1335" s="151" t="s">
        <v>3583</v>
      </c>
      <c r="AI1335" s="309"/>
      <c r="AJ1335" s="309"/>
      <c r="AK1335" s="151" t="s">
        <v>37</v>
      </c>
      <c r="AL1335" s="151" t="s">
        <v>54</v>
      </c>
      <c r="AM1335" s="299">
        <f t="shared" ca="1" si="120"/>
        <v>3.1736111111094942</v>
      </c>
      <c r="AN1335" s="158"/>
      <c r="AO1335" s="171" t="s">
        <v>120</v>
      </c>
      <c r="AP1335" s="172" t="s">
        <v>3581</v>
      </c>
      <c r="AQ1335" s="171" t="s">
        <v>3857</v>
      </c>
      <c r="AR1335" s="174">
        <v>44912.659722222219</v>
      </c>
      <c r="AS1335" s="168" t="s">
        <v>173</v>
      </c>
      <c r="AT1335" s="171" t="s">
        <v>225</v>
      </c>
      <c r="AU1335" s="173">
        <v>0.65972222222222221</v>
      </c>
      <c r="AV1335" s="171">
        <v>2</v>
      </c>
      <c r="AW1335" s="171" t="s">
        <v>66</v>
      </c>
      <c r="AX1335" s="171"/>
      <c r="AY1335" s="159"/>
      <c r="AZ1335" s="159"/>
      <c r="BA1335" s="159"/>
    </row>
    <row r="1336" spans="1:53" x14ac:dyDescent="0.25">
      <c r="A1336" s="157">
        <v>240</v>
      </c>
      <c r="B1336" s="155">
        <v>44909.486111111109</v>
      </c>
      <c r="C1336" s="150">
        <v>0.48958333333333331</v>
      </c>
      <c r="D1336" s="150">
        <v>0.50347222222222221</v>
      </c>
      <c r="E1336" s="150">
        <v>0.52777777777777779</v>
      </c>
      <c r="F1336" s="151" t="s">
        <v>170</v>
      </c>
      <c r="G1336" s="151" t="s">
        <v>252</v>
      </c>
      <c r="H1336" s="146" t="s">
        <v>156</v>
      </c>
      <c r="I1336" s="146" t="s">
        <v>3580</v>
      </c>
      <c r="J1336" s="146" t="s">
        <v>37</v>
      </c>
      <c r="K1336" s="149" t="s">
        <v>63</v>
      </c>
      <c r="L1336" s="149" t="s">
        <v>212</v>
      </c>
      <c r="M1336" s="151" t="s">
        <v>3581</v>
      </c>
      <c r="N1336" s="151" t="s">
        <v>42</v>
      </c>
      <c r="O1336" s="151" t="s">
        <v>3582</v>
      </c>
      <c r="P1336" s="151" t="s">
        <v>421</v>
      </c>
      <c r="Q1336" s="303">
        <f t="shared" si="121"/>
        <v>0</v>
      </c>
      <c r="R1336" s="303">
        <f t="shared" si="122"/>
        <v>0</v>
      </c>
      <c r="S1336" s="151">
        <v>0</v>
      </c>
      <c r="T1336" s="151">
        <v>0</v>
      </c>
      <c r="U1336" s="151">
        <v>0</v>
      </c>
      <c r="V1336" s="151">
        <v>0</v>
      </c>
      <c r="W1336" s="151">
        <v>0</v>
      </c>
      <c r="X1336" s="151">
        <v>35</v>
      </c>
      <c r="Y1336" s="151">
        <v>29</v>
      </c>
      <c r="Z1336" s="151">
        <v>13</v>
      </c>
      <c r="AA1336" s="151">
        <v>1</v>
      </c>
      <c r="AB1336" s="300">
        <f t="shared" si="123"/>
        <v>2.1991666666666667</v>
      </c>
      <c r="AC1336" s="300">
        <f t="shared" si="124"/>
        <v>1.3247991967871487E-2</v>
      </c>
      <c r="AD1336" s="151">
        <v>0</v>
      </c>
      <c r="AE1336" s="151">
        <v>0</v>
      </c>
      <c r="AF1336" s="151" t="s">
        <v>317</v>
      </c>
      <c r="AG1336" s="151" t="s">
        <v>317</v>
      </c>
      <c r="AH1336" s="151" t="s">
        <v>3583</v>
      </c>
      <c r="AI1336" s="309"/>
      <c r="AJ1336" s="309"/>
      <c r="AK1336" s="151" t="s">
        <v>37</v>
      </c>
      <c r="AL1336" s="151" t="s">
        <v>54</v>
      </c>
      <c r="AM1336" s="299">
        <f t="shared" ca="1" si="120"/>
        <v>3.1736111111094942</v>
      </c>
      <c r="AN1336" s="158"/>
      <c r="AO1336" s="171" t="s">
        <v>120</v>
      </c>
      <c r="AP1336" s="172" t="s">
        <v>3581</v>
      </c>
      <c r="AQ1336" s="171" t="s">
        <v>3857</v>
      </c>
      <c r="AR1336" s="174">
        <v>44912.659722222219</v>
      </c>
      <c r="AS1336" s="168" t="s">
        <v>173</v>
      </c>
      <c r="AT1336" s="171" t="s">
        <v>225</v>
      </c>
      <c r="AU1336" s="173">
        <v>0.65972222222222221</v>
      </c>
      <c r="AV1336" s="171">
        <v>2</v>
      </c>
      <c r="AW1336" s="171" t="s">
        <v>66</v>
      </c>
      <c r="AX1336" s="171"/>
      <c r="AY1336" s="159"/>
      <c r="AZ1336" s="159"/>
      <c r="BA1336" s="159"/>
    </row>
    <row r="1337" spans="1:53" x14ac:dyDescent="0.25">
      <c r="A1337" s="157">
        <v>240</v>
      </c>
      <c r="B1337" s="155">
        <v>44909.486111111109</v>
      </c>
      <c r="C1337" s="150">
        <v>0.48958333333333331</v>
      </c>
      <c r="D1337" s="150">
        <v>0.50347222222222221</v>
      </c>
      <c r="E1337" s="150">
        <v>0.52777777777777779</v>
      </c>
      <c r="F1337" s="151" t="s">
        <v>170</v>
      </c>
      <c r="G1337" s="151" t="s">
        <v>252</v>
      </c>
      <c r="H1337" s="146" t="s">
        <v>156</v>
      </c>
      <c r="I1337" s="146" t="s">
        <v>3580</v>
      </c>
      <c r="J1337" s="146" t="s">
        <v>37</v>
      </c>
      <c r="K1337" s="149" t="s">
        <v>63</v>
      </c>
      <c r="L1337" s="149" t="s">
        <v>212</v>
      </c>
      <c r="M1337" s="151" t="s">
        <v>3581</v>
      </c>
      <c r="N1337" s="151" t="s">
        <v>42</v>
      </c>
      <c r="O1337" s="151" t="s">
        <v>3582</v>
      </c>
      <c r="P1337" s="151" t="s">
        <v>421</v>
      </c>
      <c r="Q1337" s="303">
        <f t="shared" si="121"/>
        <v>0</v>
      </c>
      <c r="R1337" s="303">
        <f t="shared" si="122"/>
        <v>0</v>
      </c>
      <c r="S1337" s="151">
        <v>0</v>
      </c>
      <c r="T1337" s="151">
        <v>0</v>
      </c>
      <c r="U1337" s="151">
        <v>0</v>
      </c>
      <c r="V1337" s="151">
        <v>0</v>
      </c>
      <c r="W1337" s="151">
        <v>0</v>
      </c>
      <c r="X1337" s="151">
        <v>36</v>
      </c>
      <c r="Y1337" s="151">
        <v>34</v>
      </c>
      <c r="Z1337" s="151">
        <v>35</v>
      </c>
      <c r="AA1337" s="151">
        <v>1</v>
      </c>
      <c r="AB1337" s="300">
        <f t="shared" si="123"/>
        <v>7.14</v>
      </c>
      <c r="AC1337" s="300">
        <f t="shared" si="124"/>
        <v>4.3012048192771081E-2</v>
      </c>
      <c r="AD1337" s="151">
        <v>0</v>
      </c>
      <c r="AE1337" s="151">
        <v>0</v>
      </c>
      <c r="AF1337" s="151" t="s">
        <v>317</v>
      </c>
      <c r="AG1337" s="151" t="s">
        <v>317</v>
      </c>
      <c r="AH1337" s="151" t="s">
        <v>3583</v>
      </c>
      <c r="AI1337" s="309"/>
      <c r="AJ1337" s="309"/>
      <c r="AK1337" s="151" t="s">
        <v>37</v>
      </c>
      <c r="AL1337" s="151" t="s">
        <v>54</v>
      </c>
      <c r="AM1337" s="299">
        <f t="shared" ca="1" si="120"/>
        <v>3.1736111111094942</v>
      </c>
      <c r="AN1337" s="158"/>
      <c r="AO1337" s="171" t="s">
        <v>120</v>
      </c>
      <c r="AP1337" s="172" t="s">
        <v>3581</v>
      </c>
      <c r="AQ1337" s="171" t="s">
        <v>3857</v>
      </c>
      <c r="AR1337" s="174">
        <v>44912.659722222219</v>
      </c>
      <c r="AS1337" s="168" t="s">
        <v>173</v>
      </c>
      <c r="AT1337" s="171" t="s">
        <v>225</v>
      </c>
      <c r="AU1337" s="173">
        <v>0.65972222222222221</v>
      </c>
      <c r="AV1337" s="171">
        <v>2</v>
      </c>
      <c r="AW1337" s="171" t="s">
        <v>66</v>
      </c>
      <c r="AX1337" s="171"/>
      <c r="AY1337" s="159"/>
      <c r="AZ1337" s="159"/>
      <c r="BA1337" s="159"/>
    </row>
    <row r="1338" spans="1:53" x14ac:dyDescent="0.25">
      <c r="A1338" s="157">
        <v>240</v>
      </c>
      <c r="B1338" s="155">
        <v>44909.486111111109</v>
      </c>
      <c r="C1338" s="150">
        <v>0.48958333333333331</v>
      </c>
      <c r="D1338" s="150">
        <v>0.50347222222222221</v>
      </c>
      <c r="E1338" s="150">
        <v>0.52777777777777779</v>
      </c>
      <c r="F1338" s="151" t="s">
        <v>170</v>
      </c>
      <c r="G1338" s="151" t="s">
        <v>252</v>
      </c>
      <c r="H1338" s="146" t="s">
        <v>156</v>
      </c>
      <c r="I1338" s="146" t="s">
        <v>3580</v>
      </c>
      <c r="J1338" s="146" t="s">
        <v>37</v>
      </c>
      <c r="K1338" s="149" t="s">
        <v>63</v>
      </c>
      <c r="L1338" s="149" t="s">
        <v>212</v>
      </c>
      <c r="M1338" s="151" t="s">
        <v>3581</v>
      </c>
      <c r="N1338" s="151" t="s">
        <v>42</v>
      </c>
      <c r="O1338" s="151" t="s">
        <v>3582</v>
      </c>
      <c r="P1338" s="151" t="s">
        <v>421</v>
      </c>
      <c r="Q1338" s="303">
        <f t="shared" si="121"/>
        <v>0</v>
      </c>
      <c r="R1338" s="303">
        <f t="shared" si="122"/>
        <v>0</v>
      </c>
      <c r="S1338" s="151">
        <v>0</v>
      </c>
      <c r="T1338" s="151">
        <v>0</v>
      </c>
      <c r="U1338" s="151">
        <v>0</v>
      </c>
      <c r="V1338" s="151">
        <v>0</v>
      </c>
      <c r="W1338" s="151">
        <v>0</v>
      </c>
      <c r="X1338" s="151">
        <v>27</v>
      </c>
      <c r="Y1338" s="151">
        <v>23</v>
      </c>
      <c r="Z1338" s="151">
        <v>29</v>
      </c>
      <c r="AA1338" s="151">
        <v>1</v>
      </c>
      <c r="AB1338" s="300">
        <f t="shared" si="123"/>
        <v>3.0015000000000001</v>
      </c>
      <c r="AC1338" s="300">
        <f t="shared" si="124"/>
        <v>1.808132530120482E-2</v>
      </c>
      <c r="AD1338" s="151">
        <v>0</v>
      </c>
      <c r="AE1338" s="151">
        <v>0</v>
      </c>
      <c r="AF1338" s="151" t="s">
        <v>317</v>
      </c>
      <c r="AG1338" s="151" t="s">
        <v>317</v>
      </c>
      <c r="AH1338" s="151" t="s">
        <v>3583</v>
      </c>
      <c r="AI1338" s="309"/>
      <c r="AJ1338" s="309"/>
      <c r="AK1338" s="151" t="s">
        <v>37</v>
      </c>
      <c r="AL1338" s="151" t="s">
        <v>54</v>
      </c>
      <c r="AM1338" s="299">
        <f t="shared" ca="1" si="120"/>
        <v>3.1736111111094942</v>
      </c>
      <c r="AN1338" s="158"/>
      <c r="AO1338" s="171" t="s">
        <v>120</v>
      </c>
      <c r="AP1338" s="172" t="s">
        <v>3581</v>
      </c>
      <c r="AQ1338" s="171" t="s">
        <v>3857</v>
      </c>
      <c r="AR1338" s="174">
        <v>44912.659722222219</v>
      </c>
      <c r="AS1338" s="168" t="s">
        <v>173</v>
      </c>
      <c r="AT1338" s="171" t="s">
        <v>225</v>
      </c>
      <c r="AU1338" s="173">
        <v>0.65972222222222221</v>
      </c>
      <c r="AV1338" s="171">
        <v>2</v>
      </c>
      <c r="AW1338" s="171" t="s">
        <v>66</v>
      </c>
      <c r="AX1338" s="171"/>
      <c r="AY1338" s="159"/>
      <c r="AZ1338" s="159"/>
      <c r="BA1338" s="159"/>
    </row>
    <row r="1339" spans="1:53" x14ac:dyDescent="0.25">
      <c r="A1339" s="157">
        <v>240</v>
      </c>
      <c r="B1339" s="155">
        <v>44909.486111111109</v>
      </c>
      <c r="C1339" s="150">
        <v>0.48958333333333331</v>
      </c>
      <c r="D1339" s="150">
        <v>0.50347222222222221</v>
      </c>
      <c r="E1339" s="150">
        <v>0.52777777777777779</v>
      </c>
      <c r="F1339" s="151" t="s">
        <v>170</v>
      </c>
      <c r="G1339" s="151" t="s">
        <v>252</v>
      </c>
      <c r="H1339" s="146" t="s">
        <v>156</v>
      </c>
      <c r="I1339" s="146" t="s">
        <v>3580</v>
      </c>
      <c r="J1339" s="146" t="s">
        <v>37</v>
      </c>
      <c r="K1339" s="149" t="s">
        <v>63</v>
      </c>
      <c r="L1339" s="149" t="s">
        <v>212</v>
      </c>
      <c r="M1339" s="151" t="s">
        <v>3581</v>
      </c>
      <c r="N1339" s="151" t="s">
        <v>42</v>
      </c>
      <c r="O1339" s="151" t="s">
        <v>3582</v>
      </c>
      <c r="P1339" s="151" t="s">
        <v>421</v>
      </c>
      <c r="Q1339" s="303">
        <f t="shared" si="121"/>
        <v>0</v>
      </c>
      <c r="R1339" s="303">
        <f t="shared" si="122"/>
        <v>0</v>
      </c>
      <c r="S1339" s="151">
        <v>0</v>
      </c>
      <c r="T1339" s="151">
        <v>0</v>
      </c>
      <c r="U1339" s="151">
        <v>0</v>
      </c>
      <c r="V1339" s="151">
        <v>0</v>
      </c>
      <c r="W1339" s="151">
        <v>0</v>
      </c>
      <c r="X1339" s="151">
        <v>46</v>
      </c>
      <c r="Y1339" s="151">
        <v>24</v>
      </c>
      <c r="Z1339" s="151">
        <v>29</v>
      </c>
      <c r="AA1339" s="151">
        <v>1</v>
      </c>
      <c r="AB1339" s="300">
        <f t="shared" si="123"/>
        <v>5.3360000000000003</v>
      </c>
      <c r="AC1339" s="300">
        <f t="shared" si="124"/>
        <v>3.2144578313253014E-2</v>
      </c>
      <c r="AD1339" s="151">
        <v>0</v>
      </c>
      <c r="AE1339" s="151">
        <v>0</v>
      </c>
      <c r="AF1339" s="151" t="s">
        <v>317</v>
      </c>
      <c r="AG1339" s="151" t="s">
        <v>317</v>
      </c>
      <c r="AH1339" s="151" t="s">
        <v>3583</v>
      </c>
      <c r="AI1339" s="309"/>
      <c r="AJ1339" s="309"/>
      <c r="AK1339" s="151" t="s">
        <v>37</v>
      </c>
      <c r="AL1339" s="151" t="s">
        <v>54</v>
      </c>
      <c r="AM1339" s="299">
        <f t="shared" ca="1" si="120"/>
        <v>3.1736111111094942</v>
      </c>
      <c r="AN1339" s="158"/>
      <c r="AO1339" s="171" t="s">
        <v>120</v>
      </c>
      <c r="AP1339" s="172" t="s">
        <v>3581</v>
      </c>
      <c r="AQ1339" s="171" t="s">
        <v>3857</v>
      </c>
      <c r="AR1339" s="174">
        <v>44912.659722222219</v>
      </c>
      <c r="AS1339" s="168" t="s">
        <v>173</v>
      </c>
      <c r="AT1339" s="171" t="s">
        <v>225</v>
      </c>
      <c r="AU1339" s="173">
        <v>0.65972222222222221</v>
      </c>
      <c r="AV1339" s="171">
        <v>2</v>
      </c>
      <c r="AW1339" s="171" t="s">
        <v>66</v>
      </c>
      <c r="AX1339" s="171"/>
      <c r="AY1339" s="159"/>
      <c r="AZ1339" s="159"/>
      <c r="BA1339" s="159"/>
    </row>
    <row r="1340" spans="1:53" x14ac:dyDescent="0.25">
      <c r="A1340" s="157">
        <v>241</v>
      </c>
      <c r="B1340" s="155">
        <v>44909.486111111109</v>
      </c>
      <c r="C1340" s="150">
        <v>0.48958333333333331</v>
      </c>
      <c r="D1340" s="150">
        <v>0.50347222222222221</v>
      </c>
      <c r="E1340" s="150">
        <v>0.52777777777777779</v>
      </c>
      <c r="F1340" s="151" t="s">
        <v>170</v>
      </c>
      <c r="G1340" s="151" t="s">
        <v>252</v>
      </c>
      <c r="H1340" s="146" t="s">
        <v>45</v>
      </c>
      <c r="I1340" s="146" t="s">
        <v>253</v>
      </c>
      <c r="J1340" s="146" t="s">
        <v>37</v>
      </c>
      <c r="K1340" s="149" t="s">
        <v>63</v>
      </c>
      <c r="L1340" s="149" t="s">
        <v>215</v>
      </c>
      <c r="M1340" s="151" t="s">
        <v>3584</v>
      </c>
      <c r="N1340" s="151" t="s">
        <v>42</v>
      </c>
      <c r="O1340" s="151">
        <v>2500340</v>
      </c>
      <c r="P1340" s="151">
        <v>367143</v>
      </c>
      <c r="Q1340" s="303">
        <f t="shared" si="121"/>
        <v>1</v>
      </c>
      <c r="R1340" s="303">
        <f t="shared" si="122"/>
        <v>256</v>
      </c>
      <c r="S1340" s="151">
        <v>0</v>
      </c>
      <c r="T1340" s="151">
        <v>0</v>
      </c>
      <c r="U1340" s="151">
        <v>1</v>
      </c>
      <c r="V1340" s="151">
        <v>256</v>
      </c>
      <c r="W1340" s="151">
        <v>248.5</v>
      </c>
      <c r="X1340" s="151">
        <v>82</v>
      </c>
      <c r="Y1340" s="151">
        <v>36</v>
      </c>
      <c r="Z1340" s="151">
        <v>85</v>
      </c>
      <c r="AA1340" s="151">
        <v>1</v>
      </c>
      <c r="AB1340" s="300">
        <f t="shared" si="123"/>
        <v>41.82</v>
      </c>
      <c r="AC1340" s="300">
        <f t="shared" si="124"/>
        <v>0.25192771084337351</v>
      </c>
      <c r="AD1340" s="151">
        <v>3060</v>
      </c>
      <c r="AE1340" s="151" t="s">
        <v>109</v>
      </c>
      <c r="AF1340" s="151" t="s">
        <v>317</v>
      </c>
      <c r="AG1340" s="151" t="s">
        <v>317</v>
      </c>
      <c r="AH1340" s="151" t="s">
        <v>3585</v>
      </c>
      <c r="AI1340" s="309"/>
      <c r="AJ1340" s="309"/>
      <c r="AK1340" s="151" t="s">
        <v>37</v>
      </c>
      <c r="AL1340" s="151" t="s">
        <v>54</v>
      </c>
      <c r="AM1340" s="299">
        <f t="shared" ca="1" si="120"/>
        <v>2.1527777777810115</v>
      </c>
      <c r="AN1340" s="158"/>
      <c r="AO1340" s="147" t="s">
        <v>255</v>
      </c>
      <c r="AP1340" s="62" t="s">
        <v>3584</v>
      </c>
      <c r="AQ1340" s="147" t="s">
        <v>3771</v>
      </c>
      <c r="AR1340" s="64">
        <v>44911.638888888891</v>
      </c>
      <c r="AS1340" s="104" t="s">
        <v>240</v>
      </c>
      <c r="AT1340" s="147" t="s">
        <v>65</v>
      </c>
      <c r="AU1340" s="110">
        <v>0.63888888888888895</v>
      </c>
      <c r="AV1340" s="147">
        <v>1</v>
      </c>
      <c r="AW1340" s="147" t="s">
        <v>66</v>
      </c>
      <c r="AX1340" s="159"/>
      <c r="AY1340" s="159"/>
      <c r="AZ1340" s="159"/>
      <c r="BA1340" s="159"/>
    </row>
    <row r="1341" spans="1:53" x14ac:dyDescent="0.25">
      <c r="A1341" s="157">
        <v>242</v>
      </c>
      <c r="B1341" s="155">
        <v>44909.583333333336</v>
      </c>
      <c r="C1341" s="150">
        <v>0.59027777777777779</v>
      </c>
      <c r="D1341" s="150">
        <v>0.63194444444444442</v>
      </c>
      <c r="E1341" s="150">
        <v>0.63888888888888895</v>
      </c>
      <c r="F1341" s="151" t="s">
        <v>169</v>
      </c>
      <c r="G1341" s="151" t="s">
        <v>3586</v>
      </c>
      <c r="H1341" s="146" t="s">
        <v>230</v>
      </c>
      <c r="I1341" s="151" t="s">
        <v>407</v>
      </c>
      <c r="J1341" s="149" t="s">
        <v>37</v>
      </c>
      <c r="K1341" s="149" t="s">
        <v>61</v>
      </c>
      <c r="L1341" s="148" t="s">
        <v>224</v>
      </c>
      <c r="M1341" s="151" t="s">
        <v>3587</v>
      </c>
      <c r="N1341" s="151" t="s">
        <v>42</v>
      </c>
      <c r="O1341" s="151" t="s">
        <v>3588</v>
      </c>
      <c r="P1341" s="151">
        <v>5031107</v>
      </c>
      <c r="Q1341" s="303">
        <f t="shared" si="121"/>
        <v>199</v>
      </c>
      <c r="R1341" s="303">
        <f t="shared" si="122"/>
        <v>2966</v>
      </c>
      <c r="S1341" s="151">
        <v>199</v>
      </c>
      <c r="T1341" s="151">
        <v>2966</v>
      </c>
      <c r="U1341" s="151">
        <v>0</v>
      </c>
      <c r="V1341" s="151">
        <v>0</v>
      </c>
      <c r="W1341" s="151">
        <v>3157.78</v>
      </c>
      <c r="X1341" s="151">
        <v>59</v>
      </c>
      <c r="Y1341" s="151">
        <v>45</v>
      </c>
      <c r="Z1341" s="151">
        <v>26</v>
      </c>
      <c r="AA1341" s="151">
        <v>197</v>
      </c>
      <c r="AB1341" s="300">
        <f t="shared" si="123"/>
        <v>2266.4850000000001</v>
      </c>
      <c r="AC1341" s="300">
        <f t="shared" si="124"/>
        <v>13.653524096385542</v>
      </c>
      <c r="AD1341" s="151" t="s">
        <v>48</v>
      </c>
      <c r="AE1341" s="151" t="s">
        <v>48</v>
      </c>
      <c r="AF1341" s="151">
        <v>6138638</v>
      </c>
      <c r="AG1341" s="151" t="s">
        <v>3589</v>
      </c>
      <c r="AH1341" s="151" t="s">
        <v>3590</v>
      </c>
      <c r="AI1341" s="309"/>
      <c r="AJ1341" s="309"/>
      <c r="AK1341" s="151" t="s">
        <v>48</v>
      </c>
      <c r="AL1341" s="151" t="s">
        <v>3633</v>
      </c>
      <c r="AM1341" s="299">
        <f t="shared" ca="1" si="120"/>
        <v>2.1354166666642413</v>
      </c>
      <c r="AN1341" s="158"/>
      <c r="AO1341" s="147" t="s">
        <v>135</v>
      </c>
      <c r="AP1341" s="62" t="s">
        <v>3587</v>
      </c>
      <c r="AQ1341" s="147" t="s">
        <v>3773</v>
      </c>
      <c r="AR1341" s="64">
        <v>44911.71875</v>
      </c>
      <c r="AS1341" s="147" t="s">
        <v>136</v>
      </c>
      <c r="AT1341" s="147" t="s">
        <v>225</v>
      </c>
      <c r="AU1341" s="110">
        <v>0.71875</v>
      </c>
      <c r="AV1341" s="147">
        <v>2</v>
      </c>
      <c r="AW1341" s="147" t="s">
        <v>66</v>
      </c>
      <c r="AX1341" s="159"/>
      <c r="AY1341" s="159"/>
      <c r="AZ1341" s="159"/>
      <c r="BA1341" s="159"/>
    </row>
    <row r="1342" spans="1:53" x14ac:dyDescent="0.25">
      <c r="A1342" s="157">
        <v>242</v>
      </c>
      <c r="B1342" s="155">
        <v>44909.583333333336</v>
      </c>
      <c r="C1342" s="150">
        <v>0.59027777777777779</v>
      </c>
      <c r="D1342" s="150">
        <v>0.63194444444444442</v>
      </c>
      <c r="E1342" s="150">
        <v>0.63888888888888895</v>
      </c>
      <c r="F1342" s="151" t="s">
        <v>169</v>
      </c>
      <c r="G1342" s="151" t="s">
        <v>3586</v>
      </c>
      <c r="H1342" s="146" t="s">
        <v>230</v>
      </c>
      <c r="I1342" s="151" t="s">
        <v>407</v>
      </c>
      <c r="J1342" s="149" t="s">
        <v>37</v>
      </c>
      <c r="K1342" s="149" t="s">
        <v>61</v>
      </c>
      <c r="L1342" s="148" t="s">
        <v>224</v>
      </c>
      <c r="M1342" s="151" t="s">
        <v>3587</v>
      </c>
      <c r="N1342" s="151" t="s">
        <v>42</v>
      </c>
      <c r="O1342" s="151" t="s">
        <v>3588</v>
      </c>
      <c r="P1342" s="151">
        <v>5031107</v>
      </c>
      <c r="Q1342" s="303">
        <f t="shared" si="121"/>
        <v>0</v>
      </c>
      <c r="R1342" s="303">
        <f t="shared" si="122"/>
        <v>0</v>
      </c>
      <c r="S1342" s="151">
        <v>0</v>
      </c>
      <c r="T1342" s="151">
        <v>0</v>
      </c>
      <c r="U1342" s="151">
        <v>0</v>
      </c>
      <c r="V1342" s="151">
        <v>0</v>
      </c>
      <c r="W1342" s="151">
        <v>0</v>
      </c>
      <c r="X1342" s="151">
        <v>59</v>
      </c>
      <c r="Y1342" s="151">
        <v>45</v>
      </c>
      <c r="Z1342" s="151">
        <v>13</v>
      </c>
      <c r="AA1342" s="151">
        <v>2</v>
      </c>
      <c r="AB1342" s="300">
        <f t="shared" si="123"/>
        <v>11.505000000000001</v>
      </c>
      <c r="AC1342" s="300">
        <f t="shared" si="124"/>
        <v>6.9307228915662655E-2</v>
      </c>
      <c r="AD1342" s="151">
        <v>0</v>
      </c>
      <c r="AE1342" s="151">
        <v>0</v>
      </c>
      <c r="AF1342" s="151">
        <v>6138638</v>
      </c>
      <c r="AG1342" s="151" t="s">
        <v>3589</v>
      </c>
      <c r="AH1342" s="151" t="s">
        <v>3590</v>
      </c>
      <c r="AI1342" s="309"/>
      <c r="AJ1342" s="309"/>
      <c r="AK1342" s="151" t="s">
        <v>48</v>
      </c>
      <c r="AL1342" s="151" t="s">
        <v>3633</v>
      </c>
      <c r="AM1342" s="299">
        <f t="shared" ca="1" si="120"/>
        <v>2.1354166666642413</v>
      </c>
      <c r="AN1342" s="158"/>
      <c r="AO1342" s="147" t="s">
        <v>135</v>
      </c>
      <c r="AP1342" s="62" t="s">
        <v>3587</v>
      </c>
      <c r="AQ1342" s="147" t="s">
        <v>3773</v>
      </c>
      <c r="AR1342" s="64">
        <v>44911.71875</v>
      </c>
      <c r="AS1342" s="147" t="s">
        <v>136</v>
      </c>
      <c r="AT1342" s="147" t="s">
        <v>225</v>
      </c>
      <c r="AU1342" s="110">
        <v>0.71875</v>
      </c>
      <c r="AV1342" s="147">
        <v>2</v>
      </c>
      <c r="AW1342" s="147" t="s">
        <v>66</v>
      </c>
      <c r="AX1342" s="159"/>
      <c r="AY1342" s="159"/>
      <c r="AZ1342" s="159"/>
      <c r="BA1342" s="159"/>
    </row>
    <row r="1343" spans="1:53" x14ac:dyDescent="0.25">
      <c r="A1343" s="157">
        <v>243</v>
      </c>
      <c r="B1343" s="155">
        <v>44909.65625</v>
      </c>
      <c r="C1343" s="150">
        <v>0.66319444444444442</v>
      </c>
      <c r="D1343" s="150">
        <v>0.67708333333333337</v>
      </c>
      <c r="E1343" s="150">
        <v>0.69444444444444453</v>
      </c>
      <c r="F1343" s="151" t="s">
        <v>169</v>
      </c>
      <c r="G1343" s="151" t="s">
        <v>948</v>
      </c>
      <c r="H1343" s="146" t="s">
        <v>197</v>
      </c>
      <c r="I1343" s="146" t="s">
        <v>197</v>
      </c>
      <c r="J1343" s="149" t="s">
        <v>37</v>
      </c>
      <c r="K1343" s="146" t="s">
        <v>233</v>
      </c>
      <c r="L1343" s="146" t="s">
        <v>419</v>
      </c>
      <c r="M1343" s="151" t="s">
        <v>3591</v>
      </c>
      <c r="N1343" s="151" t="s">
        <v>264</v>
      </c>
      <c r="O1343" s="151" t="s">
        <v>3592</v>
      </c>
      <c r="P1343" s="151" t="s">
        <v>3593</v>
      </c>
      <c r="Q1343" s="303">
        <f t="shared" si="121"/>
        <v>5</v>
      </c>
      <c r="R1343" s="303">
        <f t="shared" si="122"/>
        <v>310</v>
      </c>
      <c r="S1343" s="151">
        <v>4</v>
      </c>
      <c r="T1343" s="151">
        <v>191</v>
      </c>
      <c r="U1343" s="151">
        <v>1</v>
      </c>
      <c r="V1343" s="151">
        <v>119</v>
      </c>
      <c r="W1343" s="151">
        <v>324</v>
      </c>
      <c r="X1343" s="151">
        <v>89</v>
      </c>
      <c r="Y1343" s="151">
        <v>66</v>
      </c>
      <c r="Z1343" s="151">
        <v>92</v>
      </c>
      <c r="AA1343" s="151">
        <v>1</v>
      </c>
      <c r="AB1343" s="300">
        <f t="shared" si="123"/>
        <v>90.067999999999998</v>
      </c>
      <c r="AC1343" s="300">
        <f t="shared" si="124"/>
        <v>0.54257831325301209</v>
      </c>
      <c r="AD1343" s="151" t="s">
        <v>48</v>
      </c>
      <c r="AE1343" s="151" t="s">
        <v>48</v>
      </c>
      <c r="AF1343" s="151">
        <v>6131655</v>
      </c>
      <c r="AG1343" s="151" t="s">
        <v>3594</v>
      </c>
      <c r="AH1343" s="151" t="s">
        <v>3595</v>
      </c>
      <c r="AI1343" s="309"/>
      <c r="AJ1343" s="309"/>
      <c r="AK1343" s="151" t="s">
        <v>37</v>
      </c>
      <c r="AL1343" s="151" t="s">
        <v>58</v>
      </c>
      <c r="AM1343" s="299">
        <f t="shared" ca="1" si="120"/>
        <v>0.90625</v>
      </c>
      <c r="AN1343" s="158"/>
      <c r="AO1343" s="147" t="s">
        <v>347</v>
      </c>
      <c r="AP1343" s="62" t="s">
        <v>3591</v>
      </c>
      <c r="AQ1343" s="20" t="s">
        <v>3688</v>
      </c>
      <c r="AR1343" s="64">
        <v>44910.5625</v>
      </c>
      <c r="AS1343" s="104" t="s">
        <v>173</v>
      </c>
      <c r="AT1343" s="147" t="s">
        <v>225</v>
      </c>
      <c r="AU1343" s="110">
        <v>0.5625</v>
      </c>
      <c r="AV1343" s="147">
        <v>2</v>
      </c>
      <c r="AW1343" s="147" t="s">
        <v>66</v>
      </c>
      <c r="AX1343" s="159"/>
      <c r="AY1343" s="159"/>
      <c r="AZ1343" s="159"/>
      <c r="BA1343" s="159"/>
    </row>
    <row r="1344" spans="1:53" x14ac:dyDescent="0.25">
      <c r="A1344" s="157">
        <v>243</v>
      </c>
      <c r="B1344" s="155">
        <v>44909.65625</v>
      </c>
      <c r="C1344" s="150">
        <v>0.66319444444444442</v>
      </c>
      <c r="D1344" s="150">
        <v>0.67708333333333337</v>
      </c>
      <c r="E1344" s="150">
        <v>0.69444444444444453</v>
      </c>
      <c r="F1344" s="151" t="s">
        <v>169</v>
      </c>
      <c r="G1344" s="151" t="s">
        <v>948</v>
      </c>
      <c r="H1344" s="146" t="s">
        <v>197</v>
      </c>
      <c r="I1344" s="146" t="s">
        <v>197</v>
      </c>
      <c r="J1344" s="149" t="s">
        <v>37</v>
      </c>
      <c r="K1344" s="146" t="s">
        <v>233</v>
      </c>
      <c r="L1344" s="146" t="s">
        <v>419</v>
      </c>
      <c r="M1344" s="151" t="s">
        <v>3591</v>
      </c>
      <c r="N1344" s="151" t="s">
        <v>264</v>
      </c>
      <c r="O1344" s="151" t="s">
        <v>3592</v>
      </c>
      <c r="P1344" s="151" t="s">
        <v>3593</v>
      </c>
      <c r="Q1344" s="303">
        <f t="shared" si="121"/>
        <v>0</v>
      </c>
      <c r="R1344" s="303">
        <f t="shared" si="122"/>
        <v>0</v>
      </c>
      <c r="S1344" s="151">
        <v>0</v>
      </c>
      <c r="T1344" s="151">
        <v>0</v>
      </c>
      <c r="U1344" s="151">
        <v>0</v>
      </c>
      <c r="V1344" s="151">
        <v>0</v>
      </c>
      <c r="W1344" s="151">
        <v>0</v>
      </c>
      <c r="X1344" s="151">
        <v>83</v>
      </c>
      <c r="Y1344" s="151">
        <v>64</v>
      </c>
      <c r="Z1344" s="151">
        <v>85</v>
      </c>
      <c r="AA1344" s="151">
        <v>1</v>
      </c>
      <c r="AB1344" s="300">
        <f t="shared" si="123"/>
        <v>75.25333333333333</v>
      </c>
      <c r="AC1344" s="300">
        <f t="shared" si="124"/>
        <v>0.45333333333333331</v>
      </c>
      <c r="AD1344" s="151">
        <v>0</v>
      </c>
      <c r="AE1344" s="151">
        <v>0</v>
      </c>
      <c r="AF1344" s="151">
        <v>6131655</v>
      </c>
      <c r="AG1344" s="151" t="s">
        <v>3594</v>
      </c>
      <c r="AH1344" s="151" t="s">
        <v>3595</v>
      </c>
      <c r="AI1344" s="309"/>
      <c r="AJ1344" s="309"/>
      <c r="AK1344" s="151" t="s">
        <v>48</v>
      </c>
      <c r="AL1344" s="151" t="s">
        <v>58</v>
      </c>
      <c r="AM1344" s="299">
        <f t="shared" ca="1" si="120"/>
        <v>0.90625</v>
      </c>
      <c r="AN1344" s="158"/>
      <c r="AO1344" s="147" t="s">
        <v>347</v>
      </c>
      <c r="AP1344" s="62" t="s">
        <v>3591</v>
      </c>
      <c r="AQ1344" s="20" t="s">
        <v>3688</v>
      </c>
      <c r="AR1344" s="64">
        <v>44910.5625</v>
      </c>
      <c r="AS1344" s="104" t="s">
        <v>173</v>
      </c>
      <c r="AT1344" s="147" t="s">
        <v>225</v>
      </c>
      <c r="AU1344" s="110">
        <v>0.5625</v>
      </c>
      <c r="AV1344" s="147">
        <v>2</v>
      </c>
      <c r="AW1344" s="147" t="s">
        <v>66</v>
      </c>
      <c r="AX1344" s="159"/>
      <c r="AY1344" s="159"/>
      <c r="AZ1344" s="159"/>
      <c r="BA1344" s="159"/>
    </row>
    <row r="1345" spans="1:53" x14ac:dyDescent="0.25">
      <c r="A1345" s="157">
        <v>243</v>
      </c>
      <c r="B1345" s="155">
        <v>44909.65625</v>
      </c>
      <c r="C1345" s="150">
        <v>0.66319444444444442</v>
      </c>
      <c r="D1345" s="150">
        <v>0.67708333333333337</v>
      </c>
      <c r="E1345" s="150">
        <v>0.69444444444444453</v>
      </c>
      <c r="F1345" s="151" t="s">
        <v>169</v>
      </c>
      <c r="G1345" s="151" t="s">
        <v>948</v>
      </c>
      <c r="H1345" s="146" t="s">
        <v>197</v>
      </c>
      <c r="I1345" s="146" t="s">
        <v>197</v>
      </c>
      <c r="J1345" s="149" t="s">
        <v>37</v>
      </c>
      <c r="K1345" s="146" t="s">
        <v>233</v>
      </c>
      <c r="L1345" s="146" t="s">
        <v>419</v>
      </c>
      <c r="M1345" s="151" t="s">
        <v>3591</v>
      </c>
      <c r="N1345" s="151" t="s">
        <v>264</v>
      </c>
      <c r="O1345" s="151" t="s">
        <v>3592</v>
      </c>
      <c r="P1345" s="151" t="s">
        <v>3593</v>
      </c>
      <c r="Q1345" s="303">
        <f t="shared" si="121"/>
        <v>0</v>
      </c>
      <c r="R1345" s="303">
        <f t="shared" si="122"/>
        <v>0</v>
      </c>
      <c r="S1345" s="151">
        <v>0</v>
      </c>
      <c r="T1345" s="151">
        <v>0</v>
      </c>
      <c r="U1345" s="151">
        <v>0</v>
      </c>
      <c r="V1345" s="151">
        <v>0</v>
      </c>
      <c r="W1345" s="151">
        <v>0</v>
      </c>
      <c r="X1345" s="151">
        <v>75</v>
      </c>
      <c r="Y1345" s="151">
        <v>61</v>
      </c>
      <c r="Z1345" s="151">
        <v>61</v>
      </c>
      <c r="AA1345" s="151">
        <v>2</v>
      </c>
      <c r="AB1345" s="300">
        <f t="shared" si="123"/>
        <v>93.025000000000006</v>
      </c>
      <c r="AC1345" s="300">
        <f t="shared" si="124"/>
        <v>0.56039156626506026</v>
      </c>
      <c r="AD1345" s="151">
        <v>0</v>
      </c>
      <c r="AE1345" s="151">
        <v>0</v>
      </c>
      <c r="AF1345" s="151">
        <v>6131655</v>
      </c>
      <c r="AG1345" s="151" t="s">
        <v>3594</v>
      </c>
      <c r="AH1345" s="151" t="s">
        <v>3595</v>
      </c>
      <c r="AI1345" s="309"/>
      <c r="AJ1345" s="309"/>
      <c r="AK1345" s="151" t="s">
        <v>48</v>
      </c>
      <c r="AL1345" s="151" t="s">
        <v>58</v>
      </c>
      <c r="AM1345" s="299">
        <f t="shared" ca="1" si="120"/>
        <v>0.90625</v>
      </c>
      <c r="AN1345" s="158"/>
      <c r="AO1345" s="147" t="s">
        <v>347</v>
      </c>
      <c r="AP1345" s="62" t="s">
        <v>3591</v>
      </c>
      <c r="AQ1345" s="20" t="s">
        <v>3688</v>
      </c>
      <c r="AR1345" s="64">
        <v>44910.5625</v>
      </c>
      <c r="AS1345" s="104" t="s">
        <v>173</v>
      </c>
      <c r="AT1345" s="147" t="s">
        <v>225</v>
      </c>
      <c r="AU1345" s="110">
        <v>0.5625</v>
      </c>
      <c r="AV1345" s="147">
        <v>2</v>
      </c>
      <c r="AW1345" s="147" t="s">
        <v>66</v>
      </c>
      <c r="AX1345" s="159"/>
      <c r="AY1345" s="159"/>
      <c r="AZ1345" s="159"/>
      <c r="BA1345" s="159"/>
    </row>
    <row r="1346" spans="1:53" x14ac:dyDescent="0.25">
      <c r="A1346" s="157">
        <v>243</v>
      </c>
      <c r="B1346" s="155">
        <v>44909.65625</v>
      </c>
      <c r="C1346" s="150">
        <v>0.66319444444444442</v>
      </c>
      <c r="D1346" s="150">
        <v>0.67708333333333337</v>
      </c>
      <c r="E1346" s="150">
        <v>0.69444444444444453</v>
      </c>
      <c r="F1346" s="151" t="s">
        <v>169</v>
      </c>
      <c r="G1346" s="151" t="s">
        <v>948</v>
      </c>
      <c r="H1346" s="146" t="s">
        <v>197</v>
      </c>
      <c r="I1346" s="146" t="s">
        <v>197</v>
      </c>
      <c r="J1346" s="149" t="s">
        <v>37</v>
      </c>
      <c r="K1346" s="146" t="s">
        <v>233</v>
      </c>
      <c r="L1346" s="146" t="s">
        <v>419</v>
      </c>
      <c r="M1346" s="151" t="s">
        <v>3591</v>
      </c>
      <c r="N1346" s="151" t="s">
        <v>264</v>
      </c>
      <c r="O1346" s="151" t="s">
        <v>3592</v>
      </c>
      <c r="P1346" s="151" t="s">
        <v>3593</v>
      </c>
      <c r="Q1346" s="303">
        <f t="shared" si="121"/>
        <v>0</v>
      </c>
      <c r="R1346" s="303">
        <f t="shared" si="122"/>
        <v>0</v>
      </c>
      <c r="S1346" s="151">
        <v>0</v>
      </c>
      <c r="T1346" s="151">
        <v>0</v>
      </c>
      <c r="U1346" s="151">
        <v>0</v>
      </c>
      <c r="V1346" s="151">
        <v>0</v>
      </c>
      <c r="W1346" s="151">
        <v>0</v>
      </c>
      <c r="X1346" s="151">
        <v>116</v>
      </c>
      <c r="Y1346" s="151">
        <v>66</v>
      </c>
      <c r="Z1346" s="151">
        <v>28</v>
      </c>
      <c r="AA1346" s="151">
        <v>1</v>
      </c>
      <c r="AB1346" s="300">
        <f t="shared" si="123"/>
        <v>35.728000000000002</v>
      </c>
      <c r="AC1346" s="300">
        <f t="shared" si="124"/>
        <v>0.21522891566265062</v>
      </c>
      <c r="AD1346" s="151">
        <v>0</v>
      </c>
      <c r="AE1346" s="151">
        <v>0</v>
      </c>
      <c r="AF1346" s="151">
        <v>6131655</v>
      </c>
      <c r="AG1346" s="151" t="s">
        <v>3594</v>
      </c>
      <c r="AH1346" s="151" t="s">
        <v>3595</v>
      </c>
      <c r="AI1346" s="309"/>
      <c r="AJ1346" s="309"/>
      <c r="AK1346" s="151" t="s">
        <v>48</v>
      </c>
      <c r="AL1346" s="151" t="s">
        <v>58</v>
      </c>
      <c r="AM1346" s="299">
        <f t="shared" ca="1" si="120"/>
        <v>0.90625</v>
      </c>
      <c r="AN1346" s="158"/>
      <c r="AO1346" s="147" t="s">
        <v>347</v>
      </c>
      <c r="AP1346" s="62" t="s">
        <v>3591</v>
      </c>
      <c r="AQ1346" s="20" t="s">
        <v>3688</v>
      </c>
      <c r="AR1346" s="64">
        <v>44910.5625</v>
      </c>
      <c r="AS1346" s="104" t="s">
        <v>173</v>
      </c>
      <c r="AT1346" s="147" t="s">
        <v>225</v>
      </c>
      <c r="AU1346" s="110">
        <v>0.5625</v>
      </c>
      <c r="AV1346" s="147">
        <v>2</v>
      </c>
      <c r="AW1346" s="147" t="s">
        <v>66</v>
      </c>
      <c r="AX1346" s="159"/>
      <c r="AY1346" s="159"/>
      <c r="AZ1346" s="159"/>
      <c r="BA1346" s="159"/>
    </row>
    <row r="1347" spans="1:53" x14ac:dyDescent="0.25">
      <c r="A1347" s="157">
        <v>244</v>
      </c>
      <c r="B1347" s="155">
        <v>44909.65625</v>
      </c>
      <c r="C1347" s="150">
        <v>0.66319444444444442</v>
      </c>
      <c r="D1347" s="150">
        <v>0.67708333333333337</v>
      </c>
      <c r="E1347" s="150">
        <v>0.69444444444444453</v>
      </c>
      <c r="F1347" s="151" t="s">
        <v>169</v>
      </c>
      <c r="G1347" s="151" t="s">
        <v>948</v>
      </c>
      <c r="H1347" s="146" t="s">
        <v>197</v>
      </c>
      <c r="I1347" s="146" t="s">
        <v>197</v>
      </c>
      <c r="J1347" s="149" t="s">
        <v>37</v>
      </c>
      <c r="K1347" s="146" t="s">
        <v>233</v>
      </c>
      <c r="L1347" s="146" t="s">
        <v>419</v>
      </c>
      <c r="M1347" s="151" t="s">
        <v>3591</v>
      </c>
      <c r="N1347" s="151" t="s">
        <v>264</v>
      </c>
      <c r="O1347" s="151" t="s">
        <v>3596</v>
      </c>
      <c r="P1347" s="151" t="s">
        <v>3597</v>
      </c>
      <c r="Q1347" s="303">
        <f t="shared" si="121"/>
        <v>5</v>
      </c>
      <c r="R1347" s="303">
        <f t="shared" si="122"/>
        <v>275</v>
      </c>
      <c r="S1347" s="151">
        <v>4</v>
      </c>
      <c r="T1347" s="151">
        <v>157</v>
      </c>
      <c r="U1347" s="151">
        <v>1</v>
      </c>
      <c r="V1347" s="151">
        <v>118</v>
      </c>
      <c r="W1347" s="151">
        <v>284</v>
      </c>
      <c r="X1347" s="151">
        <v>76</v>
      </c>
      <c r="Y1347" s="151">
        <v>61</v>
      </c>
      <c r="Z1347" s="151">
        <v>60</v>
      </c>
      <c r="AA1347" s="151">
        <v>1</v>
      </c>
      <c r="AB1347" s="300">
        <f t="shared" si="123"/>
        <v>46.36</v>
      </c>
      <c r="AC1347" s="300">
        <f t="shared" si="124"/>
        <v>0.27927710843373493</v>
      </c>
      <c r="AD1347" s="151" t="s">
        <v>48</v>
      </c>
      <c r="AE1347" s="151" t="s">
        <v>48</v>
      </c>
      <c r="AF1347" s="151">
        <v>5712210</v>
      </c>
      <c r="AG1347" s="151" t="s">
        <v>3598</v>
      </c>
      <c r="AH1347" s="151" t="s">
        <v>3599</v>
      </c>
      <c r="AI1347" s="309"/>
      <c r="AJ1347" s="309"/>
      <c r="AK1347" s="151" t="s">
        <v>48</v>
      </c>
      <c r="AL1347" s="151" t="s">
        <v>58</v>
      </c>
      <c r="AM1347" s="299">
        <f t="shared" ca="1" si="120"/>
        <v>0.90625</v>
      </c>
      <c r="AN1347" s="158"/>
      <c r="AO1347" s="147" t="s">
        <v>347</v>
      </c>
      <c r="AP1347" s="62" t="s">
        <v>3591</v>
      </c>
      <c r="AQ1347" s="20" t="s">
        <v>3688</v>
      </c>
      <c r="AR1347" s="64">
        <v>44910.5625</v>
      </c>
      <c r="AS1347" s="104" t="s">
        <v>173</v>
      </c>
      <c r="AT1347" s="147" t="s">
        <v>225</v>
      </c>
      <c r="AU1347" s="110">
        <v>0.5625</v>
      </c>
      <c r="AV1347" s="147">
        <v>2</v>
      </c>
      <c r="AW1347" s="147" t="s">
        <v>66</v>
      </c>
      <c r="AX1347" s="159"/>
      <c r="AY1347" s="159"/>
      <c r="AZ1347" s="159"/>
      <c r="BA1347" s="159"/>
    </row>
    <row r="1348" spans="1:53" x14ac:dyDescent="0.25">
      <c r="A1348" s="157">
        <v>244</v>
      </c>
      <c r="B1348" s="155">
        <v>44909.65625</v>
      </c>
      <c r="C1348" s="150">
        <v>0.66319444444444442</v>
      </c>
      <c r="D1348" s="150">
        <v>0.67708333333333337</v>
      </c>
      <c r="E1348" s="150">
        <v>0.69444444444444453</v>
      </c>
      <c r="F1348" s="151" t="s">
        <v>169</v>
      </c>
      <c r="G1348" s="151" t="s">
        <v>948</v>
      </c>
      <c r="H1348" s="146" t="s">
        <v>197</v>
      </c>
      <c r="I1348" s="146" t="s">
        <v>197</v>
      </c>
      <c r="J1348" s="149" t="s">
        <v>37</v>
      </c>
      <c r="K1348" s="146" t="s">
        <v>233</v>
      </c>
      <c r="L1348" s="146" t="s">
        <v>419</v>
      </c>
      <c r="M1348" s="151" t="s">
        <v>3591</v>
      </c>
      <c r="N1348" s="151" t="s">
        <v>264</v>
      </c>
      <c r="O1348" s="151" t="s">
        <v>3596</v>
      </c>
      <c r="P1348" s="151" t="s">
        <v>3597</v>
      </c>
      <c r="Q1348" s="303">
        <f t="shared" si="121"/>
        <v>0</v>
      </c>
      <c r="R1348" s="303">
        <f t="shared" si="122"/>
        <v>0</v>
      </c>
      <c r="S1348" s="151">
        <v>0</v>
      </c>
      <c r="T1348" s="151">
        <v>0</v>
      </c>
      <c r="U1348" s="151">
        <v>0</v>
      </c>
      <c r="V1348" s="151">
        <v>0</v>
      </c>
      <c r="W1348" s="151">
        <v>0</v>
      </c>
      <c r="X1348" s="151">
        <v>87</v>
      </c>
      <c r="Y1348" s="151">
        <v>75</v>
      </c>
      <c r="Z1348" s="151">
        <v>22</v>
      </c>
      <c r="AA1348" s="151">
        <v>1</v>
      </c>
      <c r="AB1348" s="300">
        <f t="shared" si="123"/>
        <v>23.925000000000001</v>
      </c>
      <c r="AC1348" s="300">
        <f t="shared" si="124"/>
        <v>0.14412650602409638</v>
      </c>
      <c r="AD1348" s="151">
        <v>0</v>
      </c>
      <c r="AE1348" s="151">
        <v>0</v>
      </c>
      <c r="AF1348" s="151">
        <v>5712210</v>
      </c>
      <c r="AG1348" s="151" t="s">
        <v>3598</v>
      </c>
      <c r="AH1348" s="151" t="s">
        <v>3599</v>
      </c>
      <c r="AI1348" s="309"/>
      <c r="AJ1348" s="309"/>
      <c r="AK1348" s="151" t="s">
        <v>48</v>
      </c>
      <c r="AL1348" s="151" t="s">
        <v>58</v>
      </c>
      <c r="AM1348" s="299">
        <f t="shared" ca="1" si="120"/>
        <v>0.90625</v>
      </c>
      <c r="AN1348" s="158"/>
      <c r="AO1348" s="147" t="s">
        <v>347</v>
      </c>
      <c r="AP1348" s="62" t="s">
        <v>3591</v>
      </c>
      <c r="AQ1348" s="20" t="s">
        <v>3688</v>
      </c>
      <c r="AR1348" s="64">
        <v>44910.5625</v>
      </c>
      <c r="AS1348" s="104" t="s">
        <v>173</v>
      </c>
      <c r="AT1348" s="147" t="s">
        <v>225</v>
      </c>
      <c r="AU1348" s="110">
        <v>0.5625</v>
      </c>
      <c r="AV1348" s="147">
        <v>2</v>
      </c>
      <c r="AW1348" s="147" t="s">
        <v>66</v>
      </c>
      <c r="AX1348" s="159"/>
      <c r="AY1348" s="159"/>
      <c r="AZ1348" s="159"/>
      <c r="BA1348" s="159"/>
    </row>
    <row r="1349" spans="1:53" x14ac:dyDescent="0.25">
      <c r="A1349" s="157">
        <v>244</v>
      </c>
      <c r="B1349" s="155">
        <v>44909.65625</v>
      </c>
      <c r="C1349" s="150">
        <v>0.66319444444444442</v>
      </c>
      <c r="D1349" s="150">
        <v>0.67708333333333337</v>
      </c>
      <c r="E1349" s="150">
        <v>0.69444444444444453</v>
      </c>
      <c r="F1349" s="151" t="s">
        <v>169</v>
      </c>
      <c r="G1349" s="151" t="s">
        <v>948</v>
      </c>
      <c r="H1349" s="146" t="s">
        <v>197</v>
      </c>
      <c r="I1349" s="146" t="s">
        <v>197</v>
      </c>
      <c r="J1349" s="149" t="s">
        <v>37</v>
      </c>
      <c r="K1349" s="146" t="s">
        <v>233</v>
      </c>
      <c r="L1349" s="146" t="s">
        <v>419</v>
      </c>
      <c r="M1349" s="151" t="s">
        <v>3591</v>
      </c>
      <c r="N1349" s="151" t="s">
        <v>264</v>
      </c>
      <c r="O1349" s="151" t="s">
        <v>3596</v>
      </c>
      <c r="P1349" s="151" t="s">
        <v>3597</v>
      </c>
      <c r="Q1349" s="303">
        <f t="shared" si="121"/>
        <v>0</v>
      </c>
      <c r="R1349" s="303">
        <f t="shared" si="122"/>
        <v>0</v>
      </c>
      <c r="S1349" s="151">
        <v>0</v>
      </c>
      <c r="T1349" s="151">
        <v>0</v>
      </c>
      <c r="U1349" s="151">
        <v>0</v>
      </c>
      <c r="V1349" s="151">
        <v>0</v>
      </c>
      <c r="W1349" s="151">
        <v>0</v>
      </c>
      <c r="X1349" s="151">
        <v>138</v>
      </c>
      <c r="Y1349" s="151">
        <v>72</v>
      </c>
      <c r="Z1349" s="151">
        <v>29</v>
      </c>
      <c r="AA1349" s="151">
        <v>1</v>
      </c>
      <c r="AB1349" s="300">
        <f t="shared" si="123"/>
        <v>48.024000000000001</v>
      </c>
      <c r="AC1349" s="300">
        <f t="shared" si="124"/>
        <v>0.28930120481927712</v>
      </c>
      <c r="AD1349" s="151">
        <v>0</v>
      </c>
      <c r="AE1349" s="151">
        <v>0</v>
      </c>
      <c r="AF1349" s="151">
        <v>5712210</v>
      </c>
      <c r="AG1349" s="151" t="s">
        <v>3598</v>
      </c>
      <c r="AH1349" s="151" t="s">
        <v>3599</v>
      </c>
      <c r="AI1349" s="309"/>
      <c r="AJ1349" s="309"/>
      <c r="AK1349" s="151" t="s">
        <v>48</v>
      </c>
      <c r="AL1349" s="151" t="s">
        <v>58</v>
      </c>
      <c r="AM1349" s="299">
        <f t="shared" ca="1" si="120"/>
        <v>0.90625</v>
      </c>
      <c r="AN1349" s="158"/>
      <c r="AO1349" s="147" t="s">
        <v>347</v>
      </c>
      <c r="AP1349" s="62" t="s">
        <v>3591</v>
      </c>
      <c r="AQ1349" s="20" t="s">
        <v>3688</v>
      </c>
      <c r="AR1349" s="64">
        <v>44910.5625</v>
      </c>
      <c r="AS1349" s="104" t="s">
        <v>173</v>
      </c>
      <c r="AT1349" s="147" t="s">
        <v>225</v>
      </c>
      <c r="AU1349" s="110">
        <v>0.5625</v>
      </c>
      <c r="AV1349" s="147">
        <v>2</v>
      </c>
      <c r="AW1349" s="147" t="s">
        <v>66</v>
      </c>
      <c r="AX1349" s="159"/>
      <c r="AY1349" s="159"/>
      <c r="AZ1349" s="159"/>
      <c r="BA1349" s="159"/>
    </row>
    <row r="1350" spans="1:53" x14ac:dyDescent="0.25">
      <c r="A1350" s="157">
        <v>244</v>
      </c>
      <c r="B1350" s="155">
        <v>44909.65625</v>
      </c>
      <c r="C1350" s="150">
        <v>0.66319444444444442</v>
      </c>
      <c r="D1350" s="150">
        <v>0.67708333333333337</v>
      </c>
      <c r="E1350" s="150">
        <v>0.69444444444444453</v>
      </c>
      <c r="F1350" s="151" t="s">
        <v>169</v>
      </c>
      <c r="G1350" s="151" t="s">
        <v>948</v>
      </c>
      <c r="H1350" s="146" t="s">
        <v>197</v>
      </c>
      <c r="I1350" s="146" t="s">
        <v>197</v>
      </c>
      <c r="J1350" s="149" t="s">
        <v>37</v>
      </c>
      <c r="K1350" s="146" t="s">
        <v>233</v>
      </c>
      <c r="L1350" s="146" t="s">
        <v>419</v>
      </c>
      <c r="M1350" s="151" t="s">
        <v>3591</v>
      </c>
      <c r="N1350" s="151" t="s">
        <v>264</v>
      </c>
      <c r="O1350" s="151" t="s">
        <v>3596</v>
      </c>
      <c r="P1350" s="151" t="s">
        <v>3597</v>
      </c>
      <c r="Q1350" s="303">
        <f t="shared" si="121"/>
        <v>0</v>
      </c>
      <c r="R1350" s="303">
        <f t="shared" si="122"/>
        <v>0</v>
      </c>
      <c r="S1350" s="151">
        <v>0</v>
      </c>
      <c r="T1350" s="151">
        <v>0</v>
      </c>
      <c r="U1350" s="151">
        <v>0</v>
      </c>
      <c r="V1350" s="151">
        <v>0</v>
      </c>
      <c r="W1350" s="151">
        <v>0</v>
      </c>
      <c r="X1350" s="151">
        <v>83</v>
      </c>
      <c r="Y1350" s="151">
        <v>63</v>
      </c>
      <c r="Z1350" s="151">
        <v>86</v>
      </c>
      <c r="AA1350" s="151">
        <v>1</v>
      </c>
      <c r="AB1350" s="300">
        <f t="shared" si="123"/>
        <v>74.948999999999998</v>
      </c>
      <c r="AC1350" s="300">
        <f t="shared" si="124"/>
        <v>0.45150000000000001</v>
      </c>
      <c r="AD1350" s="151">
        <v>0</v>
      </c>
      <c r="AE1350" s="151">
        <v>0</v>
      </c>
      <c r="AF1350" s="151">
        <v>5712210</v>
      </c>
      <c r="AG1350" s="151" t="s">
        <v>3598</v>
      </c>
      <c r="AH1350" s="151" t="s">
        <v>3599</v>
      </c>
      <c r="AI1350" s="309"/>
      <c r="AJ1350" s="309"/>
      <c r="AK1350" s="151" t="s">
        <v>48</v>
      </c>
      <c r="AL1350" s="151" t="s">
        <v>58</v>
      </c>
      <c r="AM1350" s="299">
        <f t="shared" ca="1" si="120"/>
        <v>0.90625</v>
      </c>
      <c r="AN1350" s="158"/>
      <c r="AO1350" s="147" t="s">
        <v>347</v>
      </c>
      <c r="AP1350" s="62" t="s">
        <v>3591</v>
      </c>
      <c r="AQ1350" s="20" t="s">
        <v>3688</v>
      </c>
      <c r="AR1350" s="64">
        <v>44910.5625</v>
      </c>
      <c r="AS1350" s="104" t="s">
        <v>173</v>
      </c>
      <c r="AT1350" s="147" t="s">
        <v>225</v>
      </c>
      <c r="AU1350" s="110">
        <v>0.5625</v>
      </c>
      <c r="AV1350" s="147">
        <v>2</v>
      </c>
      <c r="AW1350" s="147" t="s">
        <v>66</v>
      </c>
      <c r="AX1350" s="159"/>
      <c r="AY1350" s="159"/>
      <c r="AZ1350" s="159"/>
      <c r="BA1350" s="159"/>
    </row>
    <row r="1351" spans="1:53" x14ac:dyDescent="0.25">
      <c r="A1351" s="157">
        <v>244</v>
      </c>
      <c r="B1351" s="155">
        <v>44909.65625</v>
      </c>
      <c r="C1351" s="150">
        <v>0.66319444444444442</v>
      </c>
      <c r="D1351" s="150">
        <v>0.67708333333333337</v>
      </c>
      <c r="E1351" s="150">
        <v>0.69444444444444453</v>
      </c>
      <c r="F1351" s="151" t="s">
        <v>169</v>
      </c>
      <c r="G1351" s="151" t="s">
        <v>948</v>
      </c>
      <c r="H1351" s="146" t="s">
        <v>197</v>
      </c>
      <c r="I1351" s="146" t="s">
        <v>197</v>
      </c>
      <c r="J1351" s="149" t="s">
        <v>37</v>
      </c>
      <c r="K1351" s="146" t="s">
        <v>233</v>
      </c>
      <c r="L1351" s="146" t="s">
        <v>419</v>
      </c>
      <c r="M1351" s="151" t="s">
        <v>3591</v>
      </c>
      <c r="N1351" s="151" t="s">
        <v>264</v>
      </c>
      <c r="O1351" s="151" t="s">
        <v>3596</v>
      </c>
      <c r="P1351" s="151" t="s">
        <v>3597</v>
      </c>
      <c r="Q1351" s="303">
        <f t="shared" si="121"/>
        <v>0</v>
      </c>
      <c r="R1351" s="303">
        <f t="shared" si="122"/>
        <v>0</v>
      </c>
      <c r="S1351" s="151">
        <v>0</v>
      </c>
      <c r="T1351" s="151">
        <v>0</v>
      </c>
      <c r="U1351" s="151">
        <v>0</v>
      </c>
      <c r="V1351" s="151">
        <v>0</v>
      </c>
      <c r="W1351" s="151">
        <v>0</v>
      </c>
      <c r="X1351" s="151">
        <v>89</v>
      </c>
      <c r="Y1351" s="151">
        <v>66</v>
      </c>
      <c r="Z1351" s="151">
        <v>92</v>
      </c>
      <c r="AA1351" s="151">
        <v>1</v>
      </c>
      <c r="AB1351" s="300">
        <f t="shared" si="123"/>
        <v>90.067999999999998</v>
      </c>
      <c r="AC1351" s="300">
        <f t="shared" si="124"/>
        <v>0.54257831325301209</v>
      </c>
      <c r="AD1351" s="151">
        <v>0</v>
      </c>
      <c r="AE1351" s="151">
        <v>0</v>
      </c>
      <c r="AF1351" s="151">
        <v>5712210</v>
      </c>
      <c r="AG1351" s="151" t="s">
        <v>3598</v>
      </c>
      <c r="AH1351" s="151" t="s">
        <v>3599</v>
      </c>
      <c r="AI1351" s="309"/>
      <c r="AJ1351" s="309"/>
      <c r="AK1351" s="151" t="s">
        <v>37</v>
      </c>
      <c r="AL1351" s="151" t="s">
        <v>58</v>
      </c>
      <c r="AM1351" s="299">
        <f t="shared" ca="1" si="120"/>
        <v>0.90625</v>
      </c>
      <c r="AN1351" s="158"/>
      <c r="AO1351" s="147" t="s">
        <v>347</v>
      </c>
      <c r="AP1351" s="62" t="s">
        <v>3591</v>
      </c>
      <c r="AQ1351" s="20" t="s">
        <v>3688</v>
      </c>
      <c r="AR1351" s="64">
        <v>44910.5625</v>
      </c>
      <c r="AS1351" s="104" t="s">
        <v>173</v>
      </c>
      <c r="AT1351" s="147" t="s">
        <v>225</v>
      </c>
      <c r="AU1351" s="110">
        <v>0.5625</v>
      </c>
      <c r="AV1351" s="147">
        <v>2</v>
      </c>
      <c r="AW1351" s="147" t="s">
        <v>66</v>
      </c>
      <c r="AX1351" s="159"/>
      <c r="AY1351" s="159"/>
      <c r="AZ1351" s="159"/>
      <c r="BA1351" s="159"/>
    </row>
    <row r="1352" spans="1:53" x14ac:dyDescent="0.25">
      <c r="A1352" s="157">
        <v>245</v>
      </c>
      <c r="B1352" s="155">
        <v>44909.65625</v>
      </c>
      <c r="C1352" s="150">
        <v>0.66319444444444442</v>
      </c>
      <c r="D1352" s="150">
        <v>0.67708333333333337</v>
      </c>
      <c r="E1352" s="150">
        <v>0.69444444444444453</v>
      </c>
      <c r="F1352" s="151" t="s">
        <v>169</v>
      </c>
      <c r="G1352" s="151" t="s">
        <v>948</v>
      </c>
      <c r="H1352" s="146" t="s">
        <v>197</v>
      </c>
      <c r="I1352" s="146" t="s">
        <v>197</v>
      </c>
      <c r="J1352" s="149" t="s">
        <v>37</v>
      </c>
      <c r="K1352" s="146" t="s">
        <v>233</v>
      </c>
      <c r="L1352" s="146" t="s">
        <v>419</v>
      </c>
      <c r="M1352" s="151" t="s">
        <v>3591</v>
      </c>
      <c r="N1352" s="151" t="s">
        <v>264</v>
      </c>
      <c r="O1352" s="151" t="s">
        <v>3600</v>
      </c>
      <c r="P1352" s="151" t="s">
        <v>3601</v>
      </c>
      <c r="Q1352" s="303">
        <f t="shared" si="121"/>
        <v>6</v>
      </c>
      <c r="R1352" s="303">
        <f t="shared" si="122"/>
        <v>175</v>
      </c>
      <c r="S1352" s="151">
        <v>4</v>
      </c>
      <c r="T1352" s="151">
        <v>108</v>
      </c>
      <c r="U1352" s="151">
        <v>2</v>
      </c>
      <c r="V1352" s="151">
        <v>67</v>
      </c>
      <c r="W1352" s="151">
        <v>173</v>
      </c>
      <c r="X1352" s="151">
        <v>76</v>
      </c>
      <c r="Y1352" s="151">
        <v>61</v>
      </c>
      <c r="Z1352" s="151">
        <v>61</v>
      </c>
      <c r="AA1352" s="151">
        <v>1</v>
      </c>
      <c r="AB1352" s="300">
        <f t="shared" si="123"/>
        <v>47.132666666666665</v>
      </c>
      <c r="AC1352" s="300">
        <f t="shared" si="124"/>
        <v>0.28393172690763052</v>
      </c>
      <c r="AD1352" s="151" t="s">
        <v>48</v>
      </c>
      <c r="AE1352" s="151" t="s">
        <v>48</v>
      </c>
      <c r="AF1352" s="151">
        <v>6134485</v>
      </c>
      <c r="AG1352" s="151" t="s">
        <v>3594</v>
      </c>
      <c r="AH1352" s="151" t="s">
        <v>3602</v>
      </c>
      <c r="AI1352" s="309"/>
      <c r="AJ1352" s="309"/>
      <c r="AK1352" s="151" t="s">
        <v>48</v>
      </c>
      <c r="AL1352" s="151" t="s">
        <v>58</v>
      </c>
      <c r="AM1352" s="299">
        <f t="shared" ca="1" si="120"/>
        <v>0.90625</v>
      </c>
      <c r="AN1352" s="158"/>
      <c r="AO1352" s="147" t="s">
        <v>347</v>
      </c>
      <c r="AP1352" s="62" t="s">
        <v>3591</v>
      </c>
      <c r="AQ1352" s="20" t="s">
        <v>3688</v>
      </c>
      <c r="AR1352" s="64">
        <v>44910.5625</v>
      </c>
      <c r="AS1352" s="104" t="s">
        <v>173</v>
      </c>
      <c r="AT1352" s="147" t="s">
        <v>225</v>
      </c>
      <c r="AU1352" s="110">
        <v>0.5625</v>
      </c>
      <c r="AV1352" s="147">
        <v>2</v>
      </c>
      <c r="AW1352" s="147" t="s">
        <v>66</v>
      </c>
      <c r="AX1352" s="159"/>
      <c r="AY1352" s="159"/>
      <c r="AZ1352" s="159"/>
      <c r="BA1352" s="159"/>
    </row>
    <row r="1353" spans="1:53" x14ac:dyDescent="0.25">
      <c r="A1353" s="157">
        <v>245</v>
      </c>
      <c r="B1353" s="155">
        <v>44909.65625</v>
      </c>
      <c r="C1353" s="150">
        <v>0.66319444444444442</v>
      </c>
      <c r="D1353" s="150">
        <v>0.67708333333333337</v>
      </c>
      <c r="E1353" s="150">
        <v>0.69444444444444453</v>
      </c>
      <c r="F1353" s="151" t="s">
        <v>169</v>
      </c>
      <c r="G1353" s="151" t="s">
        <v>948</v>
      </c>
      <c r="H1353" s="146" t="s">
        <v>197</v>
      </c>
      <c r="I1353" s="146" t="s">
        <v>197</v>
      </c>
      <c r="J1353" s="149" t="s">
        <v>37</v>
      </c>
      <c r="K1353" s="146" t="s">
        <v>233</v>
      </c>
      <c r="L1353" s="146" t="s">
        <v>419</v>
      </c>
      <c r="M1353" s="151" t="s">
        <v>3591</v>
      </c>
      <c r="N1353" s="151" t="s">
        <v>264</v>
      </c>
      <c r="O1353" s="151" t="s">
        <v>3600</v>
      </c>
      <c r="P1353" s="151" t="s">
        <v>3601</v>
      </c>
      <c r="Q1353" s="303">
        <f t="shared" si="121"/>
        <v>0</v>
      </c>
      <c r="R1353" s="303">
        <f t="shared" si="122"/>
        <v>0</v>
      </c>
      <c r="S1353" s="151">
        <v>0</v>
      </c>
      <c r="T1353" s="151">
        <v>0</v>
      </c>
      <c r="U1353" s="151">
        <v>0</v>
      </c>
      <c r="V1353" s="151">
        <v>0</v>
      </c>
      <c r="W1353" s="151">
        <v>0</v>
      </c>
      <c r="X1353" s="151">
        <v>70</v>
      </c>
      <c r="Y1353" s="151">
        <v>70</v>
      </c>
      <c r="Z1353" s="151">
        <v>30</v>
      </c>
      <c r="AA1353" s="151">
        <v>1</v>
      </c>
      <c r="AB1353" s="300">
        <f t="shared" si="123"/>
        <v>24.5</v>
      </c>
      <c r="AC1353" s="300">
        <f t="shared" si="124"/>
        <v>0.14759036144578314</v>
      </c>
      <c r="AD1353" s="151">
        <v>0</v>
      </c>
      <c r="AE1353" s="151">
        <v>0</v>
      </c>
      <c r="AF1353" s="151">
        <v>6134485</v>
      </c>
      <c r="AG1353" s="151" t="s">
        <v>3594</v>
      </c>
      <c r="AH1353" s="151" t="s">
        <v>3602</v>
      </c>
      <c r="AI1353" s="309"/>
      <c r="AJ1353" s="309"/>
      <c r="AK1353" s="151" t="s">
        <v>48</v>
      </c>
      <c r="AL1353" s="151" t="s">
        <v>58</v>
      </c>
      <c r="AM1353" s="299">
        <f t="shared" ca="1" si="120"/>
        <v>0.90625</v>
      </c>
      <c r="AN1353" s="158"/>
      <c r="AO1353" s="147" t="s">
        <v>347</v>
      </c>
      <c r="AP1353" s="62" t="s">
        <v>3591</v>
      </c>
      <c r="AQ1353" s="20" t="s">
        <v>3688</v>
      </c>
      <c r="AR1353" s="64">
        <v>44910.5625</v>
      </c>
      <c r="AS1353" s="104" t="s">
        <v>173</v>
      </c>
      <c r="AT1353" s="147" t="s">
        <v>225</v>
      </c>
      <c r="AU1353" s="110">
        <v>0.5625</v>
      </c>
      <c r="AV1353" s="147">
        <v>2</v>
      </c>
      <c r="AW1353" s="147" t="s">
        <v>66</v>
      </c>
      <c r="AX1353" s="159"/>
      <c r="AY1353" s="159"/>
      <c r="AZ1353" s="159"/>
      <c r="BA1353" s="159"/>
    </row>
    <row r="1354" spans="1:53" x14ac:dyDescent="0.25">
      <c r="A1354" s="157">
        <v>245</v>
      </c>
      <c r="B1354" s="155">
        <v>44909.65625</v>
      </c>
      <c r="C1354" s="150">
        <v>0.66319444444444442</v>
      </c>
      <c r="D1354" s="150">
        <v>0.67708333333333337</v>
      </c>
      <c r="E1354" s="150">
        <v>0.69444444444444453</v>
      </c>
      <c r="F1354" s="151" t="s">
        <v>169</v>
      </c>
      <c r="G1354" s="151" t="s">
        <v>948</v>
      </c>
      <c r="H1354" s="146" t="s">
        <v>197</v>
      </c>
      <c r="I1354" s="146" t="s">
        <v>197</v>
      </c>
      <c r="J1354" s="149" t="s">
        <v>37</v>
      </c>
      <c r="K1354" s="146" t="s">
        <v>233</v>
      </c>
      <c r="L1354" s="146" t="s">
        <v>419</v>
      </c>
      <c r="M1354" s="151" t="s">
        <v>3591</v>
      </c>
      <c r="N1354" s="151" t="s">
        <v>264</v>
      </c>
      <c r="O1354" s="151" t="s">
        <v>3600</v>
      </c>
      <c r="P1354" s="151" t="s">
        <v>3601</v>
      </c>
      <c r="Q1354" s="303">
        <f t="shared" si="121"/>
        <v>0</v>
      </c>
      <c r="R1354" s="303">
        <f t="shared" si="122"/>
        <v>0</v>
      </c>
      <c r="S1354" s="151">
        <v>0</v>
      </c>
      <c r="T1354" s="151">
        <v>0</v>
      </c>
      <c r="U1354" s="151">
        <v>0</v>
      </c>
      <c r="V1354" s="151">
        <v>0</v>
      </c>
      <c r="W1354" s="151">
        <v>0</v>
      </c>
      <c r="X1354" s="151">
        <v>73</v>
      </c>
      <c r="Y1354" s="151">
        <v>73</v>
      </c>
      <c r="Z1354" s="151">
        <v>56</v>
      </c>
      <c r="AA1354" s="151">
        <v>1</v>
      </c>
      <c r="AB1354" s="300">
        <f t="shared" si="123"/>
        <v>49.737333333333332</v>
      </c>
      <c r="AC1354" s="300">
        <f t="shared" si="124"/>
        <v>0.29962248995983937</v>
      </c>
      <c r="AD1354" s="151">
        <v>0</v>
      </c>
      <c r="AE1354" s="151">
        <v>0</v>
      </c>
      <c r="AF1354" s="151">
        <v>6134485</v>
      </c>
      <c r="AG1354" s="151" t="s">
        <v>3594</v>
      </c>
      <c r="AH1354" s="151" t="s">
        <v>3602</v>
      </c>
      <c r="AI1354" s="309"/>
      <c r="AJ1354" s="309"/>
      <c r="AK1354" s="151" t="s">
        <v>48</v>
      </c>
      <c r="AL1354" s="151" t="s">
        <v>58</v>
      </c>
      <c r="AM1354" s="299">
        <f t="shared" ca="1" si="120"/>
        <v>0.90625</v>
      </c>
      <c r="AN1354" s="158"/>
      <c r="AO1354" s="147" t="s">
        <v>347</v>
      </c>
      <c r="AP1354" s="62" t="s">
        <v>3591</v>
      </c>
      <c r="AQ1354" s="20" t="s">
        <v>3688</v>
      </c>
      <c r="AR1354" s="64">
        <v>44910.5625</v>
      </c>
      <c r="AS1354" s="104" t="s">
        <v>173</v>
      </c>
      <c r="AT1354" s="147" t="s">
        <v>225</v>
      </c>
      <c r="AU1354" s="110">
        <v>0.5625</v>
      </c>
      <c r="AV1354" s="147">
        <v>2</v>
      </c>
      <c r="AW1354" s="147" t="s">
        <v>66</v>
      </c>
      <c r="AX1354" s="159"/>
      <c r="AY1354" s="159"/>
      <c r="AZ1354" s="159"/>
      <c r="BA1354" s="159"/>
    </row>
    <row r="1355" spans="1:53" x14ac:dyDescent="0.25">
      <c r="A1355" s="157">
        <v>245</v>
      </c>
      <c r="B1355" s="155">
        <v>44909.65625</v>
      </c>
      <c r="C1355" s="150">
        <v>0.66319444444444442</v>
      </c>
      <c r="D1355" s="150">
        <v>0.67708333333333337</v>
      </c>
      <c r="E1355" s="150">
        <v>0.69444444444444453</v>
      </c>
      <c r="F1355" s="151" t="s">
        <v>169</v>
      </c>
      <c r="G1355" s="151" t="s">
        <v>948</v>
      </c>
      <c r="H1355" s="146" t="s">
        <v>197</v>
      </c>
      <c r="I1355" s="146" t="s">
        <v>197</v>
      </c>
      <c r="J1355" s="149" t="s">
        <v>37</v>
      </c>
      <c r="K1355" s="146" t="s">
        <v>233</v>
      </c>
      <c r="L1355" s="146" t="s">
        <v>419</v>
      </c>
      <c r="M1355" s="151" t="s">
        <v>3591</v>
      </c>
      <c r="N1355" s="151" t="s">
        <v>264</v>
      </c>
      <c r="O1355" s="151" t="s">
        <v>3600</v>
      </c>
      <c r="P1355" s="151" t="s">
        <v>3601</v>
      </c>
      <c r="Q1355" s="303">
        <f t="shared" si="121"/>
        <v>0</v>
      </c>
      <c r="R1355" s="303">
        <f t="shared" si="122"/>
        <v>0</v>
      </c>
      <c r="S1355" s="151">
        <v>0</v>
      </c>
      <c r="T1355" s="151">
        <v>0</v>
      </c>
      <c r="U1355" s="151">
        <v>0</v>
      </c>
      <c r="V1355" s="151">
        <v>0</v>
      </c>
      <c r="W1355" s="151">
        <v>0</v>
      </c>
      <c r="X1355" s="151">
        <v>60</v>
      </c>
      <c r="Y1355" s="151">
        <v>31</v>
      </c>
      <c r="Z1355" s="151">
        <v>70</v>
      </c>
      <c r="AA1355" s="151">
        <v>1</v>
      </c>
      <c r="AB1355" s="300">
        <f t="shared" si="123"/>
        <v>21.7</v>
      </c>
      <c r="AC1355" s="300">
        <f t="shared" si="124"/>
        <v>0.13072289156626504</v>
      </c>
      <c r="AD1355" s="151">
        <v>0</v>
      </c>
      <c r="AE1355" s="151">
        <v>0</v>
      </c>
      <c r="AF1355" s="151">
        <v>6134485</v>
      </c>
      <c r="AG1355" s="151" t="s">
        <v>3594</v>
      </c>
      <c r="AH1355" s="151" t="s">
        <v>3602</v>
      </c>
      <c r="AI1355" s="309"/>
      <c r="AJ1355" s="309"/>
      <c r="AK1355" s="151" t="s">
        <v>48</v>
      </c>
      <c r="AL1355" s="151" t="s">
        <v>58</v>
      </c>
      <c r="AM1355" s="299">
        <f t="shared" ca="1" si="120"/>
        <v>0.90625</v>
      </c>
      <c r="AN1355" s="158"/>
      <c r="AO1355" s="147" t="s">
        <v>347</v>
      </c>
      <c r="AP1355" s="62" t="s">
        <v>3591</v>
      </c>
      <c r="AQ1355" s="20" t="s">
        <v>3688</v>
      </c>
      <c r="AR1355" s="64">
        <v>44910.5625</v>
      </c>
      <c r="AS1355" s="104" t="s">
        <v>173</v>
      </c>
      <c r="AT1355" s="147" t="s">
        <v>225</v>
      </c>
      <c r="AU1355" s="110">
        <v>0.5625</v>
      </c>
      <c r="AV1355" s="147">
        <v>2</v>
      </c>
      <c r="AW1355" s="147" t="s">
        <v>66</v>
      </c>
      <c r="AX1355" s="159"/>
      <c r="AY1355" s="159"/>
      <c r="AZ1355" s="159"/>
      <c r="BA1355" s="159"/>
    </row>
    <row r="1356" spans="1:53" x14ac:dyDescent="0.25">
      <c r="A1356" s="157">
        <v>245</v>
      </c>
      <c r="B1356" s="155">
        <v>44909.65625</v>
      </c>
      <c r="C1356" s="150">
        <v>0.66319444444444442</v>
      </c>
      <c r="D1356" s="150">
        <v>0.67708333333333337</v>
      </c>
      <c r="E1356" s="150">
        <v>0.69444444444444453</v>
      </c>
      <c r="F1356" s="151" t="s">
        <v>169</v>
      </c>
      <c r="G1356" s="151" t="s">
        <v>948</v>
      </c>
      <c r="H1356" s="146" t="s">
        <v>197</v>
      </c>
      <c r="I1356" s="146" t="s">
        <v>197</v>
      </c>
      <c r="J1356" s="149" t="s">
        <v>37</v>
      </c>
      <c r="K1356" s="146" t="s">
        <v>233</v>
      </c>
      <c r="L1356" s="146" t="s">
        <v>419</v>
      </c>
      <c r="M1356" s="151" t="s">
        <v>3591</v>
      </c>
      <c r="N1356" s="151" t="s">
        <v>264</v>
      </c>
      <c r="O1356" s="151" t="s">
        <v>3600</v>
      </c>
      <c r="P1356" s="151" t="s">
        <v>3601</v>
      </c>
      <c r="Q1356" s="303">
        <f t="shared" si="121"/>
        <v>0</v>
      </c>
      <c r="R1356" s="303">
        <f t="shared" si="122"/>
        <v>0</v>
      </c>
      <c r="S1356" s="151">
        <v>0</v>
      </c>
      <c r="T1356" s="151">
        <v>0</v>
      </c>
      <c r="U1356" s="151">
        <v>0</v>
      </c>
      <c r="V1356" s="151">
        <v>0</v>
      </c>
      <c r="W1356" s="151">
        <v>0</v>
      </c>
      <c r="X1356" s="151">
        <v>80</v>
      </c>
      <c r="Y1356" s="151">
        <v>60</v>
      </c>
      <c r="Z1356" s="151">
        <v>70</v>
      </c>
      <c r="AA1356" s="151">
        <v>2</v>
      </c>
      <c r="AB1356" s="300">
        <f t="shared" si="123"/>
        <v>112</v>
      </c>
      <c r="AC1356" s="300">
        <f t="shared" si="124"/>
        <v>0.67469879518072284</v>
      </c>
      <c r="AD1356" s="151">
        <v>0</v>
      </c>
      <c r="AE1356" s="151">
        <v>0</v>
      </c>
      <c r="AF1356" s="151">
        <v>6134485</v>
      </c>
      <c r="AG1356" s="151" t="s">
        <v>3594</v>
      </c>
      <c r="AH1356" s="151" t="s">
        <v>3602</v>
      </c>
      <c r="AI1356" s="309"/>
      <c r="AJ1356" s="309"/>
      <c r="AK1356" s="151" t="s">
        <v>37</v>
      </c>
      <c r="AL1356" s="151" t="s">
        <v>58</v>
      </c>
      <c r="AM1356" s="299">
        <f t="shared" ca="1" si="120"/>
        <v>0.90625</v>
      </c>
      <c r="AN1356" s="158"/>
      <c r="AO1356" s="147" t="s">
        <v>347</v>
      </c>
      <c r="AP1356" s="62" t="s">
        <v>3591</v>
      </c>
      <c r="AQ1356" s="20" t="s">
        <v>3688</v>
      </c>
      <c r="AR1356" s="64">
        <v>44910.5625</v>
      </c>
      <c r="AS1356" s="104" t="s">
        <v>173</v>
      </c>
      <c r="AT1356" s="147" t="s">
        <v>225</v>
      </c>
      <c r="AU1356" s="110">
        <v>0.5625</v>
      </c>
      <c r="AV1356" s="147">
        <v>2</v>
      </c>
      <c r="AW1356" s="147" t="s">
        <v>66</v>
      </c>
      <c r="AX1356" s="159"/>
      <c r="AY1356" s="159"/>
      <c r="AZ1356" s="159"/>
      <c r="BA1356" s="159"/>
    </row>
    <row r="1357" spans="1:53" x14ac:dyDescent="0.25">
      <c r="A1357" s="157">
        <v>246</v>
      </c>
      <c r="B1357" s="155">
        <v>44909.65625</v>
      </c>
      <c r="C1357" s="150">
        <v>0.66319444444444442</v>
      </c>
      <c r="D1357" s="150">
        <v>0.67708333333333337</v>
      </c>
      <c r="E1357" s="150">
        <v>0.69444444444444453</v>
      </c>
      <c r="F1357" s="151" t="s">
        <v>169</v>
      </c>
      <c r="G1357" s="151" t="s">
        <v>948</v>
      </c>
      <c r="H1357" s="146" t="s">
        <v>197</v>
      </c>
      <c r="I1357" s="146" t="s">
        <v>197</v>
      </c>
      <c r="J1357" s="149" t="s">
        <v>37</v>
      </c>
      <c r="K1357" s="146" t="s">
        <v>233</v>
      </c>
      <c r="L1357" s="146" t="s">
        <v>419</v>
      </c>
      <c r="M1357" s="151" t="s">
        <v>3591</v>
      </c>
      <c r="N1357" s="151" t="s">
        <v>264</v>
      </c>
      <c r="O1357" s="151" t="s">
        <v>3603</v>
      </c>
      <c r="P1357" s="151" t="s">
        <v>3604</v>
      </c>
      <c r="Q1357" s="303">
        <f t="shared" si="121"/>
        <v>5</v>
      </c>
      <c r="R1357" s="303">
        <f t="shared" si="122"/>
        <v>298</v>
      </c>
      <c r="S1357" s="151">
        <v>2</v>
      </c>
      <c r="T1357" s="151">
        <v>35</v>
      </c>
      <c r="U1357" s="151">
        <v>3</v>
      </c>
      <c r="V1357" s="151">
        <v>263</v>
      </c>
      <c r="W1357" s="151">
        <v>312</v>
      </c>
      <c r="X1357" s="151">
        <v>89</v>
      </c>
      <c r="Y1357" s="151">
        <v>66</v>
      </c>
      <c r="Z1357" s="151">
        <v>92</v>
      </c>
      <c r="AA1357" s="151">
        <v>2</v>
      </c>
      <c r="AB1357" s="300">
        <f t="shared" si="123"/>
        <v>180.136</v>
      </c>
      <c r="AC1357" s="300">
        <f t="shared" si="124"/>
        <v>1.0851566265060242</v>
      </c>
      <c r="AD1357" s="151" t="s">
        <v>48</v>
      </c>
      <c r="AE1357" s="151" t="s">
        <v>48</v>
      </c>
      <c r="AF1357" s="151">
        <v>6131643</v>
      </c>
      <c r="AG1357" s="151" t="s">
        <v>3594</v>
      </c>
      <c r="AH1357" s="151" t="s">
        <v>3605</v>
      </c>
      <c r="AI1357" s="309"/>
      <c r="AJ1357" s="309"/>
      <c r="AK1357" s="151" t="s">
        <v>37</v>
      </c>
      <c r="AL1357" s="151" t="s">
        <v>58</v>
      </c>
      <c r="AM1357" s="299">
        <f t="shared" ca="1" si="120"/>
        <v>0.90625</v>
      </c>
      <c r="AN1357" s="158"/>
      <c r="AO1357" s="147" t="s">
        <v>347</v>
      </c>
      <c r="AP1357" s="62" t="s">
        <v>3591</v>
      </c>
      <c r="AQ1357" s="20" t="s">
        <v>3688</v>
      </c>
      <c r="AR1357" s="64">
        <v>44910.5625</v>
      </c>
      <c r="AS1357" s="104" t="s">
        <v>173</v>
      </c>
      <c r="AT1357" s="147" t="s">
        <v>225</v>
      </c>
      <c r="AU1357" s="110">
        <v>0.5625</v>
      </c>
      <c r="AV1357" s="147">
        <v>2</v>
      </c>
      <c r="AW1357" s="147" t="s">
        <v>66</v>
      </c>
      <c r="AX1357" s="159"/>
      <c r="AY1357" s="159"/>
      <c r="AZ1357" s="159"/>
      <c r="BA1357" s="159"/>
    </row>
    <row r="1358" spans="1:53" x14ac:dyDescent="0.25">
      <c r="A1358" s="157">
        <v>246</v>
      </c>
      <c r="B1358" s="155">
        <v>44909.65625</v>
      </c>
      <c r="C1358" s="150">
        <v>0.66319444444444442</v>
      </c>
      <c r="D1358" s="150">
        <v>0.67708333333333337</v>
      </c>
      <c r="E1358" s="150">
        <v>0.69444444444444453</v>
      </c>
      <c r="F1358" s="151" t="s">
        <v>169</v>
      </c>
      <c r="G1358" s="151" t="s">
        <v>948</v>
      </c>
      <c r="H1358" s="146" t="s">
        <v>197</v>
      </c>
      <c r="I1358" s="146" t="s">
        <v>197</v>
      </c>
      <c r="J1358" s="149" t="s">
        <v>37</v>
      </c>
      <c r="K1358" s="146" t="s">
        <v>233</v>
      </c>
      <c r="L1358" s="146" t="s">
        <v>419</v>
      </c>
      <c r="M1358" s="151" t="s">
        <v>3591</v>
      </c>
      <c r="N1358" s="151" t="s">
        <v>264</v>
      </c>
      <c r="O1358" s="151" t="s">
        <v>3603</v>
      </c>
      <c r="P1358" s="151" t="s">
        <v>3604</v>
      </c>
      <c r="Q1358" s="303">
        <f t="shared" si="121"/>
        <v>0</v>
      </c>
      <c r="R1358" s="303">
        <f t="shared" si="122"/>
        <v>0</v>
      </c>
      <c r="S1358" s="151">
        <v>0</v>
      </c>
      <c r="T1358" s="151">
        <v>0</v>
      </c>
      <c r="U1358" s="151">
        <v>0</v>
      </c>
      <c r="V1358" s="151">
        <v>0</v>
      </c>
      <c r="W1358" s="151">
        <v>0</v>
      </c>
      <c r="X1358" s="151">
        <v>66</v>
      </c>
      <c r="Y1358" s="151">
        <v>64</v>
      </c>
      <c r="Z1358" s="151">
        <v>36</v>
      </c>
      <c r="AA1358" s="151">
        <v>1</v>
      </c>
      <c r="AB1358" s="300">
        <f t="shared" si="123"/>
        <v>25.344000000000001</v>
      </c>
      <c r="AC1358" s="300">
        <f t="shared" si="124"/>
        <v>0.15267469879518072</v>
      </c>
      <c r="AD1358" s="151">
        <v>0</v>
      </c>
      <c r="AE1358" s="151">
        <v>0</v>
      </c>
      <c r="AF1358" s="151">
        <v>6131643</v>
      </c>
      <c r="AG1358" s="151" t="s">
        <v>3594</v>
      </c>
      <c r="AH1358" s="151" t="s">
        <v>3605</v>
      </c>
      <c r="AI1358" s="309"/>
      <c r="AJ1358" s="309"/>
      <c r="AK1358" s="151" t="s">
        <v>48</v>
      </c>
      <c r="AL1358" s="151" t="s">
        <v>58</v>
      </c>
      <c r="AM1358" s="299">
        <f t="shared" ca="1" si="120"/>
        <v>0.90625</v>
      </c>
      <c r="AN1358" s="158"/>
      <c r="AO1358" s="147" t="s">
        <v>347</v>
      </c>
      <c r="AP1358" s="62" t="s">
        <v>3591</v>
      </c>
      <c r="AQ1358" s="20" t="s">
        <v>3688</v>
      </c>
      <c r="AR1358" s="64">
        <v>44910.5625</v>
      </c>
      <c r="AS1358" s="104" t="s">
        <v>173</v>
      </c>
      <c r="AT1358" s="147" t="s">
        <v>225</v>
      </c>
      <c r="AU1358" s="110">
        <v>0.5625</v>
      </c>
      <c r="AV1358" s="147">
        <v>2</v>
      </c>
      <c r="AW1358" s="147" t="s">
        <v>66</v>
      </c>
      <c r="AX1358" s="159"/>
      <c r="AY1358" s="159"/>
      <c r="AZ1358" s="159"/>
      <c r="BA1358" s="159"/>
    </row>
    <row r="1359" spans="1:53" x14ac:dyDescent="0.25">
      <c r="A1359" s="157">
        <v>246</v>
      </c>
      <c r="B1359" s="155">
        <v>44909.65625</v>
      </c>
      <c r="C1359" s="150">
        <v>0.66319444444444442</v>
      </c>
      <c r="D1359" s="150">
        <v>0.67708333333333337</v>
      </c>
      <c r="E1359" s="150">
        <v>0.69444444444444453</v>
      </c>
      <c r="F1359" s="151" t="s">
        <v>169</v>
      </c>
      <c r="G1359" s="151" t="s">
        <v>948</v>
      </c>
      <c r="H1359" s="146" t="s">
        <v>197</v>
      </c>
      <c r="I1359" s="146" t="s">
        <v>197</v>
      </c>
      <c r="J1359" s="149" t="s">
        <v>37</v>
      </c>
      <c r="K1359" s="146" t="s">
        <v>233</v>
      </c>
      <c r="L1359" s="146" t="s">
        <v>419</v>
      </c>
      <c r="M1359" s="151" t="s">
        <v>3591</v>
      </c>
      <c r="N1359" s="151" t="s">
        <v>264</v>
      </c>
      <c r="O1359" s="151" t="s">
        <v>3603</v>
      </c>
      <c r="P1359" s="151" t="s">
        <v>3604</v>
      </c>
      <c r="Q1359" s="303">
        <f t="shared" si="121"/>
        <v>0</v>
      </c>
      <c r="R1359" s="303">
        <f t="shared" si="122"/>
        <v>0</v>
      </c>
      <c r="S1359" s="151">
        <v>0</v>
      </c>
      <c r="T1359" s="151">
        <v>0</v>
      </c>
      <c r="U1359" s="151">
        <v>0</v>
      </c>
      <c r="V1359" s="151">
        <v>0</v>
      </c>
      <c r="W1359" s="151">
        <v>0</v>
      </c>
      <c r="X1359" s="151">
        <v>145</v>
      </c>
      <c r="Y1359" s="151">
        <v>65</v>
      </c>
      <c r="Z1359" s="151">
        <v>20</v>
      </c>
      <c r="AA1359" s="151">
        <v>1</v>
      </c>
      <c r="AB1359" s="300">
        <f t="shared" si="123"/>
        <v>31.416666666666668</v>
      </c>
      <c r="AC1359" s="300">
        <f t="shared" si="124"/>
        <v>0.18925702811244979</v>
      </c>
      <c r="AD1359" s="151">
        <v>0</v>
      </c>
      <c r="AE1359" s="151">
        <v>0</v>
      </c>
      <c r="AF1359" s="151">
        <v>6131643</v>
      </c>
      <c r="AG1359" s="151" t="s">
        <v>3594</v>
      </c>
      <c r="AH1359" s="151" t="s">
        <v>3605</v>
      </c>
      <c r="AI1359" s="309"/>
      <c r="AJ1359" s="309"/>
      <c r="AK1359" s="151" t="s">
        <v>48</v>
      </c>
      <c r="AL1359" s="151" t="s">
        <v>58</v>
      </c>
      <c r="AM1359" s="299">
        <f t="shared" ca="1" si="120"/>
        <v>0.90625</v>
      </c>
      <c r="AN1359" s="158"/>
      <c r="AO1359" s="147" t="s">
        <v>347</v>
      </c>
      <c r="AP1359" s="62" t="s">
        <v>3591</v>
      </c>
      <c r="AQ1359" s="20" t="s">
        <v>3688</v>
      </c>
      <c r="AR1359" s="64">
        <v>44910.5625</v>
      </c>
      <c r="AS1359" s="104" t="s">
        <v>173</v>
      </c>
      <c r="AT1359" s="147" t="s">
        <v>225</v>
      </c>
      <c r="AU1359" s="110">
        <v>0.5625</v>
      </c>
      <c r="AV1359" s="147">
        <v>2</v>
      </c>
      <c r="AW1359" s="147" t="s">
        <v>66</v>
      </c>
      <c r="AX1359" s="159"/>
      <c r="AY1359" s="159"/>
      <c r="AZ1359" s="159"/>
      <c r="BA1359" s="159"/>
    </row>
    <row r="1360" spans="1:53" x14ac:dyDescent="0.25">
      <c r="A1360" s="157">
        <v>246</v>
      </c>
      <c r="B1360" s="155">
        <v>44909.65625</v>
      </c>
      <c r="C1360" s="150">
        <v>0.66319444444444442</v>
      </c>
      <c r="D1360" s="150">
        <v>0.67708333333333337</v>
      </c>
      <c r="E1360" s="150">
        <v>0.69444444444444453</v>
      </c>
      <c r="F1360" s="151" t="s">
        <v>169</v>
      </c>
      <c r="G1360" s="151" t="s">
        <v>948</v>
      </c>
      <c r="H1360" s="146" t="s">
        <v>197</v>
      </c>
      <c r="I1360" s="146" t="s">
        <v>197</v>
      </c>
      <c r="J1360" s="149" t="s">
        <v>37</v>
      </c>
      <c r="K1360" s="146" t="s">
        <v>233</v>
      </c>
      <c r="L1360" s="146" t="s">
        <v>419</v>
      </c>
      <c r="M1360" s="151" t="s">
        <v>3591</v>
      </c>
      <c r="N1360" s="151" t="s">
        <v>264</v>
      </c>
      <c r="O1360" s="151" t="s">
        <v>3603</v>
      </c>
      <c r="P1360" s="151" t="s">
        <v>3604</v>
      </c>
      <c r="Q1360" s="303">
        <f t="shared" si="121"/>
        <v>0</v>
      </c>
      <c r="R1360" s="303">
        <f t="shared" si="122"/>
        <v>0</v>
      </c>
      <c r="S1360" s="151">
        <v>0</v>
      </c>
      <c r="T1360" s="151">
        <v>0</v>
      </c>
      <c r="U1360" s="151">
        <v>0</v>
      </c>
      <c r="V1360" s="151">
        <v>0</v>
      </c>
      <c r="W1360" s="151">
        <v>0</v>
      </c>
      <c r="X1360" s="151">
        <v>76</v>
      </c>
      <c r="Y1360" s="151">
        <v>61</v>
      </c>
      <c r="Z1360" s="151">
        <v>61</v>
      </c>
      <c r="AA1360" s="151">
        <v>1</v>
      </c>
      <c r="AB1360" s="300">
        <f t="shared" si="123"/>
        <v>47.132666666666665</v>
      </c>
      <c r="AC1360" s="300">
        <f t="shared" si="124"/>
        <v>0.28393172690763052</v>
      </c>
      <c r="AD1360" s="151">
        <v>0</v>
      </c>
      <c r="AE1360" s="151">
        <v>0</v>
      </c>
      <c r="AF1360" s="151">
        <v>6131643</v>
      </c>
      <c r="AG1360" s="151" t="s">
        <v>3594</v>
      </c>
      <c r="AH1360" s="151" t="s">
        <v>3605</v>
      </c>
      <c r="AI1360" s="309"/>
      <c r="AJ1360" s="309"/>
      <c r="AK1360" s="151" t="s">
        <v>48</v>
      </c>
      <c r="AL1360" s="151" t="s">
        <v>58</v>
      </c>
      <c r="AM1360" s="299">
        <f t="shared" ca="1" si="120"/>
        <v>0.90625</v>
      </c>
      <c r="AN1360" s="158"/>
      <c r="AO1360" s="147" t="s">
        <v>347</v>
      </c>
      <c r="AP1360" s="62" t="s">
        <v>3591</v>
      </c>
      <c r="AQ1360" s="20" t="s">
        <v>3688</v>
      </c>
      <c r="AR1360" s="64">
        <v>44910.5625</v>
      </c>
      <c r="AS1360" s="104" t="s">
        <v>173</v>
      </c>
      <c r="AT1360" s="147" t="s">
        <v>225</v>
      </c>
      <c r="AU1360" s="110">
        <v>0.5625</v>
      </c>
      <c r="AV1360" s="147">
        <v>2</v>
      </c>
      <c r="AW1360" s="147" t="s">
        <v>66</v>
      </c>
      <c r="AX1360" s="159"/>
      <c r="AY1360" s="159"/>
      <c r="AZ1360" s="159"/>
      <c r="BA1360" s="159"/>
    </row>
    <row r="1361" spans="1:53" x14ac:dyDescent="0.25">
      <c r="A1361" s="157">
        <v>247</v>
      </c>
      <c r="B1361" s="155">
        <v>44909.6875</v>
      </c>
      <c r="C1361" s="150">
        <v>0.69444444444444453</v>
      </c>
      <c r="D1361" s="150">
        <v>0.70138888888888884</v>
      </c>
      <c r="E1361" s="150">
        <v>0.71875</v>
      </c>
      <c r="F1361" s="151" t="s">
        <v>171</v>
      </c>
      <c r="G1361" s="151" t="s">
        <v>278</v>
      </c>
      <c r="H1361" s="146" t="s">
        <v>91</v>
      </c>
      <c r="I1361" s="146" t="s">
        <v>318</v>
      </c>
      <c r="J1361" s="146" t="s">
        <v>41</v>
      </c>
      <c r="K1361" s="149" t="s">
        <v>180</v>
      </c>
      <c r="L1361" s="149" t="s">
        <v>206</v>
      </c>
      <c r="M1361" s="151" t="s">
        <v>3606</v>
      </c>
      <c r="N1361" s="151" t="s">
        <v>44</v>
      </c>
      <c r="O1361" s="151">
        <v>1054969950</v>
      </c>
      <c r="P1361" s="151">
        <v>1214035365</v>
      </c>
      <c r="Q1361" s="303">
        <f t="shared" si="121"/>
        <v>5</v>
      </c>
      <c r="R1361" s="303">
        <f t="shared" si="122"/>
        <v>1065</v>
      </c>
      <c r="S1361" s="151">
        <v>0</v>
      </c>
      <c r="T1361" s="151">
        <v>0</v>
      </c>
      <c r="U1361" s="151">
        <v>5</v>
      </c>
      <c r="V1361" s="151">
        <v>1065</v>
      </c>
      <c r="W1361" s="151">
        <v>1068</v>
      </c>
      <c r="X1361" s="151">
        <v>120</v>
      </c>
      <c r="Y1361" s="151">
        <v>80</v>
      </c>
      <c r="Z1361" s="151">
        <v>78</v>
      </c>
      <c r="AA1361" s="151">
        <v>5</v>
      </c>
      <c r="AB1361" s="300">
        <f t="shared" si="123"/>
        <v>624</v>
      </c>
      <c r="AC1361" s="300">
        <f t="shared" si="124"/>
        <v>3.7590361445783134</v>
      </c>
      <c r="AD1361" s="151">
        <v>58099.8</v>
      </c>
      <c r="AE1361" s="151" t="s">
        <v>109</v>
      </c>
      <c r="AF1361" s="151" t="s">
        <v>317</v>
      </c>
      <c r="AG1361" s="151" t="s">
        <v>317</v>
      </c>
      <c r="AH1361" s="151" t="s">
        <v>3607</v>
      </c>
      <c r="AI1361" s="309"/>
      <c r="AJ1361" s="309"/>
      <c r="AK1361" s="151" t="s">
        <v>37</v>
      </c>
      <c r="AL1361" s="151" t="s">
        <v>54</v>
      </c>
      <c r="AM1361" s="299">
        <f t="shared" ca="1" si="120"/>
        <v>0.9375</v>
      </c>
      <c r="AN1361" s="158"/>
      <c r="AO1361" s="147" t="s">
        <v>323</v>
      </c>
      <c r="AP1361" s="45" t="s">
        <v>3606</v>
      </c>
      <c r="AQ1361" s="62" t="s">
        <v>3690</v>
      </c>
      <c r="AR1361" s="64">
        <v>44910.625</v>
      </c>
      <c r="AS1361" s="147" t="s">
        <v>298</v>
      </c>
      <c r="AT1361" s="147" t="s">
        <v>65</v>
      </c>
      <c r="AU1361" s="110">
        <v>0.625</v>
      </c>
      <c r="AV1361" s="147">
        <v>1</v>
      </c>
      <c r="AW1361" s="147" t="s">
        <v>66</v>
      </c>
      <c r="AX1361" s="159"/>
      <c r="AY1361" s="159"/>
      <c r="AZ1361" s="159"/>
      <c r="BA1361" s="159"/>
    </row>
    <row r="1362" spans="1:53" x14ac:dyDescent="0.25">
      <c r="A1362" s="157">
        <v>248</v>
      </c>
      <c r="B1362" s="155">
        <v>44909.6875</v>
      </c>
      <c r="C1362" s="150">
        <v>0.69444444444444453</v>
      </c>
      <c r="D1362" s="150">
        <v>0.70138888888888884</v>
      </c>
      <c r="E1362" s="150">
        <v>0.71875</v>
      </c>
      <c r="F1362" s="151" t="s">
        <v>171</v>
      </c>
      <c r="G1362" s="151" t="s">
        <v>278</v>
      </c>
      <c r="H1362" s="146" t="s">
        <v>91</v>
      </c>
      <c r="I1362" s="146" t="s">
        <v>318</v>
      </c>
      <c r="J1362" s="146" t="s">
        <v>41</v>
      </c>
      <c r="K1362" s="149" t="s">
        <v>180</v>
      </c>
      <c r="L1362" s="149" t="s">
        <v>206</v>
      </c>
      <c r="M1362" s="151" t="s">
        <v>3606</v>
      </c>
      <c r="N1362" s="151" t="s">
        <v>44</v>
      </c>
      <c r="O1362" s="151">
        <v>1054969951</v>
      </c>
      <c r="P1362" s="151">
        <v>1214035429</v>
      </c>
      <c r="Q1362" s="303">
        <f t="shared" si="121"/>
        <v>4</v>
      </c>
      <c r="R1362" s="303">
        <f t="shared" si="122"/>
        <v>852</v>
      </c>
      <c r="S1362" s="151">
        <v>0</v>
      </c>
      <c r="T1362" s="151">
        <v>0</v>
      </c>
      <c r="U1362" s="151">
        <v>4</v>
      </c>
      <c r="V1362" s="151">
        <v>852</v>
      </c>
      <c r="W1362" s="151">
        <v>854</v>
      </c>
      <c r="X1362" s="151">
        <v>120</v>
      </c>
      <c r="Y1362" s="151">
        <v>80</v>
      </c>
      <c r="Z1362" s="151">
        <v>78</v>
      </c>
      <c r="AA1362" s="151">
        <v>4</v>
      </c>
      <c r="AB1362" s="300">
        <f t="shared" si="123"/>
        <v>499.2</v>
      </c>
      <c r="AC1362" s="300">
        <f t="shared" si="124"/>
        <v>3.0072289156626506</v>
      </c>
      <c r="AD1362" s="151">
        <v>46479.85</v>
      </c>
      <c r="AE1362" s="151" t="s">
        <v>109</v>
      </c>
      <c r="AF1362" s="151" t="s">
        <v>317</v>
      </c>
      <c r="AG1362" s="151" t="s">
        <v>317</v>
      </c>
      <c r="AH1362" s="151" t="s">
        <v>3608</v>
      </c>
      <c r="AI1362" s="309"/>
      <c r="AJ1362" s="309"/>
      <c r="AK1362" s="151" t="s">
        <v>37</v>
      </c>
      <c r="AL1362" s="151" t="s">
        <v>54</v>
      </c>
      <c r="AM1362" s="299">
        <f t="shared" ca="1" si="120"/>
        <v>0.9375</v>
      </c>
      <c r="AN1362" s="158"/>
      <c r="AO1362" s="147" t="s">
        <v>323</v>
      </c>
      <c r="AP1362" s="45" t="s">
        <v>3606</v>
      </c>
      <c r="AQ1362" s="62" t="s">
        <v>3690</v>
      </c>
      <c r="AR1362" s="64">
        <v>44910.625</v>
      </c>
      <c r="AS1362" s="147" t="s">
        <v>298</v>
      </c>
      <c r="AT1362" s="147" t="s">
        <v>65</v>
      </c>
      <c r="AU1362" s="110">
        <v>0.625</v>
      </c>
      <c r="AV1362" s="147">
        <v>1</v>
      </c>
      <c r="AW1362" s="147" t="s">
        <v>66</v>
      </c>
      <c r="AX1362" s="159"/>
      <c r="AY1362" s="159"/>
      <c r="AZ1362" s="159"/>
      <c r="BA1362" s="159"/>
    </row>
    <row r="1363" spans="1:53" x14ac:dyDescent="0.25">
      <c r="A1363" s="157">
        <v>249</v>
      </c>
      <c r="B1363" s="155">
        <v>44909.6875</v>
      </c>
      <c r="C1363" s="150">
        <v>0.69444444444444453</v>
      </c>
      <c r="D1363" s="150">
        <v>0.70138888888888884</v>
      </c>
      <c r="E1363" s="150">
        <v>0.71875</v>
      </c>
      <c r="F1363" s="151" t="s">
        <v>171</v>
      </c>
      <c r="G1363" s="151" t="s">
        <v>278</v>
      </c>
      <c r="H1363" s="146" t="s">
        <v>91</v>
      </c>
      <c r="I1363" s="146" t="s">
        <v>318</v>
      </c>
      <c r="J1363" s="146" t="s">
        <v>41</v>
      </c>
      <c r="K1363" s="149" t="s">
        <v>180</v>
      </c>
      <c r="L1363" s="149" t="s">
        <v>206</v>
      </c>
      <c r="M1363" s="151" t="s">
        <v>3606</v>
      </c>
      <c r="N1363" s="151" t="s">
        <v>44</v>
      </c>
      <c r="O1363" s="151">
        <v>1054969952</v>
      </c>
      <c r="P1363" s="151">
        <v>1214035565</v>
      </c>
      <c r="Q1363" s="303">
        <f t="shared" si="121"/>
        <v>5</v>
      </c>
      <c r="R1363" s="303">
        <f t="shared" si="122"/>
        <v>1065</v>
      </c>
      <c r="S1363" s="151">
        <v>0</v>
      </c>
      <c r="T1363" s="151">
        <v>0</v>
      </c>
      <c r="U1363" s="151">
        <v>5</v>
      </c>
      <c r="V1363" s="151">
        <v>1065</v>
      </c>
      <c r="W1363" s="151">
        <v>1068</v>
      </c>
      <c r="X1363" s="151">
        <v>120</v>
      </c>
      <c r="Y1363" s="151">
        <v>80</v>
      </c>
      <c r="Z1363" s="151">
        <v>78</v>
      </c>
      <c r="AA1363" s="151">
        <v>5</v>
      </c>
      <c r="AB1363" s="300">
        <f t="shared" si="123"/>
        <v>624</v>
      </c>
      <c r="AC1363" s="300">
        <f t="shared" si="124"/>
        <v>3.7590361445783134</v>
      </c>
      <c r="AD1363" s="149">
        <v>58099.8</v>
      </c>
      <c r="AE1363" s="151" t="s">
        <v>109</v>
      </c>
      <c r="AF1363" s="151" t="s">
        <v>317</v>
      </c>
      <c r="AG1363" s="151" t="s">
        <v>317</v>
      </c>
      <c r="AH1363" s="151" t="s">
        <v>3609</v>
      </c>
      <c r="AI1363" s="309"/>
      <c r="AJ1363" s="309"/>
      <c r="AK1363" s="151" t="s">
        <v>37</v>
      </c>
      <c r="AL1363" s="151" t="s">
        <v>54</v>
      </c>
      <c r="AM1363" s="299">
        <f t="shared" ca="1" si="120"/>
        <v>0.9375</v>
      </c>
      <c r="AN1363" s="158"/>
      <c r="AO1363" s="147" t="s">
        <v>323</v>
      </c>
      <c r="AP1363" s="45" t="s">
        <v>3606</v>
      </c>
      <c r="AQ1363" s="62" t="s">
        <v>3690</v>
      </c>
      <c r="AR1363" s="64">
        <v>44910.625</v>
      </c>
      <c r="AS1363" s="147" t="s">
        <v>298</v>
      </c>
      <c r="AT1363" s="147" t="s">
        <v>65</v>
      </c>
      <c r="AU1363" s="110">
        <v>0.625</v>
      </c>
      <c r="AV1363" s="147">
        <v>1</v>
      </c>
      <c r="AW1363" s="147" t="s">
        <v>66</v>
      </c>
      <c r="AX1363" s="159"/>
      <c r="AY1363" s="159"/>
      <c r="AZ1363" s="159"/>
      <c r="BA1363" s="159"/>
    </row>
    <row r="1364" spans="1:53" x14ac:dyDescent="0.25">
      <c r="A1364" s="157">
        <v>250</v>
      </c>
      <c r="B1364" s="155">
        <v>44909.708333333336</v>
      </c>
      <c r="C1364" s="150">
        <v>0.70833333333333337</v>
      </c>
      <c r="D1364" s="150">
        <v>0.72222222222222221</v>
      </c>
      <c r="E1364" s="150">
        <v>0.72916666666666663</v>
      </c>
      <c r="F1364" s="151" t="s">
        <v>169</v>
      </c>
      <c r="G1364" s="151" t="s">
        <v>3610</v>
      </c>
      <c r="H1364" s="146" t="s">
        <v>164</v>
      </c>
      <c r="I1364" s="146" t="s">
        <v>80</v>
      </c>
      <c r="J1364" s="146" t="s">
        <v>41</v>
      </c>
      <c r="K1364" s="149" t="s">
        <v>241</v>
      </c>
      <c r="L1364" s="149" t="s">
        <v>319</v>
      </c>
      <c r="M1364" s="151" t="s">
        <v>3611</v>
      </c>
      <c r="N1364" s="151" t="s">
        <v>74</v>
      </c>
      <c r="O1364" s="151" t="s">
        <v>3612</v>
      </c>
      <c r="P1364" s="151" t="s">
        <v>3613</v>
      </c>
      <c r="Q1364" s="303">
        <f t="shared" si="121"/>
        <v>17</v>
      </c>
      <c r="R1364" s="303">
        <f t="shared" si="122"/>
        <v>150</v>
      </c>
      <c r="S1364" s="151">
        <v>17</v>
      </c>
      <c r="T1364" s="151">
        <v>150</v>
      </c>
      <c r="U1364" s="151">
        <v>0</v>
      </c>
      <c r="V1364" s="151">
        <v>0</v>
      </c>
      <c r="W1364" s="151">
        <v>144.18</v>
      </c>
      <c r="X1364" s="151">
        <v>58</v>
      </c>
      <c r="Y1364" s="151">
        <v>38</v>
      </c>
      <c r="Z1364" s="151">
        <v>30</v>
      </c>
      <c r="AA1364" s="151">
        <v>11</v>
      </c>
      <c r="AB1364" s="300">
        <f t="shared" si="123"/>
        <v>121.22</v>
      </c>
      <c r="AC1364" s="300">
        <f t="shared" si="124"/>
        <v>0.7302409638554217</v>
      </c>
      <c r="AD1364" s="149">
        <v>6878.4</v>
      </c>
      <c r="AE1364" s="151" t="s">
        <v>109</v>
      </c>
      <c r="AF1364" s="151">
        <v>6143162</v>
      </c>
      <c r="AG1364" s="151" t="s">
        <v>3589</v>
      </c>
      <c r="AH1364" s="151" t="s">
        <v>3614</v>
      </c>
      <c r="AI1364" s="309"/>
      <c r="AJ1364" s="309"/>
      <c r="AK1364" s="151" t="s">
        <v>48</v>
      </c>
      <c r="AL1364" s="151" t="s">
        <v>56</v>
      </c>
      <c r="AM1364" s="299">
        <f t="shared" ca="1" si="120"/>
        <v>5.9166666666642413</v>
      </c>
      <c r="AN1364" s="158"/>
      <c r="AO1364" s="189" t="s">
        <v>121</v>
      </c>
      <c r="AP1364" s="190" t="s">
        <v>3987</v>
      </c>
      <c r="AQ1364" s="191" t="s">
        <v>3988</v>
      </c>
      <c r="AR1364" s="192">
        <v>44915.625</v>
      </c>
      <c r="AS1364" s="186" t="s">
        <v>483</v>
      </c>
      <c r="AT1364" s="189" t="s">
        <v>225</v>
      </c>
      <c r="AU1364" s="191">
        <v>0.625</v>
      </c>
      <c r="AV1364" s="189">
        <v>2</v>
      </c>
      <c r="AW1364" s="189" t="s">
        <v>66</v>
      </c>
      <c r="AX1364" s="159"/>
      <c r="AY1364" s="159"/>
      <c r="AZ1364" s="159"/>
      <c r="BA1364" s="159"/>
    </row>
    <row r="1365" spans="1:53" x14ac:dyDescent="0.25">
      <c r="A1365" s="157">
        <v>250</v>
      </c>
      <c r="B1365" s="155">
        <v>44909.708333333336</v>
      </c>
      <c r="C1365" s="150">
        <v>0.70833333333333337</v>
      </c>
      <c r="D1365" s="150">
        <v>0.72222222222222221</v>
      </c>
      <c r="E1365" s="150">
        <v>0.72916666666666663</v>
      </c>
      <c r="F1365" s="151" t="s">
        <v>169</v>
      </c>
      <c r="G1365" s="151" t="s">
        <v>3610</v>
      </c>
      <c r="H1365" s="146" t="s">
        <v>164</v>
      </c>
      <c r="I1365" s="146" t="s">
        <v>80</v>
      </c>
      <c r="J1365" s="146" t="s">
        <v>41</v>
      </c>
      <c r="K1365" s="149" t="s">
        <v>241</v>
      </c>
      <c r="L1365" s="149" t="s">
        <v>319</v>
      </c>
      <c r="M1365" s="151" t="s">
        <v>3611</v>
      </c>
      <c r="N1365" s="151" t="s">
        <v>74</v>
      </c>
      <c r="O1365" s="151" t="s">
        <v>3612</v>
      </c>
      <c r="P1365" s="151" t="s">
        <v>3613</v>
      </c>
      <c r="Q1365" s="303">
        <f t="shared" si="121"/>
        <v>0</v>
      </c>
      <c r="R1365" s="303">
        <f t="shared" si="122"/>
        <v>0</v>
      </c>
      <c r="S1365" s="151">
        <v>0</v>
      </c>
      <c r="T1365" s="151">
        <v>0</v>
      </c>
      <c r="U1365" s="151">
        <v>0</v>
      </c>
      <c r="V1365" s="151">
        <v>0</v>
      </c>
      <c r="W1365" s="151">
        <v>0</v>
      </c>
      <c r="X1365" s="151">
        <v>59</v>
      </c>
      <c r="Y1365" s="151">
        <v>47</v>
      </c>
      <c r="Z1365" s="151">
        <v>26</v>
      </c>
      <c r="AA1365" s="151">
        <v>6</v>
      </c>
      <c r="AB1365" s="300">
        <f t="shared" si="123"/>
        <v>72.097999999999999</v>
      </c>
      <c r="AC1365" s="300">
        <f t="shared" si="124"/>
        <v>0.43432530120481927</v>
      </c>
      <c r="AD1365" s="151">
        <v>0</v>
      </c>
      <c r="AE1365" s="151">
        <v>0</v>
      </c>
      <c r="AF1365" s="151">
        <v>6143162</v>
      </c>
      <c r="AG1365" s="151" t="s">
        <v>3589</v>
      </c>
      <c r="AH1365" s="151" t="s">
        <v>3614</v>
      </c>
      <c r="AI1365" s="309"/>
      <c r="AJ1365" s="309"/>
      <c r="AK1365" s="151" t="s">
        <v>48</v>
      </c>
      <c r="AL1365" s="151" t="s">
        <v>56</v>
      </c>
      <c r="AM1365" s="299">
        <f t="shared" ca="1" si="120"/>
        <v>5.9166666666642413</v>
      </c>
      <c r="AN1365" s="158"/>
      <c r="AO1365" s="189" t="s">
        <v>121</v>
      </c>
      <c r="AP1365" s="190" t="s">
        <v>3987</v>
      </c>
      <c r="AQ1365" s="191" t="s">
        <v>3988</v>
      </c>
      <c r="AR1365" s="192">
        <v>44915.625</v>
      </c>
      <c r="AS1365" s="186" t="s">
        <v>483</v>
      </c>
      <c r="AT1365" s="189" t="s">
        <v>225</v>
      </c>
      <c r="AU1365" s="191">
        <v>0.625</v>
      </c>
      <c r="AV1365" s="189">
        <v>2</v>
      </c>
      <c r="AW1365" s="189" t="s">
        <v>66</v>
      </c>
      <c r="AX1365" s="159"/>
      <c r="AY1365" s="159"/>
      <c r="AZ1365" s="159"/>
      <c r="BA1365" s="159"/>
    </row>
    <row r="1366" spans="1:53" x14ac:dyDescent="0.25">
      <c r="A1366" s="157">
        <v>251</v>
      </c>
      <c r="B1366" s="155">
        <v>44909.708333333336</v>
      </c>
      <c r="C1366" s="150">
        <v>0.70833333333333337</v>
      </c>
      <c r="D1366" s="150">
        <v>0.72222222222222221</v>
      </c>
      <c r="E1366" s="150">
        <v>0.72916666666666663</v>
      </c>
      <c r="F1366" s="151" t="s">
        <v>169</v>
      </c>
      <c r="G1366" s="151" t="s">
        <v>3610</v>
      </c>
      <c r="H1366" s="146" t="s">
        <v>164</v>
      </c>
      <c r="I1366" s="146" t="s">
        <v>80</v>
      </c>
      <c r="J1366" s="146" t="s">
        <v>41</v>
      </c>
      <c r="K1366" s="149" t="s">
        <v>241</v>
      </c>
      <c r="L1366" s="149" t="s">
        <v>319</v>
      </c>
      <c r="M1366" s="151" t="s">
        <v>3615</v>
      </c>
      <c r="N1366" s="151" t="s">
        <v>42</v>
      </c>
      <c r="O1366" s="151" t="s">
        <v>3616</v>
      </c>
      <c r="P1366" s="151" t="s">
        <v>3617</v>
      </c>
      <c r="Q1366" s="303">
        <f t="shared" si="121"/>
        <v>28</v>
      </c>
      <c r="R1366" s="303">
        <f t="shared" si="122"/>
        <v>232</v>
      </c>
      <c r="S1366" s="151">
        <v>28</v>
      </c>
      <c r="T1366" s="151">
        <v>232</v>
      </c>
      <c r="U1366" s="151">
        <v>0</v>
      </c>
      <c r="V1366" s="151">
        <v>0</v>
      </c>
      <c r="W1366" s="151">
        <v>216.5</v>
      </c>
      <c r="X1366" s="151">
        <v>58</v>
      </c>
      <c r="Y1366" s="151">
        <v>28</v>
      </c>
      <c r="Z1366" s="151">
        <v>30</v>
      </c>
      <c r="AA1366" s="151">
        <v>18</v>
      </c>
      <c r="AB1366" s="300">
        <f t="shared" si="123"/>
        <v>146.16</v>
      </c>
      <c r="AC1366" s="300">
        <f t="shared" si="124"/>
        <v>0.88048192771084333</v>
      </c>
      <c r="AD1366" s="151">
        <v>13001.4</v>
      </c>
      <c r="AE1366" s="151" t="s">
        <v>109</v>
      </c>
      <c r="AF1366" s="151">
        <v>6145492</v>
      </c>
      <c r="AG1366" s="151" t="s">
        <v>3618</v>
      </c>
      <c r="AH1366" s="151" t="s">
        <v>3619</v>
      </c>
      <c r="AI1366" s="309"/>
      <c r="AJ1366" s="309"/>
      <c r="AK1366" s="151" t="s">
        <v>48</v>
      </c>
      <c r="AL1366" s="151" t="s">
        <v>56</v>
      </c>
      <c r="AM1366" s="299">
        <f t="shared" ca="1" si="120"/>
        <v>7.8333333333284827</v>
      </c>
      <c r="AN1366" s="158"/>
      <c r="AO1366" s="191" t="s">
        <v>93</v>
      </c>
      <c r="AP1366" s="190" t="s">
        <v>4174</v>
      </c>
      <c r="AQ1366" s="189" t="s">
        <v>4175</v>
      </c>
      <c r="AR1366" s="192">
        <v>44917.541666666664</v>
      </c>
      <c r="AS1366" s="191" t="s">
        <v>290</v>
      </c>
      <c r="AT1366" s="189" t="s">
        <v>65</v>
      </c>
      <c r="AU1366" s="191">
        <v>0.54166666666666663</v>
      </c>
      <c r="AV1366" s="189">
        <v>1</v>
      </c>
      <c r="AW1366" s="189" t="s">
        <v>66</v>
      </c>
      <c r="AX1366" s="159"/>
      <c r="AY1366" s="159"/>
      <c r="AZ1366" s="159"/>
      <c r="BA1366" s="159"/>
    </row>
    <row r="1367" spans="1:53" x14ac:dyDescent="0.25">
      <c r="A1367" s="157">
        <v>251</v>
      </c>
      <c r="B1367" s="155">
        <v>44909.708333333336</v>
      </c>
      <c r="C1367" s="150">
        <v>0.70833333333333337</v>
      </c>
      <c r="D1367" s="150">
        <v>0.72222222222222221</v>
      </c>
      <c r="E1367" s="150">
        <v>0.72916666666666663</v>
      </c>
      <c r="F1367" s="151" t="s">
        <v>169</v>
      </c>
      <c r="G1367" s="151" t="s">
        <v>3610</v>
      </c>
      <c r="H1367" s="146" t="s">
        <v>164</v>
      </c>
      <c r="I1367" s="146" t="s">
        <v>80</v>
      </c>
      <c r="J1367" s="146" t="s">
        <v>41</v>
      </c>
      <c r="K1367" s="149" t="s">
        <v>241</v>
      </c>
      <c r="L1367" s="149" t="s">
        <v>319</v>
      </c>
      <c r="M1367" s="151" t="s">
        <v>3615</v>
      </c>
      <c r="N1367" s="151" t="s">
        <v>42</v>
      </c>
      <c r="O1367" s="151" t="s">
        <v>3616</v>
      </c>
      <c r="P1367" s="151" t="s">
        <v>3617</v>
      </c>
      <c r="Q1367" s="303">
        <f t="shared" si="121"/>
        <v>0</v>
      </c>
      <c r="R1367" s="303">
        <f t="shared" si="122"/>
        <v>0</v>
      </c>
      <c r="S1367" s="151">
        <v>0</v>
      </c>
      <c r="T1367" s="151">
        <v>0</v>
      </c>
      <c r="U1367" s="151">
        <v>0</v>
      </c>
      <c r="V1367" s="151">
        <v>0</v>
      </c>
      <c r="W1367" s="151">
        <v>0</v>
      </c>
      <c r="X1367" s="151">
        <v>59</v>
      </c>
      <c r="Y1367" s="151">
        <v>47</v>
      </c>
      <c r="Z1367" s="151">
        <v>26</v>
      </c>
      <c r="AA1367" s="151">
        <v>10</v>
      </c>
      <c r="AB1367" s="300">
        <f t="shared" si="123"/>
        <v>120.16333333333333</v>
      </c>
      <c r="AC1367" s="300">
        <f t="shared" si="124"/>
        <v>0.72387550200803208</v>
      </c>
      <c r="AD1367" s="151">
        <v>0</v>
      </c>
      <c r="AE1367" s="151">
        <v>0</v>
      </c>
      <c r="AF1367" s="151">
        <v>6145492</v>
      </c>
      <c r="AG1367" s="151" t="s">
        <v>3618</v>
      </c>
      <c r="AH1367" s="151" t="s">
        <v>3619</v>
      </c>
      <c r="AI1367" s="309"/>
      <c r="AJ1367" s="309"/>
      <c r="AK1367" s="151" t="s">
        <v>48</v>
      </c>
      <c r="AL1367" s="151" t="s">
        <v>56</v>
      </c>
      <c r="AM1367" s="299">
        <f t="shared" ca="1" si="120"/>
        <v>7.8333333333284827</v>
      </c>
      <c r="AN1367" s="158"/>
      <c r="AO1367" s="191" t="s">
        <v>93</v>
      </c>
      <c r="AP1367" s="190" t="s">
        <v>4174</v>
      </c>
      <c r="AQ1367" s="189" t="s">
        <v>4175</v>
      </c>
      <c r="AR1367" s="192">
        <v>44917.541666666664</v>
      </c>
      <c r="AS1367" s="191" t="s">
        <v>290</v>
      </c>
      <c r="AT1367" s="189" t="s">
        <v>65</v>
      </c>
      <c r="AU1367" s="191">
        <v>0.54166666666666663</v>
      </c>
      <c r="AV1367" s="189">
        <v>1</v>
      </c>
      <c r="AW1367" s="189" t="s">
        <v>66</v>
      </c>
      <c r="AX1367" s="159"/>
      <c r="AY1367" s="159"/>
      <c r="AZ1367" s="159"/>
      <c r="BA1367" s="159"/>
    </row>
    <row r="1368" spans="1:53" x14ac:dyDescent="0.25">
      <c r="A1368" s="157">
        <v>252</v>
      </c>
      <c r="B1368" s="155">
        <v>44909.715277777781</v>
      </c>
      <c r="C1368" s="150">
        <v>0.72222222222222221</v>
      </c>
      <c r="D1368" s="150">
        <v>0.72916666666666663</v>
      </c>
      <c r="E1368" s="150">
        <v>0.73611111111111116</v>
      </c>
      <c r="F1368" s="151" t="s">
        <v>171</v>
      </c>
      <c r="G1368" s="151" t="s">
        <v>200</v>
      </c>
      <c r="H1368" s="146" t="s">
        <v>400</v>
      </c>
      <c r="I1368" s="154" t="s">
        <v>401</v>
      </c>
      <c r="J1368" s="154" t="s">
        <v>37</v>
      </c>
      <c r="K1368" s="154" t="s">
        <v>180</v>
      </c>
      <c r="L1368" s="156" t="s">
        <v>206</v>
      </c>
      <c r="M1368" s="151" t="s">
        <v>3620</v>
      </c>
      <c r="N1368" s="151" t="s">
        <v>160</v>
      </c>
      <c r="O1368" s="151" t="s">
        <v>3621</v>
      </c>
      <c r="P1368" s="151">
        <v>9468274</v>
      </c>
      <c r="Q1368" s="303">
        <f t="shared" si="121"/>
        <v>8</v>
      </c>
      <c r="R1368" s="303">
        <f t="shared" si="122"/>
        <v>61</v>
      </c>
      <c r="S1368" s="151">
        <v>8</v>
      </c>
      <c r="T1368" s="151">
        <v>61</v>
      </c>
      <c r="U1368" s="151">
        <v>0</v>
      </c>
      <c r="V1368" s="151">
        <v>0</v>
      </c>
      <c r="W1368" s="151">
        <v>69</v>
      </c>
      <c r="X1368" s="151">
        <v>36</v>
      </c>
      <c r="Y1368" s="151">
        <v>29</v>
      </c>
      <c r="Z1368" s="151">
        <v>29</v>
      </c>
      <c r="AA1368" s="151">
        <v>8</v>
      </c>
      <c r="AB1368" s="300">
        <f t="shared" si="123"/>
        <v>40.368000000000002</v>
      </c>
      <c r="AC1368" s="300">
        <f t="shared" si="124"/>
        <v>0.24318072289156628</v>
      </c>
      <c r="AD1368" s="151">
        <v>5166.08</v>
      </c>
      <c r="AE1368" s="151" t="s">
        <v>109</v>
      </c>
      <c r="AF1368" s="151" t="s">
        <v>317</v>
      </c>
      <c r="AG1368" s="151" t="s">
        <v>317</v>
      </c>
      <c r="AH1368" s="151" t="s">
        <v>3622</v>
      </c>
      <c r="AI1368" s="309"/>
      <c r="AJ1368" s="309"/>
      <c r="AK1368" s="151" t="s">
        <v>48</v>
      </c>
      <c r="AL1368" s="151" t="s">
        <v>56</v>
      </c>
      <c r="AM1368" s="299">
        <f t="shared" ca="1" si="120"/>
        <v>1.8229166666642413</v>
      </c>
      <c r="AN1368" s="158"/>
      <c r="AO1368" s="147" t="s">
        <v>229</v>
      </c>
      <c r="AP1368" s="62" t="s">
        <v>3620</v>
      </c>
      <c r="AQ1368" s="147" t="s">
        <v>3768</v>
      </c>
      <c r="AR1368" s="64">
        <v>44911.538194444445</v>
      </c>
      <c r="AS1368" s="147" t="s">
        <v>136</v>
      </c>
      <c r="AT1368" s="147" t="s">
        <v>225</v>
      </c>
      <c r="AU1368" s="110">
        <v>0.53819444444444442</v>
      </c>
      <c r="AV1368" s="147">
        <v>1</v>
      </c>
      <c r="AW1368" s="147" t="s">
        <v>66</v>
      </c>
      <c r="AX1368" s="159"/>
      <c r="AY1368" s="159"/>
      <c r="AZ1368" s="159"/>
      <c r="BA1368" s="159"/>
    </row>
    <row r="1369" spans="1:53" x14ac:dyDescent="0.25">
      <c r="A1369" s="157">
        <v>253</v>
      </c>
      <c r="B1369" s="155">
        <v>44909.739583333336</v>
      </c>
      <c r="C1369" s="150">
        <v>0.74305555555555547</v>
      </c>
      <c r="D1369" s="150">
        <v>0.75694444444444453</v>
      </c>
      <c r="E1369" s="150">
        <v>0.76736111111111116</v>
      </c>
      <c r="F1369" s="151" t="s">
        <v>171</v>
      </c>
      <c r="G1369" s="151" t="s">
        <v>133</v>
      </c>
      <c r="H1369" s="151" t="s">
        <v>91</v>
      </c>
      <c r="I1369" s="151" t="s">
        <v>318</v>
      </c>
      <c r="J1369" s="151" t="s">
        <v>41</v>
      </c>
      <c r="K1369" s="151" t="s">
        <v>180</v>
      </c>
      <c r="L1369" s="151" t="s">
        <v>206</v>
      </c>
      <c r="M1369" s="151" t="s">
        <v>3623</v>
      </c>
      <c r="N1369" s="151" t="s">
        <v>44</v>
      </c>
      <c r="O1369" s="151">
        <v>1054969865</v>
      </c>
      <c r="P1369" s="151">
        <v>1214010767</v>
      </c>
      <c r="Q1369" s="303">
        <f t="shared" si="121"/>
        <v>15</v>
      </c>
      <c r="R1369" s="303">
        <f t="shared" si="122"/>
        <v>2379</v>
      </c>
      <c r="S1369" s="151">
        <v>0</v>
      </c>
      <c r="T1369" s="151">
        <v>0</v>
      </c>
      <c r="U1369" s="151">
        <v>15</v>
      </c>
      <c r="V1369" s="151">
        <v>2379</v>
      </c>
      <c r="W1369" s="151">
        <v>2310</v>
      </c>
      <c r="X1369" s="151">
        <v>132</v>
      </c>
      <c r="Y1369" s="151">
        <v>76</v>
      </c>
      <c r="Z1369" s="151">
        <v>72</v>
      </c>
      <c r="AA1369" s="151">
        <v>15</v>
      </c>
      <c r="AB1369" s="300">
        <f t="shared" si="123"/>
        <v>1805.76</v>
      </c>
      <c r="AC1369" s="300">
        <f t="shared" si="124"/>
        <v>10.878072289156627</v>
      </c>
      <c r="AD1369" s="151">
        <v>351192.14</v>
      </c>
      <c r="AE1369" s="151" t="s">
        <v>109</v>
      </c>
      <c r="AF1369" s="151" t="s">
        <v>317</v>
      </c>
      <c r="AG1369" s="151" t="s">
        <v>317</v>
      </c>
      <c r="AH1369" s="151" t="s">
        <v>3624</v>
      </c>
      <c r="AI1369" s="309"/>
      <c r="AJ1369" s="309"/>
      <c r="AK1369" s="151" t="s">
        <v>41</v>
      </c>
      <c r="AL1369" s="151" t="s">
        <v>39</v>
      </c>
      <c r="AM1369" s="299">
        <f t="shared" ca="1" si="120"/>
        <v>0.88541666666424135</v>
      </c>
      <c r="AN1369" s="158"/>
      <c r="AO1369" s="147" t="s">
        <v>323</v>
      </c>
      <c r="AP1369" s="45" t="s">
        <v>3623</v>
      </c>
      <c r="AQ1369" s="62" t="s">
        <v>3690</v>
      </c>
      <c r="AR1369" s="64">
        <v>44910.625</v>
      </c>
      <c r="AS1369" s="104" t="s">
        <v>117</v>
      </c>
      <c r="AT1369" s="147" t="s">
        <v>225</v>
      </c>
      <c r="AU1369" s="110">
        <v>0.625</v>
      </c>
      <c r="AV1369" s="147">
        <v>2</v>
      </c>
      <c r="AW1369" s="147" t="s">
        <v>66</v>
      </c>
      <c r="AX1369" s="159"/>
      <c r="AY1369" s="159"/>
      <c r="AZ1369" s="159"/>
      <c r="BA1369" s="159"/>
    </row>
    <row r="1370" spans="1:53" x14ac:dyDescent="0.25">
      <c r="A1370" s="48">
        <v>254</v>
      </c>
      <c r="B1370" s="155">
        <v>44909.777777777781</v>
      </c>
      <c r="C1370" s="150">
        <v>0.77777777777777779</v>
      </c>
      <c r="D1370" s="150">
        <v>0.78472222222222221</v>
      </c>
      <c r="E1370" s="150">
        <v>0.79166666666666663</v>
      </c>
      <c r="F1370" s="151" t="s">
        <v>171</v>
      </c>
      <c r="G1370" s="151" t="s">
        <v>244</v>
      </c>
      <c r="H1370" s="151" t="s">
        <v>292</v>
      </c>
      <c r="I1370" s="151" t="s">
        <v>118</v>
      </c>
      <c r="J1370" s="151" t="s">
        <v>37</v>
      </c>
      <c r="K1370" s="151" t="s">
        <v>180</v>
      </c>
      <c r="L1370" s="151" t="s">
        <v>206</v>
      </c>
      <c r="M1370" s="151" t="s">
        <v>3625</v>
      </c>
      <c r="N1370" s="151" t="s">
        <v>44</v>
      </c>
      <c r="O1370" s="151">
        <v>226076417</v>
      </c>
      <c r="P1370" s="151">
        <v>18141</v>
      </c>
      <c r="Q1370" s="303">
        <f t="shared" si="121"/>
        <v>2</v>
      </c>
      <c r="R1370" s="303">
        <f t="shared" si="122"/>
        <v>37</v>
      </c>
      <c r="S1370" s="151">
        <v>2</v>
      </c>
      <c r="T1370" s="151">
        <v>37</v>
      </c>
      <c r="U1370" s="151">
        <v>0</v>
      </c>
      <c r="V1370" s="151">
        <v>0</v>
      </c>
      <c r="W1370" s="151">
        <v>37</v>
      </c>
      <c r="X1370" s="151">
        <v>43</v>
      </c>
      <c r="Y1370" s="151">
        <v>34</v>
      </c>
      <c r="Z1370" s="151">
        <v>35</v>
      </c>
      <c r="AA1370" s="151">
        <v>2</v>
      </c>
      <c r="AB1370" s="300">
        <f t="shared" si="123"/>
        <v>17.056666666666668</v>
      </c>
      <c r="AC1370" s="300">
        <f t="shared" si="124"/>
        <v>0.10275100401606427</v>
      </c>
      <c r="AD1370" s="151">
        <v>6850</v>
      </c>
      <c r="AE1370" s="151" t="s">
        <v>109</v>
      </c>
      <c r="AF1370" s="151" t="s">
        <v>317</v>
      </c>
      <c r="AG1370" s="151" t="s">
        <v>317</v>
      </c>
      <c r="AH1370" s="151" t="s">
        <v>3626</v>
      </c>
      <c r="AI1370" s="309"/>
      <c r="AJ1370" s="309"/>
      <c r="AK1370" s="151" t="s">
        <v>48</v>
      </c>
      <c r="AL1370" s="151" t="s">
        <v>50</v>
      </c>
      <c r="AM1370" s="299">
        <f t="shared" ca="1" si="120"/>
        <v>1.71875</v>
      </c>
      <c r="AN1370" s="50"/>
      <c r="AO1370" s="147" t="s">
        <v>53</v>
      </c>
      <c r="AP1370" s="62" t="s">
        <v>3625</v>
      </c>
      <c r="AQ1370" s="147" t="s">
        <v>3766</v>
      </c>
      <c r="AR1370" s="64">
        <v>44911.496527777781</v>
      </c>
      <c r="AS1370" s="104" t="s">
        <v>173</v>
      </c>
      <c r="AT1370" s="147" t="s">
        <v>225</v>
      </c>
      <c r="AU1370" s="110">
        <v>0.49652777777777773</v>
      </c>
      <c r="AV1370" s="147">
        <v>1</v>
      </c>
      <c r="AW1370" s="147" t="s">
        <v>66</v>
      </c>
      <c r="AX1370" s="52"/>
      <c r="AY1370" s="52"/>
      <c r="AZ1370" s="52"/>
      <c r="BA1370" s="52"/>
    </row>
    <row r="1371" spans="1:53" x14ac:dyDescent="0.25">
      <c r="A1371" s="48">
        <v>255</v>
      </c>
      <c r="B1371" s="155">
        <v>44909.798611111109</v>
      </c>
      <c r="C1371" s="150">
        <v>0.79861111111111116</v>
      </c>
      <c r="D1371" s="150">
        <v>0.80555555555555547</v>
      </c>
      <c r="E1371" s="150">
        <v>0.80902777777777779</v>
      </c>
      <c r="F1371" s="151" t="s">
        <v>169</v>
      </c>
      <c r="G1371" s="151" t="s">
        <v>3627</v>
      </c>
      <c r="H1371" s="151" t="s">
        <v>410</v>
      </c>
      <c r="I1371" s="151" t="s">
        <v>411</v>
      </c>
      <c r="J1371" s="151" t="s">
        <v>37</v>
      </c>
      <c r="K1371" s="151" t="s">
        <v>233</v>
      </c>
      <c r="L1371" s="151" t="s">
        <v>208</v>
      </c>
      <c r="M1371" s="151" t="s">
        <v>3628</v>
      </c>
      <c r="N1371" s="151" t="s">
        <v>38</v>
      </c>
      <c r="O1371" s="151" t="s">
        <v>3629</v>
      </c>
      <c r="P1371" s="151" t="s">
        <v>3630</v>
      </c>
      <c r="Q1371" s="303">
        <f t="shared" si="121"/>
        <v>38</v>
      </c>
      <c r="R1371" s="303">
        <f t="shared" si="122"/>
        <v>358</v>
      </c>
      <c r="S1371" s="151">
        <v>38</v>
      </c>
      <c r="T1371" s="151">
        <v>358</v>
      </c>
      <c r="U1371" s="151">
        <v>0</v>
      </c>
      <c r="V1371" s="151">
        <v>0</v>
      </c>
      <c r="W1371" s="151">
        <v>395</v>
      </c>
      <c r="X1371" s="151">
        <v>40</v>
      </c>
      <c r="Y1371" s="151">
        <v>16</v>
      </c>
      <c r="Z1371" s="151">
        <v>23</v>
      </c>
      <c r="AA1371" s="151">
        <v>1</v>
      </c>
      <c r="AB1371" s="300">
        <f t="shared" si="123"/>
        <v>2.4533333333333331</v>
      </c>
      <c r="AC1371" s="300">
        <f t="shared" si="124"/>
        <v>1.4779116465863452E-2</v>
      </c>
      <c r="AD1371" s="151">
        <v>8531.5400000000009</v>
      </c>
      <c r="AE1371" s="151" t="s">
        <v>109</v>
      </c>
      <c r="AF1371" s="151" t="s">
        <v>3631</v>
      </c>
      <c r="AG1371" s="151" t="s">
        <v>3589</v>
      </c>
      <c r="AH1371" s="151" t="s">
        <v>3632</v>
      </c>
      <c r="AI1371" s="309"/>
      <c r="AJ1371" s="309"/>
      <c r="AK1371" s="151" t="s">
        <v>48</v>
      </c>
      <c r="AL1371" s="151" t="s">
        <v>56</v>
      </c>
      <c r="AM1371" s="299">
        <f t="shared" ca="1" si="120"/>
        <v>7.9513888888905058</v>
      </c>
      <c r="AN1371" s="42"/>
      <c r="AO1371" s="191" t="s">
        <v>427</v>
      </c>
      <c r="AP1371" s="190" t="s">
        <v>3628</v>
      </c>
      <c r="AQ1371" s="189" t="s">
        <v>4179</v>
      </c>
      <c r="AR1371" s="192">
        <v>44917.75</v>
      </c>
      <c r="AS1371" s="186" t="s">
        <v>173</v>
      </c>
      <c r="AT1371" s="189" t="s">
        <v>225</v>
      </c>
      <c r="AU1371" s="191">
        <v>0.75</v>
      </c>
      <c r="AV1371" s="189">
        <v>2</v>
      </c>
      <c r="AW1371" s="189" t="s">
        <v>66</v>
      </c>
      <c r="AX1371" s="52"/>
      <c r="AY1371" s="52"/>
      <c r="AZ1371" s="52"/>
      <c r="BA1371" s="52"/>
    </row>
    <row r="1372" spans="1:53" x14ac:dyDescent="0.25">
      <c r="A1372" s="157">
        <v>255</v>
      </c>
      <c r="B1372" s="155">
        <v>44909.798611111109</v>
      </c>
      <c r="C1372" s="150">
        <v>0.79861111111111116</v>
      </c>
      <c r="D1372" s="150">
        <v>0.80555555555555547</v>
      </c>
      <c r="E1372" s="150">
        <v>0.80902777777777779</v>
      </c>
      <c r="F1372" s="151" t="s">
        <v>169</v>
      </c>
      <c r="G1372" s="151" t="s">
        <v>3627</v>
      </c>
      <c r="H1372" s="151" t="s">
        <v>410</v>
      </c>
      <c r="I1372" s="151" t="s">
        <v>411</v>
      </c>
      <c r="J1372" s="151" t="s">
        <v>37</v>
      </c>
      <c r="K1372" s="151" t="s">
        <v>233</v>
      </c>
      <c r="L1372" s="151" t="s">
        <v>208</v>
      </c>
      <c r="M1372" s="151" t="s">
        <v>3628</v>
      </c>
      <c r="N1372" s="151" t="s">
        <v>38</v>
      </c>
      <c r="O1372" s="151" t="s">
        <v>3629</v>
      </c>
      <c r="P1372" s="151" t="s">
        <v>3630</v>
      </c>
      <c r="Q1372" s="303">
        <f t="shared" si="121"/>
        <v>0</v>
      </c>
      <c r="R1372" s="303">
        <f t="shared" si="122"/>
        <v>0</v>
      </c>
      <c r="S1372" s="151">
        <v>0</v>
      </c>
      <c r="T1372" s="151">
        <v>0</v>
      </c>
      <c r="U1372" s="151">
        <v>0</v>
      </c>
      <c r="V1372" s="151">
        <v>0</v>
      </c>
      <c r="W1372" s="151">
        <v>0</v>
      </c>
      <c r="X1372" s="151">
        <v>67</v>
      </c>
      <c r="Y1372" s="151">
        <v>45</v>
      </c>
      <c r="Z1372" s="151">
        <v>38</v>
      </c>
      <c r="AA1372" s="151">
        <v>24</v>
      </c>
      <c r="AB1372" s="300">
        <f t="shared" si="123"/>
        <v>458.28</v>
      </c>
      <c r="AC1372" s="300">
        <f t="shared" si="124"/>
        <v>2.7607228915662647</v>
      </c>
      <c r="AD1372" s="151">
        <v>0</v>
      </c>
      <c r="AE1372" s="151">
        <v>0</v>
      </c>
      <c r="AF1372" s="151" t="s">
        <v>3631</v>
      </c>
      <c r="AG1372" s="151" t="s">
        <v>3589</v>
      </c>
      <c r="AH1372" s="151" t="s">
        <v>3632</v>
      </c>
      <c r="AI1372" s="309"/>
      <c r="AJ1372" s="309"/>
      <c r="AK1372" s="151" t="s">
        <v>48</v>
      </c>
      <c r="AL1372" s="151" t="s">
        <v>56</v>
      </c>
      <c r="AM1372" s="299">
        <f t="shared" ca="1" si="120"/>
        <v>7.9513888888905058</v>
      </c>
      <c r="AN1372" s="42"/>
      <c r="AO1372" s="191" t="s">
        <v>427</v>
      </c>
      <c r="AP1372" s="190" t="s">
        <v>3628</v>
      </c>
      <c r="AQ1372" s="189" t="s">
        <v>4179</v>
      </c>
      <c r="AR1372" s="192">
        <v>44917.75</v>
      </c>
      <c r="AS1372" s="186" t="s">
        <v>173</v>
      </c>
      <c r="AT1372" s="189" t="s">
        <v>225</v>
      </c>
      <c r="AU1372" s="191">
        <v>0.75</v>
      </c>
      <c r="AV1372" s="189">
        <v>2</v>
      </c>
      <c r="AW1372" s="189" t="s">
        <v>66</v>
      </c>
      <c r="AX1372" s="52"/>
      <c r="AY1372" s="52"/>
      <c r="AZ1372" s="52"/>
      <c r="BA1372" s="52"/>
    </row>
    <row r="1373" spans="1:53" x14ac:dyDescent="0.25">
      <c r="A1373" s="157">
        <v>255</v>
      </c>
      <c r="B1373" s="155">
        <v>44909.798611111109</v>
      </c>
      <c r="C1373" s="150">
        <v>0.79861111111111116</v>
      </c>
      <c r="D1373" s="150">
        <v>0.80555555555555547</v>
      </c>
      <c r="E1373" s="150">
        <v>0.80902777777777779</v>
      </c>
      <c r="F1373" s="151" t="s">
        <v>169</v>
      </c>
      <c r="G1373" s="151" t="s">
        <v>3627</v>
      </c>
      <c r="H1373" s="151" t="s">
        <v>410</v>
      </c>
      <c r="I1373" s="151" t="s">
        <v>411</v>
      </c>
      <c r="J1373" s="151" t="s">
        <v>37</v>
      </c>
      <c r="K1373" s="151" t="s">
        <v>233</v>
      </c>
      <c r="L1373" s="151" t="s">
        <v>208</v>
      </c>
      <c r="M1373" s="151" t="s">
        <v>3628</v>
      </c>
      <c r="N1373" s="151" t="s">
        <v>38</v>
      </c>
      <c r="O1373" s="151" t="s">
        <v>3629</v>
      </c>
      <c r="P1373" s="151" t="s">
        <v>3630</v>
      </c>
      <c r="Q1373" s="303">
        <f t="shared" si="121"/>
        <v>0</v>
      </c>
      <c r="R1373" s="303">
        <f t="shared" si="122"/>
        <v>0</v>
      </c>
      <c r="S1373" s="151">
        <v>0</v>
      </c>
      <c r="T1373" s="151">
        <v>0</v>
      </c>
      <c r="U1373" s="151">
        <v>0</v>
      </c>
      <c r="V1373" s="151">
        <v>0</v>
      </c>
      <c r="W1373" s="151">
        <v>0</v>
      </c>
      <c r="X1373" s="151">
        <v>53</v>
      </c>
      <c r="Y1373" s="151">
        <v>45</v>
      </c>
      <c r="Z1373" s="151">
        <v>38</v>
      </c>
      <c r="AA1373" s="151">
        <v>12</v>
      </c>
      <c r="AB1373" s="300">
        <f t="shared" si="123"/>
        <v>181.26</v>
      </c>
      <c r="AC1373" s="300">
        <f t="shared" si="124"/>
        <v>1.0919277108433734</v>
      </c>
      <c r="AD1373" s="151">
        <v>0</v>
      </c>
      <c r="AE1373" s="151">
        <v>0</v>
      </c>
      <c r="AF1373" s="151" t="s">
        <v>3631</v>
      </c>
      <c r="AG1373" s="151" t="s">
        <v>3589</v>
      </c>
      <c r="AH1373" s="151" t="s">
        <v>3632</v>
      </c>
      <c r="AI1373" s="309"/>
      <c r="AJ1373" s="309"/>
      <c r="AK1373" s="151" t="s">
        <v>48</v>
      </c>
      <c r="AL1373" s="151" t="s">
        <v>56</v>
      </c>
      <c r="AM1373" s="299">
        <f t="shared" ca="1" si="120"/>
        <v>7.9513888888905058</v>
      </c>
      <c r="AN1373" s="42"/>
      <c r="AO1373" s="191" t="s">
        <v>427</v>
      </c>
      <c r="AP1373" s="190" t="s">
        <v>3628</v>
      </c>
      <c r="AQ1373" s="189" t="s">
        <v>4179</v>
      </c>
      <c r="AR1373" s="192">
        <v>44917.75</v>
      </c>
      <c r="AS1373" s="186" t="s">
        <v>173</v>
      </c>
      <c r="AT1373" s="189" t="s">
        <v>225</v>
      </c>
      <c r="AU1373" s="191">
        <v>0.75</v>
      </c>
      <c r="AV1373" s="189">
        <v>2</v>
      </c>
      <c r="AW1373" s="189" t="s">
        <v>66</v>
      </c>
      <c r="AX1373" s="52"/>
      <c r="AY1373" s="52"/>
      <c r="AZ1373" s="52"/>
      <c r="BA1373" s="52"/>
    </row>
    <row r="1374" spans="1:53" x14ac:dyDescent="0.25">
      <c r="A1374" s="157">
        <v>255</v>
      </c>
      <c r="B1374" s="155">
        <v>44909.798611111109</v>
      </c>
      <c r="C1374" s="150">
        <v>0.79861111111111116</v>
      </c>
      <c r="D1374" s="150">
        <v>0.80555555555555547</v>
      </c>
      <c r="E1374" s="150">
        <v>0.80902777777777779</v>
      </c>
      <c r="F1374" s="151" t="s">
        <v>169</v>
      </c>
      <c r="G1374" s="151" t="s">
        <v>3627</v>
      </c>
      <c r="H1374" s="151" t="s">
        <v>410</v>
      </c>
      <c r="I1374" s="151" t="s">
        <v>411</v>
      </c>
      <c r="J1374" s="151" t="s">
        <v>37</v>
      </c>
      <c r="K1374" s="151" t="s">
        <v>233</v>
      </c>
      <c r="L1374" s="151" t="s">
        <v>208</v>
      </c>
      <c r="M1374" s="151" t="s">
        <v>3628</v>
      </c>
      <c r="N1374" s="151" t="s">
        <v>38</v>
      </c>
      <c r="O1374" s="151" t="s">
        <v>3629</v>
      </c>
      <c r="P1374" s="151" t="s">
        <v>3630</v>
      </c>
      <c r="Q1374" s="303">
        <f t="shared" si="121"/>
        <v>0</v>
      </c>
      <c r="R1374" s="303">
        <f t="shared" si="122"/>
        <v>0</v>
      </c>
      <c r="S1374" s="151">
        <v>0</v>
      </c>
      <c r="T1374" s="151">
        <v>0</v>
      </c>
      <c r="U1374" s="151">
        <v>0</v>
      </c>
      <c r="V1374" s="151">
        <v>0</v>
      </c>
      <c r="W1374" s="151">
        <v>0</v>
      </c>
      <c r="X1374" s="151">
        <v>45</v>
      </c>
      <c r="Y1374" s="151">
        <v>39</v>
      </c>
      <c r="Z1374" s="151">
        <v>29</v>
      </c>
      <c r="AA1374" s="151">
        <v>1</v>
      </c>
      <c r="AB1374" s="300">
        <f t="shared" si="123"/>
        <v>8.4824999999999999</v>
      </c>
      <c r="AC1374" s="300">
        <f t="shared" si="124"/>
        <v>5.1099397590361445E-2</v>
      </c>
      <c r="AD1374" s="151">
        <v>0</v>
      </c>
      <c r="AE1374" s="151">
        <v>0</v>
      </c>
      <c r="AF1374" s="151" t="s">
        <v>3631</v>
      </c>
      <c r="AG1374" s="151" t="s">
        <v>3589</v>
      </c>
      <c r="AH1374" s="151" t="s">
        <v>3632</v>
      </c>
      <c r="AI1374" s="309"/>
      <c r="AJ1374" s="309"/>
      <c r="AK1374" s="151" t="s">
        <v>48</v>
      </c>
      <c r="AL1374" s="151" t="s">
        <v>56</v>
      </c>
      <c r="AM1374" s="299">
        <f t="shared" ca="1" si="120"/>
        <v>7.9513888888905058</v>
      </c>
      <c r="AN1374" s="42"/>
      <c r="AO1374" s="191" t="s">
        <v>427</v>
      </c>
      <c r="AP1374" s="190" t="s">
        <v>3628</v>
      </c>
      <c r="AQ1374" s="189" t="s">
        <v>4179</v>
      </c>
      <c r="AR1374" s="192">
        <v>44917.75</v>
      </c>
      <c r="AS1374" s="186" t="s">
        <v>173</v>
      </c>
      <c r="AT1374" s="189" t="s">
        <v>225</v>
      </c>
      <c r="AU1374" s="191">
        <v>0.75</v>
      </c>
      <c r="AV1374" s="189">
        <v>2</v>
      </c>
      <c r="AW1374" s="189" t="s">
        <v>66</v>
      </c>
      <c r="AX1374" s="52"/>
      <c r="AY1374" s="52"/>
      <c r="AZ1374" s="52"/>
      <c r="BA1374" s="52"/>
    </row>
    <row r="1375" spans="1:53" x14ac:dyDescent="0.25">
      <c r="A1375" s="48">
        <v>256</v>
      </c>
      <c r="B1375" s="46">
        <v>44910.416666666664</v>
      </c>
      <c r="C1375" s="36">
        <v>0.41666666666666669</v>
      </c>
      <c r="D1375" s="36">
        <v>0.42708333333333331</v>
      </c>
      <c r="E1375" s="36">
        <v>0.4375</v>
      </c>
      <c r="F1375" s="37" t="s">
        <v>171</v>
      </c>
      <c r="G1375" s="37" t="s">
        <v>173</v>
      </c>
      <c r="H1375" s="26" t="s">
        <v>396</v>
      </c>
      <c r="I1375" s="26" t="s">
        <v>174</v>
      </c>
      <c r="J1375" s="26" t="s">
        <v>37</v>
      </c>
      <c r="K1375" s="26" t="s">
        <v>180</v>
      </c>
      <c r="L1375" s="26" t="s">
        <v>206</v>
      </c>
      <c r="M1375" s="37" t="s">
        <v>3637</v>
      </c>
      <c r="N1375" s="37" t="s">
        <v>415</v>
      </c>
      <c r="O1375" s="37">
        <v>25192</v>
      </c>
      <c r="P1375" s="37">
        <v>830078</v>
      </c>
      <c r="Q1375" s="303">
        <f t="shared" si="121"/>
        <v>2</v>
      </c>
      <c r="R1375" s="303">
        <f t="shared" si="122"/>
        <v>38</v>
      </c>
      <c r="S1375" s="37">
        <v>2</v>
      </c>
      <c r="T1375" s="37">
        <v>38</v>
      </c>
      <c r="U1375" s="37">
        <v>0</v>
      </c>
      <c r="V1375" s="37">
        <v>0</v>
      </c>
      <c r="W1375" s="37">
        <v>40</v>
      </c>
      <c r="X1375" s="37">
        <v>40</v>
      </c>
      <c r="Y1375" s="37">
        <v>30</v>
      </c>
      <c r="Z1375" s="37">
        <v>19</v>
      </c>
      <c r="AA1375" s="37">
        <v>2</v>
      </c>
      <c r="AB1375" s="300">
        <f t="shared" si="123"/>
        <v>7.6</v>
      </c>
      <c r="AC1375" s="300">
        <f t="shared" si="124"/>
        <v>4.5783132530120479E-2</v>
      </c>
      <c r="AD1375" s="37">
        <v>1086</v>
      </c>
      <c r="AE1375" s="37" t="s">
        <v>111</v>
      </c>
      <c r="AF1375" s="37">
        <v>6155994</v>
      </c>
      <c r="AG1375" s="151" t="s">
        <v>3589</v>
      </c>
      <c r="AH1375" s="37" t="s">
        <v>3634</v>
      </c>
      <c r="AI1375" s="309"/>
      <c r="AJ1375" s="309"/>
      <c r="AK1375" s="151" t="s">
        <v>48</v>
      </c>
      <c r="AL1375" s="37" t="s">
        <v>49</v>
      </c>
      <c r="AM1375" s="299">
        <f t="shared" ca="1" si="120"/>
        <v>0.14583333333575865</v>
      </c>
      <c r="AN1375" s="50"/>
      <c r="AO1375" s="147" t="s">
        <v>402</v>
      </c>
      <c r="AP1375" s="62" t="s">
        <v>3637</v>
      </c>
      <c r="AQ1375" s="20" t="s">
        <v>3688</v>
      </c>
      <c r="AR1375" s="64">
        <v>44910.5625</v>
      </c>
      <c r="AS1375" s="104" t="s">
        <v>173</v>
      </c>
      <c r="AT1375" s="147" t="s">
        <v>225</v>
      </c>
      <c r="AU1375" s="110">
        <v>0.5625</v>
      </c>
      <c r="AV1375" s="147">
        <v>2</v>
      </c>
      <c r="AW1375" s="147" t="s">
        <v>66</v>
      </c>
      <c r="AX1375" s="52"/>
      <c r="AY1375" s="52"/>
      <c r="AZ1375" s="52"/>
      <c r="BA1375" s="52"/>
    </row>
    <row r="1376" spans="1:53" x14ac:dyDescent="0.25">
      <c r="A1376" s="48">
        <v>257</v>
      </c>
      <c r="B1376" s="155">
        <v>44910.416666666664</v>
      </c>
      <c r="C1376" s="150">
        <v>0.41666666666666669</v>
      </c>
      <c r="D1376" s="150">
        <v>0.42708333333333331</v>
      </c>
      <c r="E1376" s="150">
        <v>0.4375</v>
      </c>
      <c r="F1376" s="151" t="s">
        <v>171</v>
      </c>
      <c r="G1376" s="151" t="s">
        <v>173</v>
      </c>
      <c r="H1376" s="146" t="s">
        <v>396</v>
      </c>
      <c r="I1376" s="146" t="s">
        <v>174</v>
      </c>
      <c r="J1376" s="146" t="s">
        <v>37</v>
      </c>
      <c r="K1376" s="146" t="s">
        <v>180</v>
      </c>
      <c r="L1376" s="146" t="s">
        <v>206</v>
      </c>
      <c r="M1376" s="151" t="s">
        <v>3638</v>
      </c>
      <c r="N1376" s="151" t="s">
        <v>415</v>
      </c>
      <c r="O1376" s="37">
        <v>25196</v>
      </c>
      <c r="P1376" s="37">
        <v>801702</v>
      </c>
      <c r="Q1376" s="303">
        <f t="shared" si="121"/>
        <v>1</v>
      </c>
      <c r="R1376" s="303">
        <f t="shared" si="122"/>
        <v>3</v>
      </c>
      <c r="S1376" s="37">
        <v>1</v>
      </c>
      <c r="T1376" s="37">
        <v>3</v>
      </c>
      <c r="U1376" s="37">
        <v>0</v>
      </c>
      <c r="V1376" s="37">
        <v>0</v>
      </c>
      <c r="W1376" s="37">
        <v>4</v>
      </c>
      <c r="X1376" s="37">
        <v>30</v>
      </c>
      <c r="Y1376" s="37">
        <v>20</v>
      </c>
      <c r="Z1376" s="37">
        <v>10</v>
      </c>
      <c r="AA1376" s="37">
        <v>1</v>
      </c>
      <c r="AB1376" s="300">
        <f t="shared" si="123"/>
        <v>1</v>
      </c>
      <c r="AC1376" s="300">
        <f t="shared" si="124"/>
        <v>6.024096385542169E-3</v>
      </c>
      <c r="AD1376" s="37">
        <v>475</v>
      </c>
      <c r="AE1376" s="151" t="s">
        <v>111</v>
      </c>
      <c r="AF1376" s="151">
        <v>6155968</v>
      </c>
      <c r="AG1376" s="151" t="s">
        <v>3589</v>
      </c>
      <c r="AH1376" s="37" t="s">
        <v>48</v>
      </c>
      <c r="AI1376" s="309"/>
      <c r="AJ1376" s="309"/>
      <c r="AK1376" s="151" t="s">
        <v>406</v>
      </c>
      <c r="AL1376" s="151" t="s">
        <v>49</v>
      </c>
      <c r="AM1376" s="299">
        <f t="shared" ca="1" si="120"/>
        <v>0.14583333333575865</v>
      </c>
      <c r="AN1376" s="51"/>
      <c r="AO1376" s="147" t="s">
        <v>402</v>
      </c>
      <c r="AP1376" s="62" t="s">
        <v>3638</v>
      </c>
      <c r="AQ1376" s="20" t="s">
        <v>3688</v>
      </c>
      <c r="AR1376" s="64">
        <v>44910.5625</v>
      </c>
      <c r="AS1376" s="104" t="s">
        <v>173</v>
      </c>
      <c r="AT1376" s="147" t="s">
        <v>225</v>
      </c>
      <c r="AU1376" s="110">
        <v>0.5625</v>
      </c>
      <c r="AV1376" s="147">
        <v>2</v>
      </c>
      <c r="AW1376" s="147" t="s">
        <v>66</v>
      </c>
      <c r="AX1376" s="52"/>
      <c r="AY1376" s="52"/>
      <c r="AZ1376" s="52"/>
      <c r="BA1376" s="52"/>
    </row>
    <row r="1377" spans="1:53" x14ac:dyDescent="0.25">
      <c r="A1377" s="48">
        <v>258</v>
      </c>
      <c r="B1377" s="155">
        <v>44910.416666666664</v>
      </c>
      <c r="C1377" s="150">
        <v>0.41666666666666669</v>
      </c>
      <c r="D1377" s="150">
        <v>0.42708333333333331</v>
      </c>
      <c r="E1377" s="150">
        <v>0.4375</v>
      </c>
      <c r="F1377" s="151" t="s">
        <v>171</v>
      </c>
      <c r="G1377" s="151" t="s">
        <v>173</v>
      </c>
      <c r="H1377" s="146" t="s">
        <v>396</v>
      </c>
      <c r="I1377" s="146" t="s">
        <v>174</v>
      </c>
      <c r="J1377" s="146" t="s">
        <v>37</v>
      </c>
      <c r="K1377" s="146" t="s">
        <v>180</v>
      </c>
      <c r="L1377" s="146" t="s">
        <v>206</v>
      </c>
      <c r="M1377" s="151" t="s">
        <v>3638</v>
      </c>
      <c r="N1377" s="151" t="s">
        <v>415</v>
      </c>
      <c r="O1377" s="37">
        <v>25193</v>
      </c>
      <c r="P1377" s="37">
        <v>434123</v>
      </c>
      <c r="Q1377" s="303">
        <f t="shared" si="121"/>
        <v>1</v>
      </c>
      <c r="R1377" s="303">
        <f t="shared" si="122"/>
        <v>7</v>
      </c>
      <c r="S1377" s="37">
        <v>1</v>
      </c>
      <c r="T1377" s="37">
        <v>7</v>
      </c>
      <c r="U1377" s="37">
        <v>0</v>
      </c>
      <c r="V1377" s="37">
        <v>0</v>
      </c>
      <c r="W1377" s="37">
        <v>6</v>
      </c>
      <c r="X1377" s="37">
        <v>40</v>
      </c>
      <c r="Y1377" s="37">
        <v>30</v>
      </c>
      <c r="Z1377" s="37">
        <v>19</v>
      </c>
      <c r="AA1377" s="37">
        <v>1</v>
      </c>
      <c r="AB1377" s="300">
        <f t="shared" si="123"/>
        <v>3.8</v>
      </c>
      <c r="AC1377" s="300">
        <f t="shared" si="124"/>
        <v>2.289156626506024E-2</v>
      </c>
      <c r="AD1377" s="37">
        <v>128</v>
      </c>
      <c r="AE1377" s="151" t="s">
        <v>111</v>
      </c>
      <c r="AF1377" s="151">
        <v>6155968</v>
      </c>
      <c r="AG1377" s="151" t="s">
        <v>3589</v>
      </c>
      <c r="AH1377" s="151" t="s">
        <v>48</v>
      </c>
      <c r="AI1377" s="309"/>
      <c r="AJ1377" s="309"/>
      <c r="AK1377" s="151" t="s">
        <v>406</v>
      </c>
      <c r="AL1377" s="151" t="s">
        <v>49</v>
      </c>
      <c r="AM1377" s="299">
        <f t="shared" ca="1" si="120"/>
        <v>0.14583333333575865</v>
      </c>
      <c r="AN1377" s="51"/>
      <c r="AO1377" s="147" t="s">
        <v>402</v>
      </c>
      <c r="AP1377" s="62" t="s">
        <v>3638</v>
      </c>
      <c r="AQ1377" s="20" t="s">
        <v>3688</v>
      </c>
      <c r="AR1377" s="64">
        <v>44910.5625</v>
      </c>
      <c r="AS1377" s="104" t="s">
        <v>173</v>
      </c>
      <c r="AT1377" s="147" t="s">
        <v>225</v>
      </c>
      <c r="AU1377" s="110">
        <v>0.5625</v>
      </c>
      <c r="AV1377" s="147">
        <v>2</v>
      </c>
      <c r="AW1377" s="147" t="s">
        <v>66</v>
      </c>
      <c r="AX1377" s="52"/>
      <c r="AY1377" s="52"/>
      <c r="AZ1377" s="52"/>
      <c r="BA1377" s="52"/>
    </row>
    <row r="1378" spans="1:53" x14ac:dyDescent="0.25">
      <c r="A1378" s="48">
        <v>259</v>
      </c>
      <c r="B1378" s="155">
        <v>44910.416666666664</v>
      </c>
      <c r="C1378" s="150">
        <v>0.41666666666666669</v>
      </c>
      <c r="D1378" s="150">
        <v>0.42708333333333331</v>
      </c>
      <c r="E1378" s="150">
        <v>0.4375</v>
      </c>
      <c r="F1378" s="151" t="s">
        <v>171</v>
      </c>
      <c r="G1378" s="151" t="s">
        <v>173</v>
      </c>
      <c r="H1378" s="146" t="s">
        <v>396</v>
      </c>
      <c r="I1378" s="146" t="s">
        <v>174</v>
      </c>
      <c r="J1378" s="146" t="s">
        <v>37</v>
      </c>
      <c r="K1378" s="146" t="s">
        <v>180</v>
      </c>
      <c r="L1378" s="146" t="s">
        <v>206</v>
      </c>
      <c r="M1378" s="151" t="s">
        <v>3637</v>
      </c>
      <c r="N1378" s="151" t="s">
        <v>415</v>
      </c>
      <c r="O1378" s="37">
        <v>25191</v>
      </c>
      <c r="P1378" s="37">
        <v>790829</v>
      </c>
      <c r="Q1378" s="303">
        <f t="shared" si="121"/>
        <v>1</v>
      </c>
      <c r="R1378" s="303">
        <f t="shared" si="122"/>
        <v>16</v>
      </c>
      <c r="S1378" s="37">
        <v>1</v>
      </c>
      <c r="T1378" s="37">
        <v>16</v>
      </c>
      <c r="U1378" s="37">
        <v>0</v>
      </c>
      <c r="V1378" s="37">
        <v>0</v>
      </c>
      <c r="W1378" s="37">
        <v>15</v>
      </c>
      <c r="X1378" s="37">
        <v>40</v>
      </c>
      <c r="Y1378" s="37">
        <v>30</v>
      </c>
      <c r="Z1378" s="37">
        <v>19</v>
      </c>
      <c r="AA1378" s="37">
        <v>1</v>
      </c>
      <c r="AB1378" s="300">
        <f t="shared" si="123"/>
        <v>3.8</v>
      </c>
      <c r="AC1378" s="300">
        <f t="shared" si="124"/>
        <v>2.289156626506024E-2</v>
      </c>
      <c r="AD1378" s="37">
        <v>195</v>
      </c>
      <c r="AE1378" s="151" t="s">
        <v>111</v>
      </c>
      <c r="AF1378" s="151">
        <v>6155994</v>
      </c>
      <c r="AG1378" s="151" t="s">
        <v>3589</v>
      </c>
      <c r="AH1378" s="151" t="s">
        <v>48</v>
      </c>
      <c r="AI1378" s="309"/>
      <c r="AJ1378" s="309"/>
      <c r="AK1378" s="151" t="s">
        <v>406</v>
      </c>
      <c r="AL1378" s="151" t="s">
        <v>49</v>
      </c>
      <c r="AM1378" s="299">
        <f t="shared" ca="1" si="120"/>
        <v>0.14583333333575865</v>
      </c>
      <c r="AN1378" s="51"/>
      <c r="AO1378" s="147" t="s">
        <v>402</v>
      </c>
      <c r="AP1378" s="62" t="s">
        <v>3637</v>
      </c>
      <c r="AQ1378" s="20" t="s">
        <v>3688</v>
      </c>
      <c r="AR1378" s="64">
        <v>44910.5625</v>
      </c>
      <c r="AS1378" s="104" t="s">
        <v>173</v>
      </c>
      <c r="AT1378" s="147" t="s">
        <v>225</v>
      </c>
      <c r="AU1378" s="110">
        <v>0.5625</v>
      </c>
      <c r="AV1378" s="147">
        <v>2</v>
      </c>
      <c r="AW1378" s="147" t="s">
        <v>66</v>
      </c>
      <c r="AX1378" s="52"/>
      <c r="AY1378" s="52"/>
      <c r="AZ1378" s="52"/>
      <c r="BA1378" s="52"/>
    </row>
    <row r="1379" spans="1:53" x14ac:dyDescent="0.25">
      <c r="A1379" s="48">
        <v>260</v>
      </c>
      <c r="B1379" s="155">
        <v>44910.416666666664</v>
      </c>
      <c r="C1379" s="150">
        <v>0.41666666666666669</v>
      </c>
      <c r="D1379" s="150">
        <v>0.42708333333333331</v>
      </c>
      <c r="E1379" s="150">
        <v>0.4375</v>
      </c>
      <c r="F1379" s="151" t="s">
        <v>171</v>
      </c>
      <c r="G1379" s="151" t="s">
        <v>173</v>
      </c>
      <c r="H1379" s="146" t="s">
        <v>396</v>
      </c>
      <c r="I1379" s="146" t="s">
        <v>174</v>
      </c>
      <c r="J1379" s="146" t="s">
        <v>37</v>
      </c>
      <c r="K1379" s="146" t="s">
        <v>180</v>
      </c>
      <c r="L1379" s="146" t="s">
        <v>206</v>
      </c>
      <c r="M1379" s="151" t="s">
        <v>3637</v>
      </c>
      <c r="N1379" s="151" t="s">
        <v>415</v>
      </c>
      <c r="O1379" s="37">
        <v>25194</v>
      </c>
      <c r="P1379" s="37">
        <v>796092</v>
      </c>
      <c r="Q1379" s="303">
        <f t="shared" si="121"/>
        <v>4</v>
      </c>
      <c r="R1379" s="303">
        <f t="shared" si="122"/>
        <v>71</v>
      </c>
      <c r="S1379" s="37">
        <v>4</v>
      </c>
      <c r="T1379" s="37">
        <v>71</v>
      </c>
      <c r="U1379" s="37">
        <v>0</v>
      </c>
      <c r="V1379" s="37">
        <v>0</v>
      </c>
      <c r="W1379" s="37">
        <v>86</v>
      </c>
      <c r="X1379" s="37">
        <v>40</v>
      </c>
      <c r="Y1379" s="37">
        <v>30</v>
      </c>
      <c r="Z1379" s="37">
        <v>19</v>
      </c>
      <c r="AA1379" s="37">
        <v>4</v>
      </c>
      <c r="AB1379" s="300">
        <f t="shared" si="123"/>
        <v>15.2</v>
      </c>
      <c r="AC1379" s="300">
        <f t="shared" si="124"/>
        <v>9.1566265060240959E-2</v>
      </c>
      <c r="AD1379" s="37">
        <v>2040</v>
      </c>
      <c r="AE1379" s="151" t="s">
        <v>111</v>
      </c>
      <c r="AF1379" s="151">
        <v>6155994</v>
      </c>
      <c r="AG1379" s="151" t="s">
        <v>3589</v>
      </c>
      <c r="AH1379" s="151" t="s">
        <v>48</v>
      </c>
      <c r="AI1379" s="309"/>
      <c r="AJ1379" s="309"/>
      <c r="AK1379" s="151" t="s">
        <v>406</v>
      </c>
      <c r="AL1379" s="151" t="s">
        <v>49</v>
      </c>
      <c r="AM1379" s="299">
        <f t="shared" ca="1" si="120"/>
        <v>0.14583333333575865</v>
      </c>
      <c r="AN1379" s="51"/>
      <c r="AO1379" s="147" t="s">
        <v>402</v>
      </c>
      <c r="AP1379" s="62" t="s">
        <v>3637</v>
      </c>
      <c r="AQ1379" s="20" t="s">
        <v>3688</v>
      </c>
      <c r="AR1379" s="64">
        <v>44910.5625</v>
      </c>
      <c r="AS1379" s="104" t="s">
        <v>173</v>
      </c>
      <c r="AT1379" s="147" t="s">
        <v>225</v>
      </c>
      <c r="AU1379" s="110">
        <v>0.5625</v>
      </c>
      <c r="AV1379" s="147">
        <v>2</v>
      </c>
      <c r="AW1379" s="147" t="s">
        <v>66</v>
      </c>
      <c r="AX1379" s="52"/>
      <c r="AY1379" s="52"/>
      <c r="AZ1379" s="52"/>
      <c r="BA1379" s="52"/>
    </row>
    <row r="1380" spans="1:53" x14ac:dyDescent="0.25">
      <c r="A1380" s="48">
        <v>261</v>
      </c>
      <c r="B1380" s="155">
        <v>44910.416666666664</v>
      </c>
      <c r="C1380" s="150">
        <v>0.41666666666666669</v>
      </c>
      <c r="D1380" s="150">
        <v>0.42708333333333331</v>
      </c>
      <c r="E1380" s="150">
        <v>0.4375</v>
      </c>
      <c r="F1380" s="151" t="s">
        <v>171</v>
      </c>
      <c r="G1380" s="151" t="s">
        <v>173</v>
      </c>
      <c r="H1380" s="146" t="s">
        <v>396</v>
      </c>
      <c r="I1380" s="146" t="s">
        <v>174</v>
      </c>
      <c r="J1380" s="146" t="s">
        <v>37</v>
      </c>
      <c r="K1380" s="146" t="s">
        <v>180</v>
      </c>
      <c r="L1380" s="146" t="s">
        <v>206</v>
      </c>
      <c r="M1380" s="151" t="s">
        <v>3636</v>
      </c>
      <c r="N1380" s="151" t="s">
        <v>415</v>
      </c>
      <c r="O1380" s="37">
        <v>25195</v>
      </c>
      <c r="P1380" s="37">
        <v>778561</v>
      </c>
      <c r="Q1380" s="303">
        <f t="shared" si="121"/>
        <v>1</v>
      </c>
      <c r="R1380" s="303">
        <f t="shared" si="122"/>
        <v>1</v>
      </c>
      <c r="S1380" s="37">
        <v>1</v>
      </c>
      <c r="T1380" s="37">
        <v>1</v>
      </c>
      <c r="U1380" s="37">
        <v>0</v>
      </c>
      <c r="V1380" s="37">
        <v>0</v>
      </c>
      <c r="W1380" s="37">
        <v>2</v>
      </c>
      <c r="X1380" s="37">
        <v>30</v>
      </c>
      <c r="Y1380" s="37">
        <v>20</v>
      </c>
      <c r="Z1380" s="37">
        <v>10</v>
      </c>
      <c r="AA1380" s="37">
        <v>1</v>
      </c>
      <c r="AB1380" s="300">
        <f t="shared" si="123"/>
        <v>1</v>
      </c>
      <c r="AC1380" s="300">
        <f t="shared" si="124"/>
        <v>6.024096385542169E-3</v>
      </c>
      <c r="AD1380" s="37">
        <v>6</v>
      </c>
      <c r="AE1380" s="151" t="s">
        <v>111</v>
      </c>
      <c r="AF1380" s="151">
        <v>6155980</v>
      </c>
      <c r="AG1380" s="151" t="s">
        <v>3589</v>
      </c>
      <c r="AH1380" s="151" t="s">
        <v>48</v>
      </c>
      <c r="AI1380" s="309"/>
      <c r="AJ1380" s="309"/>
      <c r="AK1380" s="151" t="s">
        <v>406</v>
      </c>
      <c r="AL1380" s="151" t="s">
        <v>49</v>
      </c>
      <c r="AM1380" s="299">
        <f t="shared" ca="1" si="120"/>
        <v>0.14583333333575865</v>
      </c>
      <c r="AN1380" s="51"/>
      <c r="AO1380" s="147" t="s">
        <v>402</v>
      </c>
      <c r="AP1380" s="62" t="s">
        <v>3636</v>
      </c>
      <c r="AQ1380" s="20" t="s">
        <v>3688</v>
      </c>
      <c r="AR1380" s="64">
        <v>44910.5625</v>
      </c>
      <c r="AS1380" s="104" t="s">
        <v>173</v>
      </c>
      <c r="AT1380" s="147" t="s">
        <v>225</v>
      </c>
      <c r="AU1380" s="110">
        <v>0.5625</v>
      </c>
      <c r="AV1380" s="147">
        <v>2</v>
      </c>
      <c r="AW1380" s="147" t="s">
        <v>66</v>
      </c>
      <c r="AX1380" s="52"/>
      <c r="AY1380" s="52"/>
      <c r="AZ1380" s="52"/>
      <c r="BA1380" s="52"/>
    </row>
    <row r="1381" spans="1:53" x14ac:dyDescent="0.25">
      <c r="A1381" s="48">
        <v>262</v>
      </c>
      <c r="B1381" s="155">
        <v>44910.416666666664</v>
      </c>
      <c r="C1381" s="150">
        <v>0.41666666666666669</v>
      </c>
      <c r="D1381" s="150">
        <v>0.42708333333333331</v>
      </c>
      <c r="E1381" s="150">
        <v>0.4375</v>
      </c>
      <c r="F1381" s="151" t="s">
        <v>171</v>
      </c>
      <c r="G1381" s="151" t="s">
        <v>173</v>
      </c>
      <c r="H1381" s="146" t="s">
        <v>396</v>
      </c>
      <c r="I1381" s="146" t="s">
        <v>174</v>
      </c>
      <c r="J1381" s="146" t="s">
        <v>37</v>
      </c>
      <c r="K1381" s="146" t="s">
        <v>180</v>
      </c>
      <c r="L1381" s="146" t="s">
        <v>206</v>
      </c>
      <c r="M1381" s="37" t="s">
        <v>3635</v>
      </c>
      <c r="N1381" s="37" t="s">
        <v>3248</v>
      </c>
      <c r="O1381" s="37">
        <v>25197</v>
      </c>
      <c r="P1381" s="37">
        <v>795796</v>
      </c>
      <c r="Q1381" s="303">
        <f t="shared" si="121"/>
        <v>1</v>
      </c>
      <c r="R1381" s="303">
        <f t="shared" si="122"/>
        <v>192</v>
      </c>
      <c r="S1381" s="37">
        <v>0</v>
      </c>
      <c r="T1381" s="37">
        <v>0</v>
      </c>
      <c r="U1381" s="37">
        <v>1</v>
      </c>
      <c r="V1381" s="37">
        <v>192</v>
      </c>
      <c r="W1381" s="37">
        <v>200</v>
      </c>
      <c r="X1381" s="37">
        <v>104</v>
      </c>
      <c r="Y1381" s="37">
        <v>104</v>
      </c>
      <c r="Z1381" s="37">
        <v>85</v>
      </c>
      <c r="AA1381" s="37">
        <v>1</v>
      </c>
      <c r="AB1381" s="300">
        <f t="shared" si="123"/>
        <v>153.22666666666666</v>
      </c>
      <c r="AC1381" s="300">
        <f t="shared" si="124"/>
        <v>0.92305220883534134</v>
      </c>
      <c r="AD1381" s="37">
        <v>766</v>
      </c>
      <c r="AE1381" s="151" t="s">
        <v>111</v>
      </c>
      <c r="AF1381" s="151">
        <v>6155963</v>
      </c>
      <c r="AG1381" s="151" t="s">
        <v>3589</v>
      </c>
      <c r="AH1381" s="151" t="s">
        <v>48</v>
      </c>
      <c r="AI1381" s="309"/>
      <c r="AJ1381" s="309"/>
      <c r="AK1381" s="151" t="s">
        <v>37</v>
      </c>
      <c r="AL1381" s="151" t="s">
        <v>49</v>
      </c>
      <c r="AM1381" s="299">
        <f t="shared" ca="1" si="120"/>
        <v>0.14583333333575865</v>
      </c>
      <c r="AN1381" s="51"/>
      <c r="AO1381" s="147" t="s">
        <v>402</v>
      </c>
      <c r="AP1381" s="62" t="s">
        <v>3635</v>
      </c>
      <c r="AQ1381" s="20" t="s">
        <v>3688</v>
      </c>
      <c r="AR1381" s="64">
        <v>44910.5625</v>
      </c>
      <c r="AS1381" s="104" t="s">
        <v>173</v>
      </c>
      <c r="AT1381" s="147" t="s">
        <v>225</v>
      </c>
      <c r="AU1381" s="110">
        <v>0.5625</v>
      </c>
      <c r="AV1381" s="147">
        <v>2</v>
      </c>
      <c r="AW1381" s="147" t="s">
        <v>66</v>
      </c>
      <c r="AX1381" s="52"/>
      <c r="AY1381" s="52"/>
      <c r="AZ1381" s="52"/>
      <c r="BA1381" s="52"/>
    </row>
    <row r="1382" spans="1:53" x14ac:dyDescent="0.25">
      <c r="A1382" s="48">
        <v>263</v>
      </c>
      <c r="B1382" s="155">
        <v>44910.416666666664</v>
      </c>
      <c r="C1382" s="36">
        <v>0.4375</v>
      </c>
      <c r="D1382" s="36">
        <v>0.44097222222222227</v>
      </c>
      <c r="E1382" s="36">
        <v>0.44444444444444442</v>
      </c>
      <c r="F1382" s="151" t="s">
        <v>171</v>
      </c>
      <c r="G1382" s="37" t="s">
        <v>3639</v>
      </c>
      <c r="H1382" s="26" t="s">
        <v>75</v>
      </c>
      <c r="I1382" s="26" t="s">
        <v>166</v>
      </c>
      <c r="J1382" s="146" t="s">
        <v>37</v>
      </c>
      <c r="K1382" s="146" t="s">
        <v>180</v>
      </c>
      <c r="L1382" s="146" t="s">
        <v>206</v>
      </c>
      <c r="M1382" s="37" t="s">
        <v>3641</v>
      </c>
      <c r="N1382" s="37" t="s">
        <v>43</v>
      </c>
      <c r="O1382" s="37">
        <v>9258</v>
      </c>
      <c r="P1382" s="37">
        <v>17234</v>
      </c>
      <c r="Q1382" s="303">
        <f t="shared" si="121"/>
        <v>1</v>
      </c>
      <c r="R1382" s="303">
        <f t="shared" si="122"/>
        <v>89</v>
      </c>
      <c r="S1382" s="37">
        <v>0</v>
      </c>
      <c r="T1382" s="37">
        <v>0</v>
      </c>
      <c r="U1382" s="37">
        <v>1</v>
      </c>
      <c r="V1382" s="37">
        <v>89</v>
      </c>
      <c r="W1382" s="37">
        <v>88</v>
      </c>
      <c r="X1382" s="37">
        <v>57</v>
      </c>
      <c r="Y1382" s="37">
        <v>57</v>
      </c>
      <c r="Z1382" s="37">
        <v>67</v>
      </c>
      <c r="AA1382" s="37">
        <v>1</v>
      </c>
      <c r="AB1382" s="300">
        <f t="shared" si="123"/>
        <v>36.280500000000004</v>
      </c>
      <c r="AC1382" s="300">
        <f t="shared" si="124"/>
        <v>0.21855722891566268</v>
      </c>
      <c r="AD1382" s="37" t="s">
        <v>48</v>
      </c>
      <c r="AE1382" s="151" t="s">
        <v>48</v>
      </c>
      <c r="AF1382" s="37" t="s">
        <v>317</v>
      </c>
      <c r="AG1382" s="37" t="s">
        <v>317</v>
      </c>
      <c r="AH1382" s="37" t="s">
        <v>3640</v>
      </c>
      <c r="AI1382" s="309"/>
      <c r="AJ1382" s="309"/>
      <c r="AK1382" s="151" t="s">
        <v>37</v>
      </c>
      <c r="AL1382" s="151" t="s">
        <v>49</v>
      </c>
      <c r="AM1382" s="299">
        <f t="shared" ca="1" si="120"/>
        <v>0.14583333333575865</v>
      </c>
      <c r="AN1382" s="51"/>
      <c r="AO1382" s="147" t="s">
        <v>161</v>
      </c>
      <c r="AP1382" s="62" t="s">
        <v>3641</v>
      </c>
      <c r="AQ1382" s="147" t="s">
        <v>3689</v>
      </c>
      <c r="AR1382" s="64">
        <v>44910.5625</v>
      </c>
      <c r="AS1382" s="104" t="s">
        <v>173</v>
      </c>
      <c r="AT1382" s="147" t="s">
        <v>225</v>
      </c>
      <c r="AU1382" s="110">
        <v>0.5625</v>
      </c>
      <c r="AV1382" s="147">
        <v>2</v>
      </c>
      <c r="AW1382" s="147" t="s">
        <v>66</v>
      </c>
      <c r="AX1382" s="52"/>
      <c r="AY1382" s="52"/>
      <c r="AZ1382" s="52"/>
      <c r="BA1382" s="52"/>
    </row>
    <row r="1383" spans="1:53" x14ac:dyDescent="0.25">
      <c r="A1383" s="48">
        <v>264</v>
      </c>
      <c r="B1383" s="155">
        <v>44910.4375</v>
      </c>
      <c r="C1383" s="36">
        <v>0.44444444444444442</v>
      </c>
      <c r="D1383" s="36">
        <v>0.45833333333333331</v>
      </c>
      <c r="E1383" s="36">
        <v>0.45833333333333331</v>
      </c>
      <c r="F1383" s="151" t="s">
        <v>171</v>
      </c>
      <c r="G1383" s="37" t="s">
        <v>88</v>
      </c>
      <c r="H1383" s="26" t="s">
        <v>91</v>
      </c>
      <c r="I1383" s="26" t="s">
        <v>318</v>
      </c>
      <c r="J1383" s="26" t="s">
        <v>41</v>
      </c>
      <c r="K1383" s="26" t="s">
        <v>180</v>
      </c>
      <c r="L1383" s="146" t="s">
        <v>206</v>
      </c>
      <c r="M1383" s="37" t="s">
        <v>3643</v>
      </c>
      <c r="N1383" s="37" t="s">
        <v>53</v>
      </c>
      <c r="O1383" s="37">
        <v>1054969955</v>
      </c>
      <c r="P1383" s="37">
        <v>1214035837</v>
      </c>
      <c r="Q1383" s="303">
        <f t="shared" si="121"/>
        <v>5</v>
      </c>
      <c r="R1383" s="303">
        <f t="shared" si="122"/>
        <v>1063</v>
      </c>
      <c r="S1383" s="37">
        <v>0</v>
      </c>
      <c r="T1383" s="37">
        <v>0</v>
      </c>
      <c r="U1383" s="37">
        <v>5</v>
      </c>
      <c r="V1383" s="37">
        <f>212+212+213+213+213</f>
        <v>1063</v>
      </c>
      <c r="W1383" s="37">
        <v>1064</v>
      </c>
      <c r="X1383" s="37">
        <v>120</v>
      </c>
      <c r="Y1383" s="37">
        <v>80</v>
      </c>
      <c r="Z1383" s="37">
        <v>78</v>
      </c>
      <c r="AA1383" s="37">
        <v>5</v>
      </c>
      <c r="AB1383" s="300">
        <f t="shared" si="123"/>
        <v>624</v>
      </c>
      <c r="AC1383" s="300">
        <f t="shared" si="124"/>
        <v>3.7590361445783134</v>
      </c>
      <c r="AD1383" s="37">
        <v>58099</v>
      </c>
      <c r="AE1383" s="37" t="s">
        <v>109</v>
      </c>
      <c r="AF1383" s="151" t="s">
        <v>317</v>
      </c>
      <c r="AG1383" s="151" t="s">
        <v>317</v>
      </c>
      <c r="AH1383" s="37" t="s">
        <v>3642</v>
      </c>
      <c r="AI1383" s="309"/>
      <c r="AJ1383" s="309"/>
      <c r="AK1383" s="37" t="s">
        <v>37</v>
      </c>
      <c r="AL1383" s="37" t="s">
        <v>47</v>
      </c>
      <c r="AM1383" s="299">
        <f t="shared" ca="1" si="120"/>
        <v>0.1875</v>
      </c>
      <c r="AN1383" s="51"/>
      <c r="AO1383" s="147" t="s">
        <v>323</v>
      </c>
      <c r="AP1383" s="62" t="s">
        <v>3643</v>
      </c>
      <c r="AQ1383" s="147" t="s">
        <v>3691</v>
      </c>
      <c r="AR1383" s="64">
        <v>44910.625</v>
      </c>
      <c r="AS1383" s="104" t="s">
        <v>117</v>
      </c>
      <c r="AT1383" s="147" t="s">
        <v>225</v>
      </c>
      <c r="AU1383" s="110">
        <v>0.625</v>
      </c>
      <c r="AV1383" s="147">
        <v>2</v>
      </c>
      <c r="AW1383" s="147" t="s">
        <v>66</v>
      </c>
      <c r="AX1383" s="52"/>
      <c r="AY1383" s="52"/>
      <c r="AZ1383" s="52"/>
      <c r="BA1383" s="52"/>
    </row>
    <row r="1384" spans="1:53" x14ac:dyDescent="0.25">
      <c r="A1384" s="48">
        <v>265</v>
      </c>
      <c r="B1384" s="155">
        <v>44910.4375</v>
      </c>
      <c r="C1384" s="36">
        <v>0.45833333333333331</v>
      </c>
      <c r="D1384" s="36">
        <v>0.46527777777777773</v>
      </c>
      <c r="E1384" s="36">
        <v>0.47222222222222227</v>
      </c>
      <c r="F1384" s="37" t="s">
        <v>171</v>
      </c>
      <c r="G1384" s="37" t="s">
        <v>2085</v>
      </c>
      <c r="H1384" s="26" t="s">
        <v>85</v>
      </c>
      <c r="I1384" s="26" t="s">
        <v>86</v>
      </c>
      <c r="J1384" s="26" t="s">
        <v>37</v>
      </c>
      <c r="K1384" s="146" t="s">
        <v>180</v>
      </c>
      <c r="L1384" s="146" t="s">
        <v>206</v>
      </c>
      <c r="M1384" s="37" t="s">
        <v>3645</v>
      </c>
      <c r="N1384" s="37" t="s">
        <v>42</v>
      </c>
      <c r="O1384" s="37">
        <v>6274</v>
      </c>
      <c r="P1384" s="37">
        <v>9215</v>
      </c>
      <c r="Q1384" s="303">
        <f t="shared" si="121"/>
        <v>1</v>
      </c>
      <c r="R1384" s="303">
        <f t="shared" si="122"/>
        <v>360</v>
      </c>
      <c r="S1384" s="37">
        <v>0</v>
      </c>
      <c r="T1384" s="37">
        <v>0</v>
      </c>
      <c r="U1384" s="37">
        <v>1</v>
      </c>
      <c r="V1384" s="37">
        <v>360</v>
      </c>
      <c r="W1384" s="37">
        <v>350</v>
      </c>
      <c r="X1384" s="37">
        <v>120</v>
      </c>
      <c r="Y1384" s="37">
        <v>80</v>
      </c>
      <c r="Z1384" s="37">
        <v>93</v>
      </c>
      <c r="AA1384" s="37">
        <v>1</v>
      </c>
      <c r="AB1384" s="300">
        <f t="shared" si="123"/>
        <v>148.80000000000001</v>
      </c>
      <c r="AC1384" s="300">
        <f t="shared" si="124"/>
        <v>0.89638554216867472</v>
      </c>
      <c r="AD1384" s="37">
        <v>1480</v>
      </c>
      <c r="AE1384" s="37" t="s">
        <v>109</v>
      </c>
      <c r="AF1384" s="151" t="s">
        <v>317</v>
      </c>
      <c r="AG1384" s="151" t="s">
        <v>317</v>
      </c>
      <c r="AH1384" s="37" t="s">
        <v>3644</v>
      </c>
      <c r="AI1384" s="309"/>
      <c r="AJ1384" s="309"/>
      <c r="AK1384" s="37" t="s">
        <v>37</v>
      </c>
      <c r="AL1384" s="37" t="s">
        <v>49</v>
      </c>
      <c r="AM1384" s="299">
        <f t="shared" ref="AM1384:AM1447" ca="1" si="125">IF(AP1384="",NOW()-B1384,AR1384-B1384)</f>
        <v>1.1666666666642413</v>
      </c>
      <c r="AN1384" s="51"/>
      <c r="AO1384" s="147" t="s">
        <v>87</v>
      </c>
      <c r="AP1384" s="62" t="s">
        <v>3645</v>
      </c>
      <c r="AQ1384" s="147" t="s">
        <v>3771</v>
      </c>
      <c r="AR1384" s="64">
        <v>44911.604166666664</v>
      </c>
      <c r="AS1384" s="104" t="s">
        <v>117</v>
      </c>
      <c r="AT1384" s="147" t="s">
        <v>225</v>
      </c>
      <c r="AU1384" s="110">
        <v>0.60416666666666663</v>
      </c>
      <c r="AV1384" s="147">
        <v>1</v>
      </c>
      <c r="AW1384" s="147" t="s">
        <v>66</v>
      </c>
      <c r="AX1384" s="52"/>
      <c r="AY1384" s="52"/>
      <c r="AZ1384" s="52"/>
      <c r="BA1384" s="52"/>
    </row>
    <row r="1385" spans="1:53" x14ac:dyDescent="0.25">
      <c r="A1385" s="48">
        <v>266</v>
      </c>
      <c r="B1385" s="155">
        <v>44910.4375</v>
      </c>
      <c r="C1385" s="36">
        <v>0.46527777777777773</v>
      </c>
      <c r="D1385" s="36">
        <v>0.47569444444444442</v>
      </c>
      <c r="E1385" s="150">
        <v>0.4861111111111111</v>
      </c>
      <c r="F1385" s="37" t="s">
        <v>170</v>
      </c>
      <c r="G1385" s="37" t="s">
        <v>235</v>
      </c>
      <c r="H1385" s="26" t="s">
        <v>3646</v>
      </c>
      <c r="I1385" s="26" t="s">
        <v>3647</v>
      </c>
      <c r="J1385" s="26" t="s">
        <v>37</v>
      </c>
      <c r="K1385" s="26" t="s">
        <v>63</v>
      </c>
      <c r="L1385" s="26" t="s">
        <v>206</v>
      </c>
      <c r="M1385" s="147" t="s">
        <v>3650</v>
      </c>
      <c r="N1385" s="37" t="s">
        <v>186</v>
      </c>
      <c r="O1385" s="37">
        <v>39</v>
      </c>
      <c r="P1385" s="37" t="s">
        <v>3648</v>
      </c>
      <c r="Q1385" s="303">
        <f t="shared" ref="Q1385:Q1448" si="126">S1385+U1385</f>
        <v>2</v>
      </c>
      <c r="R1385" s="303">
        <f t="shared" ref="R1385:R1448" si="127">T1385+V1385</f>
        <v>204</v>
      </c>
      <c r="S1385" s="37">
        <v>0</v>
      </c>
      <c r="T1385" s="37">
        <v>0</v>
      </c>
      <c r="U1385" s="37">
        <v>2</v>
      </c>
      <c r="V1385" s="37">
        <f>66+138</f>
        <v>204</v>
      </c>
      <c r="W1385" s="37">
        <v>163</v>
      </c>
      <c r="X1385" s="37">
        <v>83</v>
      </c>
      <c r="Y1385" s="37">
        <v>69</v>
      </c>
      <c r="Z1385" s="37">
        <v>63</v>
      </c>
      <c r="AA1385" s="37">
        <v>1</v>
      </c>
      <c r="AB1385" s="300">
        <f t="shared" ref="AB1385:AB1448" si="128">X1385*Y1385*Z1385*AA1385/6000</f>
        <v>60.133499999999998</v>
      </c>
      <c r="AC1385" s="300">
        <f t="shared" ref="AC1385:AC1448" si="129">AB1385/166</f>
        <v>0.36224999999999996</v>
      </c>
      <c r="AD1385" s="37">
        <v>9185</v>
      </c>
      <c r="AE1385" s="37" t="s">
        <v>109</v>
      </c>
      <c r="AF1385" s="151" t="s">
        <v>317</v>
      </c>
      <c r="AG1385" s="151" t="s">
        <v>317</v>
      </c>
      <c r="AH1385" s="37" t="s">
        <v>3649</v>
      </c>
      <c r="AI1385" s="309"/>
      <c r="AJ1385" s="309"/>
      <c r="AK1385" s="151" t="s">
        <v>406</v>
      </c>
      <c r="AL1385" s="37" t="s">
        <v>47</v>
      </c>
      <c r="AM1385" s="299">
        <f t="shared" ca="1" si="125"/>
        <v>0.27083333333575865</v>
      </c>
      <c r="AN1385" s="51"/>
      <c r="AO1385" s="104" t="s">
        <v>131</v>
      </c>
      <c r="AP1385" s="104" t="s">
        <v>3650</v>
      </c>
      <c r="AQ1385" s="104" t="s">
        <v>3693</v>
      </c>
      <c r="AR1385" s="64">
        <v>44910.708333333336</v>
      </c>
      <c r="AS1385" s="147" t="s">
        <v>136</v>
      </c>
      <c r="AT1385" s="147" t="s">
        <v>225</v>
      </c>
      <c r="AU1385" s="110">
        <v>0.70833333333333337</v>
      </c>
      <c r="AV1385" s="147">
        <v>1</v>
      </c>
      <c r="AW1385" s="147" t="s">
        <v>66</v>
      </c>
      <c r="AX1385" s="52"/>
      <c r="AY1385" s="52"/>
      <c r="AZ1385" s="52"/>
      <c r="BA1385" s="52"/>
    </row>
    <row r="1386" spans="1:53" x14ac:dyDescent="0.25">
      <c r="A1386" s="157">
        <v>266</v>
      </c>
      <c r="B1386" s="155">
        <v>44910.4375</v>
      </c>
      <c r="C1386" s="150">
        <v>0.46527777777777773</v>
      </c>
      <c r="D1386" s="150">
        <v>0.47569444444444442</v>
      </c>
      <c r="E1386" s="150">
        <v>0.4861111111111111</v>
      </c>
      <c r="F1386" s="151" t="s">
        <v>170</v>
      </c>
      <c r="G1386" s="151" t="s">
        <v>235</v>
      </c>
      <c r="H1386" s="146" t="s">
        <v>3646</v>
      </c>
      <c r="I1386" s="146" t="s">
        <v>3647</v>
      </c>
      <c r="J1386" s="146" t="s">
        <v>37</v>
      </c>
      <c r="K1386" s="146" t="s">
        <v>63</v>
      </c>
      <c r="L1386" s="146" t="s">
        <v>206</v>
      </c>
      <c r="M1386" s="147" t="s">
        <v>3650</v>
      </c>
      <c r="N1386" s="151" t="s">
        <v>186</v>
      </c>
      <c r="O1386" s="151">
        <v>39</v>
      </c>
      <c r="P1386" s="151" t="s">
        <v>3648</v>
      </c>
      <c r="Q1386" s="303">
        <f t="shared" si="126"/>
        <v>0</v>
      </c>
      <c r="R1386" s="303">
        <f t="shared" si="127"/>
        <v>0</v>
      </c>
      <c r="S1386" s="37">
        <v>0</v>
      </c>
      <c r="T1386" s="37">
        <v>0</v>
      </c>
      <c r="U1386" s="37">
        <v>0</v>
      </c>
      <c r="V1386" s="37">
        <v>0</v>
      </c>
      <c r="W1386" s="37">
        <v>0</v>
      </c>
      <c r="X1386" s="37">
        <v>120</v>
      </c>
      <c r="Y1386" s="37">
        <v>96</v>
      </c>
      <c r="Z1386" s="37">
        <v>80</v>
      </c>
      <c r="AA1386" s="37">
        <v>1</v>
      </c>
      <c r="AB1386" s="300">
        <f t="shared" si="128"/>
        <v>153.6</v>
      </c>
      <c r="AC1386" s="300">
        <f t="shared" si="129"/>
        <v>0.92530120481927702</v>
      </c>
      <c r="AD1386" s="37">
        <v>0</v>
      </c>
      <c r="AE1386" s="37">
        <v>0</v>
      </c>
      <c r="AF1386" s="37">
        <v>0</v>
      </c>
      <c r="AG1386" s="37">
        <v>0</v>
      </c>
      <c r="AH1386" s="37">
        <v>0</v>
      </c>
      <c r="AI1386" s="309"/>
      <c r="AJ1386" s="309"/>
      <c r="AK1386" s="151" t="s">
        <v>37</v>
      </c>
      <c r="AL1386" s="151" t="s">
        <v>47</v>
      </c>
      <c r="AM1386" s="299">
        <f t="shared" ca="1" si="125"/>
        <v>0.27083333333575865</v>
      </c>
      <c r="AN1386" s="51"/>
      <c r="AO1386" s="104" t="s">
        <v>131</v>
      </c>
      <c r="AP1386" s="104" t="s">
        <v>3650</v>
      </c>
      <c r="AQ1386" s="104" t="s">
        <v>3693</v>
      </c>
      <c r="AR1386" s="64">
        <v>44910.708333333336</v>
      </c>
      <c r="AS1386" s="147" t="s">
        <v>136</v>
      </c>
      <c r="AT1386" s="147" t="s">
        <v>225</v>
      </c>
      <c r="AU1386" s="110">
        <v>0.70833333333333337</v>
      </c>
      <c r="AV1386" s="147">
        <v>1</v>
      </c>
      <c r="AW1386" s="147" t="s">
        <v>66</v>
      </c>
      <c r="AX1386" s="52"/>
      <c r="AY1386" s="52"/>
      <c r="AZ1386" s="52"/>
      <c r="BA1386" s="52"/>
    </row>
    <row r="1387" spans="1:53" x14ac:dyDescent="0.25">
      <c r="A1387" s="48">
        <v>267</v>
      </c>
      <c r="B1387" s="155">
        <v>44910.4375</v>
      </c>
      <c r="C1387" s="150">
        <v>0.46527777777777773</v>
      </c>
      <c r="D1387" s="150">
        <v>0.47569444444444442</v>
      </c>
      <c r="E1387" s="150">
        <v>0.4861111111111111</v>
      </c>
      <c r="F1387" s="151" t="s">
        <v>170</v>
      </c>
      <c r="G1387" s="151" t="s">
        <v>235</v>
      </c>
      <c r="H1387" s="26" t="s">
        <v>45</v>
      </c>
      <c r="I1387" s="26" t="s">
        <v>73</v>
      </c>
      <c r="J1387" s="146" t="s">
        <v>37</v>
      </c>
      <c r="K1387" s="149" t="s">
        <v>63</v>
      </c>
      <c r="L1387" s="149" t="s">
        <v>215</v>
      </c>
      <c r="M1387" s="147" t="s">
        <v>3651</v>
      </c>
      <c r="N1387" s="37" t="s">
        <v>59</v>
      </c>
      <c r="O1387" s="37">
        <v>3500774</v>
      </c>
      <c r="P1387" s="37">
        <v>5052002837</v>
      </c>
      <c r="Q1387" s="303">
        <f t="shared" si="126"/>
        <v>1</v>
      </c>
      <c r="R1387" s="303">
        <f t="shared" si="127"/>
        <v>91</v>
      </c>
      <c r="S1387" s="37">
        <v>0</v>
      </c>
      <c r="T1387" s="37">
        <v>0</v>
      </c>
      <c r="U1387" s="37">
        <v>1</v>
      </c>
      <c r="V1387" s="37">
        <v>91</v>
      </c>
      <c r="W1387" s="37">
        <v>91.811000000000007</v>
      </c>
      <c r="X1387" s="37">
        <v>80</v>
      </c>
      <c r="Y1387" s="37">
        <v>49</v>
      </c>
      <c r="Z1387" s="37">
        <v>31</v>
      </c>
      <c r="AA1387" s="37">
        <v>1</v>
      </c>
      <c r="AB1387" s="300">
        <f t="shared" si="128"/>
        <v>20.253333333333334</v>
      </c>
      <c r="AC1387" s="300">
        <f t="shared" si="129"/>
        <v>0.12200803212851406</v>
      </c>
      <c r="AD1387" s="37">
        <v>1818.2</v>
      </c>
      <c r="AE1387" s="37" t="s">
        <v>109</v>
      </c>
      <c r="AF1387" s="37" t="s">
        <v>317</v>
      </c>
      <c r="AG1387" s="151" t="s">
        <v>317</v>
      </c>
      <c r="AH1387" s="37" t="s">
        <v>3652</v>
      </c>
      <c r="AI1387" s="309"/>
      <c r="AJ1387" s="309"/>
      <c r="AK1387" s="151" t="s">
        <v>37</v>
      </c>
      <c r="AL1387" s="151" t="s">
        <v>47</v>
      </c>
      <c r="AM1387" s="299">
        <f t="shared" ca="1" si="125"/>
        <v>1.28125</v>
      </c>
      <c r="AN1387" s="51"/>
      <c r="AO1387" s="147" t="s">
        <v>70</v>
      </c>
      <c r="AP1387" s="62" t="s">
        <v>3651</v>
      </c>
      <c r="AQ1387" s="147" t="s">
        <v>3775</v>
      </c>
      <c r="AR1387" s="64">
        <v>44911.71875</v>
      </c>
      <c r="AS1387" s="147" t="s">
        <v>136</v>
      </c>
      <c r="AT1387" s="147" t="s">
        <v>225</v>
      </c>
      <c r="AU1387" s="110">
        <v>0.71875</v>
      </c>
      <c r="AV1387" s="147">
        <v>2</v>
      </c>
      <c r="AW1387" s="147" t="s">
        <v>66</v>
      </c>
      <c r="AX1387" s="52"/>
      <c r="AY1387" s="52"/>
      <c r="AZ1387" s="52"/>
      <c r="BA1387" s="52"/>
    </row>
    <row r="1388" spans="1:53" x14ac:dyDescent="0.25">
      <c r="A1388" s="48">
        <v>268</v>
      </c>
      <c r="B1388" s="155">
        <v>44910.4375</v>
      </c>
      <c r="C1388" s="150">
        <v>0.46527777777777773</v>
      </c>
      <c r="D1388" s="150">
        <v>0.47569444444444442</v>
      </c>
      <c r="E1388" s="150">
        <v>0.4861111111111111</v>
      </c>
      <c r="F1388" s="151" t="s">
        <v>170</v>
      </c>
      <c r="G1388" s="151" t="s">
        <v>235</v>
      </c>
      <c r="H1388" s="26" t="s">
        <v>156</v>
      </c>
      <c r="I1388" s="26" t="s">
        <v>162</v>
      </c>
      <c r="J1388" s="146" t="s">
        <v>37</v>
      </c>
      <c r="K1388" s="149" t="s">
        <v>63</v>
      </c>
      <c r="L1388" s="149" t="s">
        <v>212</v>
      </c>
      <c r="M1388" s="37" t="s">
        <v>3653</v>
      </c>
      <c r="N1388" s="37" t="s">
        <v>158</v>
      </c>
      <c r="O1388" s="37" t="s">
        <v>3654</v>
      </c>
      <c r="P1388" s="37" t="s">
        <v>367</v>
      </c>
      <c r="Q1388" s="303">
        <f t="shared" si="126"/>
        <v>4</v>
      </c>
      <c r="R1388" s="303">
        <f t="shared" si="127"/>
        <v>149</v>
      </c>
      <c r="S1388" s="37">
        <v>0</v>
      </c>
      <c r="T1388" s="37">
        <v>0</v>
      </c>
      <c r="U1388" s="37">
        <v>4</v>
      </c>
      <c r="V1388" s="37">
        <f>170-21</f>
        <v>149</v>
      </c>
      <c r="W1388" s="37">
        <v>176.7</v>
      </c>
      <c r="X1388" s="37">
        <v>46</v>
      </c>
      <c r="Y1388" s="37">
        <v>23</v>
      </c>
      <c r="Z1388" s="37">
        <v>29</v>
      </c>
      <c r="AA1388" s="37">
        <v>1</v>
      </c>
      <c r="AB1388" s="300">
        <f t="shared" si="128"/>
        <v>5.113666666666667</v>
      </c>
      <c r="AC1388" s="300">
        <f t="shared" si="129"/>
        <v>3.0805220883534139E-2</v>
      </c>
      <c r="AD1388" s="37">
        <v>2803.56</v>
      </c>
      <c r="AE1388" s="151" t="s">
        <v>109</v>
      </c>
      <c r="AF1388" s="151" t="s">
        <v>317</v>
      </c>
      <c r="AG1388" s="151" t="s">
        <v>317</v>
      </c>
      <c r="AH1388" s="37" t="s">
        <v>3655</v>
      </c>
      <c r="AI1388" s="309"/>
      <c r="AJ1388" s="309"/>
      <c r="AK1388" s="151" t="s">
        <v>37</v>
      </c>
      <c r="AL1388" s="151" t="s">
        <v>39</v>
      </c>
      <c r="AM1388" s="299">
        <f t="shared" ca="1" si="125"/>
        <v>2.1041666666642413</v>
      </c>
      <c r="AN1388" s="51"/>
      <c r="AO1388" s="171" t="s">
        <v>159</v>
      </c>
      <c r="AP1388" s="172" t="s">
        <v>3653</v>
      </c>
      <c r="AQ1388" s="171" t="s">
        <v>3855</v>
      </c>
      <c r="AR1388" s="174">
        <v>44912.541666666664</v>
      </c>
      <c r="AS1388" s="171" t="s">
        <v>136</v>
      </c>
      <c r="AT1388" s="171" t="s">
        <v>225</v>
      </c>
      <c r="AU1388" s="173">
        <v>0.54166666666666663</v>
      </c>
      <c r="AV1388" s="171">
        <v>1</v>
      </c>
      <c r="AW1388" s="171" t="s">
        <v>66</v>
      </c>
      <c r="AX1388" s="171"/>
      <c r="AY1388" s="52"/>
      <c r="AZ1388" s="52"/>
      <c r="BA1388" s="52"/>
    </row>
    <row r="1389" spans="1:53" x14ac:dyDescent="0.25">
      <c r="A1389" s="157">
        <v>268</v>
      </c>
      <c r="B1389" s="155">
        <v>44910.4375</v>
      </c>
      <c r="C1389" s="150">
        <v>0.46527777777777773</v>
      </c>
      <c r="D1389" s="150">
        <v>0.47569444444444442</v>
      </c>
      <c r="E1389" s="150">
        <v>0.4861111111111111</v>
      </c>
      <c r="F1389" s="151" t="s">
        <v>170</v>
      </c>
      <c r="G1389" s="151" t="s">
        <v>235</v>
      </c>
      <c r="H1389" s="146" t="s">
        <v>156</v>
      </c>
      <c r="I1389" s="146" t="s">
        <v>162</v>
      </c>
      <c r="J1389" s="146" t="s">
        <v>37</v>
      </c>
      <c r="K1389" s="149" t="s">
        <v>63</v>
      </c>
      <c r="L1389" s="149" t="s">
        <v>212</v>
      </c>
      <c r="M1389" s="151" t="s">
        <v>3653</v>
      </c>
      <c r="N1389" s="151" t="s">
        <v>158</v>
      </c>
      <c r="O1389" s="151" t="s">
        <v>3654</v>
      </c>
      <c r="P1389" s="151" t="s">
        <v>367</v>
      </c>
      <c r="Q1389" s="303">
        <f t="shared" si="126"/>
        <v>0</v>
      </c>
      <c r="R1389" s="303">
        <f t="shared" si="127"/>
        <v>0</v>
      </c>
      <c r="S1389" s="151">
        <v>0</v>
      </c>
      <c r="T1389" s="151">
        <v>0</v>
      </c>
      <c r="U1389" s="151">
        <v>0</v>
      </c>
      <c r="V1389" s="151">
        <v>0</v>
      </c>
      <c r="W1389" s="151">
        <v>0</v>
      </c>
      <c r="X1389" s="37">
        <v>36</v>
      </c>
      <c r="Y1389" s="37">
        <v>34</v>
      </c>
      <c r="Z1389" s="37">
        <v>37</v>
      </c>
      <c r="AA1389" s="37">
        <v>1</v>
      </c>
      <c r="AB1389" s="300">
        <f t="shared" si="128"/>
        <v>7.548</v>
      </c>
      <c r="AC1389" s="300">
        <f t="shared" si="129"/>
        <v>4.5469879518072291E-2</v>
      </c>
      <c r="AD1389" s="37">
        <v>0</v>
      </c>
      <c r="AE1389" s="151">
        <v>0</v>
      </c>
      <c r="AF1389" s="151" t="s">
        <v>317</v>
      </c>
      <c r="AG1389" s="151" t="s">
        <v>317</v>
      </c>
      <c r="AH1389" s="151" t="s">
        <v>3655</v>
      </c>
      <c r="AI1389" s="309"/>
      <c r="AJ1389" s="309"/>
      <c r="AK1389" s="151" t="s">
        <v>37</v>
      </c>
      <c r="AL1389" s="151" t="s">
        <v>39</v>
      </c>
      <c r="AM1389" s="299">
        <f t="shared" ca="1" si="125"/>
        <v>2.1041666666642413</v>
      </c>
      <c r="AN1389" s="51"/>
      <c r="AO1389" s="171" t="s">
        <v>159</v>
      </c>
      <c r="AP1389" s="172" t="s">
        <v>3653</v>
      </c>
      <c r="AQ1389" s="171" t="s">
        <v>3855</v>
      </c>
      <c r="AR1389" s="174">
        <v>44912.541666666664</v>
      </c>
      <c r="AS1389" s="171" t="s">
        <v>136</v>
      </c>
      <c r="AT1389" s="171" t="s">
        <v>225</v>
      </c>
      <c r="AU1389" s="173">
        <v>0.54166666666666663</v>
      </c>
      <c r="AV1389" s="171">
        <v>1</v>
      </c>
      <c r="AW1389" s="171" t="s">
        <v>66</v>
      </c>
      <c r="AX1389" s="171"/>
      <c r="AY1389" s="52"/>
      <c r="AZ1389" s="52"/>
      <c r="BA1389" s="52"/>
    </row>
    <row r="1390" spans="1:53" x14ac:dyDescent="0.25">
      <c r="A1390" s="157">
        <v>268</v>
      </c>
      <c r="B1390" s="155">
        <v>44910.4375</v>
      </c>
      <c r="C1390" s="150">
        <v>0.46527777777777773</v>
      </c>
      <c r="D1390" s="150">
        <v>0.47569444444444442</v>
      </c>
      <c r="E1390" s="150">
        <v>0.4861111111111111</v>
      </c>
      <c r="F1390" s="151" t="s">
        <v>170</v>
      </c>
      <c r="G1390" s="151" t="s">
        <v>235</v>
      </c>
      <c r="H1390" s="146" t="s">
        <v>156</v>
      </c>
      <c r="I1390" s="146" t="s">
        <v>162</v>
      </c>
      <c r="J1390" s="146" t="s">
        <v>37</v>
      </c>
      <c r="K1390" s="149" t="s">
        <v>63</v>
      </c>
      <c r="L1390" s="149" t="s">
        <v>212</v>
      </c>
      <c r="M1390" s="151" t="s">
        <v>3653</v>
      </c>
      <c r="N1390" s="151" t="s">
        <v>158</v>
      </c>
      <c r="O1390" s="151" t="s">
        <v>3654</v>
      </c>
      <c r="P1390" s="151" t="s">
        <v>367</v>
      </c>
      <c r="Q1390" s="303">
        <f t="shared" si="126"/>
        <v>0</v>
      </c>
      <c r="R1390" s="303">
        <f t="shared" si="127"/>
        <v>0</v>
      </c>
      <c r="S1390" s="151">
        <v>0</v>
      </c>
      <c r="T1390" s="151">
        <v>0</v>
      </c>
      <c r="U1390" s="151">
        <v>0</v>
      </c>
      <c r="V1390" s="151">
        <v>0</v>
      </c>
      <c r="W1390" s="151">
        <v>0</v>
      </c>
      <c r="X1390" s="37">
        <v>41</v>
      </c>
      <c r="Y1390" s="37">
        <v>39</v>
      </c>
      <c r="Z1390" s="37">
        <v>49</v>
      </c>
      <c r="AA1390" s="37">
        <v>1</v>
      </c>
      <c r="AB1390" s="300">
        <f t="shared" si="128"/>
        <v>13.0585</v>
      </c>
      <c r="AC1390" s="300">
        <f t="shared" si="129"/>
        <v>7.8665662650602416E-2</v>
      </c>
      <c r="AD1390" s="37">
        <v>0</v>
      </c>
      <c r="AE1390" s="151">
        <v>0</v>
      </c>
      <c r="AF1390" s="151" t="s">
        <v>317</v>
      </c>
      <c r="AG1390" s="151" t="s">
        <v>317</v>
      </c>
      <c r="AH1390" s="151" t="s">
        <v>3655</v>
      </c>
      <c r="AI1390" s="309"/>
      <c r="AJ1390" s="309"/>
      <c r="AK1390" s="151" t="s">
        <v>37</v>
      </c>
      <c r="AL1390" s="151" t="s">
        <v>39</v>
      </c>
      <c r="AM1390" s="299">
        <f t="shared" ca="1" si="125"/>
        <v>2.1041666666642413</v>
      </c>
      <c r="AN1390" s="51"/>
      <c r="AO1390" s="171" t="s">
        <v>159</v>
      </c>
      <c r="AP1390" s="172" t="s">
        <v>3653</v>
      </c>
      <c r="AQ1390" s="171" t="s">
        <v>3855</v>
      </c>
      <c r="AR1390" s="174">
        <v>44912.541666666664</v>
      </c>
      <c r="AS1390" s="171" t="s">
        <v>136</v>
      </c>
      <c r="AT1390" s="171" t="s">
        <v>225</v>
      </c>
      <c r="AU1390" s="173">
        <v>0.54166666666666663</v>
      </c>
      <c r="AV1390" s="171">
        <v>1</v>
      </c>
      <c r="AW1390" s="171" t="s">
        <v>66</v>
      </c>
      <c r="AX1390" s="171"/>
      <c r="AY1390" s="52"/>
      <c r="AZ1390" s="52"/>
      <c r="BA1390" s="52"/>
    </row>
    <row r="1391" spans="1:53" x14ac:dyDescent="0.25">
      <c r="A1391" s="157">
        <v>268</v>
      </c>
      <c r="B1391" s="155">
        <v>44910.4375</v>
      </c>
      <c r="C1391" s="150">
        <v>0.46527777777777773</v>
      </c>
      <c r="D1391" s="150">
        <v>0.47569444444444442</v>
      </c>
      <c r="E1391" s="150">
        <v>0.4861111111111111</v>
      </c>
      <c r="F1391" s="151" t="s">
        <v>170</v>
      </c>
      <c r="G1391" s="151" t="s">
        <v>235</v>
      </c>
      <c r="H1391" s="146" t="s">
        <v>156</v>
      </c>
      <c r="I1391" s="146" t="s">
        <v>162</v>
      </c>
      <c r="J1391" s="146" t="s">
        <v>37</v>
      </c>
      <c r="K1391" s="149" t="s">
        <v>63</v>
      </c>
      <c r="L1391" s="149" t="s">
        <v>212</v>
      </c>
      <c r="M1391" s="151" t="s">
        <v>3653</v>
      </c>
      <c r="N1391" s="151" t="s">
        <v>158</v>
      </c>
      <c r="O1391" s="151" t="s">
        <v>3654</v>
      </c>
      <c r="P1391" s="151" t="s">
        <v>367</v>
      </c>
      <c r="Q1391" s="303">
        <f t="shared" si="126"/>
        <v>0</v>
      </c>
      <c r="R1391" s="303">
        <f t="shared" si="127"/>
        <v>0</v>
      </c>
      <c r="S1391" s="151">
        <v>0</v>
      </c>
      <c r="T1391" s="151">
        <v>0</v>
      </c>
      <c r="U1391" s="151">
        <v>0</v>
      </c>
      <c r="V1391" s="151">
        <v>0</v>
      </c>
      <c r="W1391" s="151">
        <v>0</v>
      </c>
      <c r="X1391" s="37">
        <v>31</v>
      </c>
      <c r="Y1391" s="37">
        <v>26</v>
      </c>
      <c r="Z1391" s="37">
        <v>31</v>
      </c>
      <c r="AA1391" s="37">
        <v>1</v>
      </c>
      <c r="AB1391" s="300">
        <f t="shared" si="128"/>
        <v>4.1643333333333334</v>
      </c>
      <c r="AC1391" s="300">
        <f t="shared" si="129"/>
        <v>2.5086345381526105E-2</v>
      </c>
      <c r="AD1391" s="37">
        <v>0</v>
      </c>
      <c r="AE1391" s="151">
        <v>0</v>
      </c>
      <c r="AF1391" s="151" t="s">
        <v>317</v>
      </c>
      <c r="AG1391" s="151" t="s">
        <v>317</v>
      </c>
      <c r="AH1391" s="151" t="s">
        <v>3655</v>
      </c>
      <c r="AI1391" s="309"/>
      <c r="AJ1391" s="309"/>
      <c r="AK1391" s="151" t="s">
        <v>37</v>
      </c>
      <c r="AL1391" s="151" t="s">
        <v>39</v>
      </c>
      <c r="AM1391" s="299">
        <f t="shared" ca="1" si="125"/>
        <v>2.1041666666642413</v>
      </c>
      <c r="AN1391" s="51"/>
      <c r="AO1391" s="171" t="s">
        <v>159</v>
      </c>
      <c r="AP1391" s="172" t="s">
        <v>3653</v>
      </c>
      <c r="AQ1391" s="171" t="s">
        <v>3855</v>
      </c>
      <c r="AR1391" s="174">
        <v>44912.541666666664</v>
      </c>
      <c r="AS1391" s="171" t="s">
        <v>136</v>
      </c>
      <c r="AT1391" s="171" t="s">
        <v>225</v>
      </c>
      <c r="AU1391" s="173">
        <v>0.54166666666666663</v>
      </c>
      <c r="AV1391" s="171">
        <v>1</v>
      </c>
      <c r="AW1391" s="171" t="s">
        <v>66</v>
      </c>
      <c r="AX1391" s="171"/>
      <c r="AY1391" s="52"/>
      <c r="AZ1391" s="52"/>
      <c r="BA1391" s="52"/>
    </row>
    <row r="1392" spans="1:53" x14ac:dyDescent="0.25">
      <c r="A1392" s="48">
        <v>269</v>
      </c>
      <c r="B1392" s="46">
        <v>44910.597222222219</v>
      </c>
      <c r="C1392" s="36">
        <v>0.59722222222222221</v>
      </c>
      <c r="D1392" s="36">
        <v>0.60069444444444442</v>
      </c>
      <c r="E1392" s="36">
        <v>0.61805555555555558</v>
      </c>
      <c r="F1392" s="37" t="s">
        <v>169</v>
      </c>
      <c r="G1392" s="37" t="s">
        <v>3656</v>
      </c>
      <c r="H1392" s="26" t="s">
        <v>3657</v>
      </c>
      <c r="I1392" s="26" t="s">
        <v>3658</v>
      </c>
      <c r="J1392" s="146" t="s">
        <v>37</v>
      </c>
      <c r="K1392" s="26" t="s">
        <v>233</v>
      </c>
      <c r="L1392" s="26" t="s">
        <v>3659</v>
      </c>
      <c r="M1392" s="37" t="s">
        <v>3659</v>
      </c>
      <c r="N1392" s="37" t="s">
        <v>42</v>
      </c>
      <c r="O1392" s="37" t="s">
        <v>3660</v>
      </c>
      <c r="P1392" s="37">
        <v>55300799</v>
      </c>
      <c r="Q1392" s="303">
        <f t="shared" si="126"/>
        <v>2</v>
      </c>
      <c r="R1392" s="303">
        <f t="shared" si="127"/>
        <v>376</v>
      </c>
      <c r="S1392" s="37">
        <v>0</v>
      </c>
      <c r="T1392" s="37">
        <v>0</v>
      </c>
      <c r="U1392" s="37">
        <v>2</v>
      </c>
      <c r="V1392" s="37">
        <f>122+254</f>
        <v>376</v>
      </c>
      <c r="W1392" s="37" t="s">
        <v>48</v>
      </c>
      <c r="X1392" s="37">
        <v>110</v>
      </c>
      <c r="Y1392" s="37">
        <v>58</v>
      </c>
      <c r="Z1392" s="37">
        <v>65</v>
      </c>
      <c r="AA1392" s="37">
        <v>1</v>
      </c>
      <c r="AB1392" s="300">
        <f t="shared" si="128"/>
        <v>69.11666666666666</v>
      </c>
      <c r="AC1392" s="300">
        <f t="shared" si="129"/>
        <v>0.41636546184738954</v>
      </c>
      <c r="AD1392" s="37">
        <v>15427</v>
      </c>
      <c r="AE1392" s="37" t="s">
        <v>109</v>
      </c>
      <c r="AF1392" s="37" t="s">
        <v>233</v>
      </c>
      <c r="AG1392" s="151" t="s">
        <v>233</v>
      </c>
      <c r="AH1392" s="37" t="s">
        <v>48</v>
      </c>
      <c r="AI1392" s="309"/>
      <c r="AJ1392" s="309"/>
      <c r="AK1392" s="37" t="s">
        <v>37</v>
      </c>
      <c r="AL1392" s="37" t="s">
        <v>58</v>
      </c>
      <c r="AM1392" s="299">
        <f t="shared" ca="1" si="125"/>
        <v>1.1215277777810115</v>
      </c>
      <c r="AN1392" s="51"/>
      <c r="AO1392" s="147" t="s">
        <v>135</v>
      </c>
      <c r="AP1392" s="62" t="s">
        <v>3659</v>
      </c>
      <c r="AQ1392" s="147" t="s">
        <v>3773</v>
      </c>
      <c r="AR1392" s="64">
        <v>44911.71875</v>
      </c>
      <c r="AS1392" s="147" t="s">
        <v>136</v>
      </c>
      <c r="AT1392" s="147" t="s">
        <v>225</v>
      </c>
      <c r="AU1392" s="110">
        <v>0.71875</v>
      </c>
      <c r="AV1392" s="147">
        <v>2</v>
      </c>
      <c r="AW1392" s="147" t="s">
        <v>66</v>
      </c>
      <c r="AX1392" s="52"/>
      <c r="AY1392" s="52"/>
      <c r="AZ1392" s="52"/>
      <c r="BA1392" s="52"/>
    </row>
    <row r="1393" spans="1:53" x14ac:dyDescent="0.25">
      <c r="A1393" s="157">
        <v>269</v>
      </c>
      <c r="B1393" s="155">
        <v>44910.597222222219</v>
      </c>
      <c r="C1393" s="150">
        <v>0.59722222222222221</v>
      </c>
      <c r="D1393" s="150">
        <v>0.60069444444444442</v>
      </c>
      <c r="E1393" s="150">
        <v>0.61805555555555558</v>
      </c>
      <c r="F1393" s="151" t="s">
        <v>169</v>
      </c>
      <c r="G1393" s="151" t="s">
        <v>3656</v>
      </c>
      <c r="H1393" s="146" t="s">
        <v>3657</v>
      </c>
      <c r="I1393" s="146" t="s">
        <v>3658</v>
      </c>
      <c r="J1393" s="146" t="s">
        <v>37</v>
      </c>
      <c r="K1393" s="146" t="s">
        <v>233</v>
      </c>
      <c r="L1393" s="146" t="s">
        <v>3659</v>
      </c>
      <c r="M1393" s="151" t="s">
        <v>3659</v>
      </c>
      <c r="N1393" s="151" t="s">
        <v>42</v>
      </c>
      <c r="O1393" s="151" t="s">
        <v>3660</v>
      </c>
      <c r="P1393" s="151">
        <v>55300799</v>
      </c>
      <c r="Q1393" s="303">
        <f t="shared" si="126"/>
        <v>0</v>
      </c>
      <c r="R1393" s="303">
        <f t="shared" si="127"/>
        <v>0</v>
      </c>
      <c r="S1393" s="37">
        <v>0</v>
      </c>
      <c r="T1393" s="37">
        <v>0</v>
      </c>
      <c r="U1393" s="37">
        <v>0</v>
      </c>
      <c r="V1393" s="37">
        <v>0</v>
      </c>
      <c r="W1393" s="37">
        <v>0</v>
      </c>
      <c r="X1393" s="37">
        <v>140</v>
      </c>
      <c r="Y1393" s="37">
        <v>99</v>
      </c>
      <c r="Z1393" s="37">
        <v>59</v>
      </c>
      <c r="AA1393" s="37">
        <v>1</v>
      </c>
      <c r="AB1393" s="300">
        <f t="shared" si="128"/>
        <v>136.29</v>
      </c>
      <c r="AC1393" s="300">
        <f t="shared" si="129"/>
        <v>0.82102409638554208</v>
      </c>
      <c r="AD1393" s="37">
        <v>0</v>
      </c>
      <c r="AE1393" s="37">
        <v>0</v>
      </c>
      <c r="AF1393" s="37">
        <v>0</v>
      </c>
      <c r="AG1393" s="37">
        <v>0</v>
      </c>
      <c r="AH1393" s="37">
        <v>0</v>
      </c>
      <c r="AI1393" s="309"/>
      <c r="AJ1393" s="309"/>
      <c r="AK1393" s="151" t="s">
        <v>37</v>
      </c>
      <c r="AL1393" s="151" t="s">
        <v>58</v>
      </c>
      <c r="AM1393" s="299">
        <f t="shared" ca="1" si="125"/>
        <v>1.1215277777810115</v>
      </c>
      <c r="AN1393" s="51"/>
      <c r="AO1393" s="147" t="s">
        <v>135</v>
      </c>
      <c r="AP1393" s="62" t="s">
        <v>3659</v>
      </c>
      <c r="AQ1393" s="147" t="s">
        <v>3773</v>
      </c>
      <c r="AR1393" s="64">
        <v>44911.71875</v>
      </c>
      <c r="AS1393" s="147" t="s">
        <v>136</v>
      </c>
      <c r="AT1393" s="147" t="s">
        <v>225</v>
      </c>
      <c r="AU1393" s="110">
        <v>0.71875</v>
      </c>
      <c r="AV1393" s="147">
        <v>2</v>
      </c>
      <c r="AW1393" s="147" t="s">
        <v>66</v>
      </c>
      <c r="AX1393" s="52"/>
      <c r="AY1393" s="52"/>
      <c r="AZ1393" s="52"/>
      <c r="BA1393" s="52"/>
    </row>
    <row r="1394" spans="1:53" s="162" customFormat="1" x14ac:dyDescent="0.25">
      <c r="A1394" s="157">
        <v>270</v>
      </c>
      <c r="B1394" s="155">
        <v>44910.597222222219</v>
      </c>
      <c r="C1394" s="150">
        <v>0.60069444444444442</v>
      </c>
      <c r="D1394" s="150">
        <v>0.60416666666666663</v>
      </c>
      <c r="E1394" s="150">
        <v>0.61805555555555558</v>
      </c>
      <c r="F1394" s="151" t="s">
        <v>171</v>
      </c>
      <c r="G1394" s="151" t="s">
        <v>811</v>
      </c>
      <c r="H1394" s="146" t="s">
        <v>3661</v>
      </c>
      <c r="I1394" s="146" t="s">
        <v>172</v>
      </c>
      <c r="J1394" s="146" t="s">
        <v>37</v>
      </c>
      <c r="K1394" s="146" t="s">
        <v>180</v>
      </c>
      <c r="L1394" s="146" t="s">
        <v>206</v>
      </c>
      <c r="M1394" s="151" t="s">
        <v>3664</v>
      </c>
      <c r="N1394" s="151" t="s">
        <v>70</v>
      </c>
      <c r="O1394" s="151" t="s">
        <v>3662</v>
      </c>
      <c r="P1394" s="151">
        <v>852968</v>
      </c>
      <c r="Q1394" s="303">
        <f t="shared" si="126"/>
        <v>1</v>
      </c>
      <c r="R1394" s="303">
        <f t="shared" si="127"/>
        <v>142</v>
      </c>
      <c r="S1394" s="151">
        <v>0</v>
      </c>
      <c r="T1394" s="151">
        <v>0</v>
      </c>
      <c r="U1394" s="151">
        <v>1</v>
      </c>
      <c r="V1394" s="151">
        <v>142</v>
      </c>
      <c r="W1394" s="151">
        <v>135</v>
      </c>
      <c r="X1394" s="151">
        <v>105</v>
      </c>
      <c r="Y1394" s="151">
        <v>38</v>
      </c>
      <c r="Z1394" s="151">
        <v>41</v>
      </c>
      <c r="AA1394" s="151">
        <v>1</v>
      </c>
      <c r="AB1394" s="300">
        <f t="shared" si="128"/>
        <v>27.265000000000001</v>
      </c>
      <c r="AC1394" s="300">
        <f t="shared" si="129"/>
        <v>0.16424698795180723</v>
      </c>
      <c r="AD1394" s="151">
        <v>878</v>
      </c>
      <c r="AE1394" s="151" t="s">
        <v>111</v>
      </c>
      <c r="AF1394" s="151" t="s">
        <v>317</v>
      </c>
      <c r="AG1394" s="151" t="s">
        <v>317</v>
      </c>
      <c r="AH1394" s="151" t="s">
        <v>3663</v>
      </c>
      <c r="AI1394" s="309"/>
      <c r="AJ1394" s="309"/>
      <c r="AK1394" s="151" t="s">
        <v>41</v>
      </c>
      <c r="AL1394" s="151" t="s">
        <v>58</v>
      </c>
      <c r="AM1394" s="299">
        <f t="shared" ca="1" si="125"/>
        <v>5.9652777777810115</v>
      </c>
      <c r="AN1394" s="158"/>
      <c r="AO1394" s="189" t="s">
        <v>70</v>
      </c>
      <c r="AP1394" s="91" t="s">
        <v>3664</v>
      </c>
      <c r="AQ1394" s="189" t="s">
        <v>4071</v>
      </c>
      <c r="AR1394" s="192">
        <v>44916.5625</v>
      </c>
      <c r="AS1394" s="186" t="s">
        <v>483</v>
      </c>
      <c r="AT1394" s="189" t="s">
        <v>225</v>
      </c>
      <c r="AU1394" s="191">
        <v>0.5625</v>
      </c>
      <c r="AV1394" s="189">
        <v>1</v>
      </c>
      <c r="AW1394" s="189" t="s">
        <v>66</v>
      </c>
      <c r="AX1394" s="159"/>
      <c r="AY1394" s="159"/>
      <c r="AZ1394" s="159"/>
      <c r="BA1394" s="159"/>
    </row>
    <row r="1395" spans="1:53" x14ac:dyDescent="0.25">
      <c r="A1395" s="48">
        <v>271</v>
      </c>
      <c r="B1395" s="46">
        <v>44910.666666666664</v>
      </c>
      <c r="C1395" s="36">
        <v>0.67361111111111116</v>
      </c>
      <c r="D1395" s="36">
        <v>0.68055555555555547</v>
      </c>
      <c r="E1395" s="36">
        <v>0.69097222222222221</v>
      </c>
      <c r="F1395" s="37" t="s">
        <v>170</v>
      </c>
      <c r="G1395" s="37" t="s">
        <v>2600</v>
      </c>
      <c r="H1395" s="26" t="s">
        <v>227</v>
      </c>
      <c r="I1395" s="26" t="s">
        <v>189</v>
      </c>
      <c r="J1395" s="146" t="s">
        <v>37</v>
      </c>
      <c r="K1395" s="149" t="s">
        <v>63</v>
      </c>
      <c r="L1395" s="153" t="s">
        <v>206</v>
      </c>
      <c r="M1395" s="37" t="s">
        <v>3665</v>
      </c>
      <c r="N1395" s="37" t="s">
        <v>42</v>
      </c>
      <c r="O1395" s="37" t="s">
        <v>3666</v>
      </c>
      <c r="P1395" s="37">
        <v>4798</v>
      </c>
      <c r="Q1395" s="303">
        <f t="shared" si="126"/>
        <v>2</v>
      </c>
      <c r="R1395" s="303">
        <f t="shared" si="127"/>
        <v>1330</v>
      </c>
      <c r="S1395" s="37">
        <v>0</v>
      </c>
      <c r="T1395" s="37">
        <v>0</v>
      </c>
      <c r="U1395" s="37">
        <v>2</v>
      </c>
      <c r="V1395" s="37">
        <f>636+694</f>
        <v>1330</v>
      </c>
      <c r="W1395" s="37">
        <v>1250</v>
      </c>
      <c r="X1395" s="37">
        <v>160</v>
      </c>
      <c r="Y1395" s="37">
        <v>138</v>
      </c>
      <c r="Z1395" s="37">
        <v>78</v>
      </c>
      <c r="AA1395" s="37">
        <v>2</v>
      </c>
      <c r="AB1395" s="300">
        <f t="shared" si="128"/>
        <v>574.08000000000004</v>
      </c>
      <c r="AC1395" s="300">
        <f t="shared" si="129"/>
        <v>3.4583132530120486</v>
      </c>
      <c r="AD1395" s="37" t="s">
        <v>48</v>
      </c>
      <c r="AE1395" s="151" t="s">
        <v>48</v>
      </c>
      <c r="AF1395" s="151" t="s">
        <v>317</v>
      </c>
      <c r="AG1395" s="151" t="s">
        <v>317</v>
      </c>
      <c r="AH1395" s="37" t="s">
        <v>3667</v>
      </c>
      <c r="AI1395" s="309"/>
      <c r="AJ1395" s="309"/>
      <c r="AK1395" s="37" t="s">
        <v>37</v>
      </c>
      <c r="AL1395" s="37" t="s">
        <v>39</v>
      </c>
      <c r="AM1395" s="299">
        <f t="shared" ca="1" si="125"/>
        <v>1.125</v>
      </c>
      <c r="AN1395" s="51"/>
      <c r="AO1395" s="147" t="s">
        <v>89</v>
      </c>
      <c r="AP1395" s="62" t="s">
        <v>3671</v>
      </c>
      <c r="AQ1395" s="147" t="s">
        <v>3695</v>
      </c>
      <c r="AR1395" s="64">
        <v>44911.791666666664</v>
      </c>
      <c r="AS1395" s="147" t="s">
        <v>136</v>
      </c>
      <c r="AT1395" s="147" t="s">
        <v>225</v>
      </c>
      <c r="AU1395" s="110">
        <v>0.53819444444444442</v>
      </c>
      <c r="AV1395" s="147">
        <v>2</v>
      </c>
      <c r="AW1395" s="147" t="s">
        <v>66</v>
      </c>
      <c r="AX1395" s="52"/>
      <c r="AY1395" s="52"/>
      <c r="AZ1395" s="52"/>
      <c r="BA1395" s="52" t="s">
        <v>3767</v>
      </c>
    </row>
    <row r="1396" spans="1:53" x14ac:dyDescent="0.25">
      <c r="A1396" s="48">
        <v>272</v>
      </c>
      <c r="B1396" s="155">
        <v>44910.666666666664</v>
      </c>
      <c r="C1396" s="150">
        <v>0.67361111111111116</v>
      </c>
      <c r="D1396" s="150">
        <v>0.68055555555555547</v>
      </c>
      <c r="E1396" s="150">
        <v>0.69097222222222221</v>
      </c>
      <c r="F1396" s="151" t="s">
        <v>170</v>
      </c>
      <c r="G1396" s="151" t="s">
        <v>2600</v>
      </c>
      <c r="H1396" s="146" t="s">
        <v>227</v>
      </c>
      <c r="I1396" s="146" t="s">
        <v>189</v>
      </c>
      <c r="J1396" s="146" t="s">
        <v>37</v>
      </c>
      <c r="K1396" s="149" t="s">
        <v>63</v>
      </c>
      <c r="L1396" s="153" t="s">
        <v>206</v>
      </c>
      <c r="M1396" s="37" t="s">
        <v>3668</v>
      </c>
      <c r="N1396" s="37" t="s">
        <v>43</v>
      </c>
      <c r="O1396" s="37" t="s">
        <v>3669</v>
      </c>
      <c r="P1396" s="37">
        <v>32405</v>
      </c>
      <c r="Q1396" s="303">
        <f t="shared" si="126"/>
        <v>1</v>
      </c>
      <c r="R1396" s="303">
        <f t="shared" si="127"/>
        <v>782</v>
      </c>
      <c r="S1396" s="37">
        <v>0</v>
      </c>
      <c r="T1396" s="37">
        <v>0</v>
      </c>
      <c r="U1396" s="37">
        <v>1</v>
      </c>
      <c r="V1396" s="37">
        <v>782</v>
      </c>
      <c r="W1396" s="37">
        <v>730</v>
      </c>
      <c r="X1396" s="37">
        <v>160</v>
      </c>
      <c r="Y1396" s="37">
        <v>138</v>
      </c>
      <c r="Z1396" s="37">
        <v>79</v>
      </c>
      <c r="AA1396" s="37">
        <v>1</v>
      </c>
      <c r="AB1396" s="300">
        <f t="shared" si="128"/>
        <v>290.72000000000003</v>
      </c>
      <c r="AC1396" s="300">
        <f t="shared" si="129"/>
        <v>1.7513253012048196</v>
      </c>
      <c r="AD1396" s="151" t="s">
        <v>48</v>
      </c>
      <c r="AE1396" s="151" t="s">
        <v>48</v>
      </c>
      <c r="AF1396" s="151" t="s">
        <v>317</v>
      </c>
      <c r="AG1396" s="151" t="s">
        <v>317</v>
      </c>
      <c r="AH1396" s="37" t="s">
        <v>3670</v>
      </c>
      <c r="AI1396" s="309"/>
      <c r="AJ1396" s="309"/>
      <c r="AK1396" s="151" t="s">
        <v>37</v>
      </c>
      <c r="AL1396" s="151" t="s">
        <v>39</v>
      </c>
      <c r="AM1396" s="299">
        <f t="shared" ca="1" si="125"/>
        <v>0.11111111111677019</v>
      </c>
      <c r="AN1396" s="51"/>
      <c r="AO1396" s="147" t="s">
        <v>179</v>
      </c>
      <c r="AP1396" s="147" t="s">
        <v>3668</v>
      </c>
      <c r="AQ1396" s="147" t="s">
        <v>3694</v>
      </c>
      <c r="AR1396" s="64">
        <v>44910.777777777781</v>
      </c>
      <c r="AS1396" s="104" t="s">
        <v>117</v>
      </c>
      <c r="AT1396" s="147" t="s">
        <v>225</v>
      </c>
      <c r="AU1396" s="110">
        <v>0.77777777777777779</v>
      </c>
      <c r="AV1396" s="147">
        <v>3</v>
      </c>
      <c r="AW1396" s="147" t="s">
        <v>66</v>
      </c>
      <c r="AX1396" s="52"/>
      <c r="AY1396" s="52"/>
      <c r="AZ1396" s="52"/>
      <c r="BA1396" s="52"/>
    </row>
    <row r="1397" spans="1:53" x14ac:dyDescent="0.25">
      <c r="A1397" s="48">
        <v>273</v>
      </c>
      <c r="B1397" s="155">
        <v>44910.666666666664</v>
      </c>
      <c r="C1397" s="150">
        <v>0.67361111111111116</v>
      </c>
      <c r="D1397" s="150">
        <v>0.68055555555555547</v>
      </c>
      <c r="E1397" s="150">
        <v>0.69097222222222221</v>
      </c>
      <c r="F1397" s="151" t="s">
        <v>170</v>
      </c>
      <c r="G1397" s="151" t="s">
        <v>2600</v>
      </c>
      <c r="H1397" s="146" t="s">
        <v>227</v>
      </c>
      <c r="I1397" s="146" t="s">
        <v>189</v>
      </c>
      <c r="J1397" s="146" t="s">
        <v>37</v>
      </c>
      <c r="K1397" s="149" t="s">
        <v>63</v>
      </c>
      <c r="L1397" s="153" t="s">
        <v>206</v>
      </c>
      <c r="M1397" s="37" t="s">
        <v>3671</v>
      </c>
      <c r="N1397" s="37" t="s">
        <v>42</v>
      </c>
      <c r="O1397" s="37">
        <v>1088</v>
      </c>
      <c r="P1397" s="37">
        <v>3720</v>
      </c>
      <c r="Q1397" s="303">
        <f t="shared" si="126"/>
        <v>1</v>
      </c>
      <c r="R1397" s="303">
        <f t="shared" si="127"/>
        <v>325</v>
      </c>
      <c r="S1397" s="37">
        <v>0</v>
      </c>
      <c r="T1397" s="37">
        <v>0</v>
      </c>
      <c r="U1397" s="37">
        <v>1</v>
      </c>
      <c r="V1397" s="37">
        <v>325</v>
      </c>
      <c r="W1397" s="37">
        <v>280</v>
      </c>
      <c r="X1397" s="37">
        <v>160</v>
      </c>
      <c r="Y1397" s="37">
        <v>138</v>
      </c>
      <c r="Z1397" s="37">
        <v>78</v>
      </c>
      <c r="AA1397" s="37">
        <v>1</v>
      </c>
      <c r="AB1397" s="300">
        <f t="shared" si="128"/>
        <v>287.04000000000002</v>
      </c>
      <c r="AC1397" s="300">
        <f t="shared" si="129"/>
        <v>1.7291566265060243</v>
      </c>
      <c r="AD1397" s="151" t="s">
        <v>48</v>
      </c>
      <c r="AE1397" s="151" t="s">
        <v>48</v>
      </c>
      <c r="AF1397" s="151" t="s">
        <v>317</v>
      </c>
      <c r="AG1397" s="151" t="s">
        <v>317</v>
      </c>
      <c r="AH1397" s="37" t="s">
        <v>3672</v>
      </c>
      <c r="AI1397" s="309"/>
      <c r="AJ1397" s="309"/>
      <c r="AK1397" s="151" t="s">
        <v>37</v>
      </c>
      <c r="AL1397" s="151" t="s">
        <v>39</v>
      </c>
      <c r="AM1397" s="299">
        <f t="shared" ca="1" si="125"/>
        <v>1.125</v>
      </c>
      <c r="AN1397" s="51"/>
      <c r="AO1397" s="147" t="s">
        <v>89</v>
      </c>
      <c r="AP1397" s="62" t="s">
        <v>3671</v>
      </c>
      <c r="AQ1397" s="147" t="s">
        <v>3695</v>
      </c>
      <c r="AR1397" s="64">
        <v>44911.791666666664</v>
      </c>
      <c r="AS1397" s="147" t="s">
        <v>136</v>
      </c>
      <c r="AT1397" s="147" t="s">
        <v>225</v>
      </c>
      <c r="AU1397" s="110">
        <v>0.53819444444444442</v>
      </c>
      <c r="AV1397" s="147">
        <v>2</v>
      </c>
      <c r="AW1397" s="147" t="s">
        <v>66</v>
      </c>
      <c r="AX1397" s="52"/>
      <c r="AY1397" s="52"/>
      <c r="AZ1397" s="52"/>
      <c r="BA1397" s="159" t="s">
        <v>3767</v>
      </c>
    </row>
    <row r="1398" spans="1:53" x14ac:dyDescent="0.25">
      <c r="A1398" s="48">
        <v>274</v>
      </c>
      <c r="B1398" s="155">
        <v>44910.666666666664</v>
      </c>
      <c r="C1398" s="150">
        <v>0.67361111111111116</v>
      </c>
      <c r="D1398" s="150">
        <v>0.68055555555555547</v>
      </c>
      <c r="E1398" s="150">
        <v>0.69097222222222221</v>
      </c>
      <c r="F1398" s="151" t="s">
        <v>170</v>
      </c>
      <c r="G1398" s="151" t="s">
        <v>2600</v>
      </c>
      <c r="H1398" s="146" t="s">
        <v>227</v>
      </c>
      <c r="I1398" s="146" t="s">
        <v>189</v>
      </c>
      <c r="J1398" s="146" t="s">
        <v>37</v>
      </c>
      <c r="K1398" s="149" t="s">
        <v>63</v>
      </c>
      <c r="L1398" s="153" t="s">
        <v>206</v>
      </c>
      <c r="M1398" s="37" t="s">
        <v>3671</v>
      </c>
      <c r="N1398" s="37" t="s">
        <v>42</v>
      </c>
      <c r="O1398" s="37">
        <v>1087</v>
      </c>
      <c r="P1398" s="37">
        <v>3719</v>
      </c>
      <c r="Q1398" s="303">
        <f t="shared" si="126"/>
        <v>16</v>
      </c>
      <c r="R1398" s="303">
        <f t="shared" si="127"/>
        <v>243</v>
      </c>
      <c r="S1398" s="37">
        <v>16</v>
      </c>
      <c r="T1398" s="37">
        <f>117-24+176-26</f>
        <v>243</v>
      </c>
      <c r="U1398" s="37">
        <v>0</v>
      </c>
      <c r="V1398" s="37">
        <v>0</v>
      </c>
      <c r="W1398" s="37">
        <v>169.68</v>
      </c>
      <c r="X1398" s="37">
        <v>90</v>
      </c>
      <c r="Y1398" s="37">
        <v>37</v>
      </c>
      <c r="Z1398" s="37">
        <v>50</v>
      </c>
      <c r="AA1398" s="37">
        <v>8</v>
      </c>
      <c r="AB1398" s="300">
        <f t="shared" si="128"/>
        <v>222</v>
      </c>
      <c r="AC1398" s="300">
        <f t="shared" si="129"/>
        <v>1.3373493975903614</v>
      </c>
      <c r="AD1398" s="151" t="s">
        <v>48</v>
      </c>
      <c r="AE1398" s="151" t="s">
        <v>48</v>
      </c>
      <c r="AF1398" s="151" t="s">
        <v>317</v>
      </c>
      <c r="AG1398" s="151" t="s">
        <v>317</v>
      </c>
      <c r="AH1398" s="37" t="s">
        <v>3673</v>
      </c>
      <c r="AI1398" s="309"/>
      <c r="AJ1398" s="309"/>
      <c r="AK1398" s="37" t="s">
        <v>48</v>
      </c>
      <c r="AL1398" s="37" t="s">
        <v>56</v>
      </c>
      <c r="AM1398" s="299">
        <f t="shared" ca="1" si="125"/>
        <v>1.125</v>
      </c>
      <c r="AN1398" s="51"/>
      <c r="AO1398" s="147" t="s">
        <v>89</v>
      </c>
      <c r="AP1398" s="62" t="s">
        <v>3671</v>
      </c>
      <c r="AQ1398" s="147" t="s">
        <v>3695</v>
      </c>
      <c r="AR1398" s="64">
        <v>44911.791666666664</v>
      </c>
      <c r="AS1398" s="147" t="s">
        <v>136</v>
      </c>
      <c r="AT1398" s="147" t="s">
        <v>225</v>
      </c>
      <c r="AU1398" s="110">
        <v>0.53819444444444442</v>
      </c>
      <c r="AV1398" s="147">
        <v>2</v>
      </c>
      <c r="AW1398" s="147" t="s">
        <v>66</v>
      </c>
      <c r="AX1398" s="52"/>
      <c r="AY1398" s="52"/>
      <c r="AZ1398" s="52"/>
      <c r="BA1398" s="159" t="s">
        <v>3767</v>
      </c>
    </row>
    <row r="1399" spans="1:53" x14ac:dyDescent="0.25">
      <c r="A1399" s="157">
        <v>274</v>
      </c>
      <c r="B1399" s="155">
        <v>44910.666666666664</v>
      </c>
      <c r="C1399" s="150">
        <v>0.67361111111111116</v>
      </c>
      <c r="D1399" s="150">
        <v>0.68055555555555547</v>
      </c>
      <c r="E1399" s="150">
        <v>0.69097222222222221</v>
      </c>
      <c r="F1399" s="151" t="s">
        <v>170</v>
      </c>
      <c r="G1399" s="151" t="s">
        <v>2600</v>
      </c>
      <c r="H1399" s="146" t="s">
        <v>227</v>
      </c>
      <c r="I1399" s="146" t="s">
        <v>189</v>
      </c>
      <c r="J1399" s="146" t="s">
        <v>37</v>
      </c>
      <c r="K1399" s="149" t="s">
        <v>63</v>
      </c>
      <c r="L1399" s="153" t="s">
        <v>206</v>
      </c>
      <c r="M1399" s="151" t="s">
        <v>3671</v>
      </c>
      <c r="N1399" s="151" t="s">
        <v>42</v>
      </c>
      <c r="O1399" s="151">
        <v>1087</v>
      </c>
      <c r="P1399" s="151">
        <v>3719</v>
      </c>
      <c r="Q1399" s="303">
        <f t="shared" si="126"/>
        <v>0</v>
      </c>
      <c r="R1399" s="303">
        <f t="shared" si="127"/>
        <v>0</v>
      </c>
      <c r="S1399" s="151">
        <v>0</v>
      </c>
      <c r="T1399" s="151">
        <v>0</v>
      </c>
      <c r="U1399" s="151">
        <v>0</v>
      </c>
      <c r="V1399" s="151">
        <v>0</v>
      </c>
      <c r="W1399" s="151">
        <v>0</v>
      </c>
      <c r="X1399" s="37">
        <v>54</v>
      </c>
      <c r="Y1399" s="37">
        <v>53</v>
      </c>
      <c r="Z1399" s="37">
        <v>62</v>
      </c>
      <c r="AA1399" s="37">
        <v>8</v>
      </c>
      <c r="AB1399" s="300">
        <f t="shared" si="128"/>
        <v>236.59200000000001</v>
      </c>
      <c r="AC1399" s="300">
        <f t="shared" si="129"/>
        <v>1.4252530120481928</v>
      </c>
      <c r="AD1399" s="37">
        <v>0</v>
      </c>
      <c r="AE1399" s="151">
        <v>0</v>
      </c>
      <c r="AF1399" s="151" t="s">
        <v>317</v>
      </c>
      <c r="AG1399" s="151" t="s">
        <v>317</v>
      </c>
      <c r="AH1399" s="151" t="s">
        <v>3673</v>
      </c>
      <c r="AI1399" s="309"/>
      <c r="AJ1399" s="309"/>
      <c r="AK1399" s="151" t="s">
        <v>48</v>
      </c>
      <c r="AL1399" s="151" t="s">
        <v>56</v>
      </c>
      <c r="AM1399" s="299">
        <f t="shared" ca="1" si="125"/>
        <v>1.125</v>
      </c>
      <c r="AN1399" s="51"/>
      <c r="AO1399" s="147" t="s">
        <v>89</v>
      </c>
      <c r="AP1399" s="62" t="s">
        <v>3671</v>
      </c>
      <c r="AQ1399" s="147" t="s">
        <v>3695</v>
      </c>
      <c r="AR1399" s="64">
        <v>44911.791666666664</v>
      </c>
      <c r="AS1399" s="147" t="s">
        <v>136</v>
      </c>
      <c r="AT1399" s="147" t="s">
        <v>225</v>
      </c>
      <c r="AU1399" s="110">
        <v>0.53819444444444442</v>
      </c>
      <c r="AV1399" s="147">
        <v>2</v>
      </c>
      <c r="AW1399" s="147" t="s">
        <v>66</v>
      </c>
      <c r="AX1399" s="52"/>
      <c r="AY1399" s="52"/>
      <c r="AZ1399" s="52"/>
      <c r="BA1399" s="159" t="s">
        <v>3767</v>
      </c>
    </row>
    <row r="1400" spans="1:53" x14ac:dyDescent="0.25">
      <c r="A1400" s="48">
        <v>275</v>
      </c>
      <c r="B1400" s="155">
        <v>44910.729166666664</v>
      </c>
      <c r="C1400" s="36">
        <v>0.73263888888888884</v>
      </c>
      <c r="D1400" s="36">
        <v>0.73958333333333337</v>
      </c>
      <c r="E1400" s="36">
        <v>0.73958333333333337</v>
      </c>
      <c r="F1400" s="37" t="s">
        <v>171</v>
      </c>
      <c r="G1400" s="37" t="s">
        <v>133</v>
      </c>
      <c r="H1400" s="26" t="s">
        <v>339</v>
      </c>
      <c r="I1400" s="26" t="s">
        <v>91</v>
      </c>
      <c r="J1400" s="26" t="s">
        <v>37</v>
      </c>
      <c r="K1400" s="26" t="s">
        <v>180</v>
      </c>
      <c r="L1400" s="26" t="s">
        <v>206</v>
      </c>
      <c r="M1400" s="151" t="s">
        <v>3678</v>
      </c>
      <c r="N1400" s="37" t="s">
        <v>53</v>
      </c>
      <c r="O1400" s="37">
        <v>2200153</v>
      </c>
      <c r="P1400" s="37">
        <v>4501932270</v>
      </c>
      <c r="Q1400" s="303">
        <f t="shared" si="126"/>
        <v>1</v>
      </c>
      <c r="R1400" s="303">
        <f t="shared" si="127"/>
        <v>72</v>
      </c>
      <c r="S1400" s="37">
        <v>0</v>
      </c>
      <c r="T1400" s="37">
        <v>0</v>
      </c>
      <c r="U1400" s="37">
        <v>1</v>
      </c>
      <c r="V1400" s="37">
        <v>72</v>
      </c>
      <c r="W1400" s="37">
        <v>74</v>
      </c>
      <c r="X1400" s="37">
        <v>120</v>
      </c>
      <c r="Y1400" s="37">
        <v>80</v>
      </c>
      <c r="Z1400" s="37">
        <v>82</v>
      </c>
      <c r="AA1400" s="37">
        <v>1</v>
      </c>
      <c r="AB1400" s="300">
        <f t="shared" si="128"/>
        <v>131.19999999999999</v>
      </c>
      <c r="AC1400" s="300">
        <f t="shared" si="129"/>
        <v>0.7903614457831325</v>
      </c>
      <c r="AD1400" s="37">
        <v>93861</v>
      </c>
      <c r="AE1400" s="37" t="s">
        <v>109</v>
      </c>
      <c r="AF1400" s="37" t="s">
        <v>317</v>
      </c>
      <c r="AG1400" s="37" t="s">
        <v>317</v>
      </c>
      <c r="AH1400" s="37" t="s">
        <v>3674</v>
      </c>
      <c r="AI1400" s="309"/>
      <c r="AJ1400" s="309"/>
      <c r="AK1400" s="37" t="s">
        <v>37</v>
      </c>
      <c r="AL1400" s="37" t="s">
        <v>54</v>
      </c>
      <c r="AM1400" s="299">
        <f t="shared" ca="1" si="125"/>
        <v>0.76736111111677019</v>
      </c>
      <c r="AN1400" s="51"/>
      <c r="AO1400" s="147" t="s">
        <v>323</v>
      </c>
      <c r="AP1400" s="62" t="s">
        <v>3678</v>
      </c>
      <c r="AQ1400" s="147" t="s">
        <v>3766</v>
      </c>
      <c r="AR1400" s="64">
        <v>44911.496527777781</v>
      </c>
      <c r="AS1400" s="104" t="s">
        <v>173</v>
      </c>
      <c r="AT1400" s="147" t="s">
        <v>225</v>
      </c>
      <c r="AU1400" s="110">
        <v>0.49652777777777773</v>
      </c>
      <c r="AV1400" s="147">
        <v>1</v>
      </c>
      <c r="AW1400" s="147" t="s">
        <v>66</v>
      </c>
      <c r="AX1400" s="52"/>
      <c r="AY1400" s="52"/>
      <c r="AZ1400" s="52"/>
      <c r="BA1400" s="52"/>
    </row>
    <row r="1401" spans="1:53" x14ac:dyDescent="0.25">
      <c r="A1401" s="48">
        <v>276</v>
      </c>
      <c r="B1401" s="155">
        <v>44910.729166666664</v>
      </c>
      <c r="C1401" s="150">
        <v>0.73263888888888884</v>
      </c>
      <c r="D1401" s="150">
        <v>0.73958333333333337</v>
      </c>
      <c r="E1401" s="150">
        <v>0.73958333333333337</v>
      </c>
      <c r="F1401" s="151" t="s">
        <v>171</v>
      </c>
      <c r="G1401" s="151" t="s">
        <v>133</v>
      </c>
      <c r="H1401" s="146" t="s">
        <v>339</v>
      </c>
      <c r="I1401" s="146" t="s">
        <v>91</v>
      </c>
      <c r="J1401" s="146" t="s">
        <v>37</v>
      </c>
      <c r="K1401" s="146" t="s">
        <v>180</v>
      </c>
      <c r="L1401" s="146" t="s">
        <v>206</v>
      </c>
      <c r="M1401" s="151" t="s">
        <v>3677</v>
      </c>
      <c r="N1401" s="151" t="s">
        <v>53</v>
      </c>
      <c r="O1401" s="37">
        <v>2200152</v>
      </c>
      <c r="P1401" s="37">
        <v>4501932269</v>
      </c>
      <c r="Q1401" s="303">
        <f t="shared" si="126"/>
        <v>1</v>
      </c>
      <c r="R1401" s="303">
        <f t="shared" si="127"/>
        <v>72</v>
      </c>
      <c r="S1401" s="37">
        <v>0</v>
      </c>
      <c r="T1401" s="37">
        <v>0</v>
      </c>
      <c r="U1401" s="37">
        <v>1</v>
      </c>
      <c r="V1401" s="37">
        <v>72</v>
      </c>
      <c r="W1401" s="37">
        <v>74</v>
      </c>
      <c r="X1401" s="37">
        <v>120</v>
      </c>
      <c r="Y1401" s="37">
        <v>80</v>
      </c>
      <c r="Z1401" s="37">
        <v>82</v>
      </c>
      <c r="AA1401" s="37">
        <v>1</v>
      </c>
      <c r="AB1401" s="300">
        <f t="shared" si="128"/>
        <v>131.19999999999999</v>
      </c>
      <c r="AC1401" s="300">
        <f t="shared" si="129"/>
        <v>0.7903614457831325</v>
      </c>
      <c r="AD1401" s="151">
        <v>93861</v>
      </c>
      <c r="AE1401" s="151" t="s">
        <v>109</v>
      </c>
      <c r="AF1401" s="151" t="s">
        <v>317</v>
      </c>
      <c r="AG1401" s="151" t="s">
        <v>317</v>
      </c>
      <c r="AH1401" s="151" t="s">
        <v>3675</v>
      </c>
      <c r="AI1401" s="309"/>
      <c r="AJ1401" s="309"/>
      <c r="AK1401" s="151" t="s">
        <v>37</v>
      </c>
      <c r="AL1401" s="151" t="s">
        <v>54</v>
      </c>
      <c r="AM1401" s="299">
        <f t="shared" ca="1" si="125"/>
        <v>0.76736111111677019</v>
      </c>
      <c r="AN1401" s="51"/>
      <c r="AO1401" s="147" t="s">
        <v>323</v>
      </c>
      <c r="AP1401" s="62" t="s">
        <v>3677</v>
      </c>
      <c r="AQ1401" s="147" t="s">
        <v>3766</v>
      </c>
      <c r="AR1401" s="64">
        <v>44911.496527777781</v>
      </c>
      <c r="AS1401" s="104" t="s">
        <v>173</v>
      </c>
      <c r="AT1401" s="147" t="s">
        <v>225</v>
      </c>
      <c r="AU1401" s="110">
        <v>0.49652777777777773</v>
      </c>
      <c r="AV1401" s="147">
        <v>1</v>
      </c>
      <c r="AW1401" s="147" t="s">
        <v>66</v>
      </c>
      <c r="AX1401" s="52"/>
      <c r="AY1401" s="52"/>
      <c r="AZ1401" s="52"/>
      <c r="BA1401" s="52"/>
    </row>
    <row r="1402" spans="1:53" x14ac:dyDescent="0.25">
      <c r="A1402" s="48">
        <v>277</v>
      </c>
      <c r="B1402" s="155">
        <v>44910.729166666664</v>
      </c>
      <c r="C1402" s="150">
        <v>0.73263888888888884</v>
      </c>
      <c r="D1402" s="150">
        <v>0.73958333333333337</v>
      </c>
      <c r="E1402" s="150">
        <v>0.73958333333333337</v>
      </c>
      <c r="F1402" s="151" t="s">
        <v>171</v>
      </c>
      <c r="G1402" s="151" t="s">
        <v>133</v>
      </c>
      <c r="H1402" s="146" t="s">
        <v>339</v>
      </c>
      <c r="I1402" s="146" t="s">
        <v>91</v>
      </c>
      <c r="J1402" s="146" t="s">
        <v>37</v>
      </c>
      <c r="K1402" s="146" t="s">
        <v>180</v>
      </c>
      <c r="L1402" s="146" t="s">
        <v>206</v>
      </c>
      <c r="M1402" s="151" t="s">
        <v>3677</v>
      </c>
      <c r="N1402" s="151" t="s">
        <v>53</v>
      </c>
      <c r="O1402" s="37">
        <v>2200151</v>
      </c>
      <c r="P1402" s="37">
        <v>4501932268</v>
      </c>
      <c r="Q1402" s="303">
        <f t="shared" si="126"/>
        <v>1</v>
      </c>
      <c r="R1402" s="303">
        <f t="shared" si="127"/>
        <v>72</v>
      </c>
      <c r="S1402" s="37">
        <v>0</v>
      </c>
      <c r="T1402" s="37">
        <v>0</v>
      </c>
      <c r="U1402" s="37">
        <v>1</v>
      </c>
      <c r="V1402" s="37">
        <v>72</v>
      </c>
      <c r="W1402" s="37">
        <v>74</v>
      </c>
      <c r="X1402" s="37">
        <v>120</v>
      </c>
      <c r="Y1402" s="37">
        <v>80</v>
      </c>
      <c r="Z1402" s="37">
        <v>82</v>
      </c>
      <c r="AA1402" s="37">
        <v>1</v>
      </c>
      <c r="AB1402" s="300">
        <f t="shared" si="128"/>
        <v>131.19999999999999</v>
      </c>
      <c r="AC1402" s="300">
        <f t="shared" si="129"/>
        <v>0.7903614457831325</v>
      </c>
      <c r="AD1402" s="151">
        <v>93861</v>
      </c>
      <c r="AE1402" s="151" t="s">
        <v>109</v>
      </c>
      <c r="AF1402" s="151" t="s">
        <v>317</v>
      </c>
      <c r="AG1402" s="151" t="s">
        <v>317</v>
      </c>
      <c r="AH1402" s="151" t="s">
        <v>3676</v>
      </c>
      <c r="AI1402" s="309"/>
      <c r="AJ1402" s="309"/>
      <c r="AK1402" s="151" t="s">
        <v>37</v>
      </c>
      <c r="AL1402" s="151" t="s">
        <v>54</v>
      </c>
      <c r="AM1402" s="299">
        <f t="shared" ca="1" si="125"/>
        <v>0.76736111111677019</v>
      </c>
      <c r="AN1402" s="51"/>
      <c r="AO1402" s="147" t="s">
        <v>323</v>
      </c>
      <c r="AP1402" s="62" t="s">
        <v>3677</v>
      </c>
      <c r="AQ1402" s="147" t="s">
        <v>3766</v>
      </c>
      <c r="AR1402" s="64">
        <v>44911.496527777781</v>
      </c>
      <c r="AS1402" s="104" t="s">
        <v>173</v>
      </c>
      <c r="AT1402" s="147" t="s">
        <v>225</v>
      </c>
      <c r="AU1402" s="110">
        <v>0.49652777777777773</v>
      </c>
      <c r="AV1402" s="147">
        <v>1</v>
      </c>
      <c r="AW1402" s="147" t="s">
        <v>66</v>
      </c>
      <c r="AX1402" s="52"/>
      <c r="AY1402" s="52"/>
      <c r="AZ1402" s="52"/>
      <c r="BA1402" s="52"/>
    </row>
    <row r="1403" spans="1:53" x14ac:dyDescent="0.25">
      <c r="A1403" s="48">
        <v>278</v>
      </c>
      <c r="B1403" s="46">
        <v>44910.770833333336</v>
      </c>
      <c r="C1403" s="36">
        <v>0.77777777777777779</v>
      </c>
      <c r="D1403" s="36">
        <v>0.79166666666666663</v>
      </c>
      <c r="E1403" s="36">
        <v>0.80208333333333337</v>
      </c>
      <c r="F1403" s="151" t="s">
        <v>171</v>
      </c>
      <c r="G1403" s="37" t="s">
        <v>2544</v>
      </c>
      <c r="H1403" s="26" t="s">
        <v>91</v>
      </c>
      <c r="I1403" s="26" t="s">
        <v>318</v>
      </c>
      <c r="J1403" s="26" t="s">
        <v>41</v>
      </c>
      <c r="K1403" s="146" t="s">
        <v>180</v>
      </c>
      <c r="L1403" s="146" t="s">
        <v>206</v>
      </c>
      <c r="M1403" s="37" t="s">
        <v>3679</v>
      </c>
      <c r="N1403" s="37" t="s">
        <v>44</v>
      </c>
      <c r="O1403" s="37">
        <v>1054969977</v>
      </c>
      <c r="P1403" s="37">
        <v>1214039560</v>
      </c>
      <c r="Q1403" s="303">
        <f t="shared" si="126"/>
        <v>5</v>
      </c>
      <c r="R1403" s="303">
        <f t="shared" si="127"/>
        <v>1067</v>
      </c>
      <c r="S1403" s="37">
        <v>0</v>
      </c>
      <c r="T1403" s="37">
        <v>0</v>
      </c>
      <c r="U1403" s="37">
        <v>5</v>
      </c>
      <c r="V1403" s="37">
        <f>427+426+214</f>
        <v>1067</v>
      </c>
      <c r="W1403" s="37">
        <v>1068</v>
      </c>
      <c r="X1403" s="37">
        <v>120</v>
      </c>
      <c r="Y1403" s="37">
        <v>80</v>
      </c>
      <c r="Z1403" s="37">
        <v>78</v>
      </c>
      <c r="AA1403" s="37">
        <v>5</v>
      </c>
      <c r="AB1403" s="300">
        <f t="shared" si="128"/>
        <v>624</v>
      </c>
      <c r="AC1403" s="300">
        <f t="shared" si="129"/>
        <v>3.7590361445783134</v>
      </c>
      <c r="AD1403" s="37">
        <v>58099.8</v>
      </c>
      <c r="AE1403" s="151" t="s">
        <v>109</v>
      </c>
      <c r="AF1403" s="37" t="s">
        <v>3680</v>
      </c>
      <c r="AG1403" s="37" t="s">
        <v>3681</v>
      </c>
      <c r="AH1403" s="37" t="s">
        <v>3683</v>
      </c>
      <c r="AI1403" s="309"/>
      <c r="AJ1403" s="309"/>
      <c r="AK1403" s="151" t="s">
        <v>37</v>
      </c>
      <c r="AL1403" s="37" t="s">
        <v>58</v>
      </c>
      <c r="AM1403" s="299">
        <f t="shared" ca="1" si="125"/>
        <v>0.72569444444525288</v>
      </c>
      <c r="AN1403" s="51"/>
      <c r="AO1403" s="147" t="s">
        <v>323</v>
      </c>
      <c r="AP1403" s="62" t="s">
        <v>3679</v>
      </c>
      <c r="AQ1403" s="147" t="s">
        <v>3766</v>
      </c>
      <c r="AR1403" s="64">
        <v>44911.496527777781</v>
      </c>
      <c r="AS1403" s="104" t="s">
        <v>173</v>
      </c>
      <c r="AT1403" s="147" t="s">
        <v>225</v>
      </c>
      <c r="AU1403" s="110">
        <v>0.49652777777777773</v>
      </c>
      <c r="AV1403" s="147">
        <v>1</v>
      </c>
      <c r="AW1403" s="147" t="s">
        <v>66</v>
      </c>
      <c r="AX1403" s="52"/>
      <c r="AY1403" s="52"/>
      <c r="AZ1403" s="52"/>
      <c r="BA1403" s="52"/>
    </row>
    <row r="1404" spans="1:53" x14ac:dyDescent="0.25">
      <c r="A1404" s="48">
        <v>279</v>
      </c>
      <c r="B1404" s="155">
        <v>44910.770833333336</v>
      </c>
      <c r="C1404" s="150">
        <v>0.77777777777777779</v>
      </c>
      <c r="D1404" s="150">
        <v>0.79166666666666663</v>
      </c>
      <c r="E1404" s="150">
        <v>0.80208333333333337</v>
      </c>
      <c r="F1404" s="151" t="s">
        <v>171</v>
      </c>
      <c r="G1404" s="151" t="s">
        <v>2544</v>
      </c>
      <c r="H1404" s="146" t="s">
        <v>91</v>
      </c>
      <c r="I1404" s="146" t="s">
        <v>318</v>
      </c>
      <c r="J1404" s="146" t="s">
        <v>41</v>
      </c>
      <c r="K1404" s="146" t="s">
        <v>180</v>
      </c>
      <c r="L1404" s="146" t="s">
        <v>206</v>
      </c>
      <c r="M1404" s="151" t="s">
        <v>3679</v>
      </c>
      <c r="N1404" s="151" t="s">
        <v>44</v>
      </c>
      <c r="O1404" s="151">
        <v>1054969976</v>
      </c>
      <c r="P1404" s="37">
        <v>1214038863</v>
      </c>
      <c r="Q1404" s="303">
        <f t="shared" si="126"/>
        <v>5</v>
      </c>
      <c r="R1404" s="303">
        <f t="shared" si="127"/>
        <v>1065</v>
      </c>
      <c r="S1404" s="37">
        <v>0</v>
      </c>
      <c r="T1404" s="37">
        <v>0</v>
      </c>
      <c r="U1404" s="37">
        <v>5</v>
      </c>
      <c r="V1404" s="37">
        <f>427+425+213</f>
        <v>1065</v>
      </c>
      <c r="W1404" s="37">
        <v>1068</v>
      </c>
      <c r="X1404" s="151">
        <v>120</v>
      </c>
      <c r="Y1404" s="151">
        <v>80</v>
      </c>
      <c r="Z1404" s="151">
        <v>78</v>
      </c>
      <c r="AA1404" s="151">
        <v>5</v>
      </c>
      <c r="AB1404" s="300">
        <f t="shared" si="128"/>
        <v>624</v>
      </c>
      <c r="AC1404" s="300">
        <f t="shared" si="129"/>
        <v>3.7590361445783134</v>
      </c>
      <c r="AD1404" s="151">
        <v>58099.8</v>
      </c>
      <c r="AE1404" s="151" t="s">
        <v>109</v>
      </c>
      <c r="AF1404" s="151" t="s">
        <v>3680</v>
      </c>
      <c r="AG1404" s="151" t="s">
        <v>3681</v>
      </c>
      <c r="AH1404" s="151" t="s">
        <v>3682</v>
      </c>
      <c r="AI1404" s="309"/>
      <c r="AJ1404" s="309"/>
      <c r="AK1404" s="151" t="s">
        <v>37</v>
      </c>
      <c r="AL1404" s="151" t="s">
        <v>58</v>
      </c>
      <c r="AM1404" s="299">
        <f t="shared" ca="1" si="125"/>
        <v>0.72569444444525288</v>
      </c>
      <c r="AN1404" s="51"/>
      <c r="AO1404" s="147" t="s">
        <v>323</v>
      </c>
      <c r="AP1404" s="62" t="s">
        <v>3679</v>
      </c>
      <c r="AQ1404" s="147" t="s">
        <v>3766</v>
      </c>
      <c r="AR1404" s="64">
        <v>44911.496527777781</v>
      </c>
      <c r="AS1404" s="104" t="s">
        <v>173</v>
      </c>
      <c r="AT1404" s="147" t="s">
        <v>225</v>
      </c>
      <c r="AU1404" s="110">
        <v>0.49652777777777773</v>
      </c>
      <c r="AV1404" s="147">
        <v>1</v>
      </c>
      <c r="AW1404" s="147" t="s">
        <v>66</v>
      </c>
      <c r="AX1404" s="52"/>
      <c r="AY1404" s="52"/>
      <c r="AZ1404" s="52"/>
      <c r="BA1404" s="52"/>
    </row>
    <row r="1405" spans="1:53" x14ac:dyDescent="0.25">
      <c r="A1405" s="48">
        <v>280</v>
      </c>
      <c r="B1405" s="155">
        <v>44910.770833333336</v>
      </c>
      <c r="C1405" s="150">
        <v>0.77777777777777779</v>
      </c>
      <c r="D1405" s="150">
        <v>0.79166666666666663</v>
      </c>
      <c r="E1405" s="150">
        <v>0.80208333333333337</v>
      </c>
      <c r="F1405" s="151" t="s">
        <v>171</v>
      </c>
      <c r="G1405" s="151" t="s">
        <v>2544</v>
      </c>
      <c r="H1405" s="146" t="s">
        <v>91</v>
      </c>
      <c r="I1405" s="146" t="s">
        <v>318</v>
      </c>
      <c r="J1405" s="146" t="s">
        <v>41</v>
      </c>
      <c r="K1405" s="146" t="s">
        <v>180</v>
      </c>
      <c r="L1405" s="146" t="s">
        <v>206</v>
      </c>
      <c r="M1405" s="149" t="s">
        <v>3684</v>
      </c>
      <c r="N1405" s="151" t="s">
        <v>44</v>
      </c>
      <c r="O1405" s="37">
        <v>1054969978</v>
      </c>
      <c r="P1405" s="37">
        <v>1214040488</v>
      </c>
      <c r="Q1405" s="303">
        <f t="shared" si="126"/>
        <v>5</v>
      </c>
      <c r="R1405" s="303">
        <f t="shared" si="127"/>
        <v>1064</v>
      </c>
      <c r="S1405" s="37">
        <v>0</v>
      </c>
      <c r="T1405" s="37">
        <v>0</v>
      </c>
      <c r="U1405" s="37">
        <v>5</v>
      </c>
      <c r="V1405" s="37">
        <f>212+212+214+213+213</f>
        <v>1064</v>
      </c>
      <c r="W1405" s="37">
        <v>1066</v>
      </c>
      <c r="X1405" s="151">
        <v>120</v>
      </c>
      <c r="Y1405" s="151">
        <v>80</v>
      </c>
      <c r="Z1405" s="151">
        <v>78</v>
      </c>
      <c r="AA1405" s="151">
        <v>5</v>
      </c>
      <c r="AB1405" s="300">
        <f t="shared" si="128"/>
        <v>624</v>
      </c>
      <c r="AC1405" s="300">
        <f t="shared" si="129"/>
        <v>3.7590361445783134</v>
      </c>
      <c r="AD1405" s="151">
        <v>58099.8</v>
      </c>
      <c r="AE1405" s="151" t="s">
        <v>109</v>
      </c>
      <c r="AF1405" s="37" t="s">
        <v>82</v>
      </c>
      <c r="AG1405" s="151" t="s">
        <v>82</v>
      </c>
      <c r="AH1405" s="37" t="s">
        <v>3685</v>
      </c>
      <c r="AI1405" s="309"/>
      <c r="AJ1405" s="309"/>
      <c r="AK1405" s="151" t="s">
        <v>37</v>
      </c>
      <c r="AL1405" s="151" t="s">
        <v>58</v>
      </c>
      <c r="AM1405" s="299">
        <f t="shared" ca="1" si="125"/>
        <v>0.72569444444525288</v>
      </c>
      <c r="AN1405" s="51"/>
      <c r="AO1405" s="147" t="s">
        <v>323</v>
      </c>
      <c r="AP1405" s="62" t="s">
        <v>3684</v>
      </c>
      <c r="AQ1405" s="147" t="s">
        <v>3766</v>
      </c>
      <c r="AR1405" s="64">
        <v>44911.496527777781</v>
      </c>
      <c r="AS1405" s="104" t="s">
        <v>173</v>
      </c>
      <c r="AT1405" s="147" t="s">
        <v>225</v>
      </c>
      <c r="AU1405" s="110">
        <v>0.49652777777777773</v>
      </c>
      <c r="AV1405" s="147">
        <v>1</v>
      </c>
      <c r="AW1405" s="147" t="s">
        <v>66</v>
      </c>
      <c r="AX1405" s="52"/>
      <c r="AY1405" s="52"/>
      <c r="AZ1405" s="52"/>
      <c r="BA1405" s="52"/>
    </row>
    <row r="1406" spans="1:53" x14ac:dyDescent="0.25">
      <c r="A1406" s="48">
        <v>281</v>
      </c>
      <c r="B1406" s="46">
        <v>44911.416666666664</v>
      </c>
      <c r="C1406" s="36">
        <v>0.4201388888888889</v>
      </c>
      <c r="D1406" s="36">
        <v>0.42708333333333331</v>
      </c>
      <c r="E1406" s="36">
        <v>0.4513888888888889</v>
      </c>
      <c r="F1406" s="151" t="s">
        <v>171</v>
      </c>
      <c r="G1406" s="37" t="s">
        <v>173</v>
      </c>
      <c r="H1406" s="26" t="s">
        <v>350</v>
      </c>
      <c r="I1406" s="146" t="s">
        <v>350</v>
      </c>
      <c r="J1406" s="146" t="s">
        <v>41</v>
      </c>
      <c r="K1406" s="26" t="e">
        <f>#REF!</f>
        <v>#REF!</v>
      </c>
      <c r="L1406" s="26" t="e">
        <f>#REF!</f>
        <v>#REF!</v>
      </c>
      <c r="M1406" s="37" t="s">
        <v>3696</v>
      </c>
      <c r="N1406" s="37" t="s">
        <v>42</v>
      </c>
      <c r="O1406" s="37" t="s">
        <v>3697</v>
      </c>
      <c r="P1406" s="37">
        <v>49478904</v>
      </c>
      <c r="Q1406" s="303">
        <f t="shared" si="126"/>
        <v>3</v>
      </c>
      <c r="R1406" s="303">
        <f t="shared" si="127"/>
        <v>40</v>
      </c>
      <c r="S1406" s="37">
        <v>3</v>
      </c>
      <c r="T1406" s="37">
        <f>62-22</f>
        <v>40</v>
      </c>
      <c r="U1406" s="37">
        <v>0</v>
      </c>
      <c r="V1406" s="37">
        <v>0</v>
      </c>
      <c r="W1406" s="37">
        <v>39</v>
      </c>
      <c r="X1406" s="37">
        <v>27</v>
      </c>
      <c r="Y1406" s="37">
        <v>27</v>
      </c>
      <c r="Z1406" s="37">
        <v>29</v>
      </c>
      <c r="AA1406" s="37">
        <v>3</v>
      </c>
      <c r="AB1406" s="300">
        <f t="shared" si="128"/>
        <v>10.570499999999999</v>
      </c>
      <c r="AC1406" s="300">
        <f t="shared" si="129"/>
        <v>6.3677710843373495E-2</v>
      </c>
      <c r="AD1406" s="37">
        <v>3237</v>
      </c>
      <c r="AE1406" s="151" t="s">
        <v>109</v>
      </c>
      <c r="AF1406" s="37" t="s">
        <v>317</v>
      </c>
      <c r="AG1406" s="151" t="s">
        <v>317</v>
      </c>
      <c r="AH1406" s="37" t="s">
        <v>3698</v>
      </c>
      <c r="AI1406" s="309"/>
      <c r="AJ1406" s="309"/>
      <c r="AK1406" s="37" t="s">
        <v>48</v>
      </c>
      <c r="AL1406" s="37" t="s">
        <v>50</v>
      </c>
      <c r="AM1406" s="299">
        <f t="shared" ca="1" si="125"/>
        <v>7.2708333333357587</v>
      </c>
      <c r="AN1406" s="51"/>
      <c r="AO1406" s="189" t="s">
        <v>213</v>
      </c>
      <c r="AP1406" s="190" t="s">
        <v>3696</v>
      </c>
      <c r="AQ1406" s="189" t="s">
        <v>4239</v>
      </c>
      <c r="AR1406" s="192">
        <v>44918.6875</v>
      </c>
      <c r="AS1406" s="186" t="s">
        <v>173</v>
      </c>
      <c r="AT1406" s="189" t="s">
        <v>225</v>
      </c>
      <c r="AU1406" s="191">
        <v>0.6875</v>
      </c>
      <c r="AV1406" s="189">
        <v>4</v>
      </c>
      <c r="AW1406" s="189" t="s">
        <v>66</v>
      </c>
      <c r="AX1406" s="52"/>
      <c r="AY1406" s="52"/>
      <c r="AZ1406" s="52"/>
      <c r="BA1406" s="52"/>
    </row>
    <row r="1407" spans="1:53" x14ac:dyDescent="0.25">
      <c r="A1407" s="48">
        <v>282</v>
      </c>
      <c r="B1407" s="155">
        <v>44911.416666666664</v>
      </c>
      <c r="C1407" s="150">
        <v>0.4201388888888889</v>
      </c>
      <c r="D1407" s="150">
        <v>0.42708333333333331</v>
      </c>
      <c r="E1407" s="150">
        <v>0.4513888888888889</v>
      </c>
      <c r="F1407" s="151" t="s">
        <v>171</v>
      </c>
      <c r="G1407" s="151" t="s">
        <v>173</v>
      </c>
      <c r="H1407" s="146" t="s">
        <v>350</v>
      </c>
      <c r="I1407" s="146" t="s">
        <v>350</v>
      </c>
      <c r="J1407" s="146" t="s">
        <v>41</v>
      </c>
      <c r="K1407" s="146" t="e">
        <f>#REF!</f>
        <v>#REF!</v>
      </c>
      <c r="L1407" s="146" t="e">
        <f>#REF!</f>
        <v>#REF!</v>
      </c>
      <c r="M1407" s="151" t="s">
        <v>3696</v>
      </c>
      <c r="N1407" s="151" t="s">
        <v>42</v>
      </c>
      <c r="O1407" s="151" t="s">
        <v>3699</v>
      </c>
      <c r="P1407" s="37">
        <v>49478902</v>
      </c>
      <c r="Q1407" s="303">
        <f t="shared" si="126"/>
        <v>1</v>
      </c>
      <c r="R1407" s="303">
        <f t="shared" si="127"/>
        <v>224</v>
      </c>
      <c r="S1407" s="37">
        <v>0</v>
      </c>
      <c r="T1407" s="37">
        <v>0</v>
      </c>
      <c r="U1407" s="37">
        <v>1</v>
      </c>
      <c r="V1407" s="37">
        <v>224</v>
      </c>
      <c r="W1407" s="37">
        <v>233.92</v>
      </c>
      <c r="X1407" s="37">
        <v>128</v>
      </c>
      <c r="Y1407" s="37">
        <v>83</v>
      </c>
      <c r="Z1407" s="37">
        <v>99</v>
      </c>
      <c r="AA1407" s="37">
        <v>1</v>
      </c>
      <c r="AB1407" s="300">
        <f t="shared" si="128"/>
        <v>175.29599999999999</v>
      </c>
      <c r="AC1407" s="300">
        <f t="shared" si="129"/>
        <v>1.056</v>
      </c>
      <c r="AD1407" s="149">
        <v>11592</v>
      </c>
      <c r="AE1407" s="151" t="s">
        <v>109</v>
      </c>
      <c r="AF1407" s="151" t="s">
        <v>317</v>
      </c>
      <c r="AG1407" s="151" t="s">
        <v>317</v>
      </c>
      <c r="AH1407" s="37" t="s">
        <v>3700</v>
      </c>
      <c r="AI1407" s="309"/>
      <c r="AJ1407" s="309"/>
      <c r="AK1407" s="151" t="s">
        <v>37</v>
      </c>
      <c r="AL1407" s="151" t="s">
        <v>50</v>
      </c>
      <c r="AM1407" s="299">
        <f t="shared" ca="1" si="125"/>
        <v>7.2708333333357587</v>
      </c>
      <c r="AN1407" s="51"/>
      <c r="AO1407" s="189" t="s">
        <v>213</v>
      </c>
      <c r="AP1407" s="190" t="s">
        <v>3696</v>
      </c>
      <c r="AQ1407" s="189" t="s">
        <v>4239</v>
      </c>
      <c r="AR1407" s="192">
        <v>44918.6875</v>
      </c>
      <c r="AS1407" s="186" t="s">
        <v>173</v>
      </c>
      <c r="AT1407" s="189" t="s">
        <v>225</v>
      </c>
      <c r="AU1407" s="191">
        <v>0.6875</v>
      </c>
      <c r="AV1407" s="189">
        <v>4</v>
      </c>
      <c r="AW1407" s="189" t="s">
        <v>66</v>
      </c>
      <c r="AX1407" s="52"/>
      <c r="AY1407" s="52"/>
      <c r="AZ1407" s="52"/>
      <c r="BA1407" s="52"/>
    </row>
    <row r="1408" spans="1:53" x14ac:dyDescent="0.25">
      <c r="A1408" s="48">
        <v>283</v>
      </c>
      <c r="B1408" s="46">
        <v>44911.430555555555</v>
      </c>
      <c r="C1408" s="36">
        <v>0.43402777777777773</v>
      </c>
      <c r="D1408" s="36">
        <v>0.44444444444444442</v>
      </c>
      <c r="E1408" s="36">
        <v>0.45833333333333331</v>
      </c>
      <c r="F1408" s="151" t="s">
        <v>171</v>
      </c>
      <c r="G1408" s="37" t="s">
        <v>176</v>
      </c>
      <c r="H1408" s="26" t="s">
        <v>342</v>
      </c>
      <c r="I1408" s="146" t="s">
        <v>342</v>
      </c>
      <c r="J1408" s="26" t="s">
        <v>37</v>
      </c>
      <c r="K1408" s="151" t="s">
        <v>180</v>
      </c>
      <c r="L1408" s="151">
        <v>0</v>
      </c>
      <c r="M1408" s="37" t="s">
        <v>3706</v>
      </c>
      <c r="N1408" s="37" t="s">
        <v>175</v>
      </c>
      <c r="O1408" s="37" t="s">
        <v>3702</v>
      </c>
      <c r="P1408" s="37">
        <v>29542280</v>
      </c>
      <c r="Q1408" s="303">
        <f t="shared" si="126"/>
        <v>1</v>
      </c>
      <c r="R1408" s="303">
        <f t="shared" si="127"/>
        <v>433</v>
      </c>
      <c r="S1408" s="37">
        <v>0</v>
      </c>
      <c r="T1408" s="37">
        <v>0</v>
      </c>
      <c r="U1408" s="37">
        <v>1</v>
      </c>
      <c r="V1408" s="37">
        <v>433</v>
      </c>
      <c r="W1408" s="37">
        <v>450</v>
      </c>
      <c r="X1408" s="37">
        <v>84</v>
      </c>
      <c r="Y1408" s="37">
        <v>83</v>
      </c>
      <c r="Z1408" s="37">
        <v>78</v>
      </c>
      <c r="AA1408" s="37">
        <v>1</v>
      </c>
      <c r="AB1408" s="300">
        <f t="shared" si="128"/>
        <v>90.635999999999996</v>
      </c>
      <c r="AC1408" s="300">
        <f t="shared" si="129"/>
        <v>0.54599999999999993</v>
      </c>
      <c r="AD1408" s="37">
        <v>2360.4</v>
      </c>
      <c r="AE1408" s="151" t="s">
        <v>109</v>
      </c>
      <c r="AF1408" s="37" t="s">
        <v>3703</v>
      </c>
      <c r="AG1408" s="37" t="s">
        <v>3704</v>
      </c>
      <c r="AH1408" s="37" t="s">
        <v>3705</v>
      </c>
      <c r="AI1408" s="309"/>
      <c r="AJ1408" s="309"/>
      <c r="AK1408" s="151" t="s">
        <v>37</v>
      </c>
      <c r="AL1408" s="151" t="s">
        <v>47</v>
      </c>
      <c r="AM1408" s="299">
        <f t="shared" ca="1" si="125"/>
        <v>0.10763888889050577</v>
      </c>
      <c r="AN1408" s="51"/>
      <c r="AO1408" s="147" t="s">
        <v>181</v>
      </c>
      <c r="AP1408" s="62" t="s">
        <v>3706</v>
      </c>
      <c r="AQ1408" s="147" t="s">
        <v>3769</v>
      </c>
      <c r="AR1408" s="64">
        <v>44911.538194444445</v>
      </c>
      <c r="AS1408" s="147" t="s">
        <v>136</v>
      </c>
      <c r="AT1408" s="147" t="s">
        <v>225</v>
      </c>
      <c r="AU1408" s="110">
        <v>0.53819444444444442</v>
      </c>
      <c r="AV1408" s="147">
        <v>1</v>
      </c>
      <c r="AW1408" s="147" t="s">
        <v>66</v>
      </c>
      <c r="AX1408" s="52"/>
      <c r="AY1408" s="52"/>
      <c r="AZ1408" s="52"/>
      <c r="BA1408" s="52"/>
    </row>
    <row r="1409" spans="1:53" x14ac:dyDescent="0.25">
      <c r="A1409" s="48">
        <v>284</v>
      </c>
      <c r="B1409" s="155">
        <v>44911.430555555555</v>
      </c>
      <c r="C1409" s="150">
        <v>0.43402777777777773</v>
      </c>
      <c r="D1409" s="150">
        <v>0.44444444444444442</v>
      </c>
      <c r="E1409" s="150">
        <v>0.45833333333333331</v>
      </c>
      <c r="F1409" s="151" t="s">
        <v>171</v>
      </c>
      <c r="G1409" s="151" t="s">
        <v>176</v>
      </c>
      <c r="H1409" s="146" t="s">
        <v>342</v>
      </c>
      <c r="I1409" s="146" t="s">
        <v>342</v>
      </c>
      <c r="J1409" s="146" t="s">
        <v>37</v>
      </c>
      <c r="K1409" s="151" t="s">
        <v>180</v>
      </c>
      <c r="L1409" s="151">
        <v>0</v>
      </c>
      <c r="M1409" s="151" t="s">
        <v>3701</v>
      </c>
      <c r="N1409" s="37" t="s">
        <v>42</v>
      </c>
      <c r="O1409" s="151" t="s">
        <v>3707</v>
      </c>
      <c r="P1409" s="37" t="s">
        <v>3708</v>
      </c>
      <c r="Q1409" s="303">
        <f t="shared" si="126"/>
        <v>8</v>
      </c>
      <c r="R1409" s="303">
        <f t="shared" si="127"/>
        <v>3360</v>
      </c>
      <c r="S1409" s="37">
        <v>0</v>
      </c>
      <c r="T1409" s="37">
        <v>0</v>
      </c>
      <c r="U1409" s="37">
        <v>8</v>
      </c>
      <c r="V1409" s="37">
        <f>815+362+381+362+379+365+348+348</f>
        <v>3360</v>
      </c>
      <c r="W1409" s="37">
        <v>3600</v>
      </c>
      <c r="X1409" s="37">
        <v>119</v>
      </c>
      <c r="Y1409" s="37">
        <v>63</v>
      </c>
      <c r="Z1409" s="37">
        <v>103</v>
      </c>
      <c r="AA1409" s="37">
        <v>1</v>
      </c>
      <c r="AB1409" s="300">
        <f t="shared" si="128"/>
        <v>128.6985</v>
      </c>
      <c r="AC1409" s="300">
        <f t="shared" si="129"/>
        <v>0.77529216867469875</v>
      </c>
      <c r="AD1409" s="37">
        <v>23786.26</v>
      </c>
      <c r="AE1409" s="151" t="s">
        <v>109</v>
      </c>
      <c r="AF1409" s="37" t="s">
        <v>3709</v>
      </c>
      <c r="AG1409" s="151" t="s">
        <v>3704</v>
      </c>
      <c r="AH1409" s="37" t="s">
        <v>3710</v>
      </c>
      <c r="AI1409" s="309"/>
      <c r="AJ1409" s="309"/>
      <c r="AK1409" s="151" t="s">
        <v>37</v>
      </c>
      <c r="AL1409" s="151" t="s">
        <v>47</v>
      </c>
      <c r="AM1409" s="299">
        <f t="shared" ca="1" si="125"/>
        <v>0.17361111110949423</v>
      </c>
      <c r="AN1409" s="51"/>
      <c r="AO1409" s="147" t="s">
        <v>107</v>
      </c>
      <c r="AP1409" s="62" t="s">
        <v>3701</v>
      </c>
      <c r="AQ1409" s="147" t="s">
        <v>3771</v>
      </c>
      <c r="AR1409" s="64">
        <v>44911.604166666664</v>
      </c>
      <c r="AS1409" s="104" t="s">
        <v>117</v>
      </c>
      <c r="AT1409" s="147" t="s">
        <v>225</v>
      </c>
      <c r="AU1409" s="110">
        <v>0.60416666666666663</v>
      </c>
      <c r="AV1409" s="147">
        <v>1</v>
      </c>
      <c r="AW1409" s="147" t="s">
        <v>66</v>
      </c>
      <c r="AX1409" s="52"/>
      <c r="AY1409" s="52"/>
      <c r="AZ1409" s="52"/>
      <c r="BA1409" s="52"/>
    </row>
    <row r="1410" spans="1:53" x14ac:dyDescent="0.25">
      <c r="A1410" s="157">
        <v>284</v>
      </c>
      <c r="B1410" s="155">
        <v>44911.430555555555</v>
      </c>
      <c r="C1410" s="150">
        <v>0.43402777777777773</v>
      </c>
      <c r="D1410" s="150">
        <v>0.44444444444444442</v>
      </c>
      <c r="E1410" s="150">
        <v>0.45833333333333331</v>
      </c>
      <c r="F1410" s="151" t="s">
        <v>171</v>
      </c>
      <c r="G1410" s="151" t="s">
        <v>176</v>
      </c>
      <c r="H1410" s="146" t="s">
        <v>342</v>
      </c>
      <c r="I1410" s="146" t="s">
        <v>342</v>
      </c>
      <c r="J1410" s="146" t="s">
        <v>37</v>
      </c>
      <c r="K1410" s="151" t="s">
        <v>180</v>
      </c>
      <c r="L1410" s="151">
        <v>0</v>
      </c>
      <c r="M1410" s="151" t="s">
        <v>3701</v>
      </c>
      <c r="N1410" s="151" t="s">
        <v>42</v>
      </c>
      <c r="O1410" s="151" t="s">
        <v>3707</v>
      </c>
      <c r="P1410" s="151" t="s">
        <v>3708</v>
      </c>
      <c r="Q1410" s="303">
        <f t="shared" si="126"/>
        <v>0</v>
      </c>
      <c r="R1410" s="303">
        <f t="shared" si="127"/>
        <v>0</v>
      </c>
      <c r="S1410" s="151">
        <v>0</v>
      </c>
      <c r="T1410" s="151">
        <v>0</v>
      </c>
      <c r="U1410" s="151">
        <v>0</v>
      </c>
      <c r="V1410" s="151">
        <v>0</v>
      </c>
      <c r="W1410" s="151">
        <v>0</v>
      </c>
      <c r="X1410" s="37">
        <v>99</v>
      </c>
      <c r="Y1410" s="37">
        <v>99</v>
      </c>
      <c r="Z1410" s="37">
        <v>76</v>
      </c>
      <c r="AA1410" s="37">
        <v>7</v>
      </c>
      <c r="AB1410" s="300">
        <f t="shared" si="128"/>
        <v>869.02200000000005</v>
      </c>
      <c r="AC1410" s="300">
        <f t="shared" si="129"/>
        <v>5.2350722891566264</v>
      </c>
      <c r="AD1410" s="37">
        <v>0</v>
      </c>
      <c r="AE1410" s="151">
        <v>0</v>
      </c>
      <c r="AF1410" s="151" t="s">
        <v>3709</v>
      </c>
      <c r="AG1410" s="151" t="s">
        <v>3704</v>
      </c>
      <c r="AH1410" s="151" t="s">
        <v>3710</v>
      </c>
      <c r="AI1410" s="309"/>
      <c r="AJ1410" s="309"/>
      <c r="AK1410" s="151" t="s">
        <v>37</v>
      </c>
      <c r="AL1410" s="151" t="s">
        <v>47</v>
      </c>
      <c r="AM1410" s="299">
        <f t="shared" ca="1" si="125"/>
        <v>0.17361111110949423</v>
      </c>
      <c r="AN1410" s="51"/>
      <c r="AO1410" s="147" t="s">
        <v>107</v>
      </c>
      <c r="AP1410" s="62" t="s">
        <v>3701</v>
      </c>
      <c r="AQ1410" s="147" t="s">
        <v>3771</v>
      </c>
      <c r="AR1410" s="64">
        <v>44911.604166666664</v>
      </c>
      <c r="AS1410" s="104" t="s">
        <v>117</v>
      </c>
      <c r="AT1410" s="147" t="s">
        <v>225</v>
      </c>
      <c r="AU1410" s="110">
        <v>0.60416666666666663</v>
      </c>
      <c r="AV1410" s="147">
        <v>1</v>
      </c>
      <c r="AW1410" s="147" t="s">
        <v>66</v>
      </c>
      <c r="AX1410" s="52"/>
      <c r="AY1410" s="52"/>
      <c r="AZ1410" s="52"/>
      <c r="BA1410" s="52"/>
    </row>
    <row r="1411" spans="1:53" x14ac:dyDescent="0.25">
      <c r="A1411" s="48">
        <v>285</v>
      </c>
      <c r="B1411" s="46">
        <v>44911.447916666664</v>
      </c>
      <c r="C1411" s="36">
        <v>0.4513888888888889</v>
      </c>
      <c r="D1411" s="36">
        <v>0.4548611111111111</v>
      </c>
      <c r="E1411" s="36">
        <v>0.46527777777777773</v>
      </c>
      <c r="F1411" s="151" t="s">
        <v>171</v>
      </c>
      <c r="G1411" s="37" t="s">
        <v>101</v>
      </c>
      <c r="H1411" s="26" t="s">
        <v>2313</v>
      </c>
      <c r="I1411" s="26" t="s">
        <v>3711</v>
      </c>
      <c r="J1411" s="146" t="s">
        <v>37</v>
      </c>
      <c r="K1411" s="149" t="s">
        <v>180</v>
      </c>
      <c r="L1411" s="149" t="s">
        <v>206</v>
      </c>
      <c r="M1411" s="37" t="s">
        <v>3712</v>
      </c>
      <c r="N1411" s="37" t="s">
        <v>175</v>
      </c>
      <c r="O1411" s="37">
        <v>65101507</v>
      </c>
      <c r="P1411" s="37" t="s">
        <v>3713</v>
      </c>
      <c r="Q1411" s="303">
        <f t="shared" si="126"/>
        <v>16</v>
      </c>
      <c r="R1411" s="303">
        <f t="shared" si="127"/>
        <v>207</v>
      </c>
      <c r="S1411" s="37">
        <v>16</v>
      </c>
      <c r="T1411" s="37">
        <f>228-21</f>
        <v>207</v>
      </c>
      <c r="U1411" s="37">
        <v>0</v>
      </c>
      <c r="V1411" s="37">
        <v>0</v>
      </c>
      <c r="W1411" s="37">
        <v>186.15</v>
      </c>
      <c r="X1411" s="37">
        <v>53</v>
      </c>
      <c r="Y1411" s="37">
        <v>37</v>
      </c>
      <c r="Z1411" s="37">
        <v>25</v>
      </c>
      <c r="AA1411" s="37">
        <v>16</v>
      </c>
      <c r="AB1411" s="300">
        <f t="shared" si="128"/>
        <v>130.73333333333332</v>
      </c>
      <c r="AC1411" s="300">
        <f t="shared" si="129"/>
        <v>0.78755020080321281</v>
      </c>
      <c r="AD1411" s="37">
        <v>2024</v>
      </c>
      <c r="AE1411" s="37" t="s">
        <v>111</v>
      </c>
      <c r="AF1411" s="37" t="s">
        <v>3714</v>
      </c>
      <c r="AG1411" s="151" t="s">
        <v>3704</v>
      </c>
      <c r="AH1411" s="151" t="s">
        <v>3715</v>
      </c>
      <c r="AI1411" s="309"/>
      <c r="AJ1411" s="309"/>
      <c r="AK1411" s="37" t="s">
        <v>48</v>
      </c>
      <c r="AL1411" s="37" t="s">
        <v>56</v>
      </c>
      <c r="AM1411" s="299">
        <f t="shared" ca="1" si="125"/>
        <v>9.0277777781011537E-2</v>
      </c>
      <c r="AN1411" s="51"/>
      <c r="AO1411" s="147" t="s">
        <v>181</v>
      </c>
      <c r="AP1411" s="62" t="s">
        <v>3712</v>
      </c>
      <c r="AQ1411" s="147" t="s">
        <v>3769</v>
      </c>
      <c r="AR1411" s="64">
        <v>44911.538194444445</v>
      </c>
      <c r="AS1411" s="147" t="s">
        <v>136</v>
      </c>
      <c r="AT1411" s="147" t="s">
        <v>225</v>
      </c>
      <c r="AU1411" s="110">
        <v>0.53819444444444442</v>
      </c>
      <c r="AV1411" s="147">
        <v>1</v>
      </c>
      <c r="AW1411" s="147" t="s">
        <v>66</v>
      </c>
      <c r="AX1411" s="52"/>
      <c r="AY1411" s="52"/>
      <c r="AZ1411" s="52"/>
      <c r="BA1411" s="52"/>
    </row>
    <row r="1412" spans="1:53" x14ac:dyDescent="0.25">
      <c r="A1412" s="48">
        <v>286</v>
      </c>
      <c r="B1412" s="46">
        <v>44911.458333333336</v>
      </c>
      <c r="C1412" s="36">
        <v>0.46527777777777773</v>
      </c>
      <c r="D1412" s="36">
        <v>0.47569444444444442</v>
      </c>
      <c r="E1412" s="36">
        <v>0.5</v>
      </c>
      <c r="F1412" s="37" t="s">
        <v>170</v>
      </c>
      <c r="G1412" s="37" t="s">
        <v>460</v>
      </c>
      <c r="H1412" s="26" t="s">
        <v>204</v>
      </c>
      <c r="I1412" s="26" t="s">
        <v>162</v>
      </c>
      <c r="J1412" s="146" t="s">
        <v>37</v>
      </c>
      <c r="K1412" s="149" t="s">
        <v>63</v>
      </c>
      <c r="L1412" s="149" t="s">
        <v>212</v>
      </c>
      <c r="M1412" s="37" t="s">
        <v>3716</v>
      </c>
      <c r="N1412" s="37" t="s">
        <v>158</v>
      </c>
      <c r="O1412" s="37" t="s">
        <v>3717</v>
      </c>
      <c r="P1412" s="37">
        <v>5051983656</v>
      </c>
      <c r="Q1412" s="303">
        <f t="shared" si="126"/>
        <v>2</v>
      </c>
      <c r="R1412" s="303">
        <f t="shared" si="127"/>
        <v>206</v>
      </c>
      <c r="S1412" s="37">
        <v>0</v>
      </c>
      <c r="T1412" s="37">
        <v>0</v>
      </c>
      <c r="U1412" s="37">
        <v>2</v>
      </c>
      <c r="V1412" s="37">
        <f>189+17</f>
        <v>206</v>
      </c>
      <c r="W1412" s="37">
        <v>206.7</v>
      </c>
      <c r="X1412" s="37">
        <v>73</v>
      </c>
      <c r="Y1412" s="37">
        <v>72</v>
      </c>
      <c r="Z1412" s="37">
        <v>58</v>
      </c>
      <c r="AA1412" s="37">
        <v>1</v>
      </c>
      <c r="AB1412" s="300">
        <f t="shared" si="128"/>
        <v>50.808</v>
      </c>
      <c r="AC1412" s="300">
        <f t="shared" si="129"/>
        <v>0.30607228915662649</v>
      </c>
      <c r="AD1412" s="37">
        <v>1708.35</v>
      </c>
      <c r="AE1412" s="37" t="s">
        <v>109</v>
      </c>
      <c r="AF1412" s="37" t="s">
        <v>317</v>
      </c>
      <c r="AG1412" s="151" t="s">
        <v>317</v>
      </c>
      <c r="AH1412" s="37" t="s">
        <v>3718</v>
      </c>
      <c r="AI1412" s="309"/>
      <c r="AJ1412" s="309"/>
      <c r="AK1412" s="37" t="s">
        <v>41</v>
      </c>
      <c r="AL1412" s="37" t="s">
        <v>39</v>
      </c>
      <c r="AM1412" s="299">
        <f t="shared" ca="1" si="125"/>
        <v>1.0833333333284827</v>
      </c>
      <c r="AN1412" s="51"/>
      <c r="AO1412" s="171" t="s">
        <v>159</v>
      </c>
      <c r="AP1412" s="171" t="s">
        <v>3856</v>
      </c>
      <c r="AQ1412" s="171" t="s">
        <v>3855</v>
      </c>
      <c r="AR1412" s="174">
        <v>44912.541666666664</v>
      </c>
      <c r="AS1412" s="171" t="s">
        <v>136</v>
      </c>
      <c r="AT1412" s="171" t="s">
        <v>225</v>
      </c>
      <c r="AU1412" s="173">
        <v>0.54166666666666663</v>
      </c>
      <c r="AV1412" s="171">
        <v>1</v>
      </c>
      <c r="AW1412" s="171" t="s">
        <v>66</v>
      </c>
      <c r="AX1412" s="171"/>
      <c r="AY1412" s="52"/>
      <c r="AZ1412" s="52"/>
      <c r="BA1412" s="52"/>
    </row>
    <row r="1413" spans="1:53" x14ac:dyDescent="0.25">
      <c r="A1413" s="157">
        <v>286</v>
      </c>
      <c r="B1413" s="155">
        <v>44911.458333333336</v>
      </c>
      <c r="C1413" s="150">
        <v>0.46527777777777773</v>
      </c>
      <c r="D1413" s="150">
        <v>0.47569444444444442</v>
      </c>
      <c r="E1413" s="150">
        <v>0.5</v>
      </c>
      <c r="F1413" s="151" t="s">
        <v>170</v>
      </c>
      <c r="G1413" s="151" t="s">
        <v>460</v>
      </c>
      <c r="H1413" s="146" t="s">
        <v>204</v>
      </c>
      <c r="I1413" s="146" t="s">
        <v>162</v>
      </c>
      <c r="J1413" s="146" t="s">
        <v>37</v>
      </c>
      <c r="K1413" s="149" t="s">
        <v>63</v>
      </c>
      <c r="L1413" s="149" t="s">
        <v>212</v>
      </c>
      <c r="M1413" s="151" t="s">
        <v>3716</v>
      </c>
      <c r="N1413" s="151" t="s">
        <v>158</v>
      </c>
      <c r="O1413" s="151" t="s">
        <v>3717</v>
      </c>
      <c r="P1413" s="151">
        <v>5051983656</v>
      </c>
      <c r="Q1413" s="303">
        <f t="shared" si="126"/>
        <v>0</v>
      </c>
      <c r="R1413" s="303">
        <f t="shared" si="127"/>
        <v>0</v>
      </c>
      <c r="S1413" s="151">
        <v>0</v>
      </c>
      <c r="T1413" s="151">
        <v>0</v>
      </c>
      <c r="U1413" s="151">
        <v>0</v>
      </c>
      <c r="V1413" s="151">
        <v>0</v>
      </c>
      <c r="W1413" s="151">
        <v>0</v>
      </c>
      <c r="X1413" s="37">
        <v>27</v>
      </c>
      <c r="Y1413" s="37">
        <v>24</v>
      </c>
      <c r="Z1413" s="37">
        <v>40</v>
      </c>
      <c r="AA1413" s="37">
        <v>1</v>
      </c>
      <c r="AB1413" s="300">
        <f t="shared" si="128"/>
        <v>4.32</v>
      </c>
      <c r="AC1413" s="300">
        <f t="shared" si="129"/>
        <v>2.6024096385542171E-2</v>
      </c>
      <c r="AD1413" s="37">
        <v>0</v>
      </c>
      <c r="AE1413" s="151">
        <v>0</v>
      </c>
      <c r="AF1413" s="151" t="s">
        <v>317</v>
      </c>
      <c r="AG1413" s="151" t="s">
        <v>317</v>
      </c>
      <c r="AH1413" s="151" t="s">
        <v>3718</v>
      </c>
      <c r="AI1413" s="309"/>
      <c r="AJ1413" s="309"/>
      <c r="AK1413" s="151" t="s">
        <v>41</v>
      </c>
      <c r="AL1413" s="151" t="s">
        <v>39</v>
      </c>
      <c r="AM1413" s="299">
        <f t="shared" ca="1" si="125"/>
        <v>1.0833333333284827</v>
      </c>
      <c r="AN1413" s="51"/>
      <c r="AO1413" s="171" t="s">
        <v>159</v>
      </c>
      <c r="AP1413" s="171" t="s">
        <v>3856</v>
      </c>
      <c r="AQ1413" s="171" t="s">
        <v>3855</v>
      </c>
      <c r="AR1413" s="174">
        <v>44912.541666666664</v>
      </c>
      <c r="AS1413" s="171" t="s">
        <v>136</v>
      </c>
      <c r="AT1413" s="171" t="s">
        <v>225</v>
      </c>
      <c r="AU1413" s="173">
        <v>0.54166666666666663</v>
      </c>
      <c r="AV1413" s="171">
        <v>1</v>
      </c>
      <c r="AW1413" s="171" t="s">
        <v>66</v>
      </c>
      <c r="AX1413" s="171"/>
      <c r="AY1413" s="52"/>
      <c r="AZ1413" s="52"/>
      <c r="BA1413" s="52"/>
    </row>
    <row r="1414" spans="1:53" x14ac:dyDescent="0.25">
      <c r="A1414" s="48">
        <v>287</v>
      </c>
      <c r="B1414" s="155">
        <v>44911.458333333336</v>
      </c>
      <c r="C1414" s="150">
        <v>0.46527777777777773</v>
      </c>
      <c r="D1414" s="150">
        <v>0.47569444444444442</v>
      </c>
      <c r="E1414" s="150">
        <v>0.5</v>
      </c>
      <c r="F1414" s="151" t="s">
        <v>170</v>
      </c>
      <c r="G1414" s="151" t="s">
        <v>460</v>
      </c>
      <c r="H1414" s="146" t="s">
        <v>204</v>
      </c>
      <c r="I1414" s="146" t="s">
        <v>71</v>
      </c>
      <c r="J1414" s="146" t="s">
        <v>37</v>
      </c>
      <c r="K1414" s="149" t="s">
        <v>63</v>
      </c>
      <c r="L1414" s="149" t="s">
        <v>212</v>
      </c>
      <c r="M1414" s="37" t="s">
        <v>3719</v>
      </c>
      <c r="N1414" s="37" t="s">
        <v>139</v>
      </c>
      <c r="O1414" s="37" t="s">
        <v>3720</v>
      </c>
      <c r="P1414" s="37">
        <v>5052002807</v>
      </c>
      <c r="Q1414" s="303">
        <f t="shared" si="126"/>
        <v>4</v>
      </c>
      <c r="R1414" s="303">
        <f t="shared" si="127"/>
        <v>271</v>
      </c>
      <c r="S1414" s="37">
        <v>0</v>
      </c>
      <c r="T1414" s="37">
        <v>0</v>
      </c>
      <c r="U1414" s="37">
        <v>4</v>
      </c>
      <c r="V1414" s="37">
        <f>101+58+57+55</f>
        <v>271</v>
      </c>
      <c r="W1414" s="37">
        <v>293</v>
      </c>
      <c r="X1414" s="37">
        <v>67</v>
      </c>
      <c r="Y1414" s="37">
        <v>49</v>
      </c>
      <c r="Z1414" s="37">
        <v>42</v>
      </c>
      <c r="AA1414" s="37">
        <v>1</v>
      </c>
      <c r="AB1414" s="300">
        <f t="shared" si="128"/>
        <v>22.981000000000002</v>
      </c>
      <c r="AC1414" s="300">
        <f t="shared" si="129"/>
        <v>0.13843975903614458</v>
      </c>
      <c r="AD1414" s="37">
        <v>1536.51</v>
      </c>
      <c r="AE1414" s="37" t="s">
        <v>109</v>
      </c>
      <c r="AF1414" s="37" t="s">
        <v>317</v>
      </c>
      <c r="AG1414" s="37" t="s">
        <v>317</v>
      </c>
      <c r="AH1414" s="37" t="s">
        <v>3721</v>
      </c>
      <c r="AI1414" s="309"/>
      <c r="AJ1414" s="309"/>
      <c r="AK1414" s="151" t="s">
        <v>41</v>
      </c>
      <c r="AL1414" s="151" t="s">
        <v>39</v>
      </c>
      <c r="AM1414" s="299">
        <f t="shared" ca="1" si="125"/>
        <v>1.0381944444452529</v>
      </c>
      <c r="AN1414" s="51"/>
      <c r="AO1414" s="171" t="s">
        <v>72</v>
      </c>
      <c r="AP1414" s="172" t="s">
        <v>3719</v>
      </c>
      <c r="AQ1414" s="171" t="s">
        <v>3849</v>
      </c>
      <c r="AR1414" s="174">
        <v>44912.496527777781</v>
      </c>
      <c r="AS1414" s="168" t="s">
        <v>173</v>
      </c>
      <c r="AT1414" s="171" t="s">
        <v>225</v>
      </c>
      <c r="AU1414" s="173">
        <v>0.49652777777777773</v>
      </c>
      <c r="AV1414" s="171">
        <v>1</v>
      </c>
      <c r="AW1414" s="171" t="s">
        <v>66</v>
      </c>
      <c r="AX1414" s="171"/>
      <c r="AY1414" s="169"/>
      <c r="AZ1414" s="52"/>
      <c r="BA1414" s="52"/>
    </row>
    <row r="1415" spans="1:53" x14ac:dyDescent="0.25">
      <c r="A1415" s="157">
        <v>287</v>
      </c>
      <c r="B1415" s="155">
        <v>44911.458333333336</v>
      </c>
      <c r="C1415" s="150">
        <v>0.46527777777777773</v>
      </c>
      <c r="D1415" s="150">
        <v>0.47569444444444442</v>
      </c>
      <c r="E1415" s="150">
        <v>0.5</v>
      </c>
      <c r="F1415" s="151" t="s">
        <v>170</v>
      </c>
      <c r="G1415" s="151" t="s">
        <v>460</v>
      </c>
      <c r="H1415" s="146" t="s">
        <v>204</v>
      </c>
      <c r="I1415" s="146" t="s">
        <v>71</v>
      </c>
      <c r="J1415" s="146" t="s">
        <v>37</v>
      </c>
      <c r="K1415" s="149" t="s">
        <v>63</v>
      </c>
      <c r="L1415" s="149" t="s">
        <v>212</v>
      </c>
      <c r="M1415" s="151" t="s">
        <v>3719</v>
      </c>
      <c r="N1415" s="151" t="s">
        <v>139</v>
      </c>
      <c r="O1415" s="151" t="s">
        <v>3720</v>
      </c>
      <c r="P1415" s="151">
        <v>5052002807</v>
      </c>
      <c r="Q1415" s="303">
        <f t="shared" si="126"/>
        <v>0</v>
      </c>
      <c r="R1415" s="303">
        <f t="shared" si="127"/>
        <v>0</v>
      </c>
      <c r="S1415" s="151">
        <v>0</v>
      </c>
      <c r="T1415" s="151">
        <v>0</v>
      </c>
      <c r="U1415" s="151">
        <v>0</v>
      </c>
      <c r="V1415" s="151">
        <v>0</v>
      </c>
      <c r="W1415" s="151">
        <v>0</v>
      </c>
      <c r="X1415" s="37">
        <v>52</v>
      </c>
      <c r="Y1415" s="37">
        <v>35</v>
      </c>
      <c r="Z1415" s="37">
        <v>48</v>
      </c>
      <c r="AA1415" s="37">
        <v>3</v>
      </c>
      <c r="AB1415" s="300">
        <f t="shared" si="128"/>
        <v>43.68</v>
      </c>
      <c r="AC1415" s="300">
        <f t="shared" si="129"/>
        <v>0.26313253012048193</v>
      </c>
      <c r="AD1415" s="37">
        <v>0</v>
      </c>
      <c r="AE1415" s="151">
        <v>0</v>
      </c>
      <c r="AF1415" s="151" t="s">
        <v>317</v>
      </c>
      <c r="AG1415" s="151" t="s">
        <v>317</v>
      </c>
      <c r="AH1415" s="151" t="s">
        <v>3721</v>
      </c>
      <c r="AI1415" s="309"/>
      <c r="AJ1415" s="309"/>
      <c r="AK1415" s="151" t="s">
        <v>41</v>
      </c>
      <c r="AL1415" s="151" t="s">
        <v>39</v>
      </c>
      <c r="AM1415" s="299">
        <f t="shared" ca="1" si="125"/>
        <v>1.0381944444452529</v>
      </c>
      <c r="AN1415" s="51"/>
      <c r="AO1415" s="171" t="s">
        <v>72</v>
      </c>
      <c r="AP1415" s="172" t="s">
        <v>3719</v>
      </c>
      <c r="AQ1415" s="171" t="s">
        <v>3849</v>
      </c>
      <c r="AR1415" s="174">
        <v>44912.496527777781</v>
      </c>
      <c r="AS1415" s="168" t="s">
        <v>173</v>
      </c>
      <c r="AT1415" s="171" t="s">
        <v>225</v>
      </c>
      <c r="AU1415" s="173">
        <v>0.49652777777777773</v>
      </c>
      <c r="AV1415" s="171">
        <v>1</v>
      </c>
      <c r="AW1415" s="171" t="s">
        <v>66</v>
      </c>
      <c r="AX1415" s="171"/>
      <c r="AY1415" s="169"/>
      <c r="AZ1415" s="52"/>
      <c r="BA1415" s="52"/>
    </row>
    <row r="1416" spans="1:53" x14ac:dyDescent="0.25">
      <c r="A1416" s="48">
        <v>288</v>
      </c>
      <c r="B1416" s="155">
        <v>44911.458333333336</v>
      </c>
      <c r="C1416" s="150">
        <v>0.46527777777777773</v>
      </c>
      <c r="D1416" s="150">
        <v>0.47569444444444442</v>
      </c>
      <c r="E1416" s="150">
        <v>0.5</v>
      </c>
      <c r="F1416" s="151" t="s">
        <v>170</v>
      </c>
      <c r="G1416" s="151" t="s">
        <v>460</v>
      </c>
      <c r="H1416" s="146" t="s">
        <v>204</v>
      </c>
      <c r="I1416" s="146" t="s">
        <v>162</v>
      </c>
      <c r="J1416" s="146" t="s">
        <v>37</v>
      </c>
      <c r="K1416" s="149" t="s">
        <v>63</v>
      </c>
      <c r="L1416" s="149" t="s">
        <v>212</v>
      </c>
      <c r="M1416" s="37" t="s">
        <v>3722</v>
      </c>
      <c r="N1416" s="37" t="s">
        <v>158</v>
      </c>
      <c r="O1416" s="151" t="s">
        <v>3723</v>
      </c>
      <c r="P1416" s="37">
        <v>5051989085</v>
      </c>
      <c r="Q1416" s="303">
        <f t="shared" si="126"/>
        <v>1</v>
      </c>
      <c r="R1416" s="303">
        <f t="shared" si="127"/>
        <v>957</v>
      </c>
      <c r="S1416" s="37">
        <v>0</v>
      </c>
      <c r="T1416" s="37">
        <v>0</v>
      </c>
      <c r="U1416" s="37">
        <v>1</v>
      </c>
      <c r="V1416" s="37">
        <v>957</v>
      </c>
      <c r="W1416" s="37">
        <v>954</v>
      </c>
      <c r="X1416" s="37">
        <v>123</v>
      </c>
      <c r="Y1416" s="37">
        <v>72</v>
      </c>
      <c r="Z1416" s="37">
        <v>81</v>
      </c>
      <c r="AA1416" s="37">
        <v>1</v>
      </c>
      <c r="AB1416" s="300">
        <f t="shared" si="128"/>
        <v>119.556</v>
      </c>
      <c r="AC1416" s="300">
        <f t="shared" si="129"/>
        <v>0.72021686746987945</v>
      </c>
      <c r="AD1416" s="37">
        <v>8691.48</v>
      </c>
      <c r="AE1416" s="37" t="s">
        <v>109</v>
      </c>
      <c r="AF1416" s="151" t="s">
        <v>317</v>
      </c>
      <c r="AG1416" s="151" t="s">
        <v>317</v>
      </c>
      <c r="AH1416" s="37" t="s">
        <v>3724</v>
      </c>
      <c r="AI1416" s="309"/>
      <c r="AJ1416" s="309"/>
      <c r="AK1416" s="151" t="s">
        <v>41</v>
      </c>
      <c r="AL1416" s="151" t="s">
        <v>39</v>
      </c>
      <c r="AM1416" s="299">
        <f t="shared" ca="1" si="125"/>
        <v>1.0833333333284827</v>
      </c>
      <c r="AN1416" s="51"/>
      <c r="AO1416" s="171" t="s">
        <v>159</v>
      </c>
      <c r="AP1416" s="172" t="s">
        <v>3722</v>
      </c>
      <c r="AQ1416" s="171" t="s">
        <v>3855</v>
      </c>
      <c r="AR1416" s="174">
        <v>44912.541666666664</v>
      </c>
      <c r="AS1416" s="171" t="s">
        <v>136</v>
      </c>
      <c r="AT1416" s="171" t="s">
        <v>225</v>
      </c>
      <c r="AU1416" s="173">
        <v>0.54166666666666663</v>
      </c>
      <c r="AV1416" s="171">
        <v>1</v>
      </c>
      <c r="AW1416" s="171" t="s">
        <v>66</v>
      </c>
      <c r="AX1416" s="171"/>
      <c r="AY1416" s="52"/>
      <c r="AZ1416" s="52"/>
      <c r="BA1416" s="52"/>
    </row>
    <row r="1417" spans="1:53" x14ac:dyDescent="0.25">
      <c r="A1417" s="48">
        <v>289</v>
      </c>
      <c r="B1417" s="46">
        <v>44911.472222222219</v>
      </c>
      <c r="C1417" s="36">
        <v>0.47569444444444442</v>
      </c>
      <c r="D1417" s="36">
        <v>0.4861111111111111</v>
      </c>
      <c r="E1417" s="36">
        <v>0.51736111111111105</v>
      </c>
      <c r="F1417" s="151" t="s">
        <v>170</v>
      </c>
      <c r="G1417" s="37" t="s">
        <v>1599</v>
      </c>
      <c r="H1417" s="26" t="s">
        <v>57</v>
      </c>
      <c r="I1417" s="26" t="s">
        <v>3725</v>
      </c>
      <c r="J1417" s="146" t="s">
        <v>37</v>
      </c>
      <c r="K1417" s="149" t="s">
        <v>63</v>
      </c>
      <c r="L1417" s="149" t="s">
        <v>209</v>
      </c>
      <c r="M1417" s="37" t="s">
        <v>3726</v>
      </c>
      <c r="N1417" s="37" t="s">
        <v>2947</v>
      </c>
      <c r="O1417" s="37" t="s">
        <v>3727</v>
      </c>
      <c r="P1417" s="37">
        <v>81831550</v>
      </c>
      <c r="Q1417" s="303">
        <f t="shared" si="126"/>
        <v>2</v>
      </c>
      <c r="R1417" s="303">
        <f t="shared" si="127"/>
        <v>93</v>
      </c>
      <c r="S1417" s="37">
        <v>0</v>
      </c>
      <c r="T1417" s="37">
        <v>0</v>
      </c>
      <c r="U1417" s="37">
        <v>2</v>
      </c>
      <c r="V1417" s="37">
        <f>22+71</f>
        <v>93</v>
      </c>
      <c r="W1417" s="37">
        <v>90</v>
      </c>
      <c r="X1417" s="37">
        <v>59</v>
      </c>
      <c r="Y1417" s="37">
        <v>44</v>
      </c>
      <c r="Z1417" s="37">
        <v>39</v>
      </c>
      <c r="AA1417" s="37">
        <v>1</v>
      </c>
      <c r="AB1417" s="300">
        <f t="shared" si="128"/>
        <v>16.873999999999999</v>
      </c>
      <c r="AC1417" s="300">
        <f t="shared" si="129"/>
        <v>0.10165060240963855</v>
      </c>
      <c r="AD1417" s="37">
        <v>18113</v>
      </c>
      <c r="AE1417" s="151" t="s">
        <v>109</v>
      </c>
      <c r="AF1417" s="151" t="s">
        <v>317</v>
      </c>
      <c r="AG1417" s="151" t="s">
        <v>317</v>
      </c>
      <c r="AH1417" s="37" t="s">
        <v>3728</v>
      </c>
      <c r="AI1417" s="309"/>
      <c r="AJ1417" s="309"/>
      <c r="AK1417" s="37" t="s">
        <v>37</v>
      </c>
      <c r="AL1417" s="37" t="s">
        <v>47</v>
      </c>
      <c r="AM1417" s="299">
        <f t="shared" ca="1" si="125"/>
        <v>3.0486111111167702</v>
      </c>
      <c r="AN1417" s="51"/>
      <c r="AO1417" s="171" t="s">
        <v>246</v>
      </c>
      <c r="AP1417" s="172" t="s">
        <v>3903</v>
      </c>
      <c r="AQ1417" s="171" t="s">
        <v>3904</v>
      </c>
      <c r="AR1417" s="174">
        <v>44914.520833333336</v>
      </c>
      <c r="AS1417" s="168" t="s">
        <v>200</v>
      </c>
      <c r="AT1417" s="171">
        <v>407</v>
      </c>
      <c r="AU1417" s="173">
        <v>0.52083333333333337</v>
      </c>
      <c r="AV1417" s="171">
        <v>1</v>
      </c>
      <c r="AW1417" s="171" t="s">
        <v>66</v>
      </c>
      <c r="AX1417" s="52"/>
      <c r="AY1417" s="52"/>
      <c r="AZ1417" s="52"/>
      <c r="BA1417" s="52"/>
    </row>
    <row r="1418" spans="1:53" x14ac:dyDescent="0.25">
      <c r="A1418" s="157">
        <v>289</v>
      </c>
      <c r="B1418" s="155">
        <v>44911.472222222219</v>
      </c>
      <c r="C1418" s="150">
        <v>0.47569444444444442</v>
      </c>
      <c r="D1418" s="150">
        <v>0.4861111111111111</v>
      </c>
      <c r="E1418" s="150">
        <v>0.51736111111111105</v>
      </c>
      <c r="F1418" s="151" t="s">
        <v>170</v>
      </c>
      <c r="G1418" s="151" t="s">
        <v>1599</v>
      </c>
      <c r="H1418" s="146" t="s">
        <v>57</v>
      </c>
      <c r="I1418" s="146" t="s">
        <v>3725</v>
      </c>
      <c r="J1418" s="146" t="s">
        <v>37</v>
      </c>
      <c r="K1418" s="149" t="s">
        <v>63</v>
      </c>
      <c r="L1418" s="149" t="s">
        <v>209</v>
      </c>
      <c r="M1418" s="151" t="s">
        <v>3726</v>
      </c>
      <c r="N1418" s="151" t="s">
        <v>2947</v>
      </c>
      <c r="O1418" s="151" t="s">
        <v>3727</v>
      </c>
      <c r="P1418" s="179">
        <v>81831550</v>
      </c>
      <c r="Q1418" s="303">
        <f t="shared" si="126"/>
        <v>0</v>
      </c>
      <c r="R1418" s="303">
        <f t="shared" si="127"/>
        <v>0</v>
      </c>
      <c r="S1418" s="151">
        <v>0</v>
      </c>
      <c r="T1418" s="151">
        <v>0</v>
      </c>
      <c r="U1418" s="151">
        <v>0</v>
      </c>
      <c r="V1418" s="151">
        <v>0</v>
      </c>
      <c r="W1418" s="151">
        <v>0</v>
      </c>
      <c r="X1418" s="37">
        <v>95</v>
      </c>
      <c r="Y1418" s="37">
        <v>67</v>
      </c>
      <c r="Z1418" s="37">
        <v>66</v>
      </c>
      <c r="AA1418" s="37">
        <v>1</v>
      </c>
      <c r="AB1418" s="300">
        <f t="shared" si="128"/>
        <v>70.015000000000001</v>
      </c>
      <c r="AC1418" s="300">
        <f t="shared" si="129"/>
        <v>0.42177710843373495</v>
      </c>
      <c r="AD1418" s="37">
        <v>0</v>
      </c>
      <c r="AE1418" s="37">
        <v>0</v>
      </c>
      <c r="AF1418" s="151" t="s">
        <v>317</v>
      </c>
      <c r="AG1418" s="151" t="s">
        <v>317</v>
      </c>
      <c r="AH1418" s="151" t="s">
        <v>3728</v>
      </c>
      <c r="AI1418" s="309"/>
      <c r="AJ1418" s="309"/>
      <c r="AK1418" s="151" t="s">
        <v>37</v>
      </c>
      <c r="AL1418" s="151" t="s">
        <v>47</v>
      </c>
      <c r="AM1418" s="299">
        <f t="shared" ca="1" si="125"/>
        <v>3.0486111111167702</v>
      </c>
      <c r="AN1418" s="51"/>
      <c r="AO1418" s="171" t="s">
        <v>246</v>
      </c>
      <c r="AP1418" s="172" t="s">
        <v>3903</v>
      </c>
      <c r="AQ1418" s="171" t="s">
        <v>3904</v>
      </c>
      <c r="AR1418" s="174">
        <v>44914.520833333336</v>
      </c>
      <c r="AS1418" s="168" t="s">
        <v>200</v>
      </c>
      <c r="AT1418" s="171">
        <v>407</v>
      </c>
      <c r="AU1418" s="173">
        <v>0.52083333333333337</v>
      </c>
      <c r="AV1418" s="171">
        <v>1</v>
      </c>
      <c r="AW1418" s="171" t="s">
        <v>66</v>
      </c>
      <c r="AX1418" s="52"/>
      <c r="AY1418" s="52"/>
      <c r="AZ1418" s="52"/>
      <c r="BA1418" s="52"/>
    </row>
    <row r="1419" spans="1:53" x14ac:dyDescent="0.25">
      <c r="A1419" s="48">
        <v>290</v>
      </c>
      <c r="B1419" s="155">
        <v>44911.472222222219</v>
      </c>
      <c r="C1419" s="150">
        <v>0.47569444444444442</v>
      </c>
      <c r="D1419" s="150">
        <v>0.4861111111111111</v>
      </c>
      <c r="E1419" s="150">
        <v>0.51736111111111105</v>
      </c>
      <c r="F1419" s="151" t="s">
        <v>170</v>
      </c>
      <c r="G1419" s="151" t="s">
        <v>1599</v>
      </c>
      <c r="H1419" s="146" t="s">
        <v>57</v>
      </c>
      <c r="I1419" s="26" t="s">
        <v>110</v>
      </c>
      <c r="J1419" s="146" t="s">
        <v>37</v>
      </c>
      <c r="K1419" s="149" t="s">
        <v>63</v>
      </c>
      <c r="L1419" s="149" t="s">
        <v>209</v>
      </c>
      <c r="M1419" s="37" t="s">
        <v>3729</v>
      </c>
      <c r="N1419" s="37" t="s">
        <v>186</v>
      </c>
      <c r="O1419" s="37" t="s">
        <v>3730</v>
      </c>
      <c r="P1419" s="37">
        <v>81975705</v>
      </c>
      <c r="Q1419" s="303">
        <f t="shared" si="126"/>
        <v>1</v>
      </c>
      <c r="R1419" s="303">
        <f t="shared" si="127"/>
        <v>458</v>
      </c>
      <c r="S1419" s="37">
        <v>0</v>
      </c>
      <c r="T1419" s="37">
        <v>0</v>
      </c>
      <c r="U1419" s="37">
        <v>1</v>
      </c>
      <c r="V1419" s="37">
        <f>525-67</f>
        <v>458</v>
      </c>
      <c r="W1419" s="37">
        <v>454</v>
      </c>
      <c r="X1419" s="37">
        <v>183</v>
      </c>
      <c r="Y1419" s="37">
        <v>83</v>
      </c>
      <c r="Z1419" s="37">
        <v>76</v>
      </c>
      <c r="AA1419" s="37">
        <v>1</v>
      </c>
      <c r="AB1419" s="300">
        <f t="shared" si="128"/>
        <v>192.39400000000001</v>
      </c>
      <c r="AC1419" s="300">
        <f t="shared" si="129"/>
        <v>1.159</v>
      </c>
      <c r="AD1419" s="37">
        <v>4329.1000000000004</v>
      </c>
      <c r="AE1419" s="151" t="s">
        <v>109</v>
      </c>
      <c r="AF1419" s="151" t="s">
        <v>317</v>
      </c>
      <c r="AG1419" s="151" t="s">
        <v>317</v>
      </c>
      <c r="AH1419" s="37" t="s">
        <v>3731</v>
      </c>
      <c r="AI1419" s="309"/>
      <c r="AJ1419" s="309"/>
      <c r="AK1419" s="151" t="s">
        <v>37</v>
      </c>
      <c r="AL1419" s="151" t="s">
        <v>47</v>
      </c>
      <c r="AM1419" s="299">
        <f t="shared" ca="1" si="125"/>
        <v>1.0243055555620231</v>
      </c>
      <c r="AN1419" s="51"/>
      <c r="AO1419" s="171" t="s">
        <v>131</v>
      </c>
      <c r="AP1419" s="172" t="s">
        <v>3848</v>
      </c>
      <c r="AQ1419" s="171" t="s">
        <v>3847</v>
      </c>
      <c r="AR1419" s="174">
        <v>44912.496527777781</v>
      </c>
      <c r="AS1419" s="168" t="s">
        <v>173</v>
      </c>
      <c r="AT1419" s="171" t="s">
        <v>225</v>
      </c>
      <c r="AU1419" s="173">
        <v>0.49652777777777773</v>
      </c>
      <c r="AV1419" s="171">
        <v>1</v>
      </c>
      <c r="AW1419" s="171" t="s">
        <v>66</v>
      </c>
      <c r="AX1419" s="52"/>
      <c r="AY1419" s="52"/>
      <c r="AZ1419" s="52"/>
      <c r="BA1419" s="52"/>
    </row>
    <row r="1420" spans="1:53" x14ac:dyDescent="0.25">
      <c r="A1420" s="48">
        <v>291</v>
      </c>
      <c r="B1420" s="155">
        <v>44911.472222222219</v>
      </c>
      <c r="C1420" s="150">
        <v>0.47569444444444442</v>
      </c>
      <c r="D1420" s="150">
        <v>0.4861111111111111</v>
      </c>
      <c r="E1420" s="150">
        <v>0.51736111111111105</v>
      </c>
      <c r="F1420" s="151" t="s">
        <v>170</v>
      </c>
      <c r="G1420" s="151" t="s">
        <v>1599</v>
      </c>
      <c r="H1420" s="146" t="s">
        <v>57</v>
      </c>
      <c r="I1420" s="26" t="s">
        <v>92</v>
      </c>
      <c r="J1420" s="146" t="s">
        <v>37</v>
      </c>
      <c r="K1420" s="149" t="s">
        <v>63</v>
      </c>
      <c r="L1420" s="149" t="s">
        <v>209</v>
      </c>
      <c r="M1420" s="37" t="s">
        <v>3732</v>
      </c>
      <c r="N1420" s="37" t="s">
        <v>42</v>
      </c>
      <c r="O1420" s="37" t="s">
        <v>3733</v>
      </c>
      <c r="P1420" s="37">
        <v>81975697</v>
      </c>
      <c r="Q1420" s="303">
        <f t="shared" si="126"/>
        <v>2</v>
      </c>
      <c r="R1420" s="303">
        <f t="shared" si="127"/>
        <v>1405</v>
      </c>
      <c r="S1420" s="37">
        <v>0</v>
      </c>
      <c r="T1420" s="37">
        <v>0</v>
      </c>
      <c r="U1420" s="37">
        <v>2</v>
      </c>
      <c r="V1420" s="37">
        <f>702+703</f>
        <v>1405</v>
      </c>
      <c r="W1420" s="37">
        <v>1390</v>
      </c>
      <c r="X1420" s="37">
        <v>147</v>
      </c>
      <c r="Y1420" s="37">
        <v>84</v>
      </c>
      <c r="Z1420" s="37">
        <v>93</v>
      </c>
      <c r="AA1420" s="37">
        <v>2</v>
      </c>
      <c r="AB1420" s="300">
        <f t="shared" si="128"/>
        <v>382.78800000000001</v>
      </c>
      <c r="AC1420" s="300">
        <f t="shared" si="129"/>
        <v>2.3059518072289156</v>
      </c>
      <c r="AD1420" s="37">
        <v>6534.78</v>
      </c>
      <c r="AE1420" s="151" t="s">
        <v>109</v>
      </c>
      <c r="AF1420" s="151" t="s">
        <v>317</v>
      </c>
      <c r="AG1420" s="151" t="s">
        <v>317</v>
      </c>
      <c r="AH1420" s="37" t="s">
        <v>3734</v>
      </c>
      <c r="AI1420" s="309"/>
      <c r="AJ1420" s="309"/>
      <c r="AK1420" s="151" t="s">
        <v>37</v>
      </c>
      <c r="AL1420" s="151" t="s">
        <v>47</v>
      </c>
      <c r="AM1420" s="299">
        <f t="shared" ca="1" si="125"/>
        <v>1.1875</v>
      </c>
      <c r="AN1420" s="51"/>
      <c r="AO1420" s="171" t="s">
        <v>120</v>
      </c>
      <c r="AP1420" s="172" t="s">
        <v>3732</v>
      </c>
      <c r="AQ1420" s="171" t="s">
        <v>3857</v>
      </c>
      <c r="AR1420" s="174">
        <v>44912.659722222219</v>
      </c>
      <c r="AS1420" s="168" t="s">
        <v>173</v>
      </c>
      <c r="AT1420" s="171" t="s">
        <v>225</v>
      </c>
      <c r="AU1420" s="173">
        <v>0.65972222222222221</v>
      </c>
      <c r="AV1420" s="171">
        <v>2</v>
      </c>
      <c r="AW1420" s="171" t="s">
        <v>66</v>
      </c>
      <c r="AX1420" s="171"/>
      <c r="AY1420" s="52"/>
      <c r="AZ1420" s="52"/>
      <c r="BA1420" s="52"/>
    </row>
    <row r="1421" spans="1:53" x14ac:dyDescent="0.25">
      <c r="A1421" s="48">
        <v>292</v>
      </c>
      <c r="B1421" s="155">
        <v>44911.472222222219</v>
      </c>
      <c r="C1421" s="150">
        <v>0.47569444444444442</v>
      </c>
      <c r="D1421" s="150">
        <v>0.4861111111111111</v>
      </c>
      <c r="E1421" s="150">
        <v>0.51736111111111105</v>
      </c>
      <c r="F1421" s="151" t="s">
        <v>170</v>
      </c>
      <c r="G1421" s="151" t="s">
        <v>1599</v>
      </c>
      <c r="H1421" s="26" t="s">
        <v>46</v>
      </c>
      <c r="I1421" s="26" t="s">
        <v>71</v>
      </c>
      <c r="J1421" s="26" t="s">
        <v>41</v>
      </c>
      <c r="K1421" s="149" t="s">
        <v>63</v>
      </c>
      <c r="L1421" s="26" t="s">
        <v>214</v>
      </c>
      <c r="M1421" s="37" t="s">
        <v>3735</v>
      </c>
      <c r="N1421" s="37" t="s">
        <v>139</v>
      </c>
      <c r="O1421" s="37" t="s">
        <v>3736</v>
      </c>
      <c r="P1421" s="37" t="s">
        <v>3737</v>
      </c>
      <c r="Q1421" s="303">
        <f t="shared" si="126"/>
        <v>2</v>
      </c>
      <c r="R1421" s="303">
        <f t="shared" si="127"/>
        <v>284</v>
      </c>
      <c r="S1421" s="37">
        <v>0</v>
      </c>
      <c r="T1421" s="37">
        <v>0</v>
      </c>
      <c r="U1421" s="37">
        <v>2</v>
      </c>
      <c r="V1421" s="37">
        <f>97+187</f>
        <v>284</v>
      </c>
      <c r="W1421" s="37">
        <v>283.7</v>
      </c>
      <c r="X1421" s="37">
        <v>81</v>
      </c>
      <c r="Y1421" s="37">
        <v>44</v>
      </c>
      <c r="Z1421" s="37">
        <v>49</v>
      </c>
      <c r="AA1421" s="37">
        <v>1</v>
      </c>
      <c r="AB1421" s="300">
        <f t="shared" si="128"/>
        <v>29.106000000000002</v>
      </c>
      <c r="AC1421" s="300">
        <f t="shared" si="129"/>
        <v>0.17533734939759038</v>
      </c>
      <c r="AD1421" s="37" t="s">
        <v>48</v>
      </c>
      <c r="AE1421" s="151" t="s">
        <v>48</v>
      </c>
      <c r="AF1421" s="151" t="s">
        <v>317</v>
      </c>
      <c r="AG1421" s="151" t="s">
        <v>317</v>
      </c>
      <c r="AH1421" s="37" t="s">
        <v>3738</v>
      </c>
      <c r="AI1421" s="309"/>
      <c r="AJ1421" s="309"/>
      <c r="AK1421" s="37" t="s">
        <v>41</v>
      </c>
      <c r="AL1421" s="151" t="s">
        <v>47</v>
      </c>
      <c r="AM1421" s="299">
        <f t="shared" ca="1" si="125"/>
        <v>1.0243055555620231</v>
      </c>
      <c r="AN1421" s="51"/>
      <c r="AO1421" s="171" t="s">
        <v>72</v>
      </c>
      <c r="AP1421" s="172" t="s">
        <v>3735</v>
      </c>
      <c r="AQ1421" s="171" t="s">
        <v>3849</v>
      </c>
      <c r="AR1421" s="174">
        <v>44912.496527777781</v>
      </c>
      <c r="AS1421" s="168" t="s">
        <v>173</v>
      </c>
      <c r="AT1421" s="171" t="s">
        <v>225</v>
      </c>
      <c r="AU1421" s="173">
        <v>0.49652777777777773</v>
      </c>
      <c r="AV1421" s="171">
        <v>1</v>
      </c>
      <c r="AW1421" s="171" t="s">
        <v>66</v>
      </c>
      <c r="AX1421" s="52"/>
      <c r="AY1421" s="52"/>
      <c r="AZ1421" s="52"/>
      <c r="BA1421" s="52"/>
    </row>
    <row r="1422" spans="1:53" x14ac:dyDescent="0.25">
      <c r="A1422" s="157">
        <v>292</v>
      </c>
      <c r="B1422" s="155">
        <v>44911.472222222219</v>
      </c>
      <c r="C1422" s="150">
        <v>0.47569444444444442</v>
      </c>
      <c r="D1422" s="150">
        <v>0.4861111111111111</v>
      </c>
      <c r="E1422" s="150">
        <v>0.51736111111111105</v>
      </c>
      <c r="F1422" s="151" t="s">
        <v>170</v>
      </c>
      <c r="G1422" s="151" t="s">
        <v>1599</v>
      </c>
      <c r="H1422" s="146" t="s">
        <v>46</v>
      </c>
      <c r="I1422" s="146" t="s">
        <v>71</v>
      </c>
      <c r="J1422" s="146" t="s">
        <v>41</v>
      </c>
      <c r="K1422" s="149" t="s">
        <v>63</v>
      </c>
      <c r="L1422" s="146" t="s">
        <v>214</v>
      </c>
      <c r="M1422" s="151" t="s">
        <v>3735</v>
      </c>
      <c r="N1422" s="151" t="s">
        <v>139</v>
      </c>
      <c r="O1422" s="151" t="s">
        <v>3736</v>
      </c>
      <c r="P1422" s="151" t="s">
        <v>3737</v>
      </c>
      <c r="Q1422" s="303">
        <f t="shared" si="126"/>
        <v>0</v>
      </c>
      <c r="R1422" s="303">
        <f t="shared" si="127"/>
        <v>0</v>
      </c>
      <c r="S1422" s="151">
        <v>0</v>
      </c>
      <c r="T1422" s="151">
        <v>0</v>
      </c>
      <c r="U1422" s="151">
        <v>0</v>
      </c>
      <c r="V1422" s="151">
        <v>0</v>
      </c>
      <c r="W1422" s="151">
        <v>0</v>
      </c>
      <c r="X1422" s="37">
        <v>59</v>
      </c>
      <c r="Y1422" s="37">
        <v>59</v>
      </c>
      <c r="Z1422" s="37">
        <v>58</v>
      </c>
      <c r="AA1422" s="37">
        <v>1</v>
      </c>
      <c r="AB1422" s="300">
        <f t="shared" si="128"/>
        <v>33.649666666666668</v>
      </c>
      <c r="AC1422" s="300">
        <f t="shared" si="129"/>
        <v>0.20270883534136547</v>
      </c>
      <c r="AD1422" s="37">
        <v>0</v>
      </c>
      <c r="AE1422" s="37">
        <v>0</v>
      </c>
      <c r="AF1422" s="151" t="s">
        <v>317</v>
      </c>
      <c r="AG1422" s="151" t="s">
        <v>317</v>
      </c>
      <c r="AH1422" s="151" t="s">
        <v>3738</v>
      </c>
      <c r="AI1422" s="309"/>
      <c r="AJ1422" s="309"/>
      <c r="AK1422" s="151" t="s">
        <v>41</v>
      </c>
      <c r="AL1422" s="151" t="s">
        <v>47</v>
      </c>
      <c r="AM1422" s="299">
        <f t="shared" ca="1" si="125"/>
        <v>1.0243055555620231</v>
      </c>
      <c r="AN1422" s="51"/>
      <c r="AO1422" s="171" t="s">
        <v>72</v>
      </c>
      <c r="AP1422" s="172" t="s">
        <v>3735</v>
      </c>
      <c r="AQ1422" s="171" t="s">
        <v>3849</v>
      </c>
      <c r="AR1422" s="174">
        <v>44912.496527777781</v>
      </c>
      <c r="AS1422" s="168" t="s">
        <v>173</v>
      </c>
      <c r="AT1422" s="171" t="s">
        <v>225</v>
      </c>
      <c r="AU1422" s="173">
        <v>0.49652777777777773</v>
      </c>
      <c r="AV1422" s="171">
        <v>1</v>
      </c>
      <c r="AW1422" s="171" t="s">
        <v>66</v>
      </c>
      <c r="AX1422" s="52"/>
      <c r="AY1422" s="52"/>
      <c r="AZ1422" s="52"/>
      <c r="BA1422" s="52"/>
    </row>
    <row r="1423" spans="1:53" x14ac:dyDescent="0.25">
      <c r="A1423" s="48">
        <v>293</v>
      </c>
      <c r="B1423" s="155">
        <v>44911.472222222219</v>
      </c>
      <c r="C1423" s="150">
        <v>0.47569444444444442</v>
      </c>
      <c r="D1423" s="150">
        <v>0.4861111111111111</v>
      </c>
      <c r="E1423" s="150">
        <v>0.51736111111111105</v>
      </c>
      <c r="F1423" s="151" t="s">
        <v>170</v>
      </c>
      <c r="G1423" s="151" t="s">
        <v>1599</v>
      </c>
      <c r="H1423" s="146" t="s">
        <v>46</v>
      </c>
      <c r="I1423" s="26" t="s">
        <v>110</v>
      </c>
      <c r="J1423" s="146" t="s">
        <v>41</v>
      </c>
      <c r="K1423" s="149" t="s">
        <v>63</v>
      </c>
      <c r="L1423" s="146" t="s">
        <v>214</v>
      </c>
      <c r="M1423" s="37" t="s">
        <v>3739</v>
      </c>
      <c r="N1423" s="37" t="s">
        <v>186</v>
      </c>
      <c r="O1423" s="151" t="s">
        <v>3740</v>
      </c>
      <c r="P1423" s="37" t="s">
        <v>3741</v>
      </c>
      <c r="Q1423" s="303">
        <f t="shared" si="126"/>
        <v>3</v>
      </c>
      <c r="R1423" s="303">
        <f t="shared" si="127"/>
        <v>278</v>
      </c>
      <c r="S1423" s="37">
        <v>0</v>
      </c>
      <c r="T1423" s="37">
        <v>0</v>
      </c>
      <c r="U1423" s="37">
        <v>3</v>
      </c>
      <c r="V1423" s="37">
        <f>136+142</f>
        <v>278</v>
      </c>
      <c r="W1423" s="37">
        <v>275.5</v>
      </c>
      <c r="X1423" s="37">
        <v>60</v>
      </c>
      <c r="Y1423" s="37">
        <v>59</v>
      </c>
      <c r="Z1423" s="37">
        <v>57</v>
      </c>
      <c r="AA1423" s="37">
        <v>1</v>
      </c>
      <c r="AB1423" s="300">
        <f t="shared" si="128"/>
        <v>33.630000000000003</v>
      </c>
      <c r="AC1423" s="300">
        <f t="shared" si="129"/>
        <v>0.20259036144578316</v>
      </c>
      <c r="AD1423" s="151" t="s">
        <v>48</v>
      </c>
      <c r="AE1423" s="151" t="s">
        <v>48</v>
      </c>
      <c r="AF1423" s="151" t="s">
        <v>317</v>
      </c>
      <c r="AG1423" s="151" t="s">
        <v>317</v>
      </c>
      <c r="AH1423" s="37" t="s">
        <v>3742</v>
      </c>
      <c r="AI1423" s="309"/>
      <c r="AJ1423" s="309"/>
      <c r="AK1423" s="151" t="s">
        <v>41</v>
      </c>
      <c r="AL1423" s="151" t="s">
        <v>47</v>
      </c>
      <c r="AM1423" s="299">
        <f t="shared" ca="1" si="125"/>
        <v>1.0243055555620231</v>
      </c>
      <c r="AN1423" s="51"/>
      <c r="AO1423" s="171" t="s">
        <v>131</v>
      </c>
      <c r="AP1423" s="172" t="s">
        <v>3739</v>
      </c>
      <c r="AQ1423" s="171" t="s">
        <v>3847</v>
      </c>
      <c r="AR1423" s="174">
        <v>44912.496527777781</v>
      </c>
      <c r="AS1423" s="168" t="s">
        <v>173</v>
      </c>
      <c r="AT1423" s="171" t="s">
        <v>225</v>
      </c>
      <c r="AU1423" s="173">
        <v>0.49652777777777773</v>
      </c>
      <c r="AV1423" s="171">
        <v>1</v>
      </c>
      <c r="AW1423" s="171" t="s">
        <v>66</v>
      </c>
      <c r="AX1423" s="52"/>
      <c r="AY1423" s="52"/>
      <c r="AZ1423" s="52"/>
      <c r="BA1423" s="52"/>
    </row>
    <row r="1424" spans="1:53" x14ac:dyDescent="0.25">
      <c r="A1424" s="157">
        <v>293</v>
      </c>
      <c r="B1424" s="155">
        <v>44911.472222222219</v>
      </c>
      <c r="C1424" s="150">
        <v>0.47569444444444442</v>
      </c>
      <c r="D1424" s="150">
        <v>0.4861111111111111</v>
      </c>
      <c r="E1424" s="150">
        <v>0.51736111111111105</v>
      </c>
      <c r="F1424" s="151" t="s">
        <v>170</v>
      </c>
      <c r="G1424" s="151" t="s">
        <v>1599</v>
      </c>
      <c r="H1424" s="146" t="s">
        <v>46</v>
      </c>
      <c r="I1424" s="146" t="s">
        <v>110</v>
      </c>
      <c r="J1424" s="146" t="s">
        <v>41</v>
      </c>
      <c r="K1424" s="149" t="s">
        <v>63</v>
      </c>
      <c r="L1424" s="146" t="s">
        <v>214</v>
      </c>
      <c r="M1424" s="151" t="s">
        <v>3739</v>
      </c>
      <c r="N1424" s="151" t="s">
        <v>186</v>
      </c>
      <c r="O1424" s="151" t="s">
        <v>3740</v>
      </c>
      <c r="P1424" s="151" t="s">
        <v>3741</v>
      </c>
      <c r="Q1424" s="303">
        <f t="shared" si="126"/>
        <v>0</v>
      </c>
      <c r="R1424" s="303">
        <f t="shared" si="127"/>
        <v>0</v>
      </c>
      <c r="S1424" s="151">
        <v>0</v>
      </c>
      <c r="T1424" s="151">
        <v>0</v>
      </c>
      <c r="U1424" s="151">
        <v>0</v>
      </c>
      <c r="V1424" s="151">
        <v>0</v>
      </c>
      <c r="W1424" s="151">
        <v>0</v>
      </c>
      <c r="X1424" s="37">
        <v>70</v>
      </c>
      <c r="Y1424" s="37">
        <v>38</v>
      </c>
      <c r="Z1424" s="37">
        <v>48</v>
      </c>
      <c r="AA1424" s="37">
        <v>2</v>
      </c>
      <c r="AB1424" s="300">
        <f t="shared" si="128"/>
        <v>42.56</v>
      </c>
      <c r="AC1424" s="300">
        <f t="shared" si="129"/>
        <v>0.25638554216867471</v>
      </c>
      <c r="AD1424" s="37">
        <v>0</v>
      </c>
      <c r="AE1424" s="151">
        <v>0</v>
      </c>
      <c r="AF1424" s="151" t="s">
        <v>317</v>
      </c>
      <c r="AG1424" s="151" t="s">
        <v>317</v>
      </c>
      <c r="AH1424" s="151" t="s">
        <v>3742</v>
      </c>
      <c r="AI1424" s="309"/>
      <c r="AJ1424" s="309"/>
      <c r="AK1424" s="151" t="s">
        <v>41</v>
      </c>
      <c r="AL1424" s="151" t="s">
        <v>47</v>
      </c>
      <c r="AM1424" s="299">
        <f t="shared" ca="1" si="125"/>
        <v>1.0243055555620231</v>
      </c>
      <c r="AN1424" s="51"/>
      <c r="AO1424" s="171" t="s">
        <v>131</v>
      </c>
      <c r="AP1424" s="172" t="s">
        <v>3739</v>
      </c>
      <c r="AQ1424" s="171" t="s">
        <v>3847</v>
      </c>
      <c r="AR1424" s="174">
        <v>44912.496527777781</v>
      </c>
      <c r="AS1424" s="168" t="s">
        <v>173</v>
      </c>
      <c r="AT1424" s="171" t="s">
        <v>225</v>
      </c>
      <c r="AU1424" s="173">
        <v>0.49652777777777773</v>
      </c>
      <c r="AV1424" s="171">
        <v>1</v>
      </c>
      <c r="AW1424" s="171" t="s">
        <v>66</v>
      </c>
      <c r="AX1424" s="52"/>
      <c r="AY1424" s="52"/>
      <c r="AZ1424" s="52"/>
      <c r="BA1424" s="52"/>
    </row>
    <row r="1425" spans="1:53" x14ac:dyDescent="0.25">
      <c r="A1425" s="48">
        <v>294</v>
      </c>
      <c r="B1425" s="46">
        <v>44911.607638888891</v>
      </c>
      <c r="C1425" s="36">
        <v>0.61111111111111105</v>
      </c>
      <c r="D1425" s="36">
        <v>0.625</v>
      </c>
      <c r="E1425" s="36">
        <v>0.64583333333333337</v>
      </c>
      <c r="F1425" s="151" t="s">
        <v>170</v>
      </c>
      <c r="G1425" s="37" t="s">
        <v>435</v>
      </c>
      <c r="H1425" s="26" t="s">
        <v>227</v>
      </c>
      <c r="I1425" s="26" t="s">
        <v>3743</v>
      </c>
      <c r="J1425" s="26" t="s">
        <v>37</v>
      </c>
      <c r="K1425" s="149" t="s">
        <v>63</v>
      </c>
      <c r="L1425" s="153" t="s">
        <v>206</v>
      </c>
      <c r="M1425" s="37" t="s">
        <v>3744</v>
      </c>
      <c r="N1425" s="37" t="s">
        <v>43</v>
      </c>
      <c r="O1425" s="37">
        <v>1097</v>
      </c>
      <c r="P1425" s="37">
        <v>32373</v>
      </c>
      <c r="Q1425" s="303">
        <f t="shared" si="126"/>
        <v>18</v>
      </c>
      <c r="R1425" s="303">
        <f t="shared" si="127"/>
        <v>269</v>
      </c>
      <c r="S1425" s="37">
        <v>18</v>
      </c>
      <c r="T1425" s="37">
        <f>176-26+133-14</f>
        <v>269</v>
      </c>
      <c r="U1425" s="37">
        <v>0</v>
      </c>
      <c r="V1425" s="37">
        <v>0</v>
      </c>
      <c r="W1425" s="37">
        <v>191.9</v>
      </c>
      <c r="X1425" s="37">
        <v>83</v>
      </c>
      <c r="Y1425" s="37">
        <v>52</v>
      </c>
      <c r="Z1425" s="37">
        <v>62</v>
      </c>
      <c r="AA1425" s="37">
        <v>8</v>
      </c>
      <c r="AB1425" s="300">
        <f t="shared" si="128"/>
        <v>356.78933333333333</v>
      </c>
      <c r="AC1425" s="300">
        <f t="shared" si="129"/>
        <v>2.1493333333333333</v>
      </c>
      <c r="AD1425" s="37">
        <v>22260</v>
      </c>
      <c r="AE1425" s="37" t="s">
        <v>109</v>
      </c>
      <c r="AF1425" s="151" t="s">
        <v>317</v>
      </c>
      <c r="AG1425" s="151" t="s">
        <v>317</v>
      </c>
      <c r="AH1425" s="37" t="s">
        <v>3745</v>
      </c>
      <c r="AI1425" s="309"/>
      <c r="AJ1425" s="309"/>
      <c r="AK1425" s="37" t="s">
        <v>48</v>
      </c>
      <c r="AL1425" s="37" t="s">
        <v>56</v>
      </c>
      <c r="AM1425" s="299">
        <f t="shared" ca="1" si="125"/>
        <v>0.90277777777373558</v>
      </c>
      <c r="AN1425" s="51"/>
      <c r="AO1425" s="171" t="s">
        <v>179</v>
      </c>
      <c r="AP1425" s="172" t="s">
        <v>3851</v>
      </c>
      <c r="AQ1425" s="171" t="s">
        <v>3852</v>
      </c>
      <c r="AR1425" s="174">
        <v>44912.510416666664</v>
      </c>
      <c r="AS1425" s="168" t="s">
        <v>3854</v>
      </c>
      <c r="AT1425" s="171" t="s">
        <v>225</v>
      </c>
      <c r="AU1425" s="173">
        <v>0.51041666666666663</v>
      </c>
      <c r="AV1425" s="171">
        <v>1</v>
      </c>
      <c r="AW1425" s="171" t="s">
        <v>66</v>
      </c>
      <c r="AX1425" s="176" t="s">
        <v>3853</v>
      </c>
      <c r="AY1425" s="52"/>
      <c r="AZ1425" s="52"/>
      <c r="BA1425" s="52"/>
    </row>
    <row r="1426" spans="1:53" x14ac:dyDescent="0.25">
      <c r="A1426" s="157">
        <v>294</v>
      </c>
      <c r="B1426" s="155">
        <v>44911.607638888891</v>
      </c>
      <c r="C1426" s="150">
        <v>0.61111111111111105</v>
      </c>
      <c r="D1426" s="150">
        <v>0.625</v>
      </c>
      <c r="E1426" s="150">
        <v>0.64583333333333337</v>
      </c>
      <c r="F1426" s="151" t="s">
        <v>170</v>
      </c>
      <c r="G1426" s="151" t="s">
        <v>435</v>
      </c>
      <c r="H1426" s="146" t="s">
        <v>227</v>
      </c>
      <c r="I1426" s="146" t="s">
        <v>3743</v>
      </c>
      <c r="J1426" s="146" t="s">
        <v>37</v>
      </c>
      <c r="K1426" s="149" t="s">
        <v>63</v>
      </c>
      <c r="L1426" s="153" t="s">
        <v>206</v>
      </c>
      <c r="M1426" s="151" t="s">
        <v>3744</v>
      </c>
      <c r="N1426" s="151" t="s">
        <v>43</v>
      </c>
      <c r="O1426" s="151">
        <v>1097</v>
      </c>
      <c r="P1426" s="151">
        <v>32373</v>
      </c>
      <c r="Q1426" s="303">
        <f t="shared" si="126"/>
        <v>0</v>
      </c>
      <c r="R1426" s="303">
        <f t="shared" si="127"/>
        <v>0</v>
      </c>
      <c r="S1426" s="151">
        <v>0</v>
      </c>
      <c r="T1426" s="151">
        <v>0</v>
      </c>
      <c r="U1426" s="151">
        <v>0</v>
      </c>
      <c r="V1426" s="151">
        <v>0</v>
      </c>
      <c r="W1426" s="151">
        <v>0</v>
      </c>
      <c r="X1426" s="37">
        <v>90</v>
      </c>
      <c r="Y1426" s="37">
        <v>35</v>
      </c>
      <c r="Z1426" s="37">
        <v>52</v>
      </c>
      <c r="AA1426" s="37">
        <v>10</v>
      </c>
      <c r="AB1426" s="300">
        <f t="shared" si="128"/>
        <v>273</v>
      </c>
      <c r="AC1426" s="300">
        <f t="shared" si="129"/>
        <v>1.6445783132530121</v>
      </c>
      <c r="AD1426" s="37">
        <v>0</v>
      </c>
      <c r="AE1426" s="151">
        <v>0</v>
      </c>
      <c r="AF1426" s="151" t="s">
        <v>317</v>
      </c>
      <c r="AG1426" s="151" t="s">
        <v>317</v>
      </c>
      <c r="AH1426" s="151" t="s">
        <v>3745</v>
      </c>
      <c r="AI1426" s="309"/>
      <c r="AJ1426" s="309"/>
      <c r="AK1426" s="151" t="s">
        <v>48</v>
      </c>
      <c r="AL1426" s="151" t="s">
        <v>56</v>
      </c>
      <c r="AM1426" s="299">
        <f t="shared" ca="1" si="125"/>
        <v>0.90277777777373558</v>
      </c>
      <c r="AN1426" s="51"/>
      <c r="AO1426" s="171" t="s">
        <v>179</v>
      </c>
      <c r="AP1426" s="172" t="s">
        <v>3851</v>
      </c>
      <c r="AQ1426" s="171" t="s">
        <v>3852</v>
      </c>
      <c r="AR1426" s="174">
        <v>44912.510416666664</v>
      </c>
      <c r="AS1426" s="168" t="s">
        <v>3854</v>
      </c>
      <c r="AT1426" s="171" t="s">
        <v>225</v>
      </c>
      <c r="AU1426" s="173">
        <v>0.51041666666666663</v>
      </c>
      <c r="AV1426" s="171">
        <v>1</v>
      </c>
      <c r="AW1426" s="171" t="s">
        <v>66</v>
      </c>
      <c r="AX1426" s="176" t="s">
        <v>3853</v>
      </c>
      <c r="AY1426" s="52"/>
      <c r="AZ1426" s="52"/>
      <c r="BA1426" s="52"/>
    </row>
    <row r="1427" spans="1:53" x14ac:dyDescent="0.25">
      <c r="A1427" s="48">
        <v>295</v>
      </c>
      <c r="B1427" s="155">
        <v>44911.607638888891</v>
      </c>
      <c r="C1427" s="150">
        <v>0.61111111111111105</v>
      </c>
      <c r="D1427" s="36">
        <v>0.63194444444444442</v>
      </c>
      <c r="E1427" s="150">
        <v>0.64583333333333337</v>
      </c>
      <c r="F1427" s="151" t="s">
        <v>170</v>
      </c>
      <c r="G1427" s="151" t="s">
        <v>3746</v>
      </c>
      <c r="H1427" s="146" t="s">
        <v>227</v>
      </c>
      <c r="I1427" s="146" t="s">
        <v>3743</v>
      </c>
      <c r="J1427" s="146" t="s">
        <v>37</v>
      </c>
      <c r="K1427" s="149" t="s">
        <v>63</v>
      </c>
      <c r="L1427" s="153" t="s">
        <v>206</v>
      </c>
      <c r="M1427" s="151" t="s">
        <v>3744</v>
      </c>
      <c r="N1427" s="151" t="s">
        <v>43</v>
      </c>
      <c r="O1427" s="37" t="s">
        <v>3747</v>
      </c>
      <c r="P1427" s="37">
        <v>28958</v>
      </c>
      <c r="Q1427" s="303">
        <f t="shared" si="126"/>
        <v>8</v>
      </c>
      <c r="R1427" s="303">
        <f t="shared" si="127"/>
        <v>1691</v>
      </c>
      <c r="S1427" s="37">
        <v>0</v>
      </c>
      <c r="T1427" s="37">
        <v>0</v>
      </c>
      <c r="U1427" s="37">
        <v>8</v>
      </c>
      <c r="V1427" s="37">
        <f>279+200+200+203+203+204+202+200</f>
        <v>1691</v>
      </c>
      <c r="W1427" s="37">
        <v>1607</v>
      </c>
      <c r="X1427" s="37">
        <v>160</v>
      </c>
      <c r="Y1427" s="37">
        <v>138</v>
      </c>
      <c r="Z1427" s="37">
        <v>79</v>
      </c>
      <c r="AA1427" s="37">
        <v>2</v>
      </c>
      <c r="AB1427" s="300">
        <f t="shared" si="128"/>
        <v>581.44000000000005</v>
      </c>
      <c r="AC1427" s="300">
        <f t="shared" si="129"/>
        <v>3.5026506024096391</v>
      </c>
      <c r="AD1427" s="37" t="s">
        <v>48</v>
      </c>
      <c r="AE1427" s="151" t="s">
        <v>48</v>
      </c>
      <c r="AF1427" s="151" t="s">
        <v>317</v>
      </c>
      <c r="AG1427" s="151" t="s">
        <v>317</v>
      </c>
      <c r="AH1427" s="37" t="s">
        <v>3745</v>
      </c>
      <c r="AI1427" s="309"/>
      <c r="AJ1427" s="309"/>
      <c r="AK1427" s="37" t="s">
        <v>37</v>
      </c>
      <c r="AL1427" s="37" t="s">
        <v>58</v>
      </c>
      <c r="AM1427" s="299">
        <f t="shared" ca="1" si="125"/>
        <v>0.90277777777373558</v>
      </c>
      <c r="AN1427" s="51"/>
      <c r="AO1427" s="171" t="s">
        <v>179</v>
      </c>
      <c r="AP1427" s="172" t="s">
        <v>3851</v>
      </c>
      <c r="AQ1427" s="171" t="s">
        <v>3852</v>
      </c>
      <c r="AR1427" s="174">
        <v>44912.510416666664</v>
      </c>
      <c r="AS1427" s="168" t="s">
        <v>3854</v>
      </c>
      <c r="AT1427" s="171" t="s">
        <v>225</v>
      </c>
      <c r="AU1427" s="173">
        <v>0.51041666666666663</v>
      </c>
      <c r="AV1427" s="171">
        <v>1</v>
      </c>
      <c r="AW1427" s="171" t="s">
        <v>66</v>
      </c>
      <c r="AX1427" s="176" t="s">
        <v>3853</v>
      </c>
      <c r="AY1427" s="52"/>
      <c r="AZ1427" s="52"/>
      <c r="BA1427" s="52"/>
    </row>
    <row r="1428" spans="1:53" x14ac:dyDescent="0.25">
      <c r="A1428" s="157">
        <v>295</v>
      </c>
      <c r="B1428" s="155">
        <v>44911.607638888891</v>
      </c>
      <c r="C1428" s="150">
        <v>0.61111111111111105</v>
      </c>
      <c r="D1428" s="150">
        <v>0.63194444444444442</v>
      </c>
      <c r="E1428" s="150">
        <v>0.64583333333333337</v>
      </c>
      <c r="F1428" s="151" t="s">
        <v>170</v>
      </c>
      <c r="G1428" s="151" t="s">
        <v>3746</v>
      </c>
      <c r="H1428" s="146" t="s">
        <v>227</v>
      </c>
      <c r="I1428" s="146" t="s">
        <v>3743</v>
      </c>
      <c r="J1428" s="146" t="s">
        <v>37</v>
      </c>
      <c r="K1428" s="149" t="s">
        <v>63</v>
      </c>
      <c r="L1428" s="153" t="s">
        <v>206</v>
      </c>
      <c r="M1428" s="151" t="s">
        <v>3744</v>
      </c>
      <c r="N1428" s="151" t="s">
        <v>43</v>
      </c>
      <c r="O1428" s="151" t="s">
        <v>3747</v>
      </c>
      <c r="P1428" s="151">
        <v>28958</v>
      </c>
      <c r="Q1428" s="303">
        <f t="shared" si="126"/>
        <v>0</v>
      </c>
      <c r="R1428" s="303">
        <f t="shared" si="127"/>
        <v>0</v>
      </c>
      <c r="S1428" s="151">
        <v>0</v>
      </c>
      <c r="T1428" s="151">
        <v>0</v>
      </c>
      <c r="U1428" s="151">
        <v>0</v>
      </c>
      <c r="V1428" s="151">
        <v>0</v>
      </c>
      <c r="W1428" s="151">
        <v>0</v>
      </c>
      <c r="X1428" s="37">
        <v>170</v>
      </c>
      <c r="Y1428" s="37">
        <v>97</v>
      </c>
      <c r="Z1428" s="37">
        <v>95</v>
      </c>
      <c r="AA1428" s="37">
        <v>6</v>
      </c>
      <c r="AB1428" s="300">
        <f t="shared" si="128"/>
        <v>1566.55</v>
      </c>
      <c r="AC1428" s="300">
        <f t="shared" si="129"/>
        <v>9.4370481927710834</v>
      </c>
      <c r="AD1428" s="37">
        <v>0</v>
      </c>
      <c r="AE1428" s="151">
        <v>0</v>
      </c>
      <c r="AF1428" s="151" t="s">
        <v>317</v>
      </c>
      <c r="AG1428" s="151" t="s">
        <v>317</v>
      </c>
      <c r="AH1428" s="151" t="s">
        <v>3745</v>
      </c>
      <c r="AI1428" s="309"/>
      <c r="AJ1428" s="309"/>
      <c r="AK1428" s="151" t="s">
        <v>37</v>
      </c>
      <c r="AL1428" s="151" t="s">
        <v>58</v>
      </c>
      <c r="AM1428" s="299">
        <f t="shared" ca="1" si="125"/>
        <v>0.90277777777373558</v>
      </c>
      <c r="AN1428" s="51"/>
      <c r="AO1428" s="171" t="s">
        <v>179</v>
      </c>
      <c r="AP1428" s="172" t="s">
        <v>3851</v>
      </c>
      <c r="AQ1428" s="171" t="s">
        <v>3852</v>
      </c>
      <c r="AR1428" s="174">
        <v>44912.510416666664</v>
      </c>
      <c r="AS1428" s="168" t="s">
        <v>3854</v>
      </c>
      <c r="AT1428" s="171" t="s">
        <v>225</v>
      </c>
      <c r="AU1428" s="173">
        <v>0.51041666666666663</v>
      </c>
      <c r="AV1428" s="171">
        <v>1</v>
      </c>
      <c r="AW1428" s="171" t="s">
        <v>66</v>
      </c>
      <c r="AX1428" s="176" t="s">
        <v>3853</v>
      </c>
      <c r="AY1428" s="52"/>
      <c r="AZ1428" s="52"/>
      <c r="BA1428" s="52"/>
    </row>
    <row r="1429" spans="1:53" x14ac:dyDescent="0.25">
      <c r="A1429" s="48">
        <v>296</v>
      </c>
      <c r="B1429" s="46">
        <v>44911.631944444445</v>
      </c>
      <c r="C1429" s="36">
        <v>0.63541666666666663</v>
      </c>
      <c r="D1429" s="36">
        <v>0.64583333333333337</v>
      </c>
      <c r="E1429" s="36">
        <v>0.65972222222222221</v>
      </c>
      <c r="F1429" s="37" t="s">
        <v>169</v>
      </c>
      <c r="G1429" s="37" t="s">
        <v>3748</v>
      </c>
      <c r="H1429" s="26" t="s">
        <v>3749</v>
      </c>
      <c r="I1429" s="26" t="s">
        <v>3750</v>
      </c>
      <c r="J1429" s="146" t="s">
        <v>37</v>
      </c>
      <c r="K1429" s="26" t="s">
        <v>233</v>
      </c>
      <c r="L1429" s="26">
        <v>0</v>
      </c>
      <c r="M1429" s="37" t="s">
        <v>3751</v>
      </c>
      <c r="N1429" s="37" t="s">
        <v>2161</v>
      </c>
      <c r="O1429" s="37">
        <v>21015</v>
      </c>
      <c r="P1429" s="37">
        <v>84483100</v>
      </c>
      <c r="Q1429" s="303">
        <f t="shared" si="126"/>
        <v>3</v>
      </c>
      <c r="R1429" s="303">
        <f t="shared" si="127"/>
        <v>422</v>
      </c>
      <c r="S1429" s="37">
        <v>0</v>
      </c>
      <c r="T1429" s="37">
        <v>0</v>
      </c>
      <c r="U1429" s="37">
        <v>3</v>
      </c>
      <c r="V1429" s="152">
        <f>78+145+199</f>
        <v>422</v>
      </c>
      <c r="W1429" s="152">
        <v>349</v>
      </c>
      <c r="X1429" s="37">
        <v>120</v>
      </c>
      <c r="Y1429" s="37">
        <v>45</v>
      </c>
      <c r="Z1429" s="37">
        <v>32</v>
      </c>
      <c r="AA1429" s="37">
        <v>1</v>
      </c>
      <c r="AB1429" s="300">
        <f t="shared" si="128"/>
        <v>28.8</v>
      </c>
      <c r="AC1429" s="300">
        <f t="shared" si="129"/>
        <v>0.17349397590361446</v>
      </c>
      <c r="AD1429" s="37">
        <v>6750</v>
      </c>
      <c r="AE1429" s="37" t="s">
        <v>109</v>
      </c>
      <c r="AF1429" s="151">
        <v>6183608</v>
      </c>
      <c r="AG1429" s="151" t="s">
        <v>3753</v>
      </c>
      <c r="AH1429" s="37" t="s">
        <v>3752</v>
      </c>
      <c r="AI1429" s="309"/>
      <c r="AJ1429" s="309"/>
      <c r="AK1429" s="37" t="s">
        <v>41</v>
      </c>
      <c r="AL1429" s="37" t="s">
        <v>39</v>
      </c>
      <c r="AM1429" s="299">
        <f t="shared" ca="1" si="125"/>
        <v>4.84375</v>
      </c>
      <c r="AN1429" s="51"/>
      <c r="AO1429" s="189" t="s">
        <v>2516</v>
      </c>
      <c r="AP1429" s="190" t="s">
        <v>3751</v>
      </c>
      <c r="AQ1429" s="191" t="s">
        <v>4006</v>
      </c>
      <c r="AR1429" s="192">
        <v>44916.475694444445</v>
      </c>
      <c r="AS1429" s="186" t="s">
        <v>173</v>
      </c>
      <c r="AT1429" s="189" t="s">
        <v>225</v>
      </c>
      <c r="AU1429" s="191">
        <v>0.47569444444444442</v>
      </c>
      <c r="AV1429" s="189">
        <v>1</v>
      </c>
      <c r="AW1429" s="189" t="s">
        <v>66</v>
      </c>
      <c r="AX1429" s="52"/>
      <c r="AY1429" s="52"/>
      <c r="AZ1429" s="52"/>
      <c r="BA1429" s="52"/>
    </row>
    <row r="1430" spans="1:53" x14ac:dyDescent="0.25">
      <c r="A1430" s="157">
        <v>296</v>
      </c>
      <c r="B1430" s="155">
        <v>44911.631944444445</v>
      </c>
      <c r="C1430" s="150">
        <v>0.63541666666666663</v>
      </c>
      <c r="D1430" s="150">
        <v>0.64583333333333337</v>
      </c>
      <c r="E1430" s="150">
        <v>0.65972222222222221</v>
      </c>
      <c r="F1430" s="151" t="s">
        <v>169</v>
      </c>
      <c r="G1430" s="151" t="s">
        <v>3748</v>
      </c>
      <c r="H1430" s="146" t="s">
        <v>3749</v>
      </c>
      <c r="I1430" s="146" t="s">
        <v>3750</v>
      </c>
      <c r="J1430" s="146" t="s">
        <v>37</v>
      </c>
      <c r="K1430" s="146" t="s">
        <v>233</v>
      </c>
      <c r="L1430" s="146">
        <v>0</v>
      </c>
      <c r="M1430" s="151" t="s">
        <v>3751</v>
      </c>
      <c r="N1430" s="151" t="s">
        <v>2161</v>
      </c>
      <c r="O1430" s="151">
        <v>21015</v>
      </c>
      <c r="P1430" s="151">
        <v>84483100</v>
      </c>
      <c r="Q1430" s="303">
        <f t="shared" si="126"/>
        <v>0</v>
      </c>
      <c r="R1430" s="303">
        <f t="shared" si="127"/>
        <v>0</v>
      </c>
      <c r="S1430" s="151">
        <v>0</v>
      </c>
      <c r="T1430" s="151">
        <v>0</v>
      </c>
      <c r="U1430" s="151">
        <v>0</v>
      </c>
      <c r="V1430" s="151">
        <v>0</v>
      </c>
      <c r="W1430" s="151">
        <v>0</v>
      </c>
      <c r="X1430" s="37">
        <v>167</v>
      </c>
      <c r="Y1430" s="37">
        <v>61</v>
      </c>
      <c r="Z1430" s="37">
        <v>38</v>
      </c>
      <c r="AA1430" s="37">
        <v>1</v>
      </c>
      <c r="AB1430" s="300">
        <f t="shared" si="128"/>
        <v>64.51766666666667</v>
      </c>
      <c r="AC1430" s="300">
        <f t="shared" si="129"/>
        <v>0.38866064257028116</v>
      </c>
      <c r="AD1430" s="37">
        <v>0</v>
      </c>
      <c r="AE1430" s="37">
        <v>0</v>
      </c>
      <c r="AF1430" s="151">
        <v>6183608</v>
      </c>
      <c r="AG1430" s="151" t="s">
        <v>3753</v>
      </c>
      <c r="AH1430" s="151" t="s">
        <v>3752</v>
      </c>
      <c r="AI1430" s="309"/>
      <c r="AJ1430" s="309"/>
      <c r="AK1430" s="151" t="s">
        <v>41</v>
      </c>
      <c r="AL1430" s="151" t="s">
        <v>39</v>
      </c>
      <c r="AM1430" s="299">
        <f t="shared" ca="1" si="125"/>
        <v>4.84375</v>
      </c>
      <c r="AN1430" s="51"/>
      <c r="AO1430" s="189" t="s">
        <v>2516</v>
      </c>
      <c r="AP1430" s="190" t="s">
        <v>3751</v>
      </c>
      <c r="AQ1430" s="191" t="s">
        <v>4006</v>
      </c>
      <c r="AR1430" s="192">
        <v>44916.475694444445</v>
      </c>
      <c r="AS1430" s="186" t="s">
        <v>173</v>
      </c>
      <c r="AT1430" s="189" t="s">
        <v>225</v>
      </c>
      <c r="AU1430" s="191">
        <v>0.47569444444444442</v>
      </c>
      <c r="AV1430" s="189">
        <v>1</v>
      </c>
      <c r="AW1430" s="189" t="s">
        <v>66</v>
      </c>
      <c r="AX1430" s="52"/>
      <c r="AY1430" s="52"/>
      <c r="AZ1430" s="52"/>
      <c r="BA1430" s="52"/>
    </row>
    <row r="1431" spans="1:53" x14ac:dyDescent="0.25">
      <c r="A1431" s="157">
        <v>296</v>
      </c>
      <c r="B1431" s="155">
        <v>44911.631944444445</v>
      </c>
      <c r="C1431" s="150">
        <v>0.63541666666666663</v>
      </c>
      <c r="D1431" s="150">
        <v>0.64583333333333337</v>
      </c>
      <c r="E1431" s="150">
        <v>0.65972222222222221</v>
      </c>
      <c r="F1431" s="151" t="s">
        <v>169</v>
      </c>
      <c r="G1431" s="151" t="s">
        <v>3748</v>
      </c>
      <c r="H1431" s="146" t="s">
        <v>3749</v>
      </c>
      <c r="I1431" s="146" t="s">
        <v>3750</v>
      </c>
      <c r="J1431" s="146" t="s">
        <v>37</v>
      </c>
      <c r="K1431" s="146" t="s">
        <v>233</v>
      </c>
      <c r="L1431" s="146">
        <v>0</v>
      </c>
      <c r="M1431" s="151" t="s">
        <v>3751</v>
      </c>
      <c r="N1431" s="151" t="s">
        <v>2161</v>
      </c>
      <c r="O1431" s="151">
        <v>21015</v>
      </c>
      <c r="P1431" s="151">
        <v>84483100</v>
      </c>
      <c r="Q1431" s="303">
        <f t="shared" si="126"/>
        <v>0</v>
      </c>
      <c r="R1431" s="303">
        <f t="shared" si="127"/>
        <v>0</v>
      </c>
      <c r="S1431" s="151">
        <v>0</v>
      </c>
      <c r="T1431" s="151">
        <v>0</v>
      </c>
      <c r="U1431" s="151">
        <v>0</v>
      </c>
      <c r="V1431" s="151">
        <v>0</v>
      </c>
      <c r="W1431" s="151">
        <v>0</v>
      </c>
      <c r="X1431" s="37">
        <v>192</v>
      </c>
      <c r="Y1431" s="37">
        <v>70</v>
      </c>
      <c r="Z1431" s="37">
        <v>58</v>
      </c>
      <c r="AA1431" s="37">
        <v>1</v>
      </c>
      <c r="AB1431" s="300">
        <f t="shared" si="128"/>
        <v>129.91999999999999</v>
      </c>
      <c r="AC1431" s="300">
        <f t="shared" si="129"/>
        <v>0.78265060240963846</v>
      </c>
      <c r="AD1431" s="37">
        <v>0</v>
      </c>
      <c r="AE1431" s="37">
        <v>0</v>
      </c>
      <c r="AF1431" s="151">
        <v>6183608</v>
      </c>
      <c r="AG1431" s="151" t="s">
        <v>3753</v>
      </c>
      <c r="AH1431" s="151" t="s">
        <v>3752</v>
      </c>
      <c r="AI1431" s="309"/>
      <c r="AJ1431" s="309"/>
      <c r="AK1431" s="151" t="s">
        <v>41</v>
      </c>
      <c r="AL1431" s="151" t="s">
        <v>39</v>
      </c>
      <c r="AM1431" s="299">
        <f t="shared" ca="1" si="125"/>
        <v>4.84375</v>
      </c>
      <c r="AN1431" s="51"/>
      <c r="AO1431" s="189" t="s">
        <v>2516</v>
      </c>
      <c r="AP1431" s="190" t="s">
        <v>3751</v>
      </c>
      <c r="AQ1431" s="191" t="s">
        <v>4006</v>
      </c>
      <c r="AR1431" s="192">
        <v>44916.475694444445</v>
      </c>
      <c r="AS1431" s="186" t="s">
        <v>173</v>
      </c>
      <c r="AT1431" s="189" t="s">
        <v>225</v>
      </c>
      <c r="AU1431" s="191">
        <v>0.47569444444444442</v>
      </c>
      <c r="AV1431" s="189">
        <v>1</v>
      </c>
      <c r="AW1431" s="189" t="s">
        <v>66</v>
      </c>
      <c r="AX1431" s="52"/>
      <c r="AY1431" s="52"/>
      <c r="AZ1431" s="52"/>
      <c r="BA1431" s="52"/>
    </row>
    <row r="1432" spans="1:53" x14ac:dyDescent="0.25">
      <c r="A1432" s="48">
        <v>297</v>
      </c>
      <c r="B1432" s="46">
        <v>44911.666666666664</v>
      </c>
      <c r="C1432" s="36">
        <v>0.67361111111111116</v>
      </c>
      <c r="D1432" s="36">
        <v>0.69444444444444453</v>
      </c>
      <c r="E1432" s="36">
        <v>0.70138888888888884</v>
      </c>
      <c r="F1432" s="151" t="s">
        <v>169</v>
      </c>
      <c r="G1432" s="37" t="s">
        <v>3754</v>
      </c>
      <c r="H1432" s="26" t="s">
        <v>248</v>
      </c>
      <c r="I1432" s="26" t="s">
        <v>2915</v>
      </c>
      <c r="J1432" s="26" t="s">
        <v>41</v>
      </c>
      <c r="K1432" s="26" t="s">
        <v>82</v>
      </c>
      <c r="L1432" s="26" t="s">
        <v>249</v>
      </c>
      <c r="M1432" s="37" t="s">
        <v>3755</v>
      </c>
      <c r="N1432" s="37" t="s">
        <v>42</v>
      </c>
      <c r="O1432" s="37">
        <v>785</v>
      </c>
      <c r="P1432" s="37" t="s">
        <v>3756</v>
      </c>
      <c r="Q1432" s="303">
        <f t="shared" si="126"/>
        <v>64</v>
      </c>
      <c r="R1432" s="303">
        <f t="shared" si="127"/>
        <v>700</v>
      </c>
      <c r="S1432" s="37">
        <v>64</v>
      </c>
      <c r="T1432" s="37">
        <f>348-26+400-22</f>
        <v>700</v>
      </c>
      <c r="U1432" s="37">
        <v>0</v>
      </c>
      <c r="V1432" s="37">
        <v>0</v>
      </c>
      <c r="W1432" s="151">
        <v>683.4</v>
      </c>
      <c r="X1432" s="151">
        <v>53</v>
      </c>
      <c r="Y1432" s="151">
        <v>42</v>
      </c>
      <c r="Z1432" s="151">
        <v>26</v>
      </c>
      <c r="AA1432" s="149">
        <v>64</v>
      </c>
      <c r="AB1432" s="300">
        <f t="shared" si="128"/>
        <v>617.34400000000005</v>
      </c>
      <c r="AC1432" s="300">
        <f t="shared" si="129"/>
        <v>3.7189397590361448</v>
      </c>
      <c r="AD1432" s="37">
        <v>9325.4500000000007</v>
      </c>
      <c r="AE1432" s="37" t="s">
        <v>109</v>
      </c>
      <c r="AF1432" s="37" t="s">
        <v>3757</v>
      </c>
      <c r="AG1432" s="37" t="s">
        <v>3758</v>
      </c>
      <c r="AH1432" s="37" t="s">
        <v>3759</v>
      </c>
      <c r="AI1432" s="309"/>
      <c r="AJ1432" s="309"/>
      <c r="AK1432" s="37" t="s">
        <v>48</v>
      </c>
      <c r="AL1432" s="37" t="s">
        <v>50</v>
      </c>
      <c r="AM1432" s="299">
        <f t="shared" ca="1" si="125"/>
        <v>3.8472222222262644</v>
      </c>
      <c r="AN1432" s="51"/>
      <c r="AO1432" s="189" t="s">
        <v>255</v>
      </c>
      <c r="AP1432" s="190" t="s">
        <v>3755</v>
      </c>
      <c r="AQ1432" s="191" t="s">
        <v>3980</v>
      </c>
      <c r="AR1432" s="192">
        <v>44915.513888888891</v>
      </c>
      <c r="AS1432" s="186" t="s">
        <v>483</v>
      </c>
      <c r="AT1432" s="189" t="s">
        <v>225</v>
      </c>
      <c r="AU1432" s="191">
        <v>0.51388888888888895</v>
      </c>
      <c r="AV1432" s="189">
        <v>1</v>
      </c>
      <c r="AW1432" s="189" t="s">
        <v>66</v>
      </c>
      <c r="AX1432" s="52"/>
      <c r="AY1432" s="52"/>
      <c r="AZ1432" s="52"/>
      <c r="BA1432" s="52"/>
    </row>
    <row r="1433" spans="1:53" x14ac:dyDescent="0.25">
      <c r="A1433" s="48">
        <v>298</v>
      </c>
      <c r="B1433" s="46">
        <v>44911.708333333336</v>
      </c>
      <c r="C1433" s="36">
        <v>0.71875</v>
      </c>
      <c r="D1433" s="36">
        <v>0.72222222222222221</v>
      </c>
      <c r="E1433" s="36">
        <v>0.79166666666666663</v>
      </c>
      <c r="F1433" s="151" t="s">
        <v>169</v>
      </c>
      <c r="G1433" s="37" t="s">
        <v>3760</v>
      </c>
      <c r="H1433" s="26" t="s">
        <v>191</v>
      </c>
      <c r="I1433" s="26" t="s">
        <v>192</v>
      </c>
      <c r="J1433" s="26" t="s">
        <v>37</v>
      </c>
      <c r="K1433" s="146" t="s">
        <v>82</v>
      </c>
      <c r="L1433" s="153" t="s">
        <v>206</v>
      </c>
      <c r="M1433" s="37" t="s">
        <v>3761</v>
      </c>
      <c r="N1433" s="37" t="s">
        <v>3225</v>
      </c>
      <c r="O1433" s="37" t="s">
        <v>3762</v>
      </c>
      <c r="P1433" s="37" t="s">
        <v>3763</v>
      </c>
      <c r="Q1433" s="303">
        <f t="shared" si="126"/>
        <v>2</v>
      </c>
      <c r="R1433" s="303">
        <f t="shared" si="127"/>
        <v>5</v>
      </c>
      <c r="S1433" s="37">
        <v>2</v>
      </c>
      <c r="T1433" s="37">
        <v>5</v>
      </c>
      <c r="U1433" s="37">
        <v>0</v>
      </c>
      <c r="V1433" s="37">
        <v>0</v>
      </c>
      <c r="W1433" s="37">
        <v>5.2039999999999997</v>
      </c>
      <c r="X1433" s="37">
        <v>38</v>
      </c>
      <c r="Y1433" s="37">
        <v>29</v>
      </c>
      <c r="Z1433" s="37">
        <v>15</v>
      </c>
      <c r="AA1433" s="37">
        <v>2</v>
      </c>
      <c r="AB1433" s="300">
        <f t="shared" si="128"/>
        <v>5.51</v>
      </c>
      <c r="AC1433" s="300">
        <f t="shared" si="129"/>
        <v>3.3192771084337346E-2</v>
      </c>
      <c r="AD1433" s="37">
        <v>368.68</v>
      </c>
      <c r="AE1433" s="151" t="s">
        <v>109</v>
      </c>
      <c r="AF1433" s="37" t="s">
        <v>3764</v>
      </c>
      <c r="AG1433" s="151" t="s">
        <v>3758</v>
      </c>
      <c r="AH1433" s="37" t="s">
        <v>3765</v>
      </c>
      <c r="AI1433" s="309"/>
      <c r="AJ1433" s="309"/>
      <c r="AK1433" s="151" t="s">
        <v>48</v>
      </c>
      <c r="AL1433" s="37" t="s">
        <v>39</v>
      </c>
      <c r="AM1433" s="299">
        <f t="shared" ca="1" si="125"/>
        <v>0.78819444444525288</v>
      </c>
      <c r="AN1433" s="51"/>
      <c r="AO1433" s="171" t="s">
        <v>98</v>
      </c>
      <c r="AP1433" s="172" t="s">
        <v>3761</v>
      </c>
      <c r="AQ1433" s="171" t="s">
        <v>3850</v>
      </c>
      <c r="AR1433" s="174">
        <v>44912.496527777781</v>
      </c>
      <c r="AS1433" s="168" t="s">
        <v>173</v>
      </c>
      <c r="AT1433" s="171" t="s">
        <v>225</v>
      </c>
      <c r="AU1433" s="173">
        <v>0.49652777777777773</v>
      </c>
      <c r="AV1433" s="171">
        <v>1</v>
      </c>
      <c r="AW1433" s="171" t="s">
        <v>66</v>
      </c>
      <c r="AX1433" s="171"/>
      <c r="AY1433" s="52"/>
      <c r="AZ1433" s="52"/>
      <c r="BA1433" s="52"/>
    </row>
    <row r="1434" spans="1:53" x14ac:dyDescent="0.25">
      <c r="A1434" s="157">
        <v>299</v>
      </c>
      <c r="B1434" s="155">
        <v>44911.784722222219</v>
      </c>
      <c r="C1434" s="150">
        <v>0.78472222222222221</v>
      </c>
      <c r="D1434" s="150">
        <v>0.79861111111111116</v>
      </c>
      <c r="E1434" s="150">
        <v>0.88194444444444453</v>
      </c>
      <c r="F1434" s="151" t="s">
        <v>171</v>
      </c>
      <c r="G1434" s="151" t="s">
        <v>279</v>
      </c>
      <c r="H1434" s="154" t="s">
        <v>342</v>
      </c>
      <c r="I1434" s="154" t="s">
        <v>342</v>
      </c>
      <c r="J1434" s="154" t="s">
        <v>37</v>
      </c>
      <c r="K1434" s="151" t="s">
        <v>180</v>
      </c>
      <c r="L1434" s="151">
        <v>0</v>
      </c>
      <c r="M1434" s="151" t="s">
        <v>3776</v>
      </c>
      <c r="N1434" s="151" t="s">
        <v>42</v>
      </c>
      <c r="O1434" s="151" t="s">
        <v>3777</v>
      </c>
      <c r="P1434" s="151" t="s">
        <v>3778</v>
      </c>
      <c r="Q1434" s="303">
        <f t="shared" si="126"/>
        <v>4</v>
      </c>
      <c r="R1434" s="303">
        <f t="shared" si="127"/>
        <v>1271</v>
      </c>
      <c r="S1434" s="151">
        <v>0</v>
      </c>
      <c r="T1434" s="151">
        <v>0</v>
      </c>
      <c r="U1434" s="151">
        <v>4</v>
      </c>
      <c r="V1434" s="151">
        <v>1271</v>
      </c>
      <c r="W1434" s="151">
        <v>1248</v>
      </c>
      <c r="X1434" s="151">
        <v>121</v>
      </c>
      <c r="Y1434" s="151">
        <v>113</v>
      </c>
      <c r="Z1434" s="151">
        <v>86</v>
      </c>
      <c r="AA1434" s="151">
        <v>4</v>
      </c>
      <c r="AB1434" s="300">
        <f t="shared" si="128"/>
        <v>783.9186666666667</v>
      </c>
      <c r="AC1434" s="300">
        <f t="shared" si="129"/>
        <v>4.7224016064257031</v>
      </c>
      <c r="AD1434" s="151">
        <v>359.9</v>
      </c>
      <c r="AE1434" s="151" t="s">
        <v>109</v>
      </c>
      <c r="AF1434" s="151" t="s">
        <v>317</v>
      </c>
      <c r="AG1434" s="151" t="s">
        <v>317</v>
      </c>
      <c r="AH1434" s="151" t="s">
        <v>3779</v>
      </c>
      <c r="AI1434" s="309"/>
      <c r="AJ1434" s="309"/>
      <c r="AK1434" s="151" t="s">
        <v>41</v>
      </c>
      <c r="AL1434" s="151" t="s">
        <v>39</v>
      </c>
      <c r="AM1434" s="299">
        <f t="shared" ca="1" si="125"/>
        <v>0.95833333333575865</v>
      </c>
      <c r="AN1434" s="164" t="s">
        <v>3780</v>
      </c>
      <c r="AO1434" s="171" t="s">
        <v>107</v>
      </c>
      <c r="AP1434" s="172" t="s">
        <v>3776</v>
      </c>
      <c r="AQ1434" s="171" t="s">
        <v>3859</v>
      </c>
      <c r="AR1434" s="174">
        <v>44912.743055555555</v>
      </c>
      <c r="AS1434" s="171" t="s">
        <v>240</v>
      </c>
      <c r="AT1434" s="171" t="s">
        <v>65</v>
      </c>
      <c r="AU1434" s="173">
        <v>0.74305555555555547</v>
      </c>
      <c r="AV1434" s="171">
        <v>1</v>
      </c>
      <c r="AW1434" s="171" t="s">
        <v>66</v>
      </c>
      <c r="AX1434" s="171"/>
      <c r="AY1434" s="52"/>
      <c r="AZ1434" s="52"/>
      <c r="BA1434" s="52"/>
    </row>
    <row r="1435" spans="1:53" x14ac:dyDescent="0.25">
      <c r="A1435" s="157">
        <v>300</v>
      </c>
      <c r="B1435" s="155">
        <v>44911.791666666664</v>
      </c>
      <c r="C1435" s="150">
        <v>0.79166666666666663</v>
      </c>
      <c r="D1435" s="150">
        <v>0.79513888888888884</v>
      </c>
      <c r="E1435" s="150">
        <v>0.81944444444444453</v>
      </c>
      <c r="F1435" s="151" t="s">
        <v>171</v>
      </c>
      <c r="G1435" s="149" t="s">
        <v>327</v>
      </c>
      <c r="H1435" s="149" t="s">
        <v>119</v>
      </c>
      <c r="I1435" s="149" t="s">
        <v>40</v>
      </c>
      <c r="J1435" s="149" t="s">
        <v>37</v>
      </c>
      <c r="K1435" s="149" t="s">
        <v>180</v>
      </c>
      <c r="L1435" s="153" t="s">
        <v>206</v>
      </c>
      <c r="M1435" s="151" t="s">
        <v>3781</v>
      </c>
      <c r="N1435" s="151" t="s">
        <v>186</v>
      </c>
      <c r="O1435" s="151" t="s">
        <v>3782</v>
      </c>
      <c r="P1435" s="151" t="s">
        <v>3783</v>
      </c>
      <c r="Q1435" s="303">
        <f t="shared" si="126"/>
        <v>1</v>
      </c>
      <c r="R1435" s="303">
        <f t="shared" si="127"/>
        <v>155</v>
      </c>
      <c r="S1435" s="151">
        <v>0</v>
      </c>
      <c r="T1435" s="151">
        <v>0</v>
      </c>
      <c r="U1435" s="151">
        <v>1</v>
      </c>
      <c r="V1435" s="151">
        <v>155</v>
      </c>
      <c r="W1435" s="151">
        <v>169</v>
      </c>
      <c r="X1435" s="151">
        <v>72</v>
      </c>
      <c r="Y1435" s="151">
        <v>70</v>
      </c>
      <c r="Z1435" s="151">
        <v>58</v>
      </c>
      <c r="AA1435" s="151">
        <v>1</v>
      </c>
      <c r="AB1435" s="300">
        <f t="shared" si="128"/>
        <v>48.72</v>
      </c>
      <c r="AC1435" s="300">
        <f t="shared" si="129"/>
        <v>0.29349397590361442</v>
      </c>
      <c r="AD1435" s="151" t="s">
        <v>48</v>
      </c>
      <c r="AE1435" s="151" t="s">
        <v>48</v>
      </c>
      <c r="AF1435" s="151" t="s">
        <v>317</v>
      </c>
      <c r="AG1435" s="151" t="s">
        <v>317</v>
      </c>
      <c r="AH1435" s="151" t="s">
        <v>3784</v>
      </c>
      <c r="AI1435" s="309"/>
      <c r="AJ1435" s="309"/>
      <c r="AK1435" s="151" t="s">
        <v>41</v>
      </c>
      <c r="AL1435" s="151" t="s">
        <v>94</v>
      </c>
      <c r="AM1435" s="299">
        <f t="shared" ca="1" si="125"/>
        <v>0.70486111111677019</v>
      </c>
      <c r="AN1435" s="158"/>
      <c r="AO1435" s="171" t="s">
        <v>131</v>
      </c>
      <c r="AP1435" s="172" t="s">
        <v>3781</v>
      </c>
      <c r="AQ1435" s="171" t="s">
        <v>3847</v>
      </c>
      <c r="AR1435" s="174">
        <v>44912.496527777781</v>
      </c>
      <c r="AS1435" s="168" t="s">
        <v>173</v>
      </c>
      <c r="AT1435" s="171" t="s">
        <v>225</v>
      </c>
      <c r="AU1435" s="173">
        <v>0.49652777777777773</v>
      </c>
      <c r="AV1435" s="171">
        <v>1</v>
      </c>
      <c r="AW1435" s="171" t="s">
        <v>66</v>
      </c>
      <c r="AX1435" s="52"/>
      <c r="AY1435" s="52"/>
      <c r="AZ1435" s="52"/>
      <c r="BA1435" s="52"/>
    </row>
    <row r="1436" spans="1:53" x14ac:dyDescent="0.25">
      <c r="A1436" s="157">
        <v>301</v>
      </c>
      <c r="B1436" s="155">
        <v>44911.798611111109</v>
      </c>
      <c r="C1436" s="150">
        <v>0.80208333333333337</v>
      </c>
      <c r="D1436" s="150">
        <v>0.80555555555555547</v>
      </c>
      <c r="E1436" s="150">
        <v>0.88194444444444453</v>
      </c>
      <c r="F1436" s="151" t="s">
        <v>169</v>
      </c>
      <c r="G1436" s="151" t="s">
        <v>3785</v>
      </c>
      <c r="H1436" s="149" t="s">
        <v>260</v>
      </c>
      <c r="I1436" s="149" t="s">
        <v>3786</v>
      </c>
      <c r="J1436" s="149" t="s">
        <v>37</v>
      </c>
      <c r="K1436" s="149" t="s">
        <v>241</v>
      </c>
      <c r="L1436" s="149" t="s">
        <v>211</v>
      </c>
      <c r="M1436" s="151" t="s">
        <v>3787</v>
      </c>
      <c r="N1436" s="151" t="s">
        <v>1358</v>
      </c>
      <c r="O1436" s="151" t="s">
        <v>3788</v>
      </c>
      <c r="P1436" s="151">
        <v>13400</v>
      </c>
      <c r="Q1436" s="303">
        <f t="shared" si="126"/>
        <v>13</v>
      </c>
      <c r="R1436" s="303">
        <f t="shared" si="127"/>
        <v>159</v>
      </c>
      <c r="S1436" s="151">
        <v>13</v>
      </c>
      <c r="T1436" s="151">
        <v>159</v>
      </c>
      <c r="U1436" s="151">
        <v>0</v>
      </c>
      <c r="V1436" s="151">
        <v>0</v>
      </c>
      <c r="W1436" s="151" t="s">
        <v>48</v>
      </c>
      <c r="X1436" s="151">
        <v>62</v>
      </c>
      <c r="Y1436" s="151">
        <v>33</v>
      </c>
      <c r="Z1436" s="151">
        <v>25</v>
      </c>
      <c r="AA1436" s="151">
        <v>13</v>
      </c>
      <c r="AB1436" s="300">
        <f t="shared" si="128"/>
        <v>110.825</v>
      </c>
      <c r="AC1436" s="300">
        <f t="shared" si="129"/>
        <v>0.66762048192771084</v>
      </c>
      <c r="AD1436" s="151">
        <v>3112.5</v>
      </c>
      <c r="AE1436" s="151" t="s">
        <v>109</v>
      </c>
      <c r="AF1436" s="163" t="s">
        <v>3789</v>
      </c>
      <c r="AG1436" s="151" t="s">
        <v>3758</v>
      </c>
      <c r="AH1436" s="151" t="s">
        <v>3790</v>
      </c>
      <c r="AI1436" s="309"/>
      <c r="AJ1436" s="309"/>
      <c r="AK1436" s="151" t="s">
        <v>48</v>
      </c>
      <c r="AL1436" s="151" t="s">
        <v>50</v>
      </c>
      <c r="AM1436" s="299">
        <f t="shared" ca="1" si="125"/>
        <v>3.8263888888905058</v>
      </c>
      <c r="AN1436" s="158"/>
      <c r="AO1436" s="189" t="s">
        <v>3989</v>
      </c>
      <c r="AP1436" s="190" t="s">
        <v>3787</v>
      </c>
      <c r="AQ1436" s="191" t="s">
        <v>3990</v>
      </c>
      <c r="AR1436" s="192">
        <v>44915.625</v>
      </c>
      <c r="AS1436" s="186" t="s">
        <v>483</v>
      </c>
      <c r="AT1436" s="189" t="s">
        <v>225</v>
      </c>
      <c r="AU1436" s="191">
        <v>0.625</v>
      </c>
      <c r="AV1436" s="189">
        <v>2</v>
      </c>
      <c r="AW1436" s="189" t="s">
        <v>66</v>
      </c>
      <c r="AX1436" s="52"/>
      <c r="AY1436" s="52"/>
      <c r="AZ1436" s="52"/>
      <c r="BA1436" s="52"/>
    </row>
    <row r="1437" spans="1:53" x14ac:dyDescent="0.25">
      <c r="A1437" s="48">
        <v>302</v>
      </c>
      <c r="B1437" s="46">
        <v>44912.399305555555</v>
      </c>
      <c r="C1437" s="36">
        <v>0.40277777777777773</v>
      </c>
      <c r="D1437" s="36">
        <v>0.40972222222222227</v>
      </c>
      <c r="E1437" s="36">
        <v>0.43055555555555558</v>
      </c>
      <c r="F1437" s="37" t="s">
        <v>171</v>
      </c>
      <c r="G1437" s="37" t="s">
        <v>173</v>
      </c>
      <c r="H1437" s="26" t="s">
        <v>195</v>
      </c>
      <c r="I1437" s="146" t="s">
        <v>195</v>
      </c>
      <c r="J1437" s="149" t="s">
        <v>37</v>
      </c>
      <c r="K1437" s="149" t="s">
        <v>180</v>
      </c>
      <c r="L1437" s="149" t="s">
        <v>209</v>
      </c>
      <c r="M1437" s="37" t="s">
        <v>3791</v>
      </c>
      <c r="N1437" s="37" t="s">
        <v>42</v>
      </c>
      <c r="O1437" s="37" t="s">
        <v>3792</v>
      </c>
      <c r="P1437" s="37">
        <v>2101098129</v>
      </c>
      <c r="Q1437" s="303">
        <f t="shared" si="126"/>
        <v>7</v>
      </c>
      <c r="R1437" s="303">
        <f t="shared" si="127"/>
        <v>1527</v>
      </c>
      <c r="S1437" s="37">
        <v>0</v>
      </c>
      <c r="T1437" s="37">
        <v>0</v>
      </c>
      <c r="U1437" s="37">
        <v>7</v>
      </c>
      <c r="V1437" s="37">
        <f>220+187+282+208+206+278+146</f>
        <v>1527</v>
      </c>
      <c r="W1437" s="37">
        <v>1644.999</v>
      </c>
      <c r="X1437" s="37">
        <v>114</v>
      </c>
      <c r="Y1437" s="37">
        <v>80</v>
      </c>
      <c r="Z1437" s="37">
        <v>105</v>
      </c>
      <c r="AA1437" s="37">
        <v>1</v>
      </c>
      <c r="AB1437" s="300">
        <f t="shared" si="128"/>
        <v>159.6</v>
      </c>
      <c r="AC1437" s="300">
        <f t="shared" si="129"/>
        <v>0.96144578313253004</v>
      </c>
      <c r="AD1437" s="37">
        <v>64742.32</v>
      </c>
      <c r="AE1437" s="151" t="s">
        <v>109</v>
      </c>
      <c r="AF1437" s="37" t="s">
        <v>317</v>
      </c>
      <c r="AG1437" s="37" t="s">
        <v>317</v>
      </c>
      <c r="AH1437" s="37" t="s">
        <v>3793</v>
      </c>
      <c r="AI1437" s="309"/>
      <c r="AJ1437" s="309"/>
      <c r="AK1437" s="37" t="s">
        <v>41</v>
      </c>
      <c r="AL1437" s="37" t="s">
        <v>54</v>
      </c>
      <c r="AM1437" s="299">
        <f t="shared" ca="1" si="125"/>
        <v>0.32986111110949423</v>
      </c>
      <c r="AN1437" s="51"/>
      <c r="AO1437" s="171" t="s">
        <v>128</v>
      </c>
      <c r="AP1437" s="172" t="s">
        <v>3791</v>
      </c>
      <c r="AQ1437" s="171" t="s">
        <v>3859</v>
      </c>
      <c r="AR1437" s="174">
        <v>44912.729166666664</v>
      </c>
      <c r="AS1437" s="171" t="s">
        <v>3860</v>
      </c>
      <c r="AT1437" s="171" t="s">
        <v>225</v>
      </c>
      <c r="AU1437" s="173">
        <v>0.72916666666666663</v>
      </c>
      <c r="AV1437" s="171">
        <v>2</v>
      </c>
      <c r="AW1437" s="171" t="s">
        <v>66</v>
      </c>
      <c r="AX1437" s="171"/>
      <c r="AY1437" s="52"/>
      <c r="AZ1437" s="52"/>
      <c r="BA1437" s="52"/>
    </row>
    <row r="1438" spans="1:53" x14ac:dyDescent="0.25">
      <c r="A1438" s="157">
        <v>302</v>
      </c>
      <c r="B1438" s="155">
        <v>44912.399305555555</v>
      </c>
      <c r="C1438" s="150">
        <v>0.40277777777777773</v>
      </c>
      <c r="D1438" s="150">
        <v>0.40972222222222227</v>
      </c>
      <c r="E1438" s="150">
        <v>0.43055555555555558</v>
      </c>
      <c r="F1438" s="151" t="s">
        <v>171</v>
      </c>
      <c r="G1438" s="151" t="s">
        <v>173</v>
      </c>
      <c r="H1438" s="146" t="s">
        <v>195</v>
      </c>
      <c r="I1438" s="146" t="s">
        <v>195</v>
      </c>
      <c r="J1438" s="149" t="s">
        <v>37</v>
      </c>
      <c r="K1438" s="149" t="s">
        <v>180</v>
      </c>
      <c r="L1438" s="149" t="s">
        <v>209</v>
      </c>
      <c r="M1438" s="151" t="s">
        <v>3791</v>
      </c>
      <c r="N1438" s="151" t="s">
        <v>42</v>
      </c>
      <c r="O1438" s="151" t="s">
        <v>3792</v>
      </c>
      <c r="P1438" s="151">
        <v>2101098129</v>
      </c>
      <c r="Q1438" s="303">
        <f t="shared" si="126"/>
        <v>0</v>
      </c>
      <c r="R1438" s="303">
        <f t="shared" si="127"/>
        <v>0</v>
      </c>
      <c r="S1438" s="151">
        <v>0</v>
      </c>
      <c r="T1438" s="151">
        <v>0</v>
      </c>
      <c r="U1438" s="151">
        <v>0</v>
      </c>
      <c r="V1438" s="151">
        <v>0</v>
      </c>
      <c r="W1438" s="151">
        <v>0</v>
      </c>
      <c r="X1438" s="37">
        <v>114</v>
      </c>
      <c r="Y1438" s="37">
        <v>80</v>
      </c>
      <c r="Z1438" s="37">
        <v>114</v>
      </c>
      <c r="AA1438" s="37">
        <v>1</v>
      </c>
      <c r="AB1438" s="300">
        <f t="shared" si="128"/>
        <v>173.28</v>
      </c>
      <c r="AC1438" s="300">
        <f t="shared" si="129"/>
        <v>1.0438554216867471</v>
      </c>
      <c r="AD1438" s="37">
        <v>0</v>
      </c>
      <c r="AE1438" s="151">
        <v>0</v>
      </c>
      <c r="AF1438" s="151" t="s">
        <v>317</v>
      </c>
      <c r="AG1438" s="151" t="s">
        <v>317</v>
      </c>
      <c r="AH1438" s="151" t="s">
        <v>3793</v>
      </c>
      <c r="AI1438" s="309"/>
      <c r="AJ1438" s="309"/>
      <c r="AK1438" s="151" t="s">
        <v>41</v>
      </c>
      <c r="AL1438" s="151" t="s">
        <v>54</v>
      </c>
      <c r="AM1438" s="299">
        <f t="shared" ca="1" si="125"/>
        <v>0.32986111110949423</v>
      </c>
      <c r="AN1438" s="51"/>
      <c r="AO1438" s="171" t="s">
        <v>128</v>
      </c>
      <c r="AP1438" s="172" t="s">
        <v>3791</v>
      </c>
      <c r="AQ1438" s="171" t="s">
        <v>3859</v>
      </c>
      <c r="AR1438" s="174">
        <v>44912.729166666664</v>
      </c>
      <c r="AS1438" s="171" t="s">
        <v>3860</v>
      </c>
      <c r="AT1438" s="171" t="s">
        <v>225</v>
      </c>
      <c r="AU1438" s="173">
        <v>0.72916666666666663</v>
      </c>
      <c r="AV1438" s="171">
        <v>2</v>
      </c>
      <c r="AW1438" s="171" t="s">
        <v>66</v>
      </c>
      <c r="AX1438" s="171"/>
      <c r="AY1438" s="52"/>
      <c r="AZ1438" s="52"/>
      <c r="BA1438" s="52"/>
    </row>
    <row r="1439" spans="1:53" x14ac:dyDescent="0.25">
      <c r="A1439" s="157">
        <v>302</v>
      </c>
      <c r="B1439" s="155">
        <v>44912.399305555555</v>
      </c>
      <c r="C1439" s="150">
        <v>0.40277777777777773</v>
      </c>
      <c r="D1439" s="150">
        <v>0.40972222222222227</v>
      </c>
      <c r="E1439" s="150">
        <v>0.43055555555555558</v>
      </c>
      <c r="F1439" s="151" t="s">
        <v>171</v>
      </c>
      <c r="G1439" s="151" t="s">
        <v>173</v>
      </c>
      <c r="H1439" s="146" t="s">
        <v>195</v>
      </c>
      <c r="I1439" s="146" t="s">
        <v>195</v>
      </c>
      <c r="J1439" s="149" t="s">
        <v>37</v>
      </c>
      <c r="K1439" s="149" t="s">
        <v>180</v>
      </c>
      <c r="L1439" s="149" t="s">
        <v>209</v>
      </c>
      <c r="M1439" s="151" t="s">
        <v>3791</v>
      </c>
      <c r="N1439" s="151" t="s">
        <v>42</v>
      </c>
      <c r="O1439" s="151" t="s">
        <v>3792</v>
      </c>
      <c r="P1439" s="151">
        <v>2101098129</v>
      </c>
      <c r="Q1439" s="303">
        <f t="shared" si="126"/>
        <v>0</v>
      </c>
      <c r="R1439" s="303">
        <f t="shared" si="127"/>
        <v>0</v>
      </c>
      <c r="S1439" s="151">
        <v>0</v>
      </c>
      <c r="T1439" s="151">
        <v>0</v>
      </c>
      <c r="U1439" s="151">
        <v>0</v>
      </c>
      <c r="V1439" s="151">
        <v>0</v>
      </c>
      <c r="W1439" s="151">
        <v>0</v>
      </c>
      <c r="X1439" s="37">
        <v>114</v>
      </c>
      <c r="Y1439" s="37">
        <v>80</v>
      </c>
      <c r="Z1439" s="37">
        <v>130</v>
      </c>
      <c r="AA1439" s="37">
        <v>2</v>
      </c>
      <c r="AB1439" s="300">
        <f t="shared" si="128"/>
        <v>395.2</v>
      </c>
      <c r="AC1439" s="300">
        <f t="shared" si="129"/>
        <v>2.3807228915662648</v>
      </c>
      <c r="AD1439" s="37">
        <v>0</v>
      </c>
      <c r="AE1439" s="151">
        <v>0</v>
      </c>
      <c r="AF1439" s="151" t="s">
        <v>317</v>
      </c>
      <c r="AG1439" s="151" t="s">
        <v>317</v>
      </c>
      <c r="AH1439" s="151" t="s">
        <v>3793</v>
      </c>
      <c r="AI1439" s="309"/>
      <c r="AJ1439" s="309"/>
      <c r="AK1439" s="151" t="s">
        <v>41</v>
      </c>
      <c r="AL1439" s="151" t="s">
        <v>54</v>
      </c>
      <c r="AM1439" s="299">
        <f t="shared" ca="1" si="125"/>
        <v>0.32986111110949423</v>
      </c>
      <c r="AN1439" s="51"/>
      <c r="AO1439" s="171" t="s">
        <v>128</v>
      </c>
      <c r="AP1439" s="172" t="s">
        <v>3791</v>
      </c>
      <c r="AQ1439" s="171" t="s">
        <v>3859</v>
      </c>
      <c r="AR1439" s="174">
        <v>44912.729166666664</v>
      </c>
      <c r="AS1439" s="171" t="s">
        <v>3860</v>
      </c>
      <c r="AT1439" s="171" t="s">
        <v>225</v>
      </c>
      <c r="AU1439" s="173">
        <v>0.72916666666666663</v>
      </c>
      <c r="AV1439" s="171">
        <v>2</v>
      </c>
      <c r="AW1439" s="171" t="s">
        <v>66</v>
      </c>
      <c r="AX1439" s="171"/>
      <c r="AY1439" s="52"/>
      <c r="AZ1439" s="52"/>
      <c r="BA1439" s="52"/>
    </row>
    <row r="1440" spans="1:53" x14ac:dyDescent="0.25">
      <c r="A1440" s="157">
        <v>302</v>
      </c>
      <c r="B1440" s="155">
        <v>44912.399305555555</v>
      </c>
      <c r="C1440" s="150">
        <v>0.40277777777777773</v>
      </c>
      <c r="D1440" s="150">
        <v>0.40972222222222227</v>
      </c>
      <c r="E1440" s="150">
        <v>0.43055555555555558</v>
      </c>
      <c r="F1440" s="151" t="s">
        <v>171</v>
      </c>
      <c r="G1440" s="151" t="s">
        <v>173</v>
      </c>
      <c r="H1440" s="146" t="s">
        <v>195</v>
      </c>
      <c r="I1440" s="146" t="s">
        <v>195</v>
      </c>
      <c r="J1440" s="149" t="s">
        <v>37</v>
      </c>
      <c r="K1440" s="149" t="s">
        <v>180</v>
      </c>
      <c r="L1440" s="149" t="s">
        <v>209</v>
      </c>
      <c r="M1440" s="151" t="s">
        <v>3791</v>
      </c>
      <c r="N1440" s="151" t="s">
        <v>42</v>
      </c>
      <c r="O1440" s="151" t="s">
        <v>3792</v>
      </c>
      <c r="P1440" s="151">
        <v>2101098129</v>
      </c>
      <c r="Q1440" s="303">
        <f t="shared" si="126"/>
        <v>0</v>
      </c>
      <c r="R1440" s="303">
        <f t="shared" si="127"/>
        <v>0</v>
      </c>
      <c r="S1440" s="151">
        <v>0</v>
      </c>
      <c r="T1440" s="151">
        <v>0</v>
      </c>
      <c r="U1440" s="151">
        <v>0</v>
      </c>
      <c r="V1440" s="151">
        <v>0</v>
      </c>
      <c r="W1440" s="151">
        <v>0</v>
      </c>
      <c r="X1440" s="37">
        <v>114</v>
      </c>
      <c r="Y1440" s="37">
        <v>80</v>
      </c>
      <c r="Z1440" s="37">
        <v>112</v>
      </c>
      <c r="AA1440" s="37">
        <v>1</v>
      </c>
      <c r="AB1440" s="300">
        <f t="shared" si="128"/>
        <v>170.24</v>
      </c>
      <c r="AC1440" s="300">
        <f t="shared" si="129"/>
        <v>1.0255421686746988</v>
      </c>
      <c r="AD1440" s="37">
        <v>0</v>
      </c>
      <c r="AE1440" s="151">
        <v>0</v>
      </c>
      <c r="AF1440" s="151" t="s">
        <v>317</v>
      </c>
      <c r="AG1440" s="151" t="s">
        <v>317</v>
      </c>
      <c r="AH1440" s="151" t="s">
        <v>3793</v>
      </c>
      <c r="AI1440" s="309"/>
      <c r="AJ1440" s="309"/>
      <c r="AK1440" s="151" t="s">
        <v>41</v>
      </c>
      <c r="AL1440" s="151" t="s">
        <v>54</v>
      </c>
      <c r="AM1440" s="299">
        <f t="shared" ca="1" si="125"/>
        <v>0.32986111110949423</v>
      </c>
      <c r="AN1440" s="51"/>
      <c r="AO1440" s="171" t="s">
        <v>128</v>
      </c>
      <c r="AP1440" s="172" t="s">
        <v>3791</v>
      </c>
      <c r="AQ1440" s="171" t="s">
        <v>3859</v>
      </c>
      <c r="AR1440" s="174">
        <v>44912.729166666664</v>
      </c>
      <c r="AS1440" s="171" t="s">
        <v>3860</v>
      </c>
      <c r="AT1440" s="171" t="s">
        <v>225</v>
      </c>
      <c r="AU1440" s="173">
        <v>0.72916666666666663</v>
      </c>
      <c r="AV1440" s="171">
        <v>2</v>
      </c>
      <c r="AW1440" s="171" t="s">
        <v>66</v>
      </c>
      <c r="AX1440" s="171"/>
      <c r="AY1440" s="52"/>
      <c r="AZ1440" s="52"/>
      <c r="BA1440" s="52"/>
    </row>
    <row r="1441" spans="1:53" x14ac:dyDescent="0.25">
      <c r="A1441" s="157">
        <v>302</v>
      </c>
      <c r="B1441" s="155">
        <v>44912.399305555555</v>
      </c>
      <c r="C1441" s="150">
        <v>0.40277777777777773</v>
      </c>
      <c r="D1441" s="150">
        <v>0.40972222222222227</v>
      </c>
      <c r="E1441" s="150">
        <v>0.43055555555555558</v>
      </c>
      <c r="F1441" s="151" t="s">
        <v>171</v>
      </c>
      <c r="G1441" s="151" t="s">
        <v>173</v>
      </c>
      <c r="H1441" s="146" t="s">
        <v>195</v>
      </c>
      <c r="I1441" s="146" t="s">
        <v>195</v>
      </c>
      <c r="J1441" s="149" t="s">
        <v>37</v>
      </c>
      <c r="K1441" s="149" t="s">
        <v>180</v>
      </c>
      <c r="L1441" s="149" t="s">
        <v>209</v>
      </c>
      <c r="M1441" s="151" t="s">
        <v>3791</v>
      </c>
      <c r="N1441" s="151" t="s">
        <v>42</v>
      </c>
      <c r="O1441" s="151" t="s">
        <v>3792</v>
      </c>
      <c r="P1441" s="151">
        <v>2101098129</v>
      </c>
      <c r="Q1441" s="303">
        <f t="shared" si="126"/>
        <v>0</v>
      </c>
      <c r="R1441" s="303">
        <f t="shared" si="127"/>
        <v>0</v>
      </c>
      <c r="S1441" s="151">
        <v>0</v>
      </c>
      <c r="T1441" s="151">
        <v>0</v>
      </c>
      <c r="U1441" s="151">
        <v>0</v>
      </c>
      <c r="V1441" s="151">
        <v>0</v>
      </c>
      <c r="W1441" s="151">
        <v>0</v>
      </c>
      <c r="X1441" s="37">
        <v>114</v>
      </c>
      <c r="Y1441" s="37">
        <v>80</v>
      </c>
      <c r="Z1441" s="37">
        <v>110</v>
      </c>
      <c r="AA1441" s="37">
        <v>1</v>
      </c>
      <c r="AB1441" s="300">
        <f t="shared" si="128"/>
        <v>167.2</v>
      </c>
      <c r="AC1441" s="300">
        <f t="shared" si="129"/>
        <v>1.0072289156626506</v>
      </c>
      <c r="AD1441" s="37">
        <v>0</v>
      </c>
      <c r="AE1441" s="151">
        <v>0</v>
      </c>
      <c r="AF1441" s="151" t="s">
        <v>317</v>
      </c>
      <c r="AG1441" s="151" t="s">
        <v>317</v>
      </c>
      <c r="AH1441" s="151" t="s">
        <v>3793</v>
      </c>
      <c r="AI1441" s="309"/>
      <c r="AJ1441" s="309"/>
      <c r="AK1441" s="151" t="s">
        <v>41</v>
      </c>
      <c r="AL1441" s="151" t="s">
        <v>54</v>
      </c>
      <c r="AM1441" s="299">
        <f t="shared" ca="1" si="125"/>
        <v>0.32986111110949423</v>
      </c>
      <c r="AN1441" s="51"/>
      <c r="AO1441" s="171" t="s">
        <v>128</v>
      </c>
      <c r="AP1441" s="172" t="s">
        <v>3791</v>
      </c>
      <c r="AQ1441" s="171" t="s">
        <v>3859</v>
      </c>
      <c r="AR1441" s="174">
        <v>44912.729166666664</v>
      </c>
      <c r="AS1441" s="171" t="s">
        <v>3860</v>
      </c>
      <c r="AT1441" s="171" t="s">
        <v>225</v>
      </c>
      <c r="AU1441" s="173">
        <v>0.72916666666666663</v>
      </c>
      <c r="AV1441" s="171">
        <v>2</v>
      </c>
      <c r="AW1441" s="171" t="s">
        <v>66</v>
      </c>
      <c r="AX1441" s="171"/>
      <c r="AY1441" s="52"/>
      <c r="AZ1441" s="52"/>
      <c r="BA1441" s="52"/>
    </row>
    <row r="1442" spans="1:53" x14ac:dyDescent="0.25">
      <c r="A1442" s="157">
        <v>302</v>
      </c>
      <c r="B1442" s="155">
        <v>44912.399305555555</v>
      </c>
      <c r="C1442" s="150">
        <v>0.40277777777777773</v>
      </c>
      <c r="D1442" s="150">
        <v>0.40972222222222227</v>
      </c>
      <c r="E1442" s="150">
        <v>0.43055555555555558</v>
      </c>
      <c r="F1442" s="151" t="s">
        <v>171</v>
      </c>
      <c r="G1442" s="151" t="s">
        <v>173</v>
      </c>
      <c r="H1442" s="146" t="s">
        <v>195</v>
      </c>
      <c r="I1442" s="146" t="s">
        <v>195</v>
      </c>
      <c r="J1442" s="149" t="s">
        <v>37</v>
      </c>
      <c r="K1442" s="149" t="s">
        <v>180</v>
      </c>
      <c r="L1442" s="149" t="s">
        <v>209</v>
      </c>
      <c r="M1442" s="151" t="s">
        <v>3791</v>
      </c>
      <c r="N1442" s="151" t="s">
        <v>42</v>
      </c>
      <c r="O1442" s="151" t="s">
        <v>3792</v>
      </c>
      <c r="P1442" s="151">
        <v>2101098129</v>
      </c>
      <c r="Q1442" s="303">
        <f t="shared" si="126"/>
        <v>0</v>
      </c>
      <c r="R1442" s="303">
        <f t="shared" si="127"/>
        <v>0</v>
      </c>
      <c r="S1442" s="151">
        <v>0</v>
      </c>
      <c r="T1442" s="151">
        <v>0</v>
      </c>
      <c r="U1442" s="151">
        <v>0</v>
      </c>
      <c r="V1442" s="151">
        <v>0</v>
      </c>
      <c r="W1442" s="151">
        <v>0</v>
      </c>
      <c r="X1442" s="37">
        <v>114</v>
      </c>
      <c r="Y1442" s="37">
        <v>80</v>
      </c>
      <c r="Z1442" s="37">
        <v>72</v>
      </c>
      <c r="AA1442" s="37">
        <v>1</v>
      </c>
      <c r="AB1442" s="300">
        <f t="shared" si="128"/>
        <v>109.44</v>
      </c>
      <c r="AC1442" s="300">
        <f t="shared" si="129"/>
        <v>0.65927710843373488</v>
      </c>
      <c r="AD1442" s="37">
        <v>0</v>
      </c>
      <c r="AE1442" s="151">
        <v>0</v>
      </c>
      <c r="AF1442" s="151" t="s">
        <v>317</v>
      </c>
      <c r="AG1442" s="151" t="s">
        <v>317</v>
      </c>
      <c r="AH1442" s="151" t="s">
        <v>3793</v>
      </c>
      <c r="AI1442" s="309"/>
      <c r="AJ1442" s="309"/>
      <c r="AK1442" s="151" t="s">
        <v>41</v>
      </c>
      <c r="AL1442" s="151" t="s">
        <v>54</v>
      </c>
      <c r="AM1442" s="299">
        <f t="shared" ca="1" si="125"/>
        <v>0.32986111110949423</v>
      </c>
      <c r="AN1442" s="51"/>
      <c r="AO1442" s="171" t="s">
        <v>128</v>
      </c>
      <c r="AP1442" s="172" t="s">
        <v>3791</v>
      </c>
      <c r="AQ1442" s="171" t="s">
        <v>3859</v>
      </c>
      <c r="AR1442" s="174">
        <v>44912.729166666664</v>
      </c>
      <c r="AS1442" s="171" t="s">
        <v>3860</v>
      </c>
      <c r="AT1442" s="171" t="s">
        <v>225</v>
      </c>
      <c r="AU1442" s="173">
        <v>0.72916666666666663</v>
      </c>
      <c r="AV1442" s="171">
        <v>2</v>
      </c>
      <c r="AW1442" s="171" t="s">
        <v>66</v>
      </c>
      <c r="AX1442" s="171"/>
      <c r="AY1442" s="52"/>
      <c r="AZ1442" s="52"/>
      <c r="BA1442" s="52"/>
    </row>
    <row r="1443" spans="1:53" x14ac:dyDescent="0.25">
      <c r="A1443" s="48">
        <v>303</v>
      </c>
      <c r="B1443" s="155">
        <v>44912.399305555555</v>
      </c>
      <c r="C1443" s="150">
        <v>0.40277777777777773</v>
      </c>
      <c r="D1443" s="150">
        <v>0.40972222222222227</v>
      </c>
      <c r="E1443" s="150">
        <v>0.43055555555555558</v>
      </c>
      <c r="F1443" s="151" t="s">
        <v>171</v>
      </c>
      <c r="G1443" s="151" t="s">
        <v>173</v>
      </c>
      <c r="H1443" s="146" t="s">
        <v>195</v>
      </c>
      <c r="I1443" s="146" t="s">
        <v>195</v>
      </c>
      <c r="J1443" s="149" t="s">
        <v>37</v>
      </c>
      <c r="K1443" s="149" t="s">
        <v>180</v>
      </c>
      <c r="L1443" s="149" t="s">
        <v>209</v>
      </c>
      <c r="M1443" s="151" t="s">
        <v>3791</v>
      </c>
      <c r="N1443" s="151" t="s">
        <v>42</v>
      </c>
      <c r="O1443" s="151" t="s">
        <v>3840</v>
      </c>
      <c r="P1443" s="37">
        <v>2101098130</v>
      </c>
      <c r="Q1443" s="303">
        <f t="shared" si="126"/>
        <v>2</v>
      </c>
      <c r="R1443" s="303">
        <f t="shared" si="127"/>
        <v>551</v>
      </c>
      <c r="S1443" s="37">
        <v>0</v>
      </c>
      <c r="T1443" s="37">
        <v>0</v>
      </c>
      <c r="U1443" s="37">
        <v>2</v>
      </c>
      <c r="V1443" s="37">
        <f>276+275</f>
        <v>551</v>
      </c>
      <c r="W1443" s="37">
        <v>590</v>
      </c>
      <c r="X1443" s="37">
        <v>114</v>
      </c>
      <c r="Y1443" s="37">
        <v>80</v>
      </c>
      <c r="Z1443" s="37">
        <v>130</v>
      </c>
      <c r="AA1443" s="37">
        <v>2</v>
      </c>
      <c r="AB1443" s="300">
        <f t="shared" si="128"/>
        <v>395.2</v>
      </c>
      <c r="AC1443" s="300">
        <f t="shared" si="129"/>
        <v>2.3807228915662648</v>
      </c>
      <c r="AD1443" s="151">
        <v>26318.07</v>
      </c>
      <c r="AE1443" s="151" t="s">
        <v>109</v>
      </c>
      <c r="AF1443" s="151" t="s">
        <v>317</v>
      </c>
      <c r="AG1443" s="151" t="s">
        <v>317</v>
      </c>
      <c r="AH1443" s="37" t="s">
        <v>3794</v>
      </c>
      <c r="AI1443" s="309"/>
      <c r="AJ1443" s="309"/>
      <c r="AK1443" s="151" t="s">
        <v>41</v>
      </c>
      <c r="AL1443" s="151" t="s">
        <v>54</v>
      </c>
      <c r="AM1443" s="299">
        <f t="shared" ca="1" si="125"/>
        <v>0.32986111110949423</v>
      </c>
      <c r="AN1443" s="51"/>
      <c r="AO1443" s="171" t="s">
        <v>128</v>
      </c>
      <c r="AP1443" s="172" t="s">
        <v>3791</v>
      </c>
      <c r="AQ1443" s="171" t="s">
        <v>3859</v>
      </c>
      <c r="AR1443" s="174">
        <v>44912.729166666664</v>
      </c>
      <c r="AS1443" s="171" t="s">
        <v>3860</v>
      </c>
      <c r="AT1443" s="171" t="s">
        <v>225</v>
      </c>
      <c r="AU1443" s="173">
        <v>0.72916666666666663</v>
      </c>
      <c r="AV1443" s="171">
        <v>2</v>
      </c>
      <c r="AW1443" s="171" t="s">
        <v>66</v>
      </c>
      <c r="AX1443" s="171"/>
      <c r="AY1443" s="52"/>
      <c r="AZ1443" s="52"/>
      <c r="BA1443" s="52"/>
    </row>
    <row r="1444" spans="1:53" x14ac:dyDescent="0.25">
      <c r="A1444" s="48">
        <v>304</v>
      </c>
      <c r="B1444" s="155">
        <v>44912.399305555555</v>
      </c>
      <c r="C1444" s="150">
        <v>0.40277777777777773</v>
      </c>
      <c r="D1444" s="150">
        <v>0.40972222222222227</v>
      </c>
      <c r="E1444" s="150">
        <v>0.43402777777777773</v>
      </c>
      <c r="F1444" s="151" t="s">
        <v>171</v>
      </c>
      <c r="G1444" s="37" t="s">
        <v>293</v>
      </c>
      <c r="H1444" s="146" t="s">
        <v>195</v>
      </c>
      <c r="I1444" s="146" t="s">
        <v>195</v>
      </c>
      <c r="J1444" s="149" t="s">
        <v>37</v>
      </c>
      <c r="K1444" s="149" t="s">
        <v>180</v>
      </c>
      <c r="L1444" s="149" t="s">
        <v>209</v>
      </c>
      <c r="M1444" s="37" t="s">
        <v>3795</v>
      </c>
      <c r="N1444" s="151" t="s">
        <v>42</v>
      </c>
      <c r="O1444" s="151" t="s">
        <v>3796</v>
      </c>
      <c r="P1444" s="37">
        <v>2101098127</v>
      </c>
      <c r="Q1444" s="303">
        <f t="shared" si="126"/>
        <v>6</v>
      </c>
      <c r="R1444" s="303">
        <f t="shared" si="127"/>
        <v>1113</v>
      </c>
      <c r="S1444" s="37">
        <v>0</v>
      </c>
      <c r="T1444" s="37">
        <v>0</v>
      </c>
      <c r="U1444" s="37">
        <v>6</v>
      </c>
      <c r="V1444" s="37">
        <f>187+210+188+215+190+123</f>
        <v>1113</v>
      </c>
      <c r="W1444" s="37">
        <v>1250</v>
      </c>
      <c r="X1444" s="37">
        <v>114</v>
      </c>
      <c r="Y1444" s="37">
        <v>80</v>
      </c>
      <c r="Z1444" s="37">
        <v>110</v>
      </c>
      <c r="AA1444" s="37">
        <v>5</v>
      </c>
      <c r="AB1444" s="300">
        <f t="shared" si="128"/>
        <v>836</v>
      </c>
      <c r="AC1444" s="300">
        <f t="shared" si="129"/>
        <v>5.0361445783132526</v>
      </c>
      <c r="AD1444" s="37">
        <v>53374.2</v>
      </c>
      <c r="AE1444" s="151" t="s">
        <v>109</v>
      </c>
      <c r="AF1444" s="151" t="s">
        <v>317</v>
      </c>
      <c r="AG1444" s="151" t="s">
        <v>317</v>
      </c>
      <c r="AH1444" s="37" t="s">
        <v>3797</v>
      </c>
      <c r="AI1444" s="309"/>
      <c r="AJ1444" s="309"/>
      <c r="AK1444" s="151" t="s">
        <v>41</v>
      </c>
      <c r="AL1444" s="37" t="s">
        <v>58</v>
      </c>
      <c r="AM1444" s="299">
        <f t="shared" ca="1" si="125"/>
        <v>0.32986111110949423</v>
      </c>
      <c r="AN1444" s="51"/>
      <c r="AO1444" s="171" t="s">
        <v>132</v>
      </c>
      <c r="AP1444" s="172" t="s">
        <v>3795</v>
      </c>
      <c r="AQ1444" s="171" t="s">
        <v>3859</v>
      </c>
      <c r="AR1444" s="174">
        <v>44912.729166666664</v>
      </c>
      <c r="AS1444" s="171" t="s">
        <v>136</v>
      </c>
      <c r="AT1444" s="171" t="s">
        <v>225</v>
      </c>
      <c r="AU1444" s="173">
        <v>0.72916666666666663</v>
      </c>
      <c r="AV1444" s="171">
        <v>2</v>
      </c>
      <c r="AW1444" s="171" t="s">
        <v>66</v>
      </c>
      <c r="AX1444" s="171"/>
      <c r="AY1444" s="52"/>
      <c r="AZ1444" s="52"/>
      <c r="BA1444" s="52"/>
    </row>
    <row r="1445" spans="1:53" x14ac:dyDescent="0.25">
      <c r="A1445" s="157">
        <v>304</v>
      </c>
      <c r="B1445" s="155">
        <v>44912.399305555555</v>
      </c>
      <c r="C1445" s="150">
        <v>0.40277777777777773</v>
      </c>
      <c r="D1445" s="150">
        <v>0.40972222222222227</v>
      </c>
      <c r="E1445" s="150">
        <v>0.43402777777777773</v>
      </c>
      <c r="F1445" s="151" t="s">
        <v>171</v>
      </c>
      <c r="G1445" s="151" t="s">
        <v>293</v>
      </c>
      <c r="H1445" s="146" t="s">
        <v>195</v>
      </c>
      <c r="I1445" s="146" t="s">
        <v>195</v>
      </c>
      <c r="J1445" s="149" t="s">
        <v>37</v>
      </c>
      <c r="K1445" s="149" t="s">
        <v>180</v>
      </c>
      <c r="L1445" s="149" t="s">
        <v>209</v>
      </c>
      <c r="M1445" s="151" t="s">
        <v>3795</v>
      </c>
      <c r="N1445" s="151" t="s">
        <v>42</v>
      </c>
      <c r="O1445" s="151" t="s">
        <v>3796</v>
      </c>
      <c r="P1445" s="151">
        <v>2101098127</v>
      </c>
      <c r="Q1445" s="303">
        <f t="shared" si="126"/>
        <v>0</v>
      </c>
      <c r="R1445" s="303">
        <f t="shared" si="127"/>
        <v>0</v>
      </c>
      <c r="S1445" s="151">
        <v>0</v>
      </c>
      <c r="T1445" s="151">
        <v>0</v>
      </c>
      <c r="U1445" s="151">
        <v>0</v>
      </c>
      <c r="V1445" s="151">
        <v>0</v>
      </c>
      <c r="W1445" s="151">
        <v>0</v>
      </c>
      <c r="X1445" s="37">
        <v>114</v>
      </c>
      <c r="Y1445" s="37">
        <v>80</v>
      </c>
      <c r="Z1445" s="37">
        <v>100</v>
      </c>
      <c r="AA1445" s="37">
        <v>1</v>
      </c>
      <c r="AB1445" s="300">
        <f t="shared" si="128"/>
        <v>152</v>
      </c>
      <c r="AC1445" s="300">
        <f t="shared" si="129"/>
        <v>0.91566265060240959</v>
      </c>
      <c r="AD1445" s="37">
        <v>0</v>
      </c>
      <c r="AE1445" s="151">
        <v>0</v>
      </c>
      <c r="AF1445" s="151" t="s">
        <v>317</v>
      </c>
      <c r="AG1445" s="151" t="s">
        <v>317</v>
      </c>
      <c r="AH1445" s="151" t="s">
        <v>3797</v>
      </c>
      <c r="AI1445" s="309"/>
      <c r="AJ1445" s="309"/>
      <c r="AK1445" s="151" t="s">
        <v>41</v>
      </c>
      <c r="AL1445" s="151" t="s">
        <v>58</v>
      </c>
      <c r="AM1445" s="299">
        <f t="shared" ca="1" si="125"/>
        <v>0.32986111110949423</v>
      </c>
      <c r="AN1445" s="51"/>
      <c r="AO1445" s="171" t="s">
        <v>132</v>
      </c>
      <c r="AP1445" s="172" t="s">
        <v>3795</v>
      </c>
      <c r="AQ1445" s="171" t="s">
        <v>3859</v>
      </c>
      <c r="AR1445" s="174">
        <v>44912.729166666664</v>
      </c>
      <c r="AS1445" s="171" t="s">
        <v>136</v>
      </c>
      <c r="AT1445" s="171" t="s">
        <v>225</v>
      </c>
      <c r="AU1445" s="173">
        <v>0.72916666666666663</v>
      </c>
      <c r="AV1445" s="171">
        <v>2</v>
      </c>
      <c r="AW1445" s="171" t="s">
        <v>66</v>
      </c>
      <c r="AX1445" s="171"/>
      <c r="AY1445" s="52"/>
      <c r="AZ1445" s="52"/>
      <c r="BA1445" s="52"/>
    </row>
    <row r="1446" spans="1:53" x14ac:dyDescent="0.25">
      <c r="A1446" s="48">
        <v>305</v>
      </c>
      <c r="B1446" s="155">
        <v>44912.399305555555</v>
      </c>
      <c r="C1446" s="150">
        <v>0.40277777777777773</v>
      </c>
      <c r="D1446" s="150">
        <v>0.40972222222222227</v>
      </c>
      <c r="E1446" s="150">
        <v>0.43402777777777773</v>
      </c>
      <c r="F1446" s="151" t="s">
        <v>171</v>
      </c>
      <c r="G1446" s="151" t="s">
        <v>293</v>
      </c>
      <c r="H1446" s="146" t="s">
        <v>195</v>
      </c>
      <c r="I1446" s="146" t="s">
        <v>195</v>
      </c>
      <c r="J1446" s="149" t="s">
        <v>37</v>
      </c>
      <c r="K1446" s="149" t="s">
        <v>180</v>
      </c>
      <c r="L1446" s="149" t="s">
        <v>209</v>
      </c>
      <c r="M1446" s="151" t="s">
        <v>3795</v>
      </c>
      <c r="N1446" s="151" t="s">
        <v>42</v>
      </c>
      <c r="O1446" s="151" t="s">
        <v>3798</v>
      </c>
      <c r="P1446" s="37">
        <v>2101098126</v>
      </c>
      <c r="Q1446" s="303">
        <f t="shared" si="126"/>
        <v>1</v>
      </c>
      <c r="R1446" s="303">
        <f t="shared" si="127"/>
        <v>190</v>
      </c>
      <c r="S1446" s="37">
        <v>0</v>
      </c>
      <c r="T1446" s="37">
        <v>0</v>
      </c>
      <c r="U1446" s="37">
        <v>1</v>
      </c>
      <c r="V1446" s="37">
        <v>190</v>
      </c>
      <c r="W1446" s="37">
        <v>215</v>
      </c>
      <c r="X1446" s="37">
        <v>114</v>
      </c>
      <c r="Y1446" s="37">
        <v>80</v>
      </c>
      <c r="Z1446" s="37">
        <v>110</v>
      </c>
      <c r="AA1446" s="37">
        <v>1</v>
      </c>
      <c r="AB1446" s="300">
        <f t="shared" si="128"/>
        <v>167.2</v>
      </c>
      <c r="AC1446" s="300">
        <f t="shared" si="129"/>
        <v>1.0072289156626506</v>
      </c>
      <c r="AD1446" s="37">
        <v>8797.92</v>
      </c>
      <c r="AE1446" s="151" t="s">
        <v>109</v>
      </c>
      <c r="AF1446" s="151" t="s">
        <v>317</v>
      </c>
      <c r="AG1446" s="151" t="s">
        <v>317</v>
      </c>
      <c r="AH1446" s="37" t="s">
        <v>3799</v>
      </c>
      <c r="AI1446" s="309"/>
      <c r="AJ1446" s="309"/>
      <c r="AK1446" s="151" t="s">
        <v>41</v>
      </c>
      <c r="AL1446" s="151" t="s">
        <v>58</v>
      </c>
      <c r="AM1446" s="299">
        <f t="shared" ca="1" si="125"/>
        <v>0.32986111110949423</v>
      </c>
      <c r="AN1446" s="51"/>
      <c r="AO1446" s="171" t="s">
        <v>132</v>
      </c>
      <c r="AP1446" s="172" t="s">
        <v>3795</v>
      </c>
      <c r="AQ1446" s="171" t="s">
        <v>3859</v>
      </c>
      <c r="AR1446" s="174">
        <v>44912.729166666664</v>
      </c>
      <c r="AS1446" s="171" t="s">
        <v>136</v>
      </c>
      <c r="AT1446" s="171" t="s">
        <v>225</v>
      </c>
      <c r="AU1446" s="173">
        <v>0.72916666666666663</v>
      </c>
      <c r="AV1446" s="171">
        <v>2</v>
      </c>
      <c r="AW1446" s="171" t="s">
        <v>66</v>
      </c>
      <c r="AX1446" s="171"/>
      <c r="AY1446" s="52"/>
      <c r="AZ1446" s="52"/>
      <c r="BA1446" s="52"/>
    </row>
    <row r="1447" spans="1:53" x14ac:dyDescent="0.25">
      <c r="A1447" s="48">
        <v>306</v>
      </c>
      <c r="B1447" s="46">
        <v>44912.444444444445</v>
      </c>
      <c r="C1447" s="36">
        <v>0.44791666666666669</v>
      </c>
      <c r="D1447" s="36">
        <v>0.4548611111111111</v>
      </c>
      <c r="E1447" s="36">
        <v>0.45833333333333331</v>
      </c>
      <c r="F1447" s="151" t="s">
        <v>171</v>
      </c>
      <c r="G1447" s="37" t="s">
        <v>126</v>
      </c>
      <c r="H1447" s="26" t="s">
        <v>234</v>
      </c>
      <c r="I1447" s="146" t="s">
        <v>234</v>
      </c>
      <c r="J1447" s="149" t="s">
        <v>37</v>
      </c>
      <c r="K1447" s="146" t="s">
        <v>233</v>
      </c>
      <c r="L1447" s="148" t="s">
        <v>206</v>
      </c>
      <c r="M1447" s="37" t="s">
        <v>3800</v>
      </c>
      <c r="N1447" s="37" t="s">
        <v>42</v>
      </c>
      <c r="O1447" s="37" t="s">
        <v>3801</v>
      </c>
      <c r="P1447" s="37" t="s">
        <v>3802</v>
      </c>
      <c r="Q1447" s="303">
        <f t="shared" si="126"/>
        <v>2</v>
      </c>
      <c r="R1447" s="303">
        <f t="shared" si="127"/>
        <v>582</v>
      </c>
      <c r="S1447" s="37">
        <v>0</v>
      </c>
      <c r="T1447" s="37">
        <v>0</v>
      </c>
      <c r="U1447" s="37">
        <v>2</v>
      </c>
      <c r="V1447" s="37">
        <f>328+254</f>
        <v>582</v>
      </c>
      <c r="W1447" s="37">
        <v>596</v>
      </c>
      <c r="X1447" s="37">
        <v>20</v>
      </c>
      <c r="Y1447" s="37">
        <v>94</v>
      </c>
      <c r="Z1447" s="37">
        <v>61</v>
      </c>
      <c r="AA1447" s="37">
        <v>2</v>
      </c>
      <c r="AB1447" s="300">
        <f t="shared" si="128"/>
        <v>38.226666666666667</v>
      </c>
      <c r="AC1447" s="300">
        <f t="shared" si="129"/>
        <v>0.23028112449799196</v>
      </c>
      <c r="AD1447" s="37" t="s">
        <v>48</v>
      </c>
      <c r="AE1447" s="151" t="s">
        <v>48</v>
      </c>
      <c r="AF1447" s="151" t="s">
        <v>317</v>
      </c>
      <c r="AG1447" s="151" t="s">
        <v>317</v>
      </c>
      <c r="AH1447" s="37" t="s">
        <v>3803</v>
      </c>
      <c r="AI1447" s="309"/>
      <c r="AJ1447" s="309"/>
      <c r="AK1447" s="151" t="s">
        <v>41</v>
      </c>
      <c r="AL1447" s="37" t="s">
        <v>49</v>
      </c>
      <c r="AM1447" s="299">
        <f t="shared" ca="1" si="125"/>
        <v>3.0972222222189885</v>
      </c>
      <c r="AN1447" s="51"/>
      <c r="AO1447" s="189" t="s">
        <v>120</v>
      </c>
      <c r="AP1447" s="190" t="s">
        <v>3800</v>
      </c>
      <c r="AQ1447" s="191" t="s">
        <v>3985</v>
      </c>
      <c r="AR1447" s="192">
        <v>44915.541666666664</v>
      </c>
      <c r="AS1447" s="189" t="s">
        <v>136</v>
      </c>
      <c r="AT1447" s="189" t="s">
        <v>225</v>
      </c>
      <c r="AU1447" s="191">
        <v>0.54166666666666663</v>
      </c>
      <c r="AV1447" s="189">
        <v>1</v>
      </c>
      <c r="AW1447" s="189" t="s">
        <v>66</v>
      </c>
      <c r="AX1447" s="52"/>
      <c r="AY1447" s="52"/>
      <c r="AZ1447" s="52"/>
      <c r="BA1447" s="52"/>
    </row>
    <row r="1448" spans="1:53" x14ac:dyDescent="0.25">
      <c r="A1448" s="48">
        <v>307</v>
      </c>
      <c r="B1448" s="155">
        <v>44912.444444444445</v>
      </c>
      <c r="C1448" s="150">
        <v>0.44791666666666669</v>
      </c>
      <c r="D1448" s="150">
        <v>0.4548611111111111</v>
      </c>
      <c r="E1448" s="150">
        <v>0.45833333333333331</v>
      </c>
      <c r="F1448" s="151" t="s">
        <v>171</v>
      </c>
      <c r="G1448" s="151" t="s">
        <v>126</v>
      </c>
      <c r="H1448" s="146" t="s">
        <v>234</v>
      </c>
      <c r="I1448" s="146" t="s">
        <v>234</v>
      </c>
      <c r="J1448" s="149" t="s">
        <v>37</v>
      </c>
      <c r="K1448" s="146" t="s">
        <v>233</v>
      </c>
      <c r="L1448" s="148" t="s">
        <v>206</v>
      </c>
      <c r="M1448" s="37" t="s">
        <v>3804</v>
      </c>
      <c r="N1448" s="151" t="s">
        <v>42</v>
      </c>
      <c r="O1448" s="37" t="s">
        <v>3805</v>
      </c>
      <c r="P1448" s="37" t="s">
        <v>3806</v>
      </c>
      <c r="Q1448" s="303">
        <f t="shared" si="126"/>
        <v>1</v>
      </c>
      <c r="R1448" s="303">
        <f t="shared" si="127"/>
        <v>234</v>
      </c>
      <c r="S1448" s="37">
        <v>0</v>
      </c>
      <c r="T1448" s="37">
        <v>0</v>
      </c>
      <c r="U1448" s="37">
        <v>1</v>
      </c>
      <c r="V1448" s="37">
        <v>234</v>
      </c>
      <c r="W1448" s="37">
        <v>205</v>
      </c>
      <c r="X1448" s="37">
        <v>123</v>
      </c>
      <c r="Y1448" s="37">
        <v>69</v>
      </c>
      <c r="Z1448" s="37">
        <v>61</v>
      </c>
      <c r="AA1448" s="37">
        <v>1</v>
      </c>
      <c r="AB1448" s="300">
        <f t="shared" si="128"/>
        <v>86.284499999999994</v>
      </c>
      <c r="AC1448" s="300">
        <f t="shared" si="129"/>
        <v>0.51978614457831318</v>
      </c>
      <c r="AD1448" s="151" t="s">
        <v>48</v>
      </c>
      <c r="AE1448" s="151" t="s">
        <v>48</v>
      </c>
      <c r="AF1448" s="151" t="s">
        <v>317</v>
      </c>
      <c r="AG1448" s="151" t="s">
        <v>317</v>
      </c>
      <c r="AH1448" s="37" t="s">
        <v>3807</v>
      </c>
      <c r="AI1448" s="309"/>
      <c r="AJ1448" s="309"/>
      <c r="AK1448" s="151" t="s">
        <v>41</v>
      </c>
      <c r="AL1448" s="151" t="s">
        <v>49</v>
      </c>
      <c r="AM1448" s="299">
        <f t="shared" ref="AM1448:AM1511" ca="1" si="130">IF(AP1448="",NOW()-B1448,AR1448-B1448)</f>
        <v>3.0972222222189885</v>
      </c>
      <c r="AN1448" s="51"/>
      <c r="AO1448" s="189" t="s">
        <v>120</v>
      </c>
      <c r="AP1448" s="190" t="s">
        <v>3804</v>
      </c>
      <c r="AQ1448" s="191" t="s">
        <v>3985</v>
      </c>
      <c r="AR1448" s="192">
        <v>44915.541666666664</v>
      </c>
      <c r="AS1448" s="189" t="s">
        <v>136</v>
      </c>
      <c r="AT1448" s="189" t="s">
        <v>225</v>
      </c>
      <c r="AU1448" s="191">
        <v>0.54166666666666663</v>
      </c>
      <c r="AV1448" s="189">
        <v>1</v>
      </c>
      <c r="AW1448" s="189" t="s">
        <v>66</v>
      </c>
      <c r="AX1448" s="52"/>
      <c r="AY1448" s="52"/>
      <c r="AZ1448" s="52"/>
      <c r="BA1448" s="52"/>
    </row>
    <row r="1449" spans="1:53" x14ac:dyDescent="0.25">
      <c r="A1449" s="48">
        <v>308</v>
      </c>
      <c r="B1449" s="46">
        <v>44912.465277777781</v>
      </c>
      <c r="C1449" s="36">
        <v>0.46875</v>
      </c>
      <c r="D1449" s="36">
        <v>0.47569444444444442</v>
      </c>
      <c r="E1449" s="36">
        <v>0.49305555555555558</v>
      </c>
      <c r="F1449" s="37" t="s">
        <v>170</v>
      </c>
      <c r="G1449" s="37" t="s">
        <v>3808</v>
      </c>
      <c r="H1449" s="26" t="s">
        <v>46</v>
      </c>
      <c r="I1449" s="26" t="s">
        <v>92</v>
      </c>
      <c r="J1449" s="26" t="s">
        <v>41</v>
      </c>
      <c r="K1449" s="149" t="s">
        <v>63</v>
      </c>
      <c r="L1449" s="149" t="s">
        <v>214</v>
      </c>
      <c r="M1449" s="37" t="s">
        <v>3809</v>
      </c>
      <c r="N1449" s="151" t="s">
        <v>42</v>
      </c>
      <c r="O1449" s="37" t="s">
        <v>3810</v>
      </c>
      <c r="P1449" s="37" t="s">
        <v>3811</v>
      </c>
      <c r="Q1449" s="303">
        <f t="shared" ref="Q1449:Q1512" si="131">S1449+U1449</f>
        <v>3</v>
      </c>
      <c r="R1449" s="303">
        <f t="shared" ref="R1449:R1512" si="132">T1449+V1449</f>
        <v>445</v>
      </c>
      <c r="S1449" s="37">
        <v>0</v>
      </c>
      <c r="T1449" s="37">
        <v>0</v>
      </c>
      <c r="U1449" s="37">
        <v>3</v>
      </c>
      <c r="V1449" s="37">
        <f>242+137+66</f>
        <v>445</v>
      </c>
      <c r="W1449" s="37">
        <v>468</v>
      </c>
      <c r="X1449" s="37">
        <v>70</v>
      </c>
      <c r="Y1449" s="37">
        <v>53</v>
      </c>
      <c r="Z1449" s="37">
        <v>61</v>
      </c>
      <c r="AA1449" s="37">
        <v>2</v>
      </c>
      <c r="AB1449" s="300">
        <f t="shared" ref="AB1449:AB1512" si="133">X1449*Y1449*Z1449*AA1449/6000</f>
        <v>75.436666666666667</v>
      </c>
      <c r="AC1449" s="300">
        <f t="shared" ref="AC1449:AC1512" si="134">AB1449/166</f>
        <v>0.45443775100401607</v>
      </c>
      <c r="AD1449" s="151" t="s">
        <v>48</v>
      </c>
      <c r="AE1449" s="151" t="s">
        <v>48</v>
      </c>
      <c r="AF1449" s="151" t="s">
        <v>317</v>
      </c>
      <c r="AG1449" s="151" t="s">
        <v>317</v>
      </c>
      <c r="AH1449" s="37" t="s">
        <v>3812</v>
      </c>
      <c r="AI1449" s="309"/>
      <c r="AJ1449" s="309"/>
      <c r="AK1449" s="151" t="s">
        <v>41</v>
      </c>
      <c r="AL1449" s="37" t="s">
        <v>47</v>
      </c>
      <c r="AM1449" s="299">
        <f t="shared" ca="1" si="130"/>
        <v>3.0486111111094942</v>
      </c>
      <c r="AN1449" s="51"/>
      <c r="AO1449" s="189" t="s">
        <v>83</v>
      </c>
      <c r="AP1449" s="190" t="s">
        <v>3809</v>
      </c>
      <c r="AQ1449" s="191" t="s">
        <v>3980</v>
      </c>
      <c r="AR1449" s="192">
        <v>44915.513888888891</v>
      </c>
      <c r="AS1449" s="186" t="s">
        <v>483</v>
      </c>
      <c r="AT1449" s="189" t="s">
        <v>225</v>
      </c>
      <c r="AU1449" s="191">
        <v>0.51388888888888895</v>
      </c>
      <c r="AV1449" s="189">
        <v>1</v>
      </c>
      <c r="AW1449" s="189" t="s">
        <v>66</v>
      </c>
      <c r="AX1449" s="52"/>
      <c r="AY1449" s="52"/>
      <c r="AZ1449" s="52"/>
      <c r="BA1449" s="52"/>
    </row>
    <row r="1450" spans="1:53" x14ac:dyDescent="0.25">
      <c r="A1450" s="157">
        <v>308</v>
      </c>
      <c r="B1450" s="155">
        <v>44912.465277777781</v>
      </c>
      <c r="C1450" s="150">
        <v>0.46875</v>
      </c>
      <c r="D1450" s="150">
        <v>0.47569444444444442</v>
      </c>
      <c r="E1450" s="150">
        <v>0.49305555555555558</v>
      </c>
      <c r="F1450" s="151" t="s">
        <v>170</v>
      </c>
      <c r="G1450" s="151" t="s">
        <v>3808</v>
      </c>
      <c r="H1450" s="146" t="s">
        <v>46</v>
      </c>
      <c r="I1450" s="146" t="s">
        <v>92</v>
      </c>
      <c r="J1450" s="146" t="s">
        <v>41</v>
      </c>
      <c r="K1450" s="149" t="s">
        <v>63</v>
      </c>
      <c r="L1450" s="149" t="s">
        <v>214</v>
      </c>
      <c r="M1450" s="151" t="s">
        <v>3809</v>
      </c>
      <c r="N1450" s="151" t="s">
        <v>42</v>
      </c>
      <c r="O1450" s="151" t="s">
        <v>3810</v>
      </c>
      <c r="P1450" s="151" t="s">
        <v>3811</v>
      </c>
      <c r="Q1450" s="303">
        <f t="shared" si="131"/>
        <v>0</v>
      </c>
      <c r="R1450" s="303">
        <f t="shared" si="132"/>
        <v>0</v>
      </c>
      <c r="S1450" s="151">
        <v>0</v>
      </c>
      <c r="T1450" s="151">
        <v>0</v>
      </c>
      <c r="U1450" s="151">
        <v>0</v>
      </c>
      <c r="V1450" s="151">
        <v>0</v>
      </c>
      <c r="W1450" s="151">
        <v>0</v>
      </c>
      <c r="X1450" s="37">
        <v>70</v>
      </c>
      <c r="Y1450" s="37">
        <v>39</v>
      </c>
      <c r="Z1450" s="37">
        <v>47</v>
      </c>
      <c r="AA1450" s="37">
        <v>1</v>
      </c>
      <c r="AB1450" s="300">
        <f t="shared" si="133"/>
        <v>21.385000000000002</v>
      </c>
      <c r="AC1450" s="300">
        <f t="shared" si="134"/>
        <v>0.12882530120481928</v>
      </c>
      <c r="AD1450" s="37">
        <v>0</v>
      </c>
      <c r="AE1450" s="37">
        <v>0</v>
      </c>
      <c r="AF1450" s="151" t="s">
        <v>317</v>
      </c>
      <c r="AG1450" s="151" t="s">
        <v>317</v>
      </c>
      <c r="AH1450" s="151" t="s">
        <v>3812</v>
      </c>
      <c r="AI1450" s="309"/>
      <c r="AJ1450" s="309"/>
      <c r="AK1450" s="151" t="s">
        <v>41</v>
      </c>
      <c r="AL1450" s="151" t="s">
        <v>47</v>
      </c>
      <c r="AM1450" s="299">
        <f t="shared" ca="1" si="130"/>
        <v>3.0486111111094942</v>
      </c>
      <c r="AN1450" s="51"/>
      <c r="AO1450" s="189" t="s">
        <v>83</v>
      </c>
      <c r="AP1450" s="190" t="s">
        <v>3809</v>
      </c>
      <c r="AQ1450" s="191" t="s">
        <v>3980</v>
      </c>
      <c r="AR1450" s="192">
        <v>44915.513888888891</v>
      </c>
      <c r="AS1450" s="186" t="s">
        <v>483</v>
      </c>
      <c r="AT1450" s="189" t="s">
        <v>225</v>
      </c>
      <c r="AU1450" s="191">
        <v>0.51388888888888895</v>
      </c>
      <c r="AV1450" s="189">
        <v>1</v>
      </c>
      <c r="AW1450" s="189" t="s">
        <v>66</v>
      </c>
      <c r="AX1450" s="52"/>
      <c r="AY1450" s="52"/>
      <c r="AZ1450" s="52"/>
      <c r="BA1450" s="52"/>
    </row>
    <row r="1451" spans="1:53" x14ac:dyDescent="0.25">
      <c r="A1451" s="48">
        <v>309</v>
      </c>
      <c r="B1451" s="155">
        <v>44912.465277777781</v>
      </c>
      <c r="C1451" s="150">
        <v>0.46875</v>
      </c>
      <c r="D1451" s="150">
        <v>0.47569444444444442</v>
      </c>
      <c r="E1451" s="150">
        <v>0.49305555555555558</v>
      </c>
      <c r="F1451" s="151" t="s">
        <v>170</v>
      </c>
      <c r="G1451" s="151" t="s">
        <v>3808</v>
      </c>
      <c r="H1451" s="26" t="s">
        <v>156</v>
      </c>
      <c r="I1451" s="26" t="s">
        <v>162</v>
      </c>
      <c r="J1451" s="146" t="s">
        <v>37</v>
      </c>
      <c r="K1451" s="149" t="s">
        <v>63</v>
      </c>
      <c r="L1451" s="149" t="s">
        <v>212</v>
      </c>
      <c r="M1451" s="37" t="s">
        <v>3813</v>
      </c>
      <c r="N1451" s="37" t="s">
        <v>158</v>
      </c>
      <c r="O1451" s="37" t="s">
        <v>3814</v>
      </c>
      <c r="P1451" s="37" t="s">
        <v>420</v>
      </c>
      <c r="Q1451" s="303">
        <f t="shared" si="131"/>
        <v>6</v>
      </c>
      <c r="R1451" s="303">
        <f t="shared" si="132"/>
        <v>126</v>
      </c>
      <c r="S1451" s="37">
        <v>0</v>
      </c>
      <c r="T1451" s="37">
        <v>0</v>
      </c>
      <c r="U1451" s="37">
        <v>6</v>
      </c>
      <c r="V1451" s="37">
        <f>146-20</f>
        <v>126</v>
      </c>
      <c r="W1451" s="37">
        <v>137.6</v>
      </c>
      <c r="X1451" s="37">
        <v>31</v>
      </c>
      <c r="Y1451" s="37">
        <v>26</v>
      </c>
      <c r="Z1451" s="37">
        <v>31</v>
      </c>
      <c r="AA1451" s="37">
        <v>3</v>
      </c>
      <c r="AB1451" s="300">
        <f t="shared" si="133"/>
        <v>12.493</v>
      </c>
      <c r="AC1451" s="300">
        <f t="shared" si="134"/>
        <v>7.5259036144578309E-2</v>
      </c>
      <c r="AD1451" s="37">
        <v>4560.8500000000004</v>
      </c>
      <c r="AE1451" s="37" t="s">
        <v>109</v>
      </c>
      <c r="AF1451" s="151" t="s">
        <v>317</v>
      </c>
      <c r="AG1451" s="151" t="s">
        <v>317</v>
      </c>
      <c r="AH1451" s="37" t="s">
        <v>3815</v>
      </c>
      <c r="AI1451" s="309"/>
      <c r="AJ1451" s="309"/>
      <c r="AK1451" s="37" t="s">
        <v>37</v>
      </c>
      <c r="AL1451" s="151" t="s">
        <v>47</v>
      </c>
      <c r="AM1451" s="299">
        <f t="shared" ca="1" si="130"/>
        <v>4.0972222222189885</v>
      </c>
      <c r="AN1451" s="51"/>
      <c r="AO1451" s="189" t="s">
        <v>159</v>
      </c>
      <c r="AP1451" s="91" t="s">
        <v>4070</v>
      </c>
      <c r="AQ1451" s="189" t="s">
        <v>4069</v>
      </c>
      <c r="AR1451" s="192">
        <v>44916.5625</v>
      </c>
      <c r="AS1451" s="186" t="s">
        <v>483</v>
      </c>
      <c r="AT1451" s="189" t="s">
        <v>225</v>
      </c>
      <c r="AU1451" s="191">
        <v>0.5625</v>
      </c>
      <c r="AV1451" s="189">
        <v>1</v>
      </c>
      <c r="AW1451" s="189" t="s">
        <v>66</v>
      </c>
      <c r="AX1451" s="52"/>
      <c r="AY1451" s="52"/>
      <c r="AZ1451" s="52"/>
      <c r="BA1451" s="52"/>
    </row>
    <row r="1452" spans="1:53" x14ac:dyDescent="0.25">
      <c r="A1452" s="157">
        <v>309</v>
      </c>
      <c r="B1452" s="155">
        <v>44912.465277777781</v>
      </c>
      <c r="C1452" s="150">
        <v>0.46875</v>
      </c>
      <c r="D1452" s="150">
        <v>0.47569444444444442</v>
      </c>
      <c r="E1452" s="150">
        <v>0.49305555555555558</v>
      </c>
      <c r="F1452" s="151" t="s">
        <v>170</v>
      </c>
      <c r="G1452" s="151" t="s">
        <v>3808</v>
      </c>
      <c r="H1452" s="146" t="s">
        <v>156</v>
      </c>
      <c r="I1452" s="146" t="s">
        <v>162</v>
      </c>
      <c r="J1452" s="146" t="s">
        <v>37</v>
      </c>
      <c r="K1452" s="149" t="s">
        <v>63</v>
      </c>
      <c r="L1452" s="149" t="s">
        <v>212</v>
      </c>
      <c r="M1452" s="151" t="s">
        <v>3813</v>
      </c>
      <c r="N1452" s="151" t="s">
        <v>158</v>
      </c>
      <c r="O1452" s="151" t="s">
        <v>3814</v>
      </c>
      <c r="P1452" s="151" t="s">
        <v>420</v>
      </c>
      <c r="Q1452" s="303">
        <f t="shared" si="131"/>
        <v>0</v>
      </c>
      <c r="R1452" s="303">
        <f t="shared" si="132"/>
        <v>0</v>
      </c>
      <c r="S1452" s="151">
        <v>0</v>
      </c>
      <c r="T1452" s="151">
        <v>0</v>
      </c>
      <c r="U1452" s="151">
        <v>0</v>
      </c>
      <c r="V1452" s="151">
        <v>0</v>
      </c>
      <c r="W1452" s="151">
        <v>0</v>
      </c>
      <c r="X1452" s="37">
        <v>35</v>
      </c>
      <c r="Y1452" s="37">
        <v>29</v>
      </c>
      <c r="Z1452" s="37">
        <v>13</v>
      </c>
      <c r="AA1452" s="37">
        <v>2</v>
      </c>
      <c r="AB1452" s="300">
        <f t="shared" si="133"/>
        <v>4.3983333333333334</v>
      </c>
      <c r="AC1452" s="300">
        <f t="shared" si="134"/>
        <v>2.6495983935742973E-2</v>
      </c>
      <c r="AD1452" s="37">
        <v>0</v>
      </c>
      <c r="AE1452" s="151">
        <v>0</v>
      </c>
      <c r="AF1452" s="151" t="s">
        <v>317</v>
      </c>
      <c r="AG1452" s="151" t="s">
        <v>317</v>
      </c>
      <c r="AH1452" s="151" t="s">
        <v>3815</v>
      </c>
      <c r="AI1452" s="309"/>
      <c r="AJ1452" s="309"/>
      <c r="AK1452" s="151" t="s">
        <v>37</v>
      </c>
      <c r="AL1452" s="151" t="s">
        <v>47</v>
      </c>
      <c r="AM1452" s="299">
        <f t="shared" ca="1" si="130"/>
        <v>4.0972222222189885</v>
      </c>
      <c r="AN1452" s="51"/>
      <c r="AO1452" s="189" t="s">
        <v>159</v>
      </c>
      <c r="AP1452" s="91" t="s">
        <v>4070</v>
      </c>
      <c r="AQ1452" s="189" t="s">
        <v>4069</v>
      </c>
      <c r="AR1452" s="192">
        <v>44916.5625</v>
      </c>
      <c r="AS1452" s="186" t="s">
        <v>483</v>
      </c>
      <c r="AT1452" s="189" t="s">
        <v>225</v>
      </c>
      <c r="AU1452" s="191">
        <v>0.5625</v>
      </c>
      <c r="AV1452" s="189">
        <v>1</v>
      </c>
      <c r="AW1452" s="189" t="s">
        <v>66</v>
      </c>
      <c r="AX1452" s="52"/>
      <c r="AY1452" s="52"/>
      <c r="AZ1452" s="52"/>
      <c r="BA1452" s="52"/>
    </row>
    <row r="1453" spans="1:53" x14ac:dyDescent="0.25">
      <c r="A1453" s="157">
        <v>309</v>
      </c>
      <c r="B1453" s="155">
        <v>44912.465277777781</v>
      </c>
      <c r="C1453" s="150">
        <v>0.46875</v>
      </c>
      <c r="D1453" s="150">
        <v>0.47569444444444442</v>
      </c>
      <c r="E1453" s="150">
        <v>0.49305555555555558</v>
      </c>
      <c r="F1453" s="151" t="s">
        <v>170</v>
      </c>
      <c r="G1453" s="151" t="s">
        <v>3808</v>
      </c>
      <c r="H1453" s="146" t="s">
        <v>156</v>
      </c>
      <c r="I1453" s="146" t="s">
        <v>162</v>
      </c>
      <c r="J1453" s="146" t="s">
        <v>37</v>
      </c>
      <c r="K1453" s="149" t="s">
        <v>63</v>
      </c>
      <c r="L1453" s="149" t="s">
        <v>212</v>
      </c>
      <c r="M1453" s="151" t="s">
        <v>3813</v>
      </c>
      <c r="N1453" s="151" t="s">
        <v>158</v>
      </c>
      <c r="O1453" s="151" t="s">
        <v>3814</v>
      </c>
      <c r="P1453" s="151" t="s">
        <v>420</v>
      </c>
      <c r="Q1453" s="303">
        <f t="shared" si="131"/>
        <v>0</v>
      </c>
      <c r="R1453" s="303">
        <f t="shared" si="132"/>
        <v>0</v>
      </c>
      <c r="S1453" s="151">
        <v>0</v>
      </c>
      <c r="T1453" s="151">
        <v>0</v>
      </c>
      <c r="U1453" s="151">
        <v>0</v>
      </c>
      <c r="V1453" s="151">
        <v>0</v>
      </c>
      <c r="W1453" s="151">
        <v>0</v>
      </c>
      <c r="X1453" s="37">
        <v>31</v>
      </c>
      <c r="Y1453" s="37">
        <v>24</v>
      </c>
      <c r="Z1453" s="37">
        <v>46</v>
      </c>
      <c r="AA1453" s="37">
        <v>1</v>
      </c>
      <c r="AB1453" s="300">
        <f t="shared" si="133"/>
        <v>5.7039999999999997</v>
      </c>
      <c r="AC1453" s="300">
        <f t="shared" si="134"/>
        <v>3.4361445783132528E-2</v>
      </c>
      <c r="AD1453" s="151">
        <v>0</v>
      </c>
      <c r="AE1453" s="151">
        <v>0</v>
      </c>
      <c r="AF1453" s="151" t="s">
        <v>317</v>
      </c>
      <c r="AG1453" s="151" t="s">
        <v>317</v>
      </c>
      <c r="AH1453" s="151" t="s">
        <v>3815</v>
      </c>
      <c r="AI1453" s="309"/>
      <c r="AJ1453" s="309"/>
      <c r="AK1453" s="151" t="s">
        <v>37</v>
      </c>
      <c r="AL1453" s="151" t="s">
        <v>47</v>
      </c>
      <c r="AM1453" s="299">
        <f t="shared" ca="1" si="130"/>
        <v>4.0972222222189885</v>
      </c>
      <c r="AN1453" s="51"/>
      <c r="AO1453" s="189" t="s">
        <v>159</v>
      </c>
      <c r="AP1453" s="91" t="s">
        <v>4070</v>
      </c>
      <c r="AQ1453" s="189" t="s">
        <v>4069</v>
      </c>
      <c r="AR1453" s="192">
        <v>44916.5625</v>
      </c>
      <c r="AS1453" s="186" t="s">
        <v>483</v>
      </c>
      <c r="AT1453" s="189" t="s">
        <v>225</v>
      </c>
      <c r="AU1453" s="191">
        <v>0.5625</v>
      </c>
      <c r="AV1453" s="189">
        <v>1</v>
      </c>
      <c r="AW1453" s="189" t="s">
        <v>66</v>
      </c>
      <c r="AX1453" s="52"/>
      <c r="AY1453" s="52"/>
      <c r="AZ1453" s="52"/>
      <c r="BA1453" s="52"/>
    </row>
    <row r="1454" spans="1:53" x14ac:dyDescent="0.25">
      <c r="A1454" s="48">
        <v>310</v>
      </c>
      <c r="B1454" s="155">
        <v>44912.465277777781</v>
      </c>
      <c r="C1454" s="150">
        <v>0.46875</v>
      </c>
      <c r="D1454" s="150">
        <v>0.47569444444444442</v>
      </c>
      <c r="E1454" s="150">
        <v>0.49305555555555558</v>
      </c>
      <c r="F1454" s="151" t="s">
        <v>170</v>
      </c>
      <c r="G1454" s="151" t="s">
        <v>3808</v>
      </c>
      <c r="H1454" s="26" t="s">
        <v>57</v>
      </c>
      <c r="I1454" s="26" t="s">
        <v>3816</v>
      </c>
      <c r="J1454" s="146" t="s">
        <v>37</v>
      </c>
      <c r="K1454" s="149" t="s">
        <v>63</v>
      </c>
      <c r="L1454" s="149" t="s">
        <v>209</v>
      </c>
      <c r="M1454" s="37" t="s">
        <v>3817</v>
      </c>
      <c r="N1454" s="37" t="s">
        <v>44</v>
      </c>
      <c r="O1454" s="37" t="s">
        <v>3818</v>
      </c>
      <c r="P1454" s="37">
        <v>81984761</v>
      </c>
      <c r="Q1454" s="303">
        <f t="shared" si="131"/>
        <v>1</v>
      </c>
      <c r="R1454" s="303">
        <f t="shared" si="132"/>
        <v>417</v>
      </c>
      <c r="S1454" s="37">
        <v>0</v>
      </c>
      <c r="T1454" s="37">
        <v>0</v>
      </c>
      <c r="U1454" s="37">
        <v>1</v>
      </c>
      <c r="V1454" s="37">
        <v>417</v>
      </c>
      <c r="W1454" s="37">
        <v>415</v>
      </c>
      <c r="X1454" s="37">
        <v>147</v>
      </c>
      <c r="Y1454" s="37">
        <v>83</v>
      </c>
      <c r="Z1454" s="37">
        <v>92</v>
      </c>
      <c r="AA1454" s="37">
        <v>1</v>
      </c>
      <c r="AB1454" s="300">
        <f t="shared" si="133"/>
        <v>187.08199999999999</v>
      </c>
      <c r="AC1454" s="300">
        <f t="shared" si="134"/>
        <v>1.127</v>
      </c>
      <c r="AD1454" s="37">
        <v>7650</v>
      </c>
      <c r="AE1454" s="37" t="s">
        <v>109</v>
      </c>
      <c r="AF1454" s="151" t="s">
        <v>317</v>
      </c>
      <c r="AG1454" s="151" t="s">
        <v>317</v>
      </c>
      <c r="AH1454" s="37" t="s">
        <v>3819</v>
      </c>
      <c r="AI1454" s="309"/>
      <c r="AJ1454" s="309"/>
      <c r="AK1454" s="151" t="s">
        <v>37</v>
      </c>
      <c r="AL1454" s="151" t="s">
        <v>47</v>
      </c>
      <c r="AM1454" s="299">
        <f t="shared" ca="1" si="130"/>
        <v>4.2708333333284827</v>
      </c>
      <c r="AN1454" s="51"/>
      <c r="AO1454" s="189" t="s">
        <v>83</v>
      </c>
      <c r="AP1454" s="191" t="s">
        <v>3817</v>
      </c>
      <c r="AQ1454" s="189" t="s">
        <v>4077</v>
      </c>
      <c r="AR1454" s="192">
        <v>44916.736111111109</v>
      </c>
      <c r="AS1454" s="186" t="s">
        <v>173</v>
      </c>
      <c r="AT1454" s="189" t="s">
        <v>225</v>
      </c>
      <c r="AU1454" s="191">
        <v>0.73611111111111116</v>
      </c>
      <c r="AV1454" s="189">
        <v>2</v>
      </c>
      <c r="AW1454" s="189" t="s">
        <v>152</v>
      </c>
      <c r="AX1454" s="52"/>
      <c r="AY1454" s="52"/>
      <c r="AZ1454" s="52"/>
      <c r="BA1454" s="52"/>
    </row>
    <row r="1455" spans="1:53" x14ac:dyDescent="0.25">
      <c r="A1455" s="48">
        <v>311</v>
      </c>
      <c r="B1455" s="155">
        <v>44912.465277777781</v>
      </c>
      <c r="C1455" s="150">
        <v>0.46875</v>
      </c>
      <c r="D1455" s="150">
        <v>0.47569444444444442</v>
      </c>
      <c r="E1455" s="150">
        <v>0.49305555555555558</v>
      </c>
      <c r="F1455" s="151" t="s">
        <v>170</v>
      </c>
      <c r="G1455" s="151" t="s">
        <v>3808</v>
      </c>
      <c r="H1455" s="26" t="s">
        <v>45</v>
      </c>
      <c r="I1455" s="146" t="s">
        <v>162</v>
      </c>
      <c r="J1455" s="146" t="s">
        <v>37</v>
      </c>
      <c r="K1455" s="149" t="s">
        <v>63</v>
      </c>
      <c r="L1455" s="149" t="s">
        <v>215</v>
      </c>
      <c r="M1455" s="37" t="s">
        <v>3820</v>
      </c>
      <c r="N1455" s="37" t="s">
        <v>158</v>
      </c>
      <c r="O1455" s="37">
        <v>3500784</v>
      </c>
      <c r="P1455" s="37">
        <v>5052019190</v>
      </c>
      <c r="Q1455" s="303">
        <f t="shared" si="131"/>
        <v>1</v>
      </c>
      <c r="R1455" s="303">
        <f t="shared" si="132"/>
        <v>136</v>
      </c>
      <c r="S1455" s="37">
        <v>0</v>
      </c>
      <c r="T1455" s="37">
        <v>0</v>
      </c>
      <c r="U1455" s="37">
        <v>1</v>
      </c>
      <c r="V1455" s="37">
        <v>136</v>
      </c>
      <c r="W1455" s="37">
        <v>139.05600000000001</v>
      </c>
      <c r="X1455" s="37">
        <v>91</v>
      </c>
      <c r="Y1455" s="37">
        <v>81</v>
      </c>
      <c r="Z1455" s="37">
        <v>50</v>
      </c>
      <c r="AA1455" s="37">
        <v>1</v>
      </c>
      <c r="AB1455" s="300">
        <f t="shared" si="133"/>
        <v>61.424999999999997</v>
      </c>
      <c r="AC1455" s="300">
        <f t="shared" si="134"/>
        <v>0.37003012048192768</v>
      </c>
      <c r="AD1455" s="37">
        <v>10065.1</v>
      </c>
      <c r="AE1455" s="151" t="s">
        <v>109</v>
      </c>
      <c r="AF1455" s="151" t="s">
        <v>317</v>
      </c>
      <c r="AG1455" s="151" t="s">
        <v>317</v>
      </c>
      <c r="AH1455" s="37" t="s">
        <v>3821</v>
      </c>
      <c r="AI1455" s="309"/>
      <c r="AJ1455" s="309"/>
      <c r="AK1455" s="151" t="s">
        <v>37</v>
      </c>
      <c r="AL1455" s="151" t="s">
        <v>47</v>
      </c>
      <c r="AM1455" s="299">
        <f t="shared" ca="1" si="130"/>
        <v>4.0972222222189885</v>
      </c>
      <c r="AN1455" s="51"/>
      <c r="AO1455" s="189" t="s">
        <v>159</v>
      </c>
      <c r="AP1455" s="91" t="s">
        <v>3820</v>
      </c>
      <c r="AQ1455" s="189" t="s">
        <v>4069</v>
      </c>
      <c r="AR1455" s="192">
        <v>44916.5625</v>
      </c>
      <c r="AS1455" s="186" t="s">
        <v>483</v>
      </c>
      <c r="AT1455" s="189" t="s">
        <v>225</v>
      </c>
      <c r="AU1455" s="191">
        <v>0.5625</v>
      </c>
      <c r="AV1455" s="189">
        <v>1</v>
      </c>
      <c r="AW1455" s="189" t="s">
        <v>66</v>
      </c>
      <c r="AX1455" s="52"/>
      <c r="AY1455" s="52"/>
      <c r="AZ1455" s="52"/>
      <c r="BA1455" s="52"/>
    </row>
    <row r="1456" spans="1:53" x14ac:dyDescent="0.25">
      <c r="A1456" s="48">
        <v>312</v>
      </c>
      <c r="B1456" s="155">
        <v>44912.590277777781</v>
      </c>
      <c r="C1456" s="36">
        <v>0.60416666666666663</v>
      </c>
      <c r="D1456" s="36">
        <v>0.60763888888888895</v>
      </c>
      <c r="E1456" s="36">
        <v>0.625</v>
      </c>
      <c r="F1456" s="37" t="s">
        <v>171</v>
      </c>
      <c r="G1456" s="37" t="s">
        <v>133</v>
      </c>
      <c r="H1456" s="26" t="s">
        <v>91</v>
      </c>
      <c r="I1456" s="146" t="s">
        <v>91</v>
      </c>
      <c r="J1456" s="26" t="s">
        <v>41</v>
      </c>
      <c r="K1456" s="26" t="s">
        <v>180</v>
      </c>
      <c r="L1456" s="26" t="s">
        <v>206</v>
      </c>
      <c r="M1456" s="37" t="s">
        <v>3822</v>
      </c>
      <c r="N1456" s="37" t="s">
        <v>53</v>
      </c>
      <c r="O1456" s="37">
        <v>10001670</v>
      </c>
      <c r="P1456" s="37" t="s">
        <v>433</v>
      </c>
      <c r="Q1456" s="303">
        <f t="shared" si="131"/>
        <v>1</v>
      </c>
      <c r="R1456" s="303">
        <f t="shared" si="132"/>
        <v>62</v>
      </c>
      <c r="S1456" s="37">
        <v>0</v>
      </c>
      <c r="T1456" s="37">
        <v>0</v>
      </c>
      <c r="U1456" s="37">
        <v>1</v>
      </c>
      <c r="V1456" s="37">
        <v>62</v>
      </c>
      <c r="W1456" s="37">
        <v>65</v>
      </c>
      <c r="X1456" s="37">
        <v>132</v>
      </c>
      <c r="Y1456" s="37">
        <v>75</v>
      </c>
      <c r="Z1456" s="37">
        <v>74</v>
      </c>
      <c r="AA1456" s="37">
        <v>1</v>
      </c>
      <c r="AB1456" s="300">
        <f t="shared" si="133"/>
        <v>122.1</v>
      </c>
      <c r="AC1456" s="300">
        <f t="shared" si="134"/>
        <v>0.73554216867469879</v>
      </c>
      <c r="AD1456" s="37">
        <v>6182</v>
      </c>
      <c r="AE1456" s="37" t="s">
        <v>109</v>
      </c>
      <c r="AF1456" s="37" t="s">
        <v>317</v>
      </c>
      <c r="AG1456" s="37" t="s">
        <v>317</v>
      </c>
      <c r="AH1456" s="37" t="s">
        <v>48</v>
      </c>
      <c r="AI1456" s="309"/>
      <c r="AJ1456" s="309"/>
      <c r="AK1456" s="37" t="s">
        <v>37</v>
      </c>
      <c r="AL1456" s="37" t="s">
        <v>54</v>
      </c>
      <c r="AM1456" s="299">
        <f t="shared" ca="1" si="130"/>
        <v>6.9444444437976927E-2</v>
      </c>
      <c r="AN1456" s="51"/>
      <c r="AO1456" s="171" t="s">
        <v>53</v>
      </c>
      <c r="AP1456" s="172" t="s">
        <v>3822</v>
      </c>
      <c r="AQ1456" s="171" t="s">
        <v>3858</v>
      </c>
      <c r="AR1456" s="174">
        <v>44912.659722222219</v>
      </c>
      <c r="AS1456" s="168" t="s">
        <v>173</v>
      </c>
      <c r="AT1456" s="171" t="s">
        <v>225</v>
      </c>
      <c r="AU1456" s="173">
        <v>0.65972222222222221</v>
      </c>
      <c r="AV1456" s="171">
        <v>2</v>
      </c>
      <c r="AW1456" s="171" t="s">
        <v>66</v>
      </c>
      <c r="AX1456" s="171"/>
      <c r="AY1456" s="52"/>
      <c r="AZ1456" s="52"/>
      <c r="BA1456" s="52"/>
    </row>
    <row r="1457" spans="1:53" x14ac:dyDescent="0.25">
      <c r="A1457" s="48">
        <v>313</v>
      </c>
      <c r="B1457" s="46">
        <v>44912.625</v>
      </c>
      <c r="C1457" s="36">
        <v>0.625</v>
      </c>
      <c r="D1457" s="36">
        <v>0.66666666666666663</v>
      </c>
      <c r="E1457" s="36">
        <v>0.69444444444444453</v>
      </c>
      <c r="F1457" s="37" t="s">
        <v>170</v>
      </c>
      <c r="G1457" s="37" t="s">
        <v>3824</v>
      </c>
      <c r="H1457" s="26" t="s">
        <v>227</v>
      </c>
      <c r="I1457" s="26" t="s">
        <v>189</v>
      </c>
      <c r="J1457" s="26" t="s">
        <v>37</v>
      </c>
      <c r="K1457" s="149" t="s">
        <v>63</v>
      </c>
      <c r="L1457" s="153" t="s">
        <v>206</v>
      </c>
      <c r="M1457" s="165" t="s">
        <v>3823</v>
      </c>
      <c r="N1457" s="37" t="s">
        <v>43</v>
      </c>
      <c r="O1457" s="37">
        <v>1103</v>
      </c>
      <c r="P1457" s="37">
        <v>28958</v>
      </c>
      <c r="Q1457" s="303">
        <f t="shared" si="131"/>
        <v>8</v>
      </c>
      <c r="R1457" s="303">
        <f t="shared" si="132"/>
        <v>1818</v>
      </c>
      <c r="S1457" s="37">
        <v>0</v>
      </c>
      <c r="T1457" s="37">
        <v>0</v>
      </c>
      <c r="U1457" s="37">
        <v>8</v>
      </c>
      <c r="V1457" s="152">
        <f>202+202+202+202+204+202+202+202+200</f>
        <v>1818</v>
      </c>
      <c r="W1457" s="152">
        <v>1560</v>
      </c>
      <c r="X1457" s="37">
        <v>170</v>
      </c>
      <c r="Y1457" s="37">
        <v>97</v>
      </c>
      <c r="Z1457" s="37">
        <v>94</v>
      </c>
      <c r="AA1457" s="37">
        <v>8</v>
      </c>
      <c r="AB1457" s="300">
        <f t="shared" si="133"/>
        <v>2066.7466666666664</v>
      </c>
      <c r="AC1457" s="300">
        <f t="shared" si="134"/>
        <v>12.450281124497991</v>
      </c>
      <c r="AD1457" s="37">
        <v>19360</v>
      </c>
      <c r="AE1457" s="151" t="s">
        <v>109</v>
      </c>
      <c r="AF1457" s="151" t="s">
        <v>317</v>
      </c>
      <c r="AG1457" s="151" t="s">
        <v>317</v>
      </c>
      <c r="AH1457" s="37" t="s">
        <v>3825</v>
      </c>
      <c r="AI1457" s="309"/>
      <c r="AJ1457" s="309"/>
      <c r="AK1457" s="151" t="s">
        <v>37</v>
      </c>
      <c r="AL1457" s="37" t="s">
        <v>39</v>
      </c>
      <c r="AM1457" s="299">
        <f t="shared" ca="1" si="130"/>
        <v>2.09375</v>
      </c>
      <c r="AN1457" s="51"/>
      <c r="AO1457" s="171" t="s">
        <v>179</v>
      </c>
      <c r="AP1457" s="172" t="s">
        <v>3906</v>
      </c>
      <c r="AQ1457" s="173" t="s">
        <v>3907</v>
      </c>
      <c r="AR1457" s="174">
        <v>44914.71875</v>
      </c>
      <c r="AS1457" s="171" t="s">
        <v>3908</v>
      </c>
      <c r="AT1457" s="171" t="s">
        <v>65</v>
      </c>
      <c r="AU1457" s="173">
        <v>0.71875</v>
      </c>
      <c r="AV1457" s="171">
        <v>1</v>
      </c>
      <c r="AW1457" s="171" t="s">
        <v>66</v>
      </c>
      <c r="AX1457" s="52"/>
      <c r="AY1457" s="52"/>
      <c r="AZ1457" s="52"/>
      <c r="BA1457" s="52"/>
    </row>
    <row r="1458" spans="1:53" x14ac:dyDescent="0.25">
      <c r="A1458" s="48">
        <v>314</v>
      </c>
      <c r="B1458" s="155">
        <v>44912.625</v>
      </c>
      <c r="C1458" s="150">
        <v>0.625</v>
      </c>
      <c r="D1458" s="150">
        <v>0.66666666666666663</v>
      </c>
      <c r="E1458" s="150">
        <v>0.69444444444444453</v>
      </c>
      <c r="F1458" s="151" t="s">
        <v>170</v>
      </c>
      <c r="G1458" s="151" t="s">
        <v>447</v>
      </c>
      <c r="H1458" s="146" t="s">
        <v>227</v>
      </c>
      <c r="I1458" s="146" t="s">
        <v>189</v>
      </c>
      <c r="J1458" s="146" t="s">
        <v>37</v>
      </c>
      <c r="K1458" s="149" t="s">
        <v>63</v>
      </c>
      <c r="L1458" s="153" t="s">
        <v>206</v>
      </c>
      <c r="M1458" s="166" t="s">
        <v>3826</v>
      </c>
      <c r="N1458" s="151" t="s">
        <v>43</v>
      </c>
      <c r="O1458" s="37" t="s">
        <v>3827</v>
      </c>
      <c r="P1458" s="37">
        <v>34847</v>
      </c>
      <c r="Q1458" s="303">
        <f t="shared" si="131"/>
        <v>1</v>
      </c>
      <c r="R1458" s="303">
        <f t="shared" si="132"/>
        <v>308</v>
      </c>
      <c r="S1458" s="37">
        <v>0</v>
      </c>
      <c r="T1458" s="37">
        <v>0</v>
      </c>
      <c r="U1458" s="37">
        <v>1</v>
      </c>
      <c r="V1458" s="37">
        <v>308</v>
      </c>
      <c r="W1458" s="37">
        <v>285</v>
      </c>
      <c r="X1458" s="37">
        <v>160</v>
      </c>
      <c r="Y1458" s="37">
        <v>74</v>
      </c>
      <c r="Z1458" s="37">
        <v>81</v>
      </c>
      <c r="AA1458" s="37">
        <v>1</v>
      </c>
      <c r="AB1458" s="300">
        <f t="shared" si="133"/>
        <v>159.84</v>
      </c>
      <c r="AC1458" s="300">
        <f t="shared" si="134"/>
        <v>0.96289156626506023</v>
      </c>
      <c r="AD1458" s="37" t="s">
        <v>48</v>
      </c>
      <c r="AE1458" s="151" t="s">
        <v>48</v>
      </c>
      <c r="AF1458" s="151" t="s">
        <v>317</v>
      </c>
      <c r="AG1458" s="151" t="s">
        <v>317</v>
      </c>
      <c r="AH1458" s="37" t="s">
        <v>3828</v>
      </c>
      <c r="AI1458" s="309"/>
      <c r="AJ1458" s="309"/>
      <c r="AK1458" s="151" t="s">
        <v>37</v>
      </c>
      <c r="AL1458" s="151" t="s">
        <v>39</v>
      </c>
      <c r="AM1458" s="299">
        <f t="shared" ca="1" si="130"/>
        <v>2.09375</v>
      </c>
      <c r="AN1458" s="51"/>
      <c r="AO1458" s="171" t="s">
        <v>179</v>
      </c>
      <c r="AP1458" s="172" t="s">
        <v>3906</v>
      </c>
      <c r="AQ1458" s="173" t="s">
        <v>3907</v>
      </c>
      <c r="AR1458" s="174">
        <v>44914.71875</v>
      </c>
      <c r="AS1458" s="171" t="s">
        <v>3908</v>
      </c>
      <c r="AT1458" s="171" t="s">
        <v>65</v>
      </c>
      <c r="AU1458" s="173">
        <v>0.71875</v>
      </c>
      <c r="AV1458" s="171">
        <v>1</v>
      </c>
      <c r="AW1458" s="171" t="s">
        <v>66</v>
      </c>
      <c r="AX1458" s="52"/>
      <c r="AY1458" s="52"/>
      <c r="AZ1458" s="52"/>
      <c r="BA1458" s="52"/>
    </row>
    <row r="1459" spans="1:53" x14ac:dyDescent="0.25">
      <c r="A1459" s="48">
        <v>315</v>
      </c>
      <c r="B1459" s="155">
        <v>44912.625</v>
      </c>
      <c r="C1459" s="150">
        <v>0.625</v>
      </c>
      <c r="D1459" s="150">
        <v>0.66666666666666663</v>
      </c>
      <c r="E1459" s="150">
        <v>0.69444444444444453</v>
      </c>
      <c r="F1459" s="151" t="s">
        <v>170</v>
      </c>
      <c r="G1459" s="151" t="s">
        <v>447</v>
      </c>
      <c r="H1459" s="146" t="s">
        <v>227</v>
      </c>
      <c r="I1459" s="146" t="s">
        <v>189</v>
      </c>
      <c r="J1459" s="146" t="s">
        <v>37</v>
      </c>
      <c r="K1459" s="149" t="s">
        <v>63</v>
      </c>
      <c r="L1459" s="153" t="s">
        <v>206</v>
      </c>
      <c r="M1459" s="37" t="s">
        <v>3829</v>
      </c>
      <c r="N1459" s="37" t="s">
        <v>42</v>
      </c>
      <c r="O1459" s="37">
        <v>1104</v>
      </c>
      <c r="P1459" s="37">
        <v>3719</v>
      </c>
      <c r="Q1459" s="303">
        <f t="shared" si="131"/>
        <v>10</v>
      </c>
      <c r="R1459" s="303">
        <f t="shared" si="132"/>
        <v>153</v>
      </c>
      <c r="S1459" s="37">
        <v>10</v>
      </c>
      <c r="T1459" s="37">
        <f>177-24</f>
        <v>153</v>
      </c>
      <c r="U1459" s="37">
        <v>0</v>
      </c>
      <c r="V1459" s="37">
        <v>0</v>
      </c>
      <c r="W1459" s="37">
        <v>106.05</v>
      </c>
      <c r="X1459" s="37">
        <v>84</v>
      </c>
      <c r="Y1459" s="37">
        <v>53</v>
      </c>
      <c r="Z1459" s="37">
        <v>62</v>
      </c>
      <c r="AA1459" s="37">
        <v>5</v>
      </c>
      <c r="AB1459" s="300">
        <f t="shared" si="133"/>
        <v>230.02</v>
      </c>
      <c r="AC1459" s="300">
        <f t="shared" si="134"/>
        <v>1.3856626506024097</v>
      </c>
      <c r="AD1459" s="151" t="s">
        <v>48</v>
      </c>
      <c r="AE1459" s="151" t="s">
        <v>48</v>
      </c>
      <c r="AF1459" s="151" t="s">
        <v>317</v>
      </c>
      <c r="AG1459" s="151" t="s">
        <v>317</v>
      </c>
      <c r="AH1459" s="37" t="s">
        <v>3830</v>
      </c>
      <c r="AI1459" s="309"/>
      <c r="AJ1459" s="309"/>
      <c r="AK1459" s="37" t="s">
        <v>48</v>
      </c>
      <c r="AL1459" s="37" t="s">
        <v>56</v>
      </c>
      <c r="AM1459" s="299">
        <f t="shared" ca="1" si="130"/>
        <v>1.9236111111094942</v>
      </c>
      <c r="AN1459" s="51"/>
      <c r="AO1459" s="171" t="s">
        <v>89</v>
      </c>
      <c r="AP1459" s="172" t="s">
        <v>3829</v>
      </c>
      <c r="AQ1459" s="173" t="s">
        <v>3905</v>
      </c>
      <c r="AR1459" s="174">
        <v>44914.548611111109</v>
      </c>
      <c r="AS1459" s="168" t="s">
        <v>173</v>
      </c>
      <c r="AT1459" s="171" t="s">
        <v>225</v>
      </c>
      <c r="AU1459" s="173">
        <v>0.54861111111111105</v>
      </c>
      <c r="AV1459" s="171">
        <v>1</v>
      </c>
      <c r="AW1459" s="171" t="s">
        <v>66</v>
      </c>
      <c r="AX1459" s="52"/>
      <c r="AY1459" s="52"/>
      <c r="AZ1459" s="52"/>
      <c r="BA1459" s="52"/>
    </row>
    <row r="1460" spans="1:53" x14ac:dyDescent="0.25">
      <c r="A1460" s="157">
        <v>315</v>
      </c>
      <c r="B1460" s="155">
        <v>44912.625</v>
      </c>
      <c r="C1460" s="150">
        <v>0.625</v>
      </c>
      <c r="D1460" s="150">
        <v>0.66666666666666663</v>
      </c>
      <c r="E1460" s="150">
        <v>0.69444444444444453</v>
      </c>
      <c r="F1460" s="151" t="s">
        <v>170</v>
      </c>
      <c r="G1460" s="151" t="s">
        <v>447</v>
      </c>
      <c r="H1460" s="146" t="s">
        <v>227</v>
      </c>
      <c r="I1460" s="146" t="s">
        <v>189</v>
      </c>
      <c r="J1460" s="146" t="s">
        <v>37</v>
      </c>
      <c r="K1460" s="149" t="s">
        <v>63</v>
      </c>
      <c r="L1460" s="153" t="s">
        <v>206</v>
      </c>
      <c r="M1460" s="151" t="s">
        <v>3829</v>
      </c>
      <c r="N1460" s="151" t="s">
        <v>42</v>
      </c>
      <c r="O1460" s="151">
        <v>1104</v>
      </c>
      <c r="P1460" s="151">
        <v>3719</v>
      </c>
      <c r="Q1460" s="303">
        <f t="shared" si="131"/>
        <v>0</v>
      </c>
      <c r="R1460" s="303">
        <f t="shared" si="132"/>
        <v>0</v>
      </c>
      <c r="S1460" s="151">
        <v>0</v>
      </c>
      <c r="T1460" s="151">
        <v>0</v>
      </c>
      <c r="U1460" s="151">
        <v>0</v>
      </c>
      <c r="V1460" s="151">
        <v>0</v>
      </c>
      <c r="W1460" s="151">
        <v>0</v>
      </c>
      <c r="X1460" s="37">
        <v>92</v>
      </c>
      <c r="Y1460" s="37">
        <v>35</v>
      </c>
      <c r="Z1460" s="37">
        <v>52</v>
      </c>
      <c r="AA1460" s="37">
        <v>5</v>
      </c>
      <c r="AB1460" s="300">
        <f t="shared" si="133"/>
        <v>139.53333333333333</v>
      </c>
      <c r="AC1460" s="300">
        <f t="shared" si="134"/>
        <v>0.84056224899598397</v>
      </c>
      <c r="AD1460" s="37">
        <v>0</v>
      </c>
      <c r="AE1460" s="37">
        <v>0</v>
      </c>
      <c r="AF1460" s="151" t="s">
        <v>317</v>
      </c>
      <c r="AG1460" s="151" t="s">
        <v>317</v>
      </c>
      <c r="AH1460" s="151" t="s">
        <v>3830</v>
      </c>
      <c r="AI1460" s="309"/>
      <c r="AJ1460" s="309"/>
      <c r="AK1460" s="151" t="s">
        <v>48</v>
      </c>
      <c r="AL1460" s="151" t="s">
        <v>56</v>
      </c>
      <c r="AM1460" s="299">
        <f t="shared" ca="1" si="130"/>
        <v>1.9236111111094942</v>
      </c>
      <c r="AN1460" s="51"/>
      <c r="AO1460" s="171" t="s">
        <v>89</v>
      </c>
      <c r="AP1460" s="172" t="s">
        <v>3829</v>
      </c>
      <c r="AQ1460" s="173" t="s">
        <v>3905</v>
      </c>
      <c r="AR1460" s="174">
        <v>44914.548611111109</v>
      </c>
      <c r="AS1460" s="168" t="s">
        <v>173</v>
      </c>
      <c r="AT1460" s="171" t="s">
        <v>225</v>
      </c>
      <c r="AU1460" s="173">
        <v>0.54861111111111105</v>
      </c>
      <c r="AV1460" s="171">
        <v>1</v>
      </c>
      <c r="AW1460" s="171" t="s">
        <v>66</v>
      </c>
      <c r="AX1460" s="52"/>
      <c r="AY1460" s="52"/>
      <c r="AZ1460" s="52"/>
      <c r="BA1460" s="52"/>
    </row>
    <row r="1461" spans="1:53" x14ac:dyDescent="0.25">
      <c r="A1461" s="48">
        <v>316</v>
      </c>
      <c r="B1461" s="155">
        <v>44912.625</v>
      </c>
      <c r="C1461" s="150">
        <v>0.625</v>
      </c>
      <c r="D1461" s="150">
        <v>0.66666666666666663</v>
      </c>
      <c r="E1461" s="150">
        <v>0.69444444444444453</v>
      </c>
      <c r="F1461" s="151" t="s">
        <v>170</v>
      </c>
      <c r="G1461" s="151" t="s">
        <v>447</v>
      </c>
      <c r="H1461" s="146" t="s">
        <v>227</v>
      </c>
      <c r="I1461" s="146" t="s">
        <v>189</v>
      </c>
      <c r="J1461" s="146" t="s">
        <v>37</v>
      </c>
      <c r="K1461" s="149" t="s">
        <v>63</v>
      </c>
      <c r="L1461" s="153" t="s">
        <v>206</v>
      </c>
      <c r="M1461" s="151" t="s">
        <v>3829</v>
      </c>
      <c r="N1461" s="151" t="s">
        <v>42</v>
      </c>
      <c r="O1461" s="37" t="s">
        <v>3831</v>
      </c>
      <c r="P1461" s="37">
        <v>4789</v>
      </c>
      <c r="Q1461" s="303">
        <f t="shared" si="131"/>
        <v>1</v>
      </c>
      <c r="R1461" s="303">
        <f t="shared" si="132"/>
        <v>669</v>
      </c>
      <c r="S1461" s="37">
        <v>0</v>
      </c>
      <c r="T1461" s="37">
        <v>0</v>
      </c>
      <c r="U1461" s="37">
        <v>1</v>
      </c>
      <c r="V1461" s="37">
        <v>669</v>
      </c>
      <c r="W1461" s="37">
        <v>601</v>
      </c>
      <c r="X1461" s="37">
        <v>160</v>
      </c>
      <c r="Y1461" s="37">
        <v>138</v>
      </c>
      <c r="Z1461" s="37">
        <v>78</v>
      </c>
      <c r="AA1461" s="37">
        <v>1</v>
      </c>
      <c r="AB1461" s="300">
        <f t="shared" si="133"/>
        <v>287.04000000000002</v>
      </c>
      <c r="AC1461" s="300">
        <f t="shared" si="134"/>
        <v>1.7291566265060243</v>
      </c>
      <c r="AD1461" s="151" t="s">
        <v>48</v>
      </c>
      <c r="AE1461" s="151" t="s">
        <v>48</v>
      </c>
      <c r="AF1461" s="151" t="s">
        <v>317</v>
      </c>
      <c r="AG1461" s="151" t="s">
        <v>317</v>
      </c>
      <c r="AH1461" s="37" t="s">
        <v>3832</v>
      </c>
      <c r="AI1461" s="309"/>
      <c r="AJ1461" s="309"/>
      <c r="AK1461" s="151" t="s">
        <v>37</v>
      </c>
      <c r="AL1461" s="151" t="s">
        <v>39</v>
      </c>
      <c r="AM1461" s="299">
        <f t="shared" ca="1" si="130"/>
        <v>1.9236111111094942</v>
      </c>
      <c r="AN1461" s="51"/>
      <c r="AO1461" s="171" t="s">
        <v>89</v>
      </c>
      <c r="AP1461" s="172" t="s">
        <v>3829</v>
      </c>
      <c r="AQ1461" s="173" t="s">
        <v>3905</v>
      </c>
      <c r="AR1461" s="174">
        <v>44914.548611111109</v>
      </c>
      <c r="AS1461" s="168" t="s">
        <v>173</v>
      </c>
      <c r="AT1461" s="171" t="s">
        <v>225</v>
      </c>
      <c r="AU1461" s="173">
        <v>0.54861111111111105</v>
      </c>
      <c r="AV1461" s="171">
        <v>1</v>
      </c>
      <c r="AW1461" s="171" t="s">
        <v>66</v>
      </c>
      <c r="AX1461" s="52"/>
      <c r="AY1461" s="52"/>
      <c r="AZ1461" s="52"/>
      <c r="BA1461" s="52"/>
    </row>
    <row r="1462" spans="1:53" x14ac:dyDescent="0.25">
      <c r="A1462" s="48">
        <v>317</v>
      </c>
      <c r="B1462" s="155">
        <v>44912.625</v>
      </c>
      <c r="C1462" s="150">
        <v>0.625</v>
      </c>
      <c r="D1462" s="150">
        <v>0.66666666666666663</v>
      </c>
      <c r="E1462" s="150">
        <v>0.69444444444444453</v>
      </c>
      <c r="F1462" s="151" t="s">
        <v>170</v>
      </c>
      <c r="G1462" s="151" t="s">
        <v>447</v>
      </c>
      <c r="H1462" s="146" t="s">
        <v>227</v>
      </c>
      <c r="I1462" s="146" t="s">
        <v>189</v>
      </c>
      <c r="J1462" s="146" t="s">
        <v>37</v>
      </c>
      <c r="K1462" s="149" t="s">
        <v>63</v>
      </c>
      <c r="L1462" s="153" t="s">
        <v>206</v>
      </c>
      <c r="M1462" s="151" t="s">
        <v>3829</v>
      </c>
      <c r="N1462" s="151" t="s">
        <v>42</v>
      </c>
      <c r="O1462" s="37" t="s">
        <v>3833</v>
      </c>
      <c r="P1462" s="37">
        <v>3720</v>
      </c>
      <c r="Q1462" s="303">
        <f t="shared" si="131"/>
        <v>1</v>
      </c>
      <c r="R1462" s="303">
        <f t="shared" si="132"/>
        <v>295</v>
      </c>
      <c r="S1462" s="37">
        <v>0</v>
      </c>
      <c r="T1462" s="37">
        <v>0</v>
      </c>
      <c r="U1462" s="37">
        <v>1</v>
      </c>
      <c r="V1462" s="37">
        <v>295</v>
      </c>
      <c r="W1462" s="37">
        <v>265</v>
      </c>
      <c r="X1462" s="37">
        <v>160</v>
      </c>
      <c r="Y1462" s="37">
        <v>138</v>
      </c>
      <c r="Z1462" s="37">
        <v>78</v>
      </c>
      <c r="AA1462" s="151">
        <v>1</v>
      </c>
      <c r="AB1462" s="300">
        <f t="shared" si="133"/>
        <v>287.04000000000002</v>
      </c>
      <c r="AC1462" s="300">
        <f t="shared" si="134"/>
        <v>1.7291566265060243</v>
      </c>
      <c r="AD1462" s="151" t="s">
        <v>48</v>
      </c>
      <c r="AE1462" s="151" t="s">
        <v>48</v>
      </c>
      <c r="AF1462" s="151" t="s">
        <v>317</v>
      </c>
      <c r="AG1462" s="151" t="s">
        <v>317</v>
      </c>
      <c r="AH1462" s="37" t="s">
        <v>3834</v>
      </c>
      <c r="AI1462" s="309"/>
      <c r="AJ1462" s="309"/>
      <c r="AK1462" s="151" t="s">
        <v>37</v>
      </c>
      <c r="AL1462" s="151" t="s">
        <v>39</v>
      </c>
      <c r="AM1462" s="299">
        <f t="shared" ca="1" si="130"/>
        <v>1.9236111111094942</v>
      </c>
      <c r="AN1462" s="51"/>
      <c r="AO1462" s="171" t="s">
        <v>89</v>
      </c>
      <c r="AP1462" s="172" t="s">
        <v>3829</v>
      </c>
      <c r="AQ1462" s="173" t="s">
        <v>3905</v>
      </c>
      <c r="AR1462" s="174">
        <v>44914.548611111109</v>
      </c>
      <c r="AS1462" s="168" t="s">
        <v>173</v>
      </c>
      <c r="AT1462" s="171" t="s">
        <v>225</v>
      </c>
      <c r="AU1462" s="173">
        <v>0.54861111111111105</v>
      </c>
      <c r="AV1462" s="171">
        <v>1</v>
      </c>
      <c r="AW1462" s="171" t="s">
        <v>66</v>
      </c>
      <c r="AX1462" s="52"/>
      <c r="AY1462" s="52"/>
      <c r="AZ1462" s="52"/>
      <c r="BA1462" s="52"/>
    </row>
    <row r="1463" spans="1:53" x14ac:dyDescent="0.25">
      <c r="A1463" s="48">
        <v>318</v>
      </c>
      <c r="B1463" s="46">
        <v>44912.680555555555</v>
      </c>
      <c r="C1463" s="36">
        <v>0.6875</v>
      </c>
      <c r="D1463" s="36">
        <v>0.69097222222222221</v>
      </c>
      <c r="E1463" s="36">
        <v>0.70138888888888884</v>
      </c>
      <c r="F1463" s="37" t="s">
        <v>169</v>
      </c>
      <c r="G1463" s="37" t="s">
        <v>3835</v>
      </c>
      <c r="H1463" s="26" t="s">
        <v>3836</v>
      </c>
      <c r="I1463" s="26" t="s">
        <v>172</v>
      </c>
      <c r="J1463" s="146" t="s">
        <v>37</v>
      </c>
      <c r="K1463" s="26" t="s">
        <v>241</v>
      </c>
      <c r="L1463" s="26">
        <v>0</v>
      </c>
      <c r="M1463" s="167" t="s">
        <v>3837</v>
      </c>
      <c r="N1463" s="37" t="s">
        <v>59</v>
      </c>
      <c r="O1463" s="37" t="s">
        <v>3838</v>
      </c>
      <c r="P1463" s="37" t="s">
        <v>3839</v>
      </c>
      <c r="Q1463" s="303">
        <f t="shared" si="131"/>
        <v>1</v>
      </c>
      <c r="R1463" s="303">
        <f t="shared" si="132"/>
        <v>231</v>
      </c>
      <c r="S1463" s="37">
        <v>0</v>
      </c>
      <c r="T1463" s="37">
        <v>0</v>
      </c>
      <c r="U1463" s="37">
        <v>1</v>
      </c>
      <c r="V1463" s="37">
        <v>231</v>
      </c>
      <c r="W1463" s="37">
        <v>230</v>
      </c>
      <c r="X1463" s="37">
        <v>87</v>
      </c>
      <c r="Y1463" s="37">
        <v>49</v>
      </c>
      <c r="Z1463" s="37">
        <v>69</v>
      </c>
      <c r="AA1463" s="37">
        <v>1</v>
      </c>
      <c r="AB1463" s="300">
        <f t="shared" si="133"/>
        <v>49.024500000000003</v>
      </c>
      <c r="AC1463" s="300">
        <f t="shared" si="134"/>
        <v>0.29532831325301206</v>
      </c>
      <c r="AD1463" s="37">
        <v>1464</v>
      </c>
      <c r="AE1463" s="37" t="s">
        <v>111</v>
      </c>
      <c r="AF1463" s="151" t="s">
        <v>317</v>
      </c>
      <c r="AG1463" s="151" t="s">
        <v>317</v>
      </c>
      <c r="AH1463" s="37" t="s">
        <v>3841</v>
      </c>
      <c r="AI1463" s="309"/>
      <c r="AJ1463" s="309"/>
      <c r="AK1463" s="151" t="s">
        <v>37</v>
      </c>
      <c r="AL1463" s="37" t="s">
        <v>56</v>
      </c>
      <c r="AM1463" s="299">
        <f t="shared" ca="1" si="130"/>
        <v>6.8888888888905058</v>
      </c>
      <c r="AN1463" s="51" t="s">
        <v>3842</v>
      </c>
      <c r="AO1463" s="210" t="s">
        <v>70</v>
      </c>
      <c r="AP1463" s="211" t="s">
        <v>4309</v>
      </c>
      <c r="AQ1463" s="210" t="s">
        <v>4310</v>
      </c>
      <c r="AR1463" s="213">
        <v>44919.569444444445</v>
      </c>
      <c r="AS1463" s="208" t="s">
        <v>293</v>
      </c>
      <c r="AT1463" s="210" t="s">
        <v>65</v>
      </c>
      <c r="AU1463" s="212">
        <v>0.56944444444444442</v>
      </c>
      <c r="AV1463" s="210">
        <v>1</v>
      </c>
      <c r="AW1463" s="210" t="s">
        <v>66</v>
      </c>
      <c r="AX1463" s="52"/>
      <c r="AY1463" s="52"/>
      <c r="AZ1463" s="52"/>
      <c r="BA1463" s="52"/>
    </row>
    <row r="1464" spans="1:53" ht="24" x14ac:dyDescent="0.25">
      <c r="A1464" s="48">
        <v>319</v>
      </c>
      <c r="B1464" s="46">
        <v>44912.527777777781</v>
      </c>
      <c r="C1464" s="36">
        <v>0.53472222222222221</v>
      </c>
      <c r="D1464" s="36">
        <v>0.59027777777777779</v>
      </c>
      <c r="E1464" s="36" t="s">
        <v>3862</v>
      </c>
      <c r="F1464" s="37" t="s">
        <v>171</v>
      </c>
      <c r="G1464" s="37" t="s">
        <v>290</v>
      </c>
      <c r="H1464" s="26" t="s">
        <v>91</v>
      </c>
      <c r="I1464" s="26" t="s">
        <v>3843</v>
      </c>
      <c r="J1464" s="26" t="s">
        <v>41</v>
      </c>
      <c r="K1464" s="26" t="s">
        <v>233</v>
      </c>
      <c r="L1464" s="26" t="s">
        <v>206</v>
      </c>
      <c r="M1464" s="37" t="s">
        <v>3844</v>
      </c>
      <c r="N1464" s="37" t="s">
        <v>175</v>
      </c>
      <c r="O1464" s="37">
        <v>1054969821</v>
      </c>
      <c r="P1464" s="37">
        <v>1214011897</v>
      </c>
      <c r="Q1464" s="303">
        <f t="shared" si="131"/>
        <v>3</v>
      </c>
      <c r="R1464" s="303">
        <f t="shared" si="132"/>
        <v>795</v>
      </c>
      <c r="S1464" s="37">
        <v>0</v>
      </c>
      <c r="T1464" s="37">
        <v>0</v>
      </c>
      <c r="U1464" s="37">
        <v>3</v>
      </c>
      <c r="V1464" s="37">
        <f>546+249</f>
        <v>795</v>
      </c>
      <c r="W1464" s="37">
        <v>768</v>
      </c>
      <c r="X1464" s="37">
        <v>120</v>
      </c>
      <c r="Y1464" s="37">
        <v>80</v>
      </c>
      <c r="Z1464" s="37">
        <v>60</v>
      </c>
      <c r="AA1464" s="37">
        <v>3</v>
      </c>
      <c r="AB1464" s="300">
        <f t="shared" si="133"/>
        <v>288</v>
      </c>
      <c r="AC1464" s="300">
        <f t="shared" si="134"/>
        <v>1.7349397590361446</v>
      </c>
      <c r="AD1464" s="37">
        <v>16864.09</v>
      </c>
      <c r="AE1464" s="37" t="s">
        <v>109</v>
      </c>
      <c r="AF1464" s="151" t="s">
        <v>317</v>
      </c>
      <c r="AG1464" s="151" t="s">
        <v>317</v>
      </c>
      <c r="AH1464" s="37" t="s">
        <v>48</v>
      </c>
      <c r="AI1464" s="309"/>
      <c r="AJ1464" s="309"/>
      <c r="AK1464" s="37" t="s">
        <v>41</v>
      </c>
      <c r="AL1464" s="37" t="s">
        <v>47</v>
      </c>
      <c r="AM1464" s="299">
        <f t="shared" ca="1" si="130"/>
        <v>2.1979166666642413</v>
      </c>
      <c r="AN1464" s="51"/>
      <c r="AO1464" s="171" t="s">
        <v>181</v>
      </c>
      <c r="AP1464" s="171" t="s">
        <v>3844</v>
      </c>
      <c r="AQ1464" s="171" t="s">
        <v>3909</v>
      </c>
      <c r="AR1464" s="174">
        <v>44914.725694444445</v>
      </c>
      <c r="AS1464" s="173" t="s">
        <v>3910</v>
      </c>
      <c r="AT1464" s="171" t="s">
        <v>65</v>
      </c>
      <c r="AU1464" s="173">
        <v>0.77430555555555547</v>
      </c>
      <c r="AV1464" s="171">
        <v>1</v>
      </c>
      <c r="AW1464" s="171" t="s">
        <v>66</v>
      </c>
      <c r="AX1464" s="52"/>
      <c r="AY1464" s="52"/>
      <c r="AZ1464" s="52"/>
      <c r="BA1464" s="52"/>
    </row>
    <row r="1465" spans="1:53" ht="24" x14ac:dyDescent="0.25">
      <c r="A1465" s="48">
        <v>320</v>
      </c>
      <c r="B1465" s="155">
        <v>44912.527777777781</v>
      </c>
      <c r="C1465" s="150">
        <v>0.53472222222222221</v>
      </c>
      <c r="D1465" s="150">
        <v>0.59027777777777779</v>
      </c>
      <c r="E1465" s="178" t="s">
        <v>3862</v>
      </c>
      <c r="F1465" s="151" t="s">
        <v>171</v>
      </c>
      <c r="G1465" s="151" t="s">
        <v>290</v>
      </c>
      <c r="H1465" s="146" t="s">
        <v>91</v>
      </c>
      <c r="I1465" s="146" t="s">
        <v>3843</v>
      </c>
      <c r="J1465" s="146" t="s">
        <v>41</v>
      </c>
      <c r="K1465" s="146" t="s">
        <v>233</v>
      </c>
      <c r="L1465" s="146" t="s">
        <v>206</v>
      </c>
      <c r="M1465" s="151" t="s">
        <v>3844</v>
      </c>
      <c r="N1465" s="151" t="s">
        <v>175</v>
      </c>
      <c r="O1465" s="37">
        <v>1054969988</v>
      </c>
      <c r="P1465" s="37">
        <v>1214043670</v>
      </c>
      <c r="Q1465" s="303">
        <f t="shared" si="131"/>
        <v>1</v>
      </c>
      <c r="R1465" s="303">
        <f t="shared" si="132"/>
        <v>32</v>
      </c>
      <c r="S1465" s="37">
        <v>0</v>
      </c>
      <c r="T1465" s="37">
        <v>0</v>
      </c>
      <c r="U1465" s="37">
        <v>1</v>
      </c>
      <c r="V1465" s="37">
        <v>32</v>
      </c>
      <c r="W1465" s="37">
        <v>33</v>
      </c>
      <c r="X1465" s="37">
        <v>100</v>
      </c>
      <c r="Y1465" s="37">
        <v>75</v>
      </c>
      <c r="Z1465" s="37">
        <v>53</v>
      </c>
      <c r="AA1465" s="37">
        <v>1</v>
      </c>
      <c r="AB1465" s="300">
        <f t="shared" si="133"/>
        <v>66.25</v>
      </c>
      <c r="AC1465" s="300">
        <f t="shared" si="134"/>
        <v>0.3990963855421687</v>
      </c>
      <c r="AD1465" s="37">
        <v>345.5</v>
      </c>
      <c r="AE1465" s="151" t="s">
        <v>109</v>
      </c>
      <c r="AF1465" s="151" t="s">
        <v>317</v>
      </c>
      <c r="AG1465" s="151" t="s">
        <v>317</v>
      </c>
      <c r="AH1465" s="151" t="s">
        <v>48</v>
      </c>
      <c r="AI1465" s="309"/>
      <c r="AJ1465" s="309"/>
      <c r="AK1465" s="37" t="s">
        <v>37</v>
      </c>
      <c r="AL1465" s="151" t="s">
        <v>47</v>
      </c>
      <c r="AM1465" s="299">
        <f t="shared" ca="1" si="130"/>
        <v>2.1979166666642413</v>
      </c>
      <c r="AN1465" s="51"/>
      <c r="AO1465" s="171" t="s">
        <v>181</v>
      </c>
      <c r="AP1465" s="171" t="s">
        <v>3844</v>
      </c>
      <c r="AQ1465" s="171" t="s">
        <v>3909</v>
      </c>
      <c r="AR1465" s="174">
        <v>44914.725694444445</v>
      </c>
      <c r="AS1465" s="173" t="s">
        <v>3910</v>
      </c>
      <c r="AT1465" s="171" t="s">
        <v>65</v>
      </c>
      <c r="AU1465" s="173">
        <v>0.77430555555555547</v>
      </c>
      <c r="AV1465" s="171">
        <v>1</v>
      </c>
      <c r="AW1465" s="171" t="s">
        <v>66</v>
      </c>
      <c r="AX1465" s="52"/>
      <c r="AY1465" s="52"/>
      <c r="AZ1465" s="52"/>
      <c r="BA1465" s="52"/>
    </row>
    <row r="1466" spans="1:53" ht="24" x14ac:dyDescent="0.25">
      <c r="A1466" s="48">
        <v>321</v>
      </c>
      <c r="B1466" s="155">
        <v>44912.527777777781</v>
      </c>
      <c r="C1466" s="150">
        <v>0.53472222222222221</v>
      </c>
      <c r="D1466" s="150">
        <v>0.59027777777777779</v>
      </c>
      <c r="E1466" s="178" t="s">
        <v>3862</v>
      </c>
      <c r="F1466" s="151" t="s">
        <v>171</v>
      </c>
      <c r="G1466" s="151" t="s">
        <v>290</v>
      </c>
      <c r="H1466" s="146" t="s">
        <v>91</v>
      </c>
      <c r="I1466" s="146" t="s">
        <v>3843</v>
      </c>
      <c r="J1466" s="146" t="s">
        <v>41</v>
      </c>
      <c r="K1466" s="146" t="s">
        <v>233</v>
      </c>
      <c r="L1466" s="146" t="s">
        <v>206</v>
      </c>
      <c r="M1466" s="151" t="s">
        <v>3844</v>
      </c>
      <c r="N1466" s="151" t="s">
        <v>175</v>
      </c>
      <c r="O1466" s="37">
        <v>1054969932</v>
      </c>
      <c r="P1466" s="37">
        <v>1214027549</v>
      </c>
      <c r="Q1466" s="303">
        <f t="shared" si="131"/>
        <v>1</v>
      </c>
      <c r="R1466" s="303">
        <f t="shared" si="132"/>
        <v>4</v>
      </c>
      <c r="S1466" s="37">
        <v>1</v>
      </c>
      <c r="T1466" s="37">
        <v>4</v>
      </c>
      <c r="U1466" s="37">
        <v>0</v>
      </c>
      <c r="V1466" s="37">
        <v>0</v>
      </c>
      <c r="W1466" s="37">
        <v>5</v>
      </c>
      <c r="X1466" s="37">
        <v>40</v>
      </c>
      <c r="Y1466" s="37">
        <v>39</v>
      </c>
      <c r="Z1466" s="37">
        <v>20</v>
      </c>
      <c r="AA1466" s="37">
        <v>1</v>
      </c>
      <c r="AB1466" s="300">
        <f t="shared" si="133"/>
        <v>5.2</v>
      </c>
      <c r="AC1466" s="300">
        <f t="shared" si="134"/>
        <v>3.1325301204819279E-2</v>
      </c>
      <c r="AD1466" s="37">
        <v>58.3</v>
      </c>
      <c r="AE1466" s="151" t="s">
        <v>109</v>
      </c>
      <c r="AF1466" s="151" t="s">
        <v>317</v>
      </c>
      <c r="AG1466" s="151" t="s">
        <v>317</v>
      </c>
      <c r="AH1466" s="151" t="s">
        <v>48</v>
      </c>
      <c r="AI1466" s="309"/>
      <c r="AJ1466" s="309"/>
      <c r="AK1466" s="37" t="s">
        <v>48</v>
      </c>
      <c r="AL1466" s="151" t="s">
        <v>47</v>
      </c>
      <c r="AM1466" s="299">
        <f t="shared" ca="1" si="130"/>
        <v>2.1979166666642413</v>
      </c>
      <c r="AN1466" s="51"/>
      <c r="AO1466" s="171" t="s">
        <v>181</v>
      </c>
      <c r="AP1466" s="171" t="s">
        <v>3844</v>
      </c>
      <c r="AQ1466" s="171" t="s">
        <v>3909</v>
      </c>
      <c r="AR1466" s="174">
        <v>44914.725694444445</v>
      </c>
      <c r="AS1466" s="173" t="s">
        <v>3910</v>
      </c>
      <c r="AT1466" s="171" t="s">
        <v>65</v>
      </c>
      <c r="AU1466" s="173">
        <v>0.77430555555555547</v>
      </c>
      <c r="AV1466" s="171">
        <v>1</v>
      </c>
      <c r="AW1466" s="171" t="s">
        <v>66</v>
      </c>
      <c r="AX1466" s="52"/>
      <c r="AY1466" s="52"/>
      <c r="AZ1466" s="52"/>
      <c r="BA1466" s="52"/>
    </row>
    <row r="1467" spans="1:53" ht="24" x14ac:dyDescent="0.25">
      <c r="A1467" s="48">
        <v>322</v>
      </c>
      <c r="B1467" s="155">
        <v>44912.527777777781</v>
      </c>
      <c r="C1467" s="150">
        <v>0.53472222222222221</v>
      </c>
      <c r="D1467" s="150">
        <v>0.59027777777777779</v>
      </c>
      <c r="E1467" s="178" t="s">
        <v>3862</v>
      </c>
      <c r="F1467" s="151" t="s">
        <v>171</v>
      </c>
      <c r="G1467" s="151" t="s">
        <v>290</v>
      </c>
      <c r="H1467" s="146" t="s">
        <v>91</v>
      </c>
      <c r="I1467" s="146" t="s">
        <v>3843</v>
      </c>
      <c r="J1467" s="146" t="s">
        <v>41</v>
      </c>
      <c r="K1467" s="146" t="s">
        <v>233</v>
      </c>
      <c r="L1467" s="146" t="s">
        <v>206</v>
      </c>
      <c r="M1467" s="151" t="s">
        <v>3844</v>
      </c>
      <c r="N1467" s="151" t="s">
        <v>175</v>
      </c>
      <c r="O1467" s="37">
        <v>1054969927</v>
      </c>
      <c r="P1467" s="37">
        <v>1214028010</v>
      </c>
      <c r="Q1467" s="303">
        <f t="shared" si="131"/>
        <v>1</v>
      </c>
      <c r="R1467" s="303">
        <f t="shared" si="132"/>
        <v>5</v>
      </c>
      <c r="S1467" s="37">
        <v>1</v>
      </c>
      <c r="T1467" s="37">
        <v>5</v>
      </c>
      <c r="U1467" s="37">
        <v>0</v>
      </c>
      <c r="V1467" s="37">
        <v>0</v>
      </c>
      <c r="W1467" s="37">
        <v>6</v>
      </c>
      <c r="X1467" s="37">
        <v>35</v>
      </c>
      <c r="Y1467" s="37">
        <v>25</v>
      </c>
      <c r="Z1467" s="37">
        <v>24</v>
      </c>
      <c r="AA1467" s="37">
        <v>1</v>
      </c>
      <c r="AB1467" s="300">
        <f t="shared" si="133"/>
        <v>3.5</v>
      </c>
      <c r="AC1467" s="300">
        <f t="shared" si="134"/>
        <v>2.1084337349397589E-2</v>
      </c>
      <c r="AD1467" s="37">
        <v>405.4</v>
      </c>
      <c r="AE1467" s="151" t="s">
        <v>109</v>
      </c>
      <c r="AF1467" s="151" t="s">
        <v>317</v>
      </c>
      <c r="AG1467" s="151" t="s">
        <v>317</v>
      </c>
      <c r="AH1467" s="151" t="s">
        <v>48</v>
      </c>
      <c r="AI1467" s="309"/>
      <c r="AJ1467" s="309"/>
      <c r="AK1467" s="151" t="s">
        <v>48</v>
      </c>
      <c r="AL1467" s="151" t="s">
        <v>47</v>
      </c>
      <c r="AM1467" s="299">
        <f t="shared" ca="1" si="130"/>
        <v>2.1979166666642413</v>
      </c>
      <c r="AN1467" s="51"/>
      <c r="AO1467" s="171" t="s">
        <v>181</v>
      </c>
      <c r="AP1467" s="171" t="s">
        <v>3844</v>
      </c>
      <c r="AQ1467" s="171" t="s">
        <v>3909</v>
      </c>
      <c r="AR1467" s="174">
        <v>44914.725694444445</v>
      </c>
      <c r="AS1467" s="173" t="s">
        <v>3910</v>
      </c>
      <c r="AT1467" s="171" t="s">
        <v>65</v>
      </c>
      <c r="AU1467" s="173">
        <v>0.77430555555555547</v>
      </c>
      <c r="AV1467" s="171">
        <v>1</v>
      </c>
      <c r="AW1467" s="171" t="s">
        <v>66</v>
      </c>
      <c r="AX1467" s="52"/>
      <c r="AY1467" s="52"/>
      <c r="AZ1467" s="52"/>
      <c r="BA1467" s="52"/>
    </row>
    <row r="1468" spans="1:53" ht="24" x14ac:dyDescent="0.25">
      <c r="A1468" s="48">
        <v>323</v>
      </c>
      <c r="B1468" s="155">
        <v>44912.527777777781</v>
      </c>
      <c r="C1468" s="150">
        <v>0.53472222222222221</v>
      </c>
      <c r="D1468" s="150">
        <v>0.59027777777777779</v>
      </c>
      <c r="E1468" s="178" t="s">
        <v>3862</v>
      </c>
      <c r="F1468" s="151" t="s">
        <v>171</v>
      </c>
      <c r="G1468" s="151" t="s">
        <v>290</v>
      </c>
      <c r="H1468" s="146" t="s">
        <v>91</v>
      </c>
      <c r="I1468" s="146" t="s">
        <v>3843</v>
      </c>
      <c r="J1468" s="146" t="s">
        <v>41</v>
      </c>
      <c r="K1468" s="146" t="s">
        <v>233</v>
      </c>
      <c r="L1468" s="146" t="s">
        <v>206</v>
      </c>
      <c r="M1468" s="151" t="s">
        <v>3844</v>
      </c>
      <c r="N1468" s="151" t="s">
        <v>175</v>
      </c>
      <c r="O1468" s="37">
        <v>1054969933</v>
      </c>
      <c r="P1468" s="37">
        <v>1214027126</v>
      </c>
      <c r="Q1468" s="303">
        <f t="shared" si="131"/>
        <v>1</v>
      </c>
      <c r="R1468" s="303">
        <f t="shared" si="132"/>
        <v>57</v>
      </c>
      <c r="S1468" s="37">
        <v>0</v>
      </c>
      <c r="T1468" s="37">
        <v>0</v>
      </c>
      <c r="U1468" s="37">
        <v>1</v>
      </c>
      <c r="V1468" s="37">
        <v>57</v>
      </c>
      <c r="W1468" s="37">
        <v>59</v>
      </c>
      <c r="X1468" s="37">
        <v>100</v>
      </c>
      <c r="Y1468" s="37">
        <v>75</v>
      </c>
      <c r="Z1468" s="37">
        <v>53</v>
      </c>
      <c r="AA1468" s="37">
        <v>1</v>
      </c>
      <c r="AB1468" s="300">
        <f t="shared" si="133"/>
        <v>66.25</v>
      </c>
      <c r="AC1468" s="300">
        <f t="shared" si="134"/>
        <v>0.3990963855421687</v>
      </c>
      <c r="AD1468" s="37">
        <v>82.82</v>
      </c>
      <c r="AE1468" s="151" t="s">
        <v>109</v>
      </c>
      <c r="AF1468" s="151" t="s">
        <v>317</v>
      </c>
      <c r="AG1468" s="151" t="s">
        <v>317</v>
      </c>
      <c r="AH1468" s="151" t="s">
        <v>48</v>
      </c>
      <c r="AI1468" s="309"/>
      <c r="AJ1468" s="309"/>
      <c r="AK1468" s="151" t="s">
        <v>37</v>
      </c>
      <c r="AL1468" s="151" t="s">
        <v>47</v>
      </c>
      <c r="AM1468" s="299">
        <f t="shared" ca="1" si="130"/>
        <v>2.1979166666642413</v>
      </c>
      <c r="AN1468" s="51"/>
      <c r="AO1468" s="171" t="s">
        <v>181</v>
      </c>
      <c r="AP1468" s="171" t="s">
        <v>3844</v>
      </c>
      <c r="AQ1468" s="171" t="s">
        <v>3909</v>
      </c>
      <c r="AR1468" s="174">
        <v>44914.725694444445</v>
      </c>
      <c r="AS1468" s="173" t="s">
        <v>3910</v>
      </c>
      <c r="AT1468" s="171" t="s">
        <v>65</v>
      </c>
      <c r="AU1468" s="173">
        <v>0.77430555555555547</v>
      </c>
      <c r="AV1468" s="171">
        <v>1</v>
      </c>
      <c r="AW1468" s="171" t="s">
        <v>66</v>
      </c>
      <c r="AX1468" s="52"/>
      <c r="AY1468" s="52"/>
      <c r="AZ1468" s="52"/>
      <c r="BA1468" s="52"/>
    </row>
    <row r="1469" spans="1:53" ht="24" x14ac:dyDescent="0.25">
      <c r="A1469" s="48">
        <v>324</v>
      </c>
      <c r="B1469" s="155">
        <v>44912.527777777781</v>
      </c>
      <c r="C1469" s="150">
        <v>0.53472222222222221</v>
      </c>
      <c r="D1469" s="150">
        <v>0.59027777777777779</v>
      </c>
      <c r="E1469" s="178" t="s">
        <v>3862</v>
      </c>
      <c r="F1469" s="151" t="s">
        <v>171</v>
      </c>
      <c r="G1469" s="151" t="s">
        <v>290</v>
      </c>
      <c r="H1469" s="146" t="s">
        <v>91</v>
      </c>
      <c r="I1469" s="146" t="s">
        <v>3843</v>
      </c>
      <c r="J1469" s="146" t="s">
        <v>41</v>
      </c>
      <c r="K1469" s="146" t="s">
        <v>233</v>
      </c>
      <c r="L1469" s="146" t="s">
        <v>206</v>
      </c>
      <c r="M1469" s="151" t="s">
        <v>3844</v>
      </c>
      <c r="N1469" s="151" t="s">
        <v>175</v>
      </c>
      <c r="O1469" s="37">
        <v>1054969926</v>
      </c>
      <c r="P1469" s="37">
        <v>1214027548</v>
      </c>
      <c r="Q1469" s="303">
        <f t="shared" si="131"/>
        <v>1</v>
      </c>
      <c r="R1469" s="303">
        <f t="shared" si="132"/>
        <v>52</v>
      </c>
      <c r="S1469" s="37">
        <v>0</v>
      </c>
      <c r="T1469" s="37">
        <v>0</v>
      </c>
      <c r="U1469" s="37">
        <v>1</v>
      </c>
      <c r="V1469" s="37">
        <v>52</v>
      </c>
      <c r="W1469" s="37">
        <v>54</v>
      </c>
      <c r="X1469" s="37">
        <v>76</v>
      </c>
      <c r="Y1469" s="37">
        <v>49</v>
      </c>
      <c r="Z1469" s="37">
        <v>72</v>
      </c>
      <c r="AA1469" s="37">
        <v>1</v>
      </c>
      <c r="AB1469" s="300">
        <f t="shared" si="133"/>
        <v>44.688000000000002</v>
      </c>
      <c r="AC1469" s="300">
        <f t="shared" si="134"/>
        <v>0.26920481927710843</v>
      </c>
      <c r="AD1469" s="37">
        <v>664.21</v>
      </c>
      <c r="AE1469" s="151" t="s">
        <v>109</v>
      </c>
      <c r="AF1469" s="151" t="s">
        <v>317</v>
      </c>
      <c r="AG1469" s="151" t="s">
        <v>317</v>
      </c>
      <c r="AH1469" s="151" t="s">
        <v>48</v>
      </c>
      <c r="AI1469" s="309"/>
      <c r="AJ1469" s="309"/>
      <c r="AK1469" s="151" t="s">
        <v>37</v>
      </c>
      <c r="AL1469" s="151" t="s">
        <v>47</v>
      </c>
      <c r="AM1469" s="299">
        <f t="shared" ca="1" si="130"/>
        <v>2.1979166666642413</v>
      </c>
      <c r="AN1469" s="51"/>
      <c r="AO1469" s="171" t="s">
        <v>181</v>
      </c>
      <c r="AP1469" s="171" t="s">
        <v>3844</v>
      </c>
      <c r="AQ1469" s="171" t="s">
        <v>3909</v>
      </c>
      <c r="AR1469" s="174">
        <v>44914.725694444445</v>
      </c>
      <c r="AS1469" s="173" t="s">
        <v>3910</v>
      </c>
      <c r="AT1469" s="171" t="s">
        <v>65</v>
      </c>
      <c r="AU1469" s="173">
        <v>0.77430555555555547</v>
      </c>
      <c r="AV1469" s="171">
        <v>1</v>
      </c>
      <c r="AW1469" s="171" t="s">
        <v>66</v>
      </c>
      <c r="AX1469" s="52"/>
      <c r="AY1469" s="52"/>
      <c r="AZ1469" s="52"/>
      <c r="BA1469" s="52"/>
    </row>
    <row r="1470" spans="1:53" ht="24" x14ac:dyDescent="0.25">
      <c r="A1470" s="48">
        <v>325</v>
      </c>
      <c r="B1470" s="155">
        <v>44912.527777777781</v>
      </c>
      <c r="C1470" s="150">
        <v>0.53472222222222221</v>
      </c>
      <c r="D1470" s="150">
        <v>0.59027777777777779</v>
      </c>
      <c r="E1470" s="178" t="s">
        <v>3862</v>
      </c>
      <c r="F1470" s="151" t="s">
        <v>171</v>
      </c>
      <c r="G1470" s="151" t="s">
        <v>290</v>
      </c>
      <c r="H1470" s="146" t="s">
        <v>91</v>
      </c>
      <c r="I1470" s="146" t="s">
        <v>3843</v>
      </c>
      <c r="J1470" s="146" t="s">
        <v>41</v>
      </c>
      <c r="K1470" s="146" t="s">
        <v>233</v>
      </c>
      <c r="L1470" s="146" t="s">
        <v>206</v>
      </c>
      <c r="M1470" s="151" t="s">
        <v>3844</v>
      </c>
      <c r="N1470" s="151" t="s">
        <v>175</v>
      </c>
      <c r="O1470" s="37">
        <v>1054969928</v>
      </c>
      <c r="P1470" s="37">
        <v>1214027124</v>
      </c>
      <c r="Q1470" s="303">
        <f t="shared" si="131"/>
        <v>2</v>
      </c>
      <c r="R1470" s="303">
        <f t="shared" si="132"/>
        <v>112</v>
      </c>
      <c r="S1470" s="37">
        <v>1</v>
      </c>
      <c r="T1470" s="37">
        <v>3</v>
      </c>
      <c r="U1470" s="37">
        <v>1</v>
      </c>
      <c r="V1470" s="37">
        <v>109</v>
      </c>
      <c r="W1470" s="37">
        <v>116</v>
      </c>
      <c r="X1470" s="37">
        <v>131</v>
      </c>
      <c r="Y1470" s="37">
        <v>80</v>
      </c>
      <c r="Z1470" s="37">
        <v>72</v>
      </c>
      <c r="AA1470" s="37">
        <v>1</v>
      </c>
      <c r="AB1470" s="300">
        <f t="shared" si="133"/>
        <v>125.76</v>
      </c>
      <c r="AC1470" s="300">
        <f t="shared" si="134"/>
        <v>0.75759036144578318</v>
      </c>
      <c r="AD1470" s="37">
        <v>1241.1099999999999</v>
      </c>
      <c r="AE1470" s="151" t="s">
        <v>109</v>
      </c>
      <c r="AF1470" s="151" t="s">
        <v>317</v>
      </c>
      <c r="AG1470" s="151" t="s">
        <v>317</v>
      </c>
      <c r="AH1470" s="151" t="s">
        <v>48</v>
      </c>
      <c r="AI1470" s="309"/>
      <c r="AJ1470" s="309"/>
      <c r="AK1470" s="151" t="s">
        <v>37</v>
      </c>
      <c r="AL1470" s="151" t="s">
        <v>47</v>
      </c>
      <c r="AM1470" s="299">
        <f t="shared" ca="1" si="130"/>
        <v>2.1979166666642413</v>
      </c>
      <c r="AN1470" s="51"/>
      <c r="AO1470" s="171" t="s">
        <v>181</v>
      </c>
      <c r="AP1470" s="171" t="s">
        <v>3844</v>
      </c>
      <c r="AQ1470" s="171" t="s">
        <v>3909</v>
      </c>
      <c r="AR1470" s="174">
        <v>44914.725694444445</v>
      </c>
      <c r="AS1470" s="173" t="s">
        <v>3910</v>
      </c>
      <c r="AT1470" s="171" t="s">
        <v>65</v>
      </c>
      <c r="AU1470" s="173">
        <v>0.77430555555555547</v>
      </c>
      <c r="AV1470" s="171">
        <v>1</v>
      </c>
      <c r="AW1470" s="171" t="s">
        <v>66</v>
      </c>
      <c r="AX1470" s="52"/>
      <c r="AY1470" s="52"/>
      <c r="AZ1470" s="52"/>
      <c r="BA1470" s="52"/>
    </row>
    <row r="1471" spans="1:53" ht="24" x14ac:dyDescent="0.25">
      <c r="A1471" s="157">
        <v>325</v>
      </c>
      <c r="B1471" s="155">
        <v>44912.527777777781</v>
      </c>
      <c r="C1471" s="150">
        <v>0.53472222222222221</v>
      </c>
      <c r="D1471" s="150">
        <v>0.59027777777777779</v>
      </c>
      <c r="E1471" s="178" t="s">
        <v>3862</v>
      </c>
      <c r="F1471" s="151" t="s">
        <v>171</v>
      </c>
      <c r="G1471" s="151" t="s">
        <v>290</v>
      </c>
      <c r="H1471" s="146" t="s">
        <v>91</v>
      </c>
      <c r="I1471" s="146" t="s">
        <v>3843</v>
      </c>
      <c r="J1471" s="146" t="s">
        <v>41</v>
      </c>
      <c r="K1471" s="146" t="s">
        <v>233</v>
      </c>
      <c r="L1471" s="146" t="s">
        <v>206</v>
      </c>
      <c r="M1471" s="151" t="s">
        <v>3844</v>
      </c>
      <c r="N1471" s="151" t="s">
        <v>175</v>
      </c>
      <c r="O1471" s="151">
        <v>1054969928</v>
      </c>
      <c r="P1471" s="151">
        <v>1214027124</v>
      </c>
      <c r="Q1471" s="303">
        <f t="shared" si="131"/>
        <v>0</v>
      </c>
      <c r="R1471" s="303">
        <f t="shared" si="132"/>
        <v>0</v>
      </c>
      <c r="S1471" s="151">
        <v>0</v>
      </c>
      <c r="T1471" s="151">
        <v>0</v>
      </c>
      <c r="U1471" s="151">
        <v>0</v>
      </c>
      <c r="V1471" s="151">
        <v>0</v>
      </c>
      <c r="W1471" s="151">
        <v>0</v>
      </c>
      <c r="X1471" s="37">
        <v>52</v>
      </c>
      <c r="Y1471" s="37">
        <v>35</v>
      </c>
      <c r="Z1471" s="37">
        <v>26</v>
      </c>
      <c r="AA1471" s="37">
        <v>1</v>
      </c>
      <c r="AB1471" s="300">
        <f t="shared" si="133"/>
        <v>7.8866666666666667</v>
      </c>
      <c r="AC1471" s="300">
        <f t="shared" si="134"/>
        <v>4.7510040160642572E-2</v>
      </c>
      <c r="AD1471" s="37">
        <v>0</v>
      </c>
      <c r="AE1471" s="151">
        <v>0</v>
      </c>
      <c r="AF1471" s="151" t="s">
        <v>317</v>
      </c>
      <c r="AG1471" s="151" t="s">
        <v>317</v>
      </c>
      <c r="AH1471" s="151" t="s">
        <v>48</v>
      </c>
      <c r="AI1471" s="309"/>
      <c r="AJ1471" s="309"/>
      <c r="AK1471" s="37" t="s">
        <v>48</v>
      </c>
      <c r="AL1471" s="151" t="s">
        <v>47</v>
      </c>
      <c r="AM1471" s="299">
        <f t="shared" ca="1" si="130"/>
        <v>2.1979166666642413</v>
      </c>
      <c r="AN1471" s="51"/>
      <c r="AO1471" s="171" t="s">
        <v>181</v>
      </c>
      <c r="AP1471" s="171" t="s">
        <v>3844</v>
      </c>
      <c r="AQ1471" s="171" t="s">
        <v>3909</v>
      </c>
      <c r="AR1471" s="174">
        <v>44914.725694444445</v>
      </c>
      <c r="AS1471" s="173" t="s">
        <v>3910</v>
      </c>
      <c r="AT1471" s="171" t="s">
        <v>65</v>
      </c>
      <c r="AU1471" s="173">
        <v>0.77430555555555547</v>
      </c>
      <c r="AV1471" s="171">
        <v>1</v>
      </c>
      <c r="AW1471" s="171" t="s">
        <v>66</v>
      </c>
      <c r="AX1471" s="52"/>
      <c r="AY1471" s="52"/>
      <c r="AZ1471" s="52"/>
      <c r="BA1471" s="52"/>
    </row>
    <row r="1472" spans="1:53" ht="24" x14ac:dyDescent="0.25">
      <c r="A1472" s="48">
        <v>326</v>
      </c>
      <c r="B1472" s="155">
        <v>44912.527777777781</v>
      </c>
      <c r="C1472" s="150">
        <v>0.53472222222222221</v>
      </c>
      <c r="D1472" s="150">
        <v>0.59027777777777779</v>
      </c>
      <c r="E1472" s="178" t="s">
        <v>3862</v>
      </c>
      <c r="F1472" s="151" t="s">
        <v>171</v>
      </c>
      <c r="G1472" s="151" t="s">
        <v>290</v>
      </c>
      <c r="H1472" s="146" t="s">
        <v>91</v>
      </c>
      <c r="I1472" s="146" t="s">
        <v>3843</v>
      </c>
      <c r="J1472" s="146" t="s">
        <v>41</v>
      </c>
      <c r="K1472" s="146" t="s">
        <v>233</v>
      </c>
      <c r="L1472" s="146" t="s">
        <v>206</v>
      </c>
      <c r="M1472" s="151" t="s">
        <v>3844</v>
      </c>
      <c r="N1472" s="151" t="s">
        <v>175</v>
      </c>
      <c r="O1472" s="37">
        <v>1054969944</v>
      </c>
      <c r="P1472" s="37">
        <v>1214032705</v>
      </c>
      <c r="Q1472" s="303">
        <f t="shared" si="131"/>
        <v>1</v>
      </c>
      <c r="R1472" s="303">
        <f t="shared" si="132"/>
        <v>1</v>
      </c>
      <c r="S1472" s="37">
        <v>1</v>
      </c>
      <c r="T1472" s="37">
        <v>1</v>
      </c>
      <c r="U1472" s="37">
        <v>0</v>
      </c>
      <c r="V1472" s="37">
        <v>0</v>
      </c>
      <c r="W1472" s="37">
        <v>1</v>
      </c>
      <c r="X1472" s="37">
        <v>26</v>
      </c>
      <c r="Y1472" s="37">
        <v>26</v>
      </c>
      <c r="Z1472" s="37">
        <v>20</v>
      </c>
      <c r="AA1472" s="37">
        <v>1</v>
      </c>
      <c r="AB1472" s="300">
        <f t="shared" si="133"/>
        <v>2.2533333333333334</v>
      </c>
      <c r="AC1472" s="300">
        <f t="shared" si="134"/>
        <v>1.3574297188755021E-2</v>
      </c>
      <c r="AD1472" s="37">
        <v>69.73</v>
      </c>
      <c r="AE1472" s="151" t="s">
        <v>109</v>
      </c>
      <c r="AF1472" s="151" t="s">
        <v>317</v>
      </c>
      <c r="AG1472" s="151" t="s">
        <v>317</v>
      </c>
      <c r="AH1472" s="151" t="s">
        <v>48</v>
      </c>
      <c r="AI1472" s="309"/>
      <c r="AJ1472" s="309"/>
      <c r="AK1472" s="151" t="s">
        <v>48</v>
      </c>
      <c r="AL1472" s="151" t="s">
        <v>47</v>
      </c>
      <c r="AM1472" s="299">
        <f t="shared" ca="1" si="130"/>
        <v>2.1979166666642413</v>
      </c>
      <c r="AN1472" s="51"/>
      <c r="AO1472" s="171" t="s">
        <v>181</v>
      </c>
      <c r="AP1472" s="171" t="s">
        <v>3844</v>
      </c>
      <c r="AQ1472" s="171" t="s">
        <v>3909</v>
      </c>
      <c r="AR1472" s="174">
        <v>44914.725694444445</v>
      </c>
      <c r="AS1472" s="173" t="s">
        <v>3910</v>
      </c>
      <c r="AT1472" s="171" t="s">
        <v>65</v>
      </c>
      <c r="AU1472" s="173">
        <v>0.77430555555555547</v>
      </c>
      <c r="AV1472" s="171">
        <v>1</v>
      </c>
      <c r="AW1472" s="171" t="s">
        <v>66</v>
      </c>
      <c r="AX1472" s="52"/>
      <c r="AY1472" s="52"/>
      <c r="AZ1472" s="52"/>
      <c r="BA1472" s="52"/>
    </row>
    <row r="1473" spans="1:53" ht="24" x14ac:dyDescent="0.25">
      <c r="A1473" s="48">
        <v>327</v>
      </c>
      <c r="B1473" s="155">
        <v>44912.527777777781</v>
      </c>
      <c r="C1473" s="150">
        <v>0.53472222222222221</v>
      </c>
      <c r="D1473" s="150">
        <v>0.59027777777777779</v>
      </c>
      <c r="E1473" s="178" t="s">
        <v>3862</v>
      </c>
      <c r="F1473" s="151" t="s">
        <v>171</v>
      </c>
      <c r="G1473" s="151" t="s">
        <v>290</v>
      </c>
      <c r="H1473" s="146" t="s">
        <v>91</v>
      </c>
      <c r="I1473" s="146" t="s">
        <v>3843</v>
      </c>
      <c r="J1473" s="146" t="s">
        <v>41</v>
      </c>
      <c r="K1473" s="146" t="s">
        <v>233</v>
      </c>
      <c r="L1473" s="146" t="s">
        <v>206</v>
      </c>
      <c r="M1473" s="151" t="s">
        <v>3844</v>
      </c>
      <c r="N1473" s="151" t="s">
        <v>175</v>
      </c>
      <c r="O1473" s="37">
        <v>1054969930</v>
      </c>
      <c r="P1473" s="37">
        <v>1214027996</v>
      </c>
      <c r="Q1473" s="303">
        <f t="shared" si="131"/>
        <v>1</v>
      </c>
      <c r="R1473" s="303">
        <f t="shared" si="132"/>
        <v>2</v>
      </c>
      <c r="S1473" s="37">
        <v>1</v>
      </c>
      <c r="T1473" s="37">
        <v>2</v>
      </c>
      <c r="U1473" s="37">
        <v>0</v>
      </c>
      <c r="V1473" s="37">
        <v>0</v>
      </c>
      <c r="W1473" s="37">
        <v>2</v>
      </c>
      <c r="X1473" s="37">
        <v>34</v>
      </c>
      <c r="Y1473" s="37">
        <v>29</v>
      </c>
      <c r="Z1473" s="37">
        <v>19</v>
      </c>
      <c r="AA1473" s="37">
        <v>1</v>
      </c>
      <c r="AB1473" s="300">
        <f t="shared" si="133"/>
        <v>3.1223333333333332</v>
      </c>
      <c r="AC1473" s="300">
        <f t="shared" si="134"/>
        <v>1.8809236947791165E-2</v>
      </c>
      <c r="AD1473" s="37">
        <v>12.24</v>
      </c>
      <c r="AE1473" s="151" t="s">
        <v>109</v>
      </c>
      <c r="AF1473" s="151" t="s">
        <v>317</v>
      </c>
      <c r="AG1473" s="151" t="s">
        <v>317</v>
      </c>
      <c r="AH1473" s="151" t="s">
        <v>48</v>
      </c>
      <c r="AI1473" s="309"/>
      <c r="AJ1473" s="309"/>
      <c r="AK1473" s="151" t="s">
        <v>48</v>
      </c>
      <c r="AL1473" s="151" t="s">
        <v>47</v>
      </c>
      <c r="AM1473" s="299">
        <f t="shared" ca="1" si="130"/>
        <v>2.1979166666642413</v>
      </c>
      <c r="AN1473" s="51"/>
      <c r="AO1473" s="171" t="s">
        <v>181</v>
      </c>
      <c r="AP1473" s="171" t="s">
        <v>3844</v>
      </c>
      <c r="AQ1473" s="171" t="s">
        <v>3909</v>
      </c>
      <c r="AR1473" s="174">
        <v>44914.725694444445</v>
      </c>
      <c r="AS1473" s="173" t="s">
        <v>3910</v>
      </c>
      <c r="AT1473" s="171" t="s">
        <v>65</v>
      </c>
      <c r="AU1473" s="173">
        <v>0.77430555555555547</v>
      </c>
      <c r="AV1473" s="171">
        <v>1</v>
      </c>
      <c r="AW1473" s="171" t="s">
        <v>66</v>
      </c>
      <c r="AX1473" s="52"/>
      <c r="AY1473" s="52"/>
      <c r="AZ1473" s="52"/>
      <c r="BA1473" s="52"/>
    </row>
    <row r="1474" spans="1:53" ht="24" x14ac:dyDescent="0.25">
      <c r="A1474" s="48">
        <v>328</v>
      </c>
      <c r="B1474" s="155">
        <v>44912.527777777781</v>
      </c>
      <c r="C1474" s="150">
        <v>0.53472222222222221</v>
      </c>
      <c r="D1474" s="150">
        <v>0.59027777777777779</v>
      </c>
      <c r="E1474" s="178" t="s">
        <v>3862</v>
      </c>
      <c r="F1474" s="151" t="s">
        <v>171</v>
      </c>
      <c r="G1474" s="151" t="s">
        <v>290</v>
      </c>
      <c r="H1474" s="146" t="s">
        <v>91</v>
      </c>
      <c r="I1474" s="146" t="s">
        <v>3843</v>
      </c>
      <c r="J1474" s="146" t="s">
        <v>41</v>
      </c>
      <c r="K1474" s="146" t="s">
        <v>233</v>
      </c>
      <c r="L1474" s="146" t="s">
        <v>206</v>
      </c>
      <c r="M1474" s="151" t="s">
        <v>3844</v>
      </c>
      <c r="N1474" s="151" t="s">
        <v>175</v>
      </c>
      <c r="O1474" s="37">
        <v>1054969931</v>
      </c>
      <c r="P1474" s="37">
        <v>1214024358</v>
      </c>
      <c r="Q1474" s="303">
        <f t="shared" si="131"/>
        <v>1</v>
      </c>
      <c r="R1474" s="303">
        <f t="shared" si="132"/>
        <v>1</v>
      </c>
      <c r="S1474" s="37">
        <v>1</v>
      </c>
      <c r="T1474" s="37">
        <v>1</v>
      </c>
      <c r="U1474" s="37">
        <v>0</v>
      </c>
      <c r="V1474" s="37">
        <v>0</v>
      </c>
      <c r="W1474" s="37">
        <v>1</v>
      </c>
      <c r="X1474" s="37">
        <v>27</v>
      </c>
      <c r="Y1474" s="37">
        <v>26</v>
      </c>
      <c r="Z1474" s="37">
        <v>20</v>
      </c>
      <c r="AA1474" s="37">
        <v>1</v>
      </c>
      <c r="AB1474" s="300">
        <f t="shared" si="133"/>
        <v>2.34</v>
      </c>
      <c r="AC1474" s="300">
        <f t="shared" si="134"/>
        <v>1.4096385542168674E-2</v>
      </c>
      <c r="AD1474" s="37">
        <v>1516.32</v>
      </c>
      <c r="AE1474" s="151" t="s">
        <v>109</v>
      </c>
      <c r="AF1474" s="151" t="s">
        <v>317</v>
      </c>
      <c r="AG1474" s="151" t="s">
        <v>317</v>
      </c>
      <c r="AH1474" s="151" t="s">
        <v>48</v>
      </c>
      <c r="AI1474" s="309"/>
      <c r="AJ1474" s="309"/>
      <c r="AK1474" s="151" t="s">
        <v>48</v>
      </c>
      <c r="AL1474" s="151" t="s">
        <v>47</v>
      </c>
      <c r="AM1474" s="299">
        <f t="shared" ca="1" si="130"/>
        <v>2.1979166666642413</v>
      </c>
      <c r="AN1474" s="51"/>
      <c r="AO1474" s="171" t="s">
        <v>181</v>
      </c>
      <c r="AP1474" s="171" t="s">
        <v>3844</v>
      </c>
      <c r="AQ1474" s="171" t="s">
        <v>3909</v>
      </c>
      <c r="AR1474" s="174">
        <v>44914.725694444445</v>
      </c>
      <c r="AS1474" s="173" t="s">
        <v>3910</v>
      </c>
      <c r="AT1474" s="171" t="s">
        <v>65</v>
      </c>
      <c r="AU1474" s="173">
        <v>0.77430555555555547</v>
      </c>
      <c r="AV1474" s="171">
        <v>1</v>
      </c>
      <c r="AW1474" s="171" t="s">
        <v>66</v>
      </c>
      <c r="AX1474" s="52"/>
      <c r="AY1474" s="52"/>
      <c r="AZ1474" s="52"/>
      <c r="BA1474" s="52"/>
    </row>
    <row r="1475" spans="1:53" ht="24" x14ac:dyDescent="0.25">
      <c r="A1475" s="48">
        <v>329</v>
      </c>
      <c r="B1475" s="155">
        <v>44912.527777777781</v>
      </c>
      <c r="C1475" s="150">
        <v>0.53472222222222221</v>
      </c>
      <c r="D1475" s="150">
        <v>0.59027777777777779</v>
      </c>
      <c r="E1475" s="178" t="s">
        <v>3862</v>
      </c>
      <c r="F1475" s="151" t="s">
        <v>171</v>
      </c>
      <c r="G1475" s="151" t="s">
        <v>290</v>
      </c>
      <c r="H1475" s="146" t="s">
        <v>91</v>
      </c>
      <c r="I1475" s="146" t="s">
        <v>3843</v>
      </c>
      <c r="J1475" s="146" t="s">
        <v>41</v>
      </c>
      <c r="K1475" s="146" t="s">
        <v>233</v>
      </c>
      <c r="L1475" s="146" t="s">
        <v>206</v>
      </c>
      <c r="M1475" s="151" t="s">
        <v>3844</v>
      </c>
      <c r="N1475" s="151" t="s">
        <v>175</v>
      </c>
      <c r="O1475" s="37">
        <v>1054969809</v>
      </c>
      <c r="P1475" s="37">
        <v>1214007685</v>
      </c>
      <c r="Q1475" s="303">
        <f t="shared" si="131"/>
        <v>1</v>
      </c>
      <c r="R1475" s="303">
        <f t="shared" si="132"/>
        <v>111</v>
      </c>
      <c r="S1475" s="37">
        <v>0</v>
      </c>
      <c r="T1475" s="37">
        <v>0</v>
      </c>
      <c r="U1475" s="37">
        <v>1</v>
      </c>
      <c r="V1475" s="37">
        <v>111</v>
      </c>
      <c r="W1475" s="37">
        <v>113</v>
      </c>
      <c r="X1475" s="37">
        <v>100</v>
      </c>
      <c r="Y1475" s="37">
        <v>75</v>
      </c>
      <c r="Z1475" s="37">
        <v>72</v>
      </c>
      <c r="AA1475" s="37">
        <v>1</v>
      </c>
      <c r="AB1475" s="300">
        <f t="shared" si="133"/>
        <v>90</v>
      </c>
      <c r="AC1475" s="300">
        <f t="shared" si="134"/>
        <v>0.54216867469879515</v>
      </c>
      <c r="AD1475" s="37">
        <v>4184.24</v>
      </c>
      <c r="AE1475" s="151" t="s">
        <v>109</v>
      </c>
      <c r="AF1475" s="151" t="s">
        <v>317</v>
      </c>
      <c r="AG1475" s="151" t="s">
        <v>317</v>
      </c>
      <c r="AH1475" s="151" t="s">
        <v>48</v>
      </c>
      <c r="AI1475" s="309"/>
      <c r="AJ1475" s="309"/>
      <c r="AK1475" s="37" t="s">
        <v>37</v>
      </c>
      <c r="AL1475" s="151" t="s">
        <v>47</v>
      </c>
      <c r="AM1475" s="299">
        <f t="shared" ca="1" si="130"/>
        <v>2.1979166666642413</v>
      </c>
      <c r="AN1475" s="51"/>
      <c r="AO1475" s="171" t="s">
        <v>181</v>
      </c>
      <c r="AP1475" s="171" t="s">
        <v>3844</v>
      </c>
      <c r="AQ1475" s="171" t="s">
        <v>3909</v>
      </c>
      <c r="AR1475" s="174">
        <v>44914.725694444445</v>
      </c>
      <c r="AS1475" s="173" t="s">
        <v>3910</v>
      </c>
      <c r="AT1475" s="171" t="s">
        <v>65</v>
      </c>
      <c r="AU1475" s="173">
        <v>0.77430555555555547</v>
      </c>
      <c r="AV1475" s="171">
        <v>1</v>
      </c>
      <c r="AW1475" s="171" t="s">
        <v>66</v>
      </c>
      <c r="AX1475" s="52"/>
      <c r="AY1475" s="52"/>
      <c r="AZ1475" s="52"/>
      <c r="BA1475" s="52"/>
    </row>
    <row r="1476" spans="1:53" ht="24" x14ac:dyDescent="0.25">
      <c r="A1476" s="48">
        <v>330</v>
      </c>
      <c r="B1476" s="155">
        <v>44912.527777777781</v>
      </c>
      <c r="C1476" s="150">
        <v>0.53472222222222221</v>
      </c>
      <c r="D1476" s="150">
        <v>0.59027777777777779</v>
      </c>
      <c r="E1476" s="178" t="s">
        <v>3862</v>
      </c>
      <c r="F1476" s="151" t="s">
        <v>171</v>
      </c>
      <c r="G1476" s="151" t="s">
        <v>290</v>
      </c>
      <c r="H1476" s="146" t="s">
        <v>91</v>
      </c>
      <c r="I1476" s="146" t="s">
        <v>3843</v>
      </c>
      <c r="J1476" s="146" t="s">
        <v>41</v>
      </c>
      <c r="K1476" s="146" t="s">
        <v>233</v>
      </c>
      <c r="L1476" s="146" t="s">
        <v>206</v>
      </c>
      <c r="M1476" s="151" t="s">
        <v>3844</v>
      </c>
      <c r="N1476" s="151" t="s">
        <v>175</v>
      </c>
      <c r="O1476" s="37">
        <v>1054969929</v>
      </c>
      <c r="P1476" s="37">
        <v>1214006825</v>
      </c>
      <c r="Q1476" s="303">
        <f t="shared" si="131"/>
        <v>1</v>
      </c>
      <c r="R1476" s="303">
        <f t="shared" si="132"/>
        <v>99</v>
      </c>
      <c r="S1476" s="37">
        <v>0</v>
      </c>
      <c r="T1476" s="37">
        <v>0</v>
      </c>
      <c r="U1476" s="37">
        <v>1</v>
      </c>
      <c r="V1476" s="37">
        <v>99</v>
      </c>
      <c r="W1476" s="37">
        <v>103</v>
      </c>
      <c r="X1476" s="37">
        <v>131</v>
      </c>
      <c r="Y1476" s="37">
        <v>78</v>
      </c>
      <c r="Z1476" s="37">
        <v>72</v>
      </c>
      <c r="AA1476" s="37">
        <v>1</v>
      </c>
      <c r="AB1476" s="300">
        <f t="shared" si="133"/>
        <v>122.616</v>
      </c>
      <c r="AC1476" s="300">
        <f t="shared" si="134"/>
        <v>0.73865060240963853</v>
      </c>
      <c r="AD1476" s="37">
        <v>1771.9</v>
      </c>
      <c r="AE1476" s="151" t="s">
        <v>109</v>
      </c>
      <c r="AF1476" s="151" t="s">
        <v>317</v>
      </c>
      <c r="AG1476" s="151" t="s">
        <v>317</v>
      </c>
      <c r="AH1476" s="151" t="s">
        <v>48</v>
      </c>
      <c r="AI1476" s="309"/>
      <c r="AJ1476" s="309"/>
      <c r="AK1476" s="151" t="s">
        <v>37</v>
      </c>
      <c r="AL1476" s="151" t="s">
        <v>47</v>
      </c>
      <c r="AM1476" s="299">
        <f t="shared" ca="1" si="130"/>
        <v>2.1979166666642413</v>
      </c>
      <c r="AN1476" s="51"/>
      <c r="AO1476" s="171" t="s">
        <v>181</v>
      </c>
      <c r="AP1476" s="171" t="s">
        <v>3844</v>
      </c>
      <c r="AQ1476" s="171" t="s">
        <v>3909</v>
      </c>
      <c r="AR1476" s="174">
        <v>44914.725694444445</v>
      </c>
      <c r="AS1476" s="173" t="s">
        <v>3910</v>
      </c>
      <c r="AT1476" s="171" t="s">
        <v>65</v>
      </c>
      <c r="AU1476" s="173">
        <v>0.77430555555555547</v>
      </c>
      <c r="AV1476" s="171">
        <v>1</v>
      </c>
      <c r="AW1476" s="171" t="s">
        <v>66</v>
      </c>
      <c r="AX1476" s="52"/>
      <c r="AY1476" s="52"/>
      <c r="AZ1476" s="52"/>
      <c r="BA1476" s="52"/>
    </row>
    <row r="1477" spans="1:53" ht="24" x14ac:dyDescent="0.25">
      <c r="A1477" s="48">
        <v>331</v>
      </c>
      <c r="B1477" s="155">
        <v>44912.527777777781</v>
      </c>
      <c r="C1477" s="150">
        <v>0.53472222222222221</v>
      </c>
      <c r="D1477" s="150">
        <v>0.59027777777777779</v>
      </c>
      <c r="E1477" s="178" t="s">
        <v>3862</v>
      </c>
      <c r="F1477" s="151" t="s">
        <v>171</v>
      </c>
      <c r="G1477" s="151" t="s">
        <v>290</v>
      </c>
      <c r="H1477" s="146" t="s">
        <v>91</v>
      </c>
      <c r="I1477" s="146" t="s">
        <v>3843</v>
      </c>
      <c r="J1477" s="146" t="s">
        <v>41</v>
      </c>
      <c r="K1477" s="146" t="s">
        <v>233</v>
      </c>
      <c r="L1477" s="146" t="s">
        <v>206</v>
      </c>
      <c r="M1477" s="151" t="s">
        <v>3844</v>
      </c>
      <c r="N1477" s="151" t="s">
        <v>175</v>
      </c>
      <c r="O1477" s="37">
        <v>1054969827</v>
      </c>
      <c r="P1477" s="37">
        <v>1214014416</v>
      </c>
      <c r="Q1477" s="303">
        <f t="shared" si="131"/>
        <v>1</v>
      </c>
      <c r="R1477" s="303">
        <f t="shared" si="132"/>
        <v>1</v>
      </c>
      <c r="S1477" s="37">
        <v>1</v>
      </c>
      <c r="T1477" s="37">
        <v>1</v>
      </c>
      <c r="U1477" s="37">
        <v>0</v>
      </c>
      <c r="V1477" s="37">
        <v>0</v>
      </c>
      <c r="W1477" s="37">
        <v>1</v>
      </c>
      <c r="X1477" s="37">
        <v>26</v>
      </c>
      <c r="Y1477" s="37">
        <v>26</v>
      </c>
      <c r="Z1477" s="37">
        <v>20</v>
      </c>
      <c r="AA1477" s="37">
        <v>1</v>
      </c>
      <c r="AB1477" s="300">
        <f t="shared" si="133"/>
        <v>2.2533333333333334</v>
      </c>
      <c r="AC1477" s="300">
        <f t="shared" si="134"/>
        <v>1.3574297188755021E-2</v>
      </c>
      <c r="AD1477" s="37">
        <v>1256.19</v>
      </c>
      <c r="AE1477" s="151" t="s">
        <v>109</v>
      </c>
      <c r="AF1477" s="151" t="s">
        <v>317</v>
      </c>
      <c r="AG1477" s="151" t="s">
        <v>317</v>
      </c>
      <c r="AH1477" s="151" t="s">
        <v>48</v>
      </c>
      <c r="AI1477" s="309"/>
      <c r="AJ1477" s="309"/>
      <c r="AK1477" s="37" t="s">
        <v>48</v>
      </c>
      <c r="AL1477" s="151" t="s">
        <v>47</v>
      </c>
      <c r="AM1477" s="299">
        <f t="shared" ca="1" si="130"/>
        <v>2.1979166666642413</v>
      </c>
      <c r="AN1477" s="51"/>
      <c r="AO1477" s="171" t="s">
        <v>181</v>
      </c>
      <c r="AP1477" s="171" t="s">
        <v>3844</v>
      </c>
      <c r="AQ1477" s="171" t="s">
        <v>3909</v>
      </c>
      <c r="AR1477" s="174">
        <v>44914.725694444445</v>
      </c>
      <c r="AS1477" s="173" t="s">
        <v>3910</v>
      </c>
      <c r="AT1477" s="171" t="s">
        <v>65</v>
      </c>
      <c r="AU1477" s="173">
        <v>0.77430555555555547</v>
      </c>
      <c r="AV1477" s="171">
        <v>1</v>
      </c>
      <c r="AW1477" s="171" t="s">
        <v>66</v>
      </c>
      <c r="AX1477" s="52"/>
      <c r="AY1477" s="52"/>
      <c r="AZ1477" s="52"/>
      <c r="BA1477" s="52"/>
    </row>
    <row r="1478" spans="1:53" ht="24" x14ac:dyDescent="0.25">
      <c r="A1478" s="48">
        <v>332</v>
      </c>
      <c r="B1478" s="155">
        <v>44912.527777777781</v>
      </c>
      <c r="C1478" s="150">
        <v>0.53472222222222221</v>
      </c>
      <c r="D1478" s="150">
        <v>0.59027777777777779</v>
      </c>
      <c r="E1478" s="178" t="s">
        <v>3862</v>
      </c>
      <c r="F1478" s="151" t="s">
        <v>171</v>
      </c>
      <c r="G1478" s="151" t="s">
        <v>290</v>
      </c>
      <c r="H1478" s="146" t="s">
        <v>91</v>
      </c>
      <c r="I1478" s="146" t="s">
        <v>3843</v>
      </c>
      <c r="J1478" s="146" t="s">
        <v>41</v>
      </c>
      <c r="K1478" s="146" t="s">
        <v>233</v>
      </c>
      <c r="L1478" s="146" t="s">
        <v>206</v>
      </c>
      <c r="M1478" s="151" t="s">
        <v>3844</v>
      </c>
      <c r="N1478" s="151" t="s">
        <v>175</v>
      </c>
      <c r="O1478" s="37">
        <v>1054969807</v>
      </c>
      <c r="P1478" s="37">
        <v>1214012817</v>
      </c>
      <c r="Q1478" s="303">
        <f t="shared" si="131"/>
        <v>1</v>
      </c>
      <c r="R1478" s="303">
        <f t="shared" si="132"/>
        <v>56</v>
      </c>
      <c r="S1478" s="37">
        <v>0</v>
      </c>
      <c r="T1478" s="37">
        <v>0</v>
      </c>
      <c r="U1478" s="37">
        <v>1</v>
      </c>
      <c r="V1478" s="37">
        <v>56</v>
      </c>
      <c r="W1478" s="37">
        <v>58</v>
      </c>
      <c r="X1478" s="37">
        <v>100</v>
      </c>
      <c r="Y1478" s="37">
        <v>75</v>
      </c>
      <c r="Z1478" s="37">
        <v>52</v>
      </c>
      <c r="AA1478" s="37">
        <v>1</v>
      </c>
      <c r="AB1478" s="300">
        <f t="shared" si="133"/>
        <v>65</v>
      </c>
      <c r="AC1478" s="300">
        <f t="shared" si="134"/>
        <v>0.39156626506024095</v>
      </c>
      <c r="AD1478" s="37">
        <v>7811.6</v>
      </c>
      <c r="AE1478" s="151" t="s">
        <v>109</v>
      </c>
      <c r="AF1478" s="151" t="s">
        <v>317</v>
      </c>
      <c r="AG1478" s="151" t="s">
        <v>317</v>
      </c>
      <c r="AH1478" s="151" t="s">
        <v>48</v>
      </c>
      <c r="AI1478" s="309"/>
      <c r="AJ1478" s="309"/>
      <c r="AK1478" s="37" t="s">
        <v>37</v>
      </c>
      <c r="AL1478" s="151" t="s">
        <v>47</v>
      </c>
      <c r="AM1478" s="299">
        <f t="shared" ca="1" si="130"/>
        <v>2.1979166666642413</v>
      </c>
      <c r="AN1478" s="51"/>
      <c r="AO1478" s="171" t="s">
        <v>181</v>
      </c>
      <c r="AP1478" s="171" t="s">
        <v>3844</v>
      </c>
      <c r="AQ1478" s="171" t="s">
        <v>3909</v>
      </c>
      <c r="AR1478" s="174">
        <v>44914.725694444445</v>
      </c>
      <c r="AS1478" s="173" t="s">
        <v>3910</v>
      </c>
      <c r="AT1478" s="171" t="s">
        <v>65</v>
      </c>
      <c r="AU1478" s="173">
        <v>0.77430555555555547</v>
      </c>
      <c r="AV1478" s="171">
        <v>1</v>
      </c>
      <c r="AW1478" s="171" t="s">
        <v>66</v>
      </c>
      <c r="AX1478" s="52"/>
      <c r="AY1478" s="52"/>
      <c r="AZ1478" s="52"/>
      <c r="BA1478" s="52"/>
    </row>
    <row r="1479" spans="1:53" ht="24" x14ac:dyDescent="0.25">
      <c r="A1479" s="48">
        <v>333</v>
      </c>
      <c r="B1479" s="46">
        <v>44912.600694444445</v>
      </c>
      <c r="C1479" s="36">
        <v>0.60416666666666663</v>
      </c>
      <c r="D1479" s="36">
        <v>0.625</v>
      </c>
      <c r="E1479" s="178" t="s">
        <v>3862</v>
      </c>
      <c r="F1479" s="151" t="s">
        <v>171</v>
      </c>
      <c r="G1479" s="37" t="s">
        <v>133</v>
      </c>
      <c r="H1479" s="146" t="s">
        <v>91</v>
      </c>
      <c r="I1479" s="146" t="s">
        <v>3843</v>
      </c>
      <c r="J1479" s="146" t="s">
        <v>41</v>
      </c>
      <c r="K1479" s="146" t="s">
        <v>233</v>
      </c>
      <c r="L1479" s="146" t="s">
        <v>206</v>
      </c>
      <c r="M1479" s="151" t="s">
        <v>3844</v>
      </c>
      <c r="N1479" s="151" t="s">
        <v>175</v>
      </c>
      <c r="O1479" s="37">
        <v>1054969996</v>
      </c>
      <c r="P1479" s="37">
        <v>1214043669</v>
      </c>
      <c r="Q1479" s="303">
        <f t="shared" si="131"/>
        <v>2</v>
      </c>
      <c r="R1479" s="303">
        <f t="shared" si="132"/>
        <v>208</v>
      </c>
      <c r="S1479" s="37">
        <v>0</v>
      </c>
      <c r="T1479" s="37">
        <v>0</v>
      </c>
      <c r="U1479" s="37">
        <v>2</v>
      </c>
      <c r="V1479" s="37">
        <v>208</v>
      </c>
      <c r="W1479" s="37">
        <v>212</v>
      </c>
      <c r="X1479" s="37">
        <v>100</v>
      </c>
      <c r="Y1479" s="37">
        <v>75</v>
      </c>
      <c r="Z1479" s="37">
        <v>53</v>
      </c>
      <c r="AA1479" s="37">
        <v>1</v>
      </c>
      <c r="AB1479" s="300">
        <f t="shared" si="133"/>
        <v>66.25</v>
      </c>
      <c r="AC1479" s="300">
        <f t="shared" si="134"/>
        <v>0.3990963855421687</v>
      </c>
      <c r="AD1479" s="37">
        <v>11524.62</v>
      </c>
      <c r="AE1479" s="151" t="s">
        <v>109</v>
      </c>
      <c r="AF1479" s="151" t="s">
        <v>317</v>
      </c>
      <c r="AG1479" s="151" t="s">
        <v>317</v>
      </c>
      <c r="AH1479" s="151" t="s">
        <v>48</v>
      </c>
      <c r="AI1479" s="309"/>
      <c r="AJ1479" s="309"/>
      <c r="AK1479" s="151" t="s">
        <v>37</v>
      </c>
      <c r="AL1479" s="151" t="s">
        <v>56</v>
      </c>
      <c r="AM1479" s="299">
        <f t="shared" ca="1" si="130"/>
        <v>2.125</v>
      </c>
      <c r="AN1479" s="51"/>
      <c r="AO1479" s="171" t="s">
        <v>181</v>
      </c>
      <c r="AP1479" s="171" t="s">
        <v>3844</v>
      </c>
      <c r="AQ1479" s="171" t="s">
        <v>3909</v>
      </c>
      <c r="AR1479" s="174">
        <v>44914.725694444445</v>
      </c>
      <c r="AS1479" s="173" t="s">
        <v>3910</v>
      </c>
      <c r="AT1479" s="171" t="s">
        <v>65</v>
      </c>
      <c r="AU1479" s="173">
        <v>0.77430555555555547</v>
      </c>
      <c r="AV1479" s="171">
        <v>1</v>
      </c>
      <c r="AW1479" s="171" t="s">
        <v>66</v>
      </c>
      <c r="AX1479" s="52"/>
      <c r="AY1479" s="52"/>
      <c r="AZ1479" s="52"/>
      <c r="BA1479" s="52"/>
    </row>
    <row r="1480" spans="1:53" ht="24" x14ac:dyDescent="0.25">
      <c r="A1480" s="157">
        <v>333</v>
      </c>
      <c r="B1480" s="155">
        <v>44912.600694444445</v>
      </c>
      <c r="C1480" s="150">
        <v>0.60416666666666663</v>
      </c>
      <c r="D1480" s="150">
        <v>0.625</v>
      </c>
      <c r="E1480" s="178" t="s">
        <v>3862</v>
      </c>
      <c r="F1480" s="151" t="s">
        <v>171</v>
      </c>
      <c r="G1480" s="151" t="s">
        <v>133</v>
      </c>
      <c r="H1480" s="146" t="s">
        <v>91</v>
      </c>
      <c r="I1480" s="146" t="s">
        <v>3843</v>
      </c>
      <c r="J1480" s="146" t="s">
        <v>41</v>
      </c>
      <c r="K1480" s="146" t="s">
        <v>233</v>
      </c>
      <c r="L1480" s="146" t="s">
        <v>206</v>
      </c>
      <c r="M1480" s="151" t="s">
        <v>3844</v>
      </c>
      <c r="N1480" s="151" t="s">
        <v>175</v>
      </c>
      <c r="O1480" s="151">
        <v>1054969996</v>
      </c>
      <c r="P1480" s="151">
        <v>1214043669</v>
      </c>
      <c r="Q1480" s="303">
        <f t="shared" si="131"/>
        <v>0</v>
      </c>
      <c r="R1480" s="303">
        <f t="shared" si="132"/>
        <v>0</v>
      </c>
      <c r="S1480" s="151">
        <v>0</v>
      </c>
      <c r="T1480" s="151">
        <v>0</v>
      </c>
      <c r="U1480" s="151">
        <v>0</v>
      </c>
      <c r="V1480" s="151">
        <v>0</v>
      </c>
      <c r="W1480" s="151">
        <v>0</v>
      </c>
      <c r="X1480" s="37">
        <v>131</v>
      </c>
      <c r="Y1480" s="37">
        <v>76</v>
      </c>
      <c r="Z1480" s="37">
        <v>73</v>
      </c>
      <c r="AA1480" s="37">
        <v>1</v>
      </c>
      <c r="AB1480" s="300">
        <f t="shared" si="133"/>
        <v>121.13133333333333</v>
      </c>
      <c r="AC1480" s="300">
        <f t="shared" si="134"/>
        <v>0.72970682730923697</v>
      </c>
      <c r="AD1480" s="37">
        <v>0</v>
      </c>
      <c r="AE1480" s="37">
        <v>0</v>
      </c>
      <c r="AF1480" s="151" t="s">
        <v>317</v>
      </c>
      <c r="AG1480" s="151" t="s">
        <v>317</v>
      </c>
      <c r="AH1480" s="151" t="s">
        <v>48</v>
      </c>
      <c r="AI1480" s="309"/>
      <c r="AJ1480" s="309"/>
      <c r="AK1480" s="151" t="s">
        <v>37</v>
      </c>
      <c r="AL1480" s="151" t="s">
        <v>56</v>
      </c>
      <c r="AM1480" s="299">
        <f t="shared" ca="1" si="130"/>
        <v>2.125</v>
      </c>
      <c r="AN1480" s="51"/>
      <c r="AO1480" s="171" t="s">
        <v>181</v>
      </c>
      <c r="AP1480" s="171" t="s">
        <v>3844</v>
      </c>
      <c r="AQ1480" s="171" t="s">
        <v>3909</v>
      </c>
      <c r="AR1480" s="174">
        <v>44914.725694444445</v>
      </c>
      <c r="AS1480" s="173" t="s">
        <v>3910</v>
      </c>
      <c r="AT1480" s="171" t="s">
        <v>65</v>
      </c>
      <c r="AU1480" s="173">
        <v>0.77430555555555547</v>
      </c>
      <c r="AV1480" s="171">
        <v>1</v>
      </c>
      <c r="AW1480" s="171" t="s">
        <v>66</v>
      </c>
      <c r="AX1480" s="52"/>
      <c r="AY1480" s="52"/>
      <c r="AZ1480" s="52"/>
      <c r="BA1480" s="52"/>
    </row>
    <row r="1481" spans="1:53" ht="24" x14ac:dyDescent="0.25">
      <c r="A1481" s="48">
        <v>334</v>
      </c>
      <c r="B1481" s="155">
        <v>44912.600694444445</v>
      </c>
      <c r="C1481" s="150">
        <v>0.60416666666666663</v>
      </c>
      <c r="D1481" s="150">
        <v>0.625</v>
      </c>
      <c r="E1481" s="178" t="s">
        <v>3862</v>
      </c>
      <c r="F1481" s="151" t="s">
        <v>171</v>
      </c>
      <c r="G1481" s="151" t="s">
        <v>133</v>
      </c>
      <c r="H1481" s="146" t="s">
        <v>91</v>
      </c>
      <c r="I1481" s="146" t="s">
        <v>3843</v>
      </c>
      <c r="J1481" s="146" t="s">
        <v>41</v>
      </c>
      <c r="K1481" s="146" t="s">
        <v>233</v>
      </c>
      <c r="L1481" s="146" t="s">
        <v>206</v>
      </c>
      <c r="M1481" s="151" t="s">
        <v>3844</v>
      </c>
      <c r="N1481" s="151" t="s">
        <v>175</v>
      </c>
      <c r="O1481" s="37">
        <v>1054969785</v>
      </c>
      <c r="P1481" s="37">
        <v>1214006826</v>
      </c>
      <c r="Q1481" s="303">
        <f t="shared" si="131"/>
        <v>2</v>
      </c>
      <c r="R1481" s="303">
        <f t="shared" si="132"/>
        <v>3</v>
      </c>
      <c r="S1481" s="37">
        <v>2</v>
      </c>
      <c r="T1481" s="37">
        <v>3</v>
      </c>
      <c r="U1481" s="37">
        <v>0</v>
      </c>
      <c r="V1481" s="37">
        <v>0</v>
      </c>
      <c r="W1481" s="37">
        <v>3</v>
      </c>
      <c r="X1481" s="37">
        <v>39</v>
      </c>
      <c r="Y1481" s="37">
        <v>31</v>
      </c>
      <c r="Z1481" s="37">
        <v>20</v>
      </c>
      <c r="AA1481" s="37">
        <v>1</v>
      </c>
      <c r="AB1481" s="300">
        <f t="shared" si="133"/>
        <v>4.03</v>
      </c>
      <c r="AC1481" s="300">
        <f t="shared" si="134"/>
        <v>2.4277108433734942E-2</v>
      </c>
      <c r="AD1481" s="37">
        <v>58.59</v>
      </c>
      <c r="AE1481" s="151" t="s">
        <v>109</v>
      </c>
      <c r="AF1481" s="151" t="s">
        <v>317</v>
      </c>
      <c r="AG1481" s="151" t="s">
        <v>317</v>
      </c>
      <c r="AH1481" s="151" t="s">
        <v>48</v>
      </c>
      <c r="AI1481" s="309"/>
      <c r="AJ1481" s="309"/>
      <c r="AK1481" s="37" t="s">
        <v>48</v>
      </c>
      <c r="AL1481" s="151" t="s">
        <v>56</v>
      </c>
      <c r="AM1481" s="299">
        <f t="shared" ca="1" si="130"/>
        <v>2.125</v>
      </c>
      <c r="AN1481" s="51"/>
      <c r="AO1481" s="171" t="s">
        <v>181</v>
      </c>
      <c r="AP1481" s="171" t="s">
        <v>3844</v>
      </c>
      <c r="AQ1481" s="171" t="s">
        <v>3909</v>
      </c>
      <c r="AR1481" s="174">
        <v>44914.725694444445</v>
      </c>
      <c r="AS1481" s="173" t="s">
        <v>3910</v>
      </c>
      <c r="AT1481" s="171" t="s">
        <v>65</v>
      </c>
      <c r="AU1481" s="173">
        <v>0.77430555555555547</v>
      </c>
      <c r="AV1481" s="171">
        <v>1</v>
      </c>
      <c r="AW1481" s="171" t="s">
        <v>66</v>
      </c>
      <c r="AX1481" s="52"/>
      <c r="AY1481" s="52"/>
      <c r="AZ1481" s="52"/>
      <c r="BA1481" s="52"/>
    </row>
    <row r="1482" spans="1:53" ht="24" x14ac:dyDescent="0.25">
      <c r="A1482" s="157">
        <v>334</v>
      </c>
      <c r="B1482" s="155">
        <v>44912.600694444445</v>
      </c>
      <c r="C1482" s="150">
        <v>0.60416666666666663</v>
      </c>
      <c r="D1482" s="150">
        <v>0.625</v>
      </c>
      <c r="E1482" s="178" t="s">
        <v>3862</v>
      </c>
      <c r="F1482" s="151" t="s">
        <v>171</v>
      </c>
      <c r="G1482" s="151" t="s">
        <v>133</v>
      </c>
      <c r="H1482" s="146" t="s">
        <v>91</v>
      </c>
      <c r="I1482" s="146" t="s">
        <v>3843</v>
      </c>
      <c r="J1482" s="146" t="s">
        <v>41</v>
      </c>
      <c r="K1482" s="146" t="s">
        <v>233</v>
      </c>
      <c r="L1482" s="146" t="s">
        <v>206</v>
      </c>
      <c r="M1482" s="151" t="s">
        <v>3844</v>
      </c>
      <c r="N1482" s="151" t="s">
        <v>175</v>
      </c>
      <c r="O1482" s="151">
        <v>1054969785</v>
      </c>
      <c r="P1482" s="151">
        <v>1214006826</v>
      </c>
      <c r="Q1482" s="303">
        <f t="shared" si="131"/>
        <v>0</v>
      </c>
      <c r="R1482" s="303">
        <f t="shared" si="132"/>
        <v>0</v>
      </c>
      <c r="S1482" s="151">
        <v>0</v>
      </c>
      <c r="T1482" s="151">
        <v>0</v>
      </c>
      <c r="U1482" s="151">
        <v>0</v>
      </c>
      <c r="V1482" s="151">
        <v>0</v>
      </c>
      <c r="W1482" s="151">
        <v>0</v>
      </c>
      <c r="X1482" s="37">
        <v>50</v>
      </c>
      <c r="Y1482" s="37">
        <v>41</v>
      </c>
      <c r="Z1482" s="37">
        <v>13</v>
      </c>
      <c r="AA1482" s="37">
        <v>1</v>
      </c>
      <c r="AB1482" s="300">
        <f t="shared" si="133"/>
        <v>4.4416666666666664</v>
      </c>
      <c r="AC1482" s="300">
        <f t="shared" si="134"/>
        <v>2.6757028112449798E-2</v>
      </c>
      <c r="AD1482" s="37">
        <v>0</v>
      </c>
      <c r="AE1482" s="151">
        <v>0</v>
      </c>
      <c r="AF1482" s="151" t="s">
        <v>317</v>
      </c>
      <c r="AG1482" s="151" t="s">
        <v>317</v>
      </c>
      <c r="AH1482" s="151" t="s">
        <v>48</v>
      </c>
      <c r="AI1482" s="309"/>
      <c r="AJ1482" s="309"/>
      <c r="AK1482" s="151" t="s">
        <v>48</v>
      </c>
      <c r="AL1482" s="151" t="s">
        <v>56</v>
      </c>
      <c r="AM1482" s="299">
        <f t="shared" ca="1" si="130"/>
        <v>2.125</v>
      </c>
      <c r="AN1482" s="51"/>
      <c r="AO1482" s="171" t="s">
        <v>181</v>
      </c>
      <c r="AP1482" s="171" t="s">
        <v>3844</v>
      </c>
      <c r="AQ1482" s="171" t="s">
        <v>3909</v>
      </c>
      <c r="AR1482" s="174">
        <v>44914.725694444445</v>
      </c>
      <c r="AS1482" s="173" t="s">
        <v>3910</v>
      </c>
      <c r="AT1482" s="171" t="s">
        <v>65</v>
      </c>
      <c r="AU1482" s="173">
        <v>0.77430555555555547</v>
      </c>
      <c r="AV1482" s="171">
        <v>1</v>
      </c>
      <c r="AW1482" s="171" t="s">
        <v>66</v>
      </c>
      <c r="AX1482" s="52"/>
      <c r="AY1482" s="52"/>
      <c r="AZ1482" s="52"/>
      <c r="BA1482" s="52"/>
    </row>
    <row r="1483" spans="1:53" ht="24" x14ac:dyDescent="0.25">
      <c r="A1483" s="48">
        <v>335</v>
      </c>
      <c r="B1483" s="155">
        <v>44912.600694444445</v>
      </c>
      <c r="C1483" s="150">
        <v>0.60416666666666663</v>
      </c>
      <c r="D1483" s="150">
        <v>0.625</v>
      </c>
      <c r="E1483" s="178" t="s">
        <v>3862</v>
      </c>
      <c r="F1483" s="151" t="s">
        <v>171</v>
      </c>
      <c r="G1483" s="151" t="s">
        <v>133</v>
      </c>
      <c r="H1483" s="146" t="s">
        <v>91</v>
      </c>
      <c r="I1483" s="146" t="s">
        <v>3843</v>
      </c>
      <c r="J1483" s="146" t="s">
        <v>41</v>
      </c>
      <c r="K1483" s="146" t="s">
        <v>233</v>
      </c>
      <c r="L1483" s="146" t="s">
        <v>206</v>
      </c>
      <c r="M1483" s="151" t="s">
        <v>3844</v>
      </c>
      <c r="N1483" s="151" t="s">
        <v>175</v>
      </c>
      <c r="O1483" s="37">
        <v>1054969784</v>
      </c>
      <c r="P1483" s="37">
        <v>1214007686</v>
      </c>
      <c r="Q1483" s="303">
        <f t="shared" si="131"/>
        <v>1</v>
      </c>
      <c r="R1483" s="303">
        <f t="shared" si="132"/>
        <v>4</v>
      </c>
      <c r="S1483" s="37">
        <v>1</v>
      </c>
      <c r="T1483" s="37">
        <v>4</v>
      </c>
      <c r="U1483" s="37">
        <v>0</v>
      </c>
      <c r="V1483" s="37">
        <v>0</v>
      </c>
      <c r="W1483" s="37">
        <v>5</v>
      </c>
      <c r="X1483" s="37">
        <v>27</v>
      </c>
      <c r="Y1483" s="37">
        <v>26</v>
      </c>
      <c r="Z1483" s="37">
        <v>19</v>
      </c>
      <c r="AA1483" s="37">
        <v>1</v>
      </c>
      <c r="AB1483" s="300">
        <f t="shared" si="133"/>
        <v>2.2229999999999999</v>
      </c>
      <c r="AC1483" s="300">
        <f t="shared" si="134"/>
        <v>1.339156626506024E-2</v>
      </c>
      <c r="AD1483" s="37">
        <v>34.93</v>
      </c>
      <c r="AE1483" s="151" t="s">
        <v>109</v>
      </c>
      <c r="AF1483" s="151" t="s">
        <v>317</v>
      </c>
      <c r="AG1483" s="151" t="s">
        <v>317</v>
      </c>
      <c r="AH1483" s="151" t="s">
        <v>48</v>
      </c>
      <c r="AI1483" s="309"/>
      <c r="AJ1483" s="309"/>
      <c r="AK1483" s="151" t="s">
        <v>48</v>
      </c>
      <c r="AL1483" s="151" t="s">
        <v>56</v>
      </c>
      <c r="AM1483" s="299">
        <f t="shared" ca="1" si="130"/>
        <v>2.125</v>
      </c>
      <c r="AN1483" s="51"/>
      <c r="AO1483" s="171" t="s">
        <v>181</v>
      </c>
      <c r="AP1483" s="171" t="s">
        <v>3844</v>
      </c>
      <c r="AQ1483" s="171" t="s">
        <v>3909</v>
      </c>
      <c r="AR1483" s="174">
        <v>44914.725694444445</v>
      </c>
      <c r="AS1483" s="173" t="s">
        <v>3910</v>
      </c>
      <c r="AT1483" s="171" t="s">
        <v>65</v>
      </c>
      <c r="AU1483" s="173">
        <v>0.77430555555555547</v>
      </c>
      <c r="AV1483" s="171">
        <v>1</v>
      </c>
      <c r="AW1483" s="171" t="s">
        <v>66</v>
      </c>
      <c r="AX1483" s="52"/>
      <c r="AY1483" s="52"/>
      <c r="AZ1483" s="52"/>
      <c r="BA1483" s="52"/>
    </row>
    <row r="1484" spans="1:53" ht="24" x14ac:dyDescent="0.25">
      <c r="A1484" s="48">
        <v>336</v>
      </c>
      <c r="B1484" s="155">
        <v>44912.600694444445</v>
      </c>
      <c r="C1484" s="150">
        <v>0.60416666666666663</v>
      </c>
      <c r="D1484" s="150">
        <v>0.625</v>
      </c>
      <c r="E1484" s="178" t="s">
        <v>3862</v>
      </c>
      <c r="F1484" s="151" t="s">
        <v>171</v>
      </c>
      <c r="G1484" s="151" t="s">
        <v>133</v>
      </c>
      <c r="H1484" s="146" t="s">
        <v>91</v>
      </c>
      <c r="I1484" s="146" t="s">
        <v>3843</v>
      </c>
      <c r="J1484" s="146" t="s">
        <v>41</v>
      </c>
      <c r="K1484" s="146" t="s">
        <v>233</v>
      </c>
      <c r="L1484" s="146" t="s">
        <v>206</v>
      </c>
      <c r="M1484" s="151" t="s">
        <v>3844</v>
      </c>
      <c r="N1484" s="151" t="s">
        <v>175</v>
      </c>
      <c r="O1484" s="37">
        <v>1054969781</v>
      </c>
      <c r="P1484" s="37">
        <v>1214006115</v>
      </c>
      <c r="Q1484" s="303">
        <f t="shared" si="131"/>
        <v>1</v>
      </c>
      <c r="R1484" s="303">
        <f t="shared" si="132"/>
        <v>1</v>
      </c>
      <c r="S1484" s="37">
        <v>1</v>
      </c>
      <c r="T1484" s="37">
        <v>1</v>
      </c>
      <c r="U1484" s="37">
        <v>0</v>
      </c>
      <c r="V1484" s="37">
        <v>0</v>
      </c>
      <c r="W1484" s="37">
        <v>1</v>
      </c>
      <c r="X1484" s="37">
        <v>26</v>
      </c>
      <c r="Y1484" s="37">
        <v>25</v>
      </c>
      <c r="Z1484" s="37">
        <v>20</v>
      </c>
      <c r="AA1484" s="37">
        <v>1</v>
      </c>
      <c r="AB1484" s="300">
        <f t="shared" si="133"/>
        <v>2.1666666666666665</v>
      </c>
      <c r="AC1484" s="300">
        <f t="shared" si="134"/>
        <v>1.3052208835341365E-2</v>
      </c>
      <c r="AD1484" s="37">
        <v>96.13</v>
      </c>
      <c r="AE1484" s="151" t="s">
        <v>109</v>
      </c>
      <c r="AF1484" s="151" t="s">
        <v>317</v>
      </c>
      <c r="AG1484" s="151" t="s">
        <v>317</v>
      </c>
      <c r="AH1484" s="151" t="s">
        <v>48</v>
      </c>
      <c r="AI1484" s="309"/>
      <c r="AJ1484" s="309"/>
      <c r="AK1484" s="151" t="s">
        <v>48</v>
      </c>
      <c r="AL1484" s="151" t="s">
        <v>56</v>
      </c>
      <c r="AM1484" s="299">
        <f t="shared" ca="1" si="130"/>
        <v>2.125</v>
      </c>
      <c r="AN1484" s="51"/>
      <c r="AO1484" s="171" t="s">
        <v>181</v>
      </c>
      <c r="AP1484" s="171" t="s">
        <v>3844</v>
      </c>
      <c r="AQ1484" s="171" t="s">
        <v>3909</v>
      </c>
      <c r="AR1484" s="174">
        <v>44914.725694444445</v>
      </c>
      <c r="AS1484" s="173" t="s">
        <v>3910</v>
      </c>
      <c r="AT1484" s="171" t="s">
        <v>65</v>
      </c>
      <c r="AU1484" s="173">
        <v>0.77430555555555547</v>
      </c>
      <c r="AV1484" s="171">
        <v>1</v>
      </c>
      <c r="AW1484" s="171" t="s">
        <v>66</v>
      </c>
      <c r="AX1484" s="52"/>
      <c r="AY1484" s="52"/>
      <c r="AZ1484" s="52"/>
      <c r="BA1484" s="52"/>
    </row>
    <row r="1485" spans="1:53" ht="24" x14ac:dyDescent="0.25">
      <c r="A1485" s="48">
        <v>337</v>
      </c>
      <c r="B1485" s="155">
        <v>44912.600694444445</v>
      </c>
      <c r="C1485" s="150">
        <v>0.60416666666666663</v>
      </c>
      <c r="D1485" s="150">
        <v>0.625</v>
      </c>
      <c r="E1485" s="178" t="s">
        <v>3862</v>
      </c>
      <c r="F1485" s="151" t="s">
        <v>171</v>
      </c>
      <c r="G1485" s="151" t="s">
        <v>133</v>
      </c>
      <c r="H1485" s="146" t="s">
        <v>91</v>
      </c>
      <c r="I1485" s="146" t="s">
        <v>3843</v>
      </c>
      <c r="J1485" s="146" t="s">
        <v>41</v>
      </c>
      <c r="K1485" s="146" t="s">
        <v>233</v>
      </c>
      <c r="L1485" s="146" t="s">
        <v>206</v>
      </c>
      <c r="M1485" s="151" t="s">
        <v>3844</v>
      </c>
      <c r="N1485" s="151" t="s">
        <v>175</v>
      </c>
      <c r="O1485" s="37">
        <v>1054969808</v>
      </c>
      <c r="P1485" s="37">
        <v>1214007735</v>
      </c>
      <c r="Q1485" s="303">
        <f t="shared" si="131"/>
        <v>1</v>
      </c>
      <c r="R1485" s="303">
        <f t="shared" si="132"/>
        <v>7</v>
      </c>
      <c r="S1485" s="37">
        <v>1</v>
      </c>
      <c r="T1485" s="37">
        <v>7</v>
      </c>
      <c r="U1485" s="37">
        <v>0</v>
      </c>
      <c r="V1485" s="37">
        <v>0</v>
      </c>
      <c r="W1485" s="37">
        <v>8</v>
      </c>
      <c r="X1485" s="37">
        <v>36</v>
      </c>
      <c r="Y1485" s="37">
        <v>36</v>
      </c>
      <c r="Z1485" s="37">
        <v>29</v>
      </c>
      <c r="AA1485" s="37">
        <v>1</v>
      </c>
      <c r="AB1485" s="300">
        <f t="shared" si="133"/>
        <v>6.2640000000000002</v>
      </c>
      <c r="AC1485" s="300">
        <f t="shared" si="134"/>
        <v>3.7734939759036148E-2</v>
      </c>
      <c r="AD1485" s="37">
        <v>500.34</v>
      </c>
      <c r="AE1485" s="151" t="s">
        <v>109</v>
      </c>
      <c r="AF1485" s="151" t="s">
        <v>317</v>
      </c>
      <c r="AG1485" s="151" t="s">
        <v>317</v>
      </c>
      <c r="AH1485" s="151" t="s">
        <v>48</v>
      </c>
      <c r="AI1485" s="309"/>
      <c r="AJ1485" s="309"/>
      <c r="AK1485" s="151" t="s">
        <v>48</v>
      </c>
      <c r="AL1485" s="151" t="s">
        <v>56</v>
      </c>
      <c r="AM1485" s="299">
        <f t="shared" ca="1" si="130"/>
        <v>2.125</v>
      </c>
      <c r="AN1485" s="51"/>
      <c r="AO1485" s="171" t="s">
        <v>181</v>
      </c>
      <c r="AP1485" s="171" t="s">
        <v>3844</v>
      </c>
      <c r="AQ1485" s="171" t="s">
        <v>3909</v>
      </c>
      <c r="AR1485" s="174">
        <v>44914.725694444445</v>
      </c>
      <c r="AS1485" s="173" t="s">
        <v>3910</v>
      </c>
      <c r="AT1485" s="171" t="s">
        <v>65</v>
      </c>
      <c r="AU1485" s="173">
        <v>0.77430555555555547</v>
      </c>
      <c r="AV1485" s="171">
        <v>1</v>
      </c>
      <c r="AW1485" s="171" t="s">
        <v>66</v>
      </c>
      <c r="AX1485" s="52"/>
      <c r="AY1485" s="52"/>
      <c r="AZ1485" s="52"/>
      <c r="BA1485" s="52"/>
    </row>
    <row r="1486" spans="1:53" ht="24" x14ac:dyDescent="0.25">
      <c r="A1486" s="48">
        <v>338</v>
      </c>
      <c r="B1486" s="155">
        <v>44912.600694444445</v>
      </c>
      <c r="C1486" s="150">
        <v>0.60416666666666663</v>
      </c>
      <c r="D1486" s="150">
        <v>0.625</v>
      </c>
      <c r="E1486" s="178" t="s">
        <v>3862</v>
      </c>
      <c r="F1486" s="151" t="s">
        <v>171</v>
      </c>
      <c r="G1486" s="151" t="s">
        <v>133</v>
      </c>
      <c r="H1486" s="146" t="s">
        <v>91</v>
      </c>
      <c r="I1486" s="146" t="s">
        <v>3843</v>
      </c>
      <c r="J1486" s="146" t="s">
        <v>41</v>
      </c>
      <c r="K1486" s="146" t="s">
        <v>233</v>
      </c>
      <c r="L1486" s="146" t="s">
        <v>206</v>
      </c>
      <c r="M1486" s="151" t="s">
        <v>3844</v>
      </c>
      <c r="N1486" s="151" t="s">
        <v>175</v>
      </c>
      <c r="O1486" s="37">
        <v>1054969778</v>
      </c>
      <c r="P1486" s="37">
        <v>1214006827</v>
      </c>
      <c r="Q1486" s="303">
        <f t="shared" si="131"/>
        <v>1</v>
      </c>
      <c r="R1486" s="303">
        <f t="shared" si="132"/>
        <v>49</v>
      </c>
      <c r="S1486" s="37">
        <v>0</v>
      </c>
      <c r="T1486" s="37">
        <v>0</v>
      </c>
      <c r="U1486" s="37">
        <v>1</v>
      </c>
      <c r="V1486" s="37">
        <v>49</v>
      </c>
      <c r="W1486" s="37">
        <v>50</v>
      </c>
      <c r="X1486" s="37">
        <v>100</v>
      </c>
      <c r="Y1486" s="37">
        <v>78</v>
      </c>
      <c r="Z1486" s="37">
        <v>53</v>
      </c>
      <c r="AA1486" s="37">
        <v>1</v>
      </c>
      <c r="AB1486" s="300">
        <f t="shared" si="133"/>
        <v>68.900000000000006</v>
      </c>
      <c r="AC1486" s="300">
        <f t="shared" si="134"/>
        <v>0.41506024096385546</v>
      </c>
      <c r="AD1486" s="37">
        <v>16410.63</v>
      </c>
      <c r="AE1486" s="151" t="s">
        <v>109</v>
      </c>
      <c r="AF1486" s="151" t="s">
        <v>317</v>
      </c>
      <c r="AG1486" s="151" t="s">
        <v>317</v>
      </c>
      <c r="AH1486" s="151" t="s">
        <v>48</v>
      </c>
      <c r="AI1486" s="309"/>
      <c r="AJ1486" s="309"/>
      <c r="AK1486" s="151" t="s">
        <v>37</v>
      </c>
      <c r="AL1486" s="151" t="s">
        <v>56</v>
      </c>
      <c r="AM1486" s="299">
        <f t="shared" ca="1" si="130"/>
        <v>2.125</v>
      </c>
      <c r="AN1486" s="51"/>
      <c r="AO1486" s="171" t="s">
        <v>181</v>
      </c>
      <c r="AP1486" s="171" t="s">
        <v>3844</v>
      </c>
      <c r="AQ1486" s="171" t="s">
        <v>3909</v>
      </c>
      <c r="AR1486" s="174">
        <v>44914.725694444445</v>
      </c>
      <c r="AS1486" s="173" t="s">
        <v>3910</v>
      </c>
      <c r="AT1486" s="171" t="s">
        <v>65</v>
      </c>
      <c r="AU1486" s="173">
        <v>0.77430555555555547</v>
      </c>
      <c r="AV1486" s="171">
        <v>1</v>
      </c>
      <c r="AW1486" s="171" t="s">
        <v>66</v>
      </c>
      <c r="AX1486" s="52"/>
      <c r="AY1486" s="52"/>
      <c r="AZ1486" s="52"/>
      <c r="BA1486" s="52"/>
    </row>
    <row r="1487" spans="1:53" ht="24" x14ac:dyDescent="0.25">
      <c r="A1487" s="48">
        <v>339</v>
      </c>
      <c r="B1487" s="155">
        <v>44912.600694444445</v>
      </c>
      <c r="C1487" s="150">
        <v>0.60416666666666663</v>
      </c>
      <c r="D1487" s="150">
        <v>0.625</v>
      </c>
      <c r="E1487" s="178" t="s">
        <v>3862</v>
      </c>
      <c r="F1487" s="151" t="s">
        <v>171</v>
      </c>
      <c r="G1487" s="151" t="s">
        <v>133</v>
      </c>
      <c r="H1487" s="146" t="s">
        <v>91</v>
      </c>
      <c r="I1487" s="146" t="s">
        <v>3843</v>
      </c>
      <c r="J1487" s="146" t="s">
        <v>41</v>
      </c>
      <c r="K1487" s="146" t="s">
        <v>233</v>
      </c>
      <c r="L1487" s="146" t="s">
        <v>206</v>
      </c>
      <c r="M1487" s="151" t="s">
        <v>3844</v>
      </c>
      <c r="N1487" s="151" t="s">
        <v>175</v>
      </c>
      <c r="O1487" s="37">
        <v>1054969786</v>
      </c>
      <c r="P1487" s="37">
        <v>1214007759</v>
      </c>
      <c r="Q1487" s="303">
        <f t="shared" si="131"/>
        <v>1</v>
      </c>
      <c r="R1487" s="303">
        <f t="shared" si="132"/>
        <v>1</v>
      </c>
      <c r="S1487" s="37">
        <v>1</v>
      </c>
      <c r="T1487" s="37">
        <v>1</v>
      </c>
      <c r="U1487" s="37">
        <v>0</v>
      </c>
      <c r="V1487" s="37">
        <v>0</v>
      </c>
      <c r="W1487" s="37">
        <v>2</v>
      </c>
      <c r="X1487" s="37">
        <v>50</v>
      </c>
      <c r="Y1487" s="37">
        <v>41</v>
      </c>
      <c r="Z1487" s="37">
        <v>13</v>
      </c>
      <c r="AA1487" s="37">
        <v>1</v>
      </c>
      <c r="AB1487" s="300">
        <f t="shared" si="133"/>
        <v>4.4416666666666664</v>
      </c>
      <c r="AC1487" s="300">
        <f t="shared" si="134"/>
        <v>2.6757028112449798E-2</v>
      </c>
      <c r="AD1487" s="37">
        <v>65.709999999999994</v>
      </c>
      <c r="AE1487" s="151" t="s">
        <v>109</v>
      </c>
      <c r="AF1487" s="151" t="s">
        <v>317</v>
      </c>
      <c r="AG1487" s="151" t="s">
        <v>317</v>
      </c>
      <c r="AH1487" s="151" t="s">
        <v>48</v>
      </c>
      <c r="AI1487" s="309"/>
      <c r="AJ1487" s="309"/>
      <c r="AK1487" s="37" t="s">
        <v>48</v>
      </c>
      <c r="AL1487" s="151" t="s">
        <v>56</v>
      </c>
      <c r="AM1487" s="299">
        <f t="shared" ca="1" si="130"/>
        <v>2.125</v>
      </c>
      <c r="AN1487" s="51"/>
      <c r="AO1487" s="171" t="s">
        <v>181</v>
      </c>
      <c r="AP1487" s="171" t="s">
        <v>3844</v>
      </c>
      <c r="AQ1487" s="171" t="s">
        <v>3909</v>
      </c>
      <c r="AR1487" s="174">
        <v>44914.725694444445</v>
      </c>
      <c r="AS1487" s="173" t="s">
        <v>3910</v>
      </c>
      <c r="AT1487" s="171" t="s">
        <v>65</v>
      </c>
      <c r="AU1487" s="173">
        <v>0.77430555555555547</v>
      </c>
      <c r="AV1487" s="171">
        <v>1</v>
      </c>
      <c r="AW1487" s="171" t="s">
        <v>66</v>
      </c>
      <c r="AX1487" s="52"/>
      <c r="AY1487" s="52"/>
      <c r="AZ1487" s="52"/>
      <c r="BA1487" s="52"/>
    </row>
    <row r="1488" spans="1:53" ht="24" x14ac:dyDescent="0.25">
      <c r="A1488" s="48">
        <v>340</v>
      </c>
      <c r="B1488" s="155">
        <v>44912.600694444445</v>
      </c>
      <c r="C1488" s="150">
        <v>0.60416666666666663</v>
      </c>
      <c r="D1488" s="150">
        <v>0.625</v>
      </c>
      <c r="E1488" s="178" t="s">
        <v>3862</v>
      </c>
      <c r="F1488" s="151" t="s">
        <v>171</v>
      </c>
      <c r="G1488" s="151" t="s">
        <v>133</v>
      </c>
      <c r="H1488" s="146" t="s">
        <v>91</v>
      </c>
      <c r="I1488" s="146" t="s">
        <v>3843</v>
      </c>
      <c r="J1488" s="146" t="s">
        <v>41</v>
      </c>
      <c r="K1488" s="146" t="s">
        <v>233</v>
      </c>
      <c r="L1488" s="146" t="s">
        <v>206</v>
      </c>
      <c r="M1488" s="151" t="s">
        <v>3844</v>
      </c>
      <c r="N1488" s="151" t="s">
        <v>175</v>
      </c>
      <c r="O1488" s="37">
        <v>1054969783</v>
      </c>
      <c r="P1488" s="37">
        <v>1214006830</v>
      </c>
      <c r="Q1488" s="303">
        <f t="shared" si="131"/>
        <v>1</v>
      </c>
      <c r="R1488" s="303">
        <f t="shared" si="132"/>
        <v>1</v>
      </c>
      <c r="S1488" s="37">
        <v>1</v>
      </c>
      <c r="T1488" s="37">
        <v>1</v>
      </c>
      <c r="U1488" s="37">
        <v>0</v>
      </c>
      <c r="V1488" s="37">
        <v>0</v>
      </c>
      <c r="W1488" s="37">
        <v>2</v>
      </c>
      <c r="X1488" s="37">
        <v>26</v>
      </c>
      <c r="Y1488" s="37">
        <v>26</v>
      </c>
      <c r="Z1488" s="37">
        <v>20</v>
      </c>
      <c r="AA1488" s="37">
        <v>1</v>
      </c>
      <c r="AB1488" s="300">
        <f t="shared" si="133"/>
        <v>2.2533333333333334</v>
      </c>
      <c r="AC1488" s="300">
        <f t="shared" si="134"/>
        <v>1.3574297188755021E-2</v>
      </c>
      <c r="AD1488" s="37">
        <v>919.06</v>
      </c>
      <c r="AE1488" s="151" t="s">
        <v>109</v>
      </c>
      <c r="AF1488" s="151" t="s">
        <v>317</v>
      </c>
      <c r="AG1488" s="151" t="s">
        <v>317</v>
      </c>
      <c r="AH1488" s="151" t="s">
        <v>48</v>
      </c>
      <c r="AI1488" s="309"/>
      <c r="AJ1488" s="309"/>
      <c r="AK1488" s="151" t="s">
        <v>48</v>
      </c>
      <c r="AL1488" s="151" t="s">
        <v>56</v>
      </c>
      <c r="AM1488" s="299">
        <f t="shared" ca="1" si="130"/>
        <v>2.125</v>
      </c>
      <c r="AN1488" s="51"/>
      <c r="AO1488" s="171" t="s">
        <v>181</v>
      </c>
      <c r="AP1488" s="171" t="s">
        <v>3844</v>
      </c>
      <c r="AQ1488" s="171" t="s">
        <v>3909</v>
      </c>
      <c r="AR1488" s="174">
        <v>44914.725694444445</v>
      </c>
      <c r="AS1488" s="173" t="s">
        <v>3910</v>
      </c>
      <c r="AT1488" s="171" t="s">
        <v>65</v>
      </c>
      <c r="AU1488" s="173">
        <v>0.77430555555555547</v>
      </c>
      <c r="AV1488" s="171">
        <v>1</v>
      </c>
      <c r="AW1488" s="171" t="s">
        <v>66</v>
      </c>
      <c r="AX1488" s="52"/>
      <c r="AY1488" s="52"/>
      <c r="AZ1488" s="52"/>
      <c r="BA1488" s="52"/>
    </row>
    <row r="1489" spans="1:53" ht="24" x14ac:dyDescent="0.25">
      <c r="A1489" s="48">
        <v>341</v>
      </c>
      <c r="B1489" s="155">
        <v>44912.600694444445</v>
      </c>
      <c r="C1489" s="150">
        <v>0.60416666666666663</v>
      </c>
      <c r="D1489" s="150">
        <v>0.625</v>
      </c>
      <c r="E1489" s="178" t="s">
        <v>3862</v>
      </c>
      <c r="F1489" s="151" t="s">
        <v>171</v>
      </c>
      <c r="G1489" s="151" t="s">
        <v>133</v>
      </c>
      <c r="H1489" s="146" t="s">
        <v>91</v>
      </c>
      <c r="I1489" s="146" t="s">
        <v>3843</v>
      </c>
      <c r="J1489" s="146" t="s">
        <v>41</v>
      </c>
      <c r="K1489" s="146" t="s">
        <v>233</v>
      </c>
      <c r="L1489" s="146" t="s">
        <v>206</v>
      </c>
      <c r="M1489" s="151" t="s">
        <v>3844</v>
      </c>
      <c r="N1489" s="151" t="s">
        <v>175</v>
      </c>
      <c r="O1489" s="37">
        <v>1054969924</v>
      </c>
      <c r="P1489" s="37">
        <v>1214026909</v>
      </c>
      <c r="Q1489" s="303">
        <f t="shared" si="131"/>
        <v>5</v>
      </c>
      <c r="R1489" s="303">
        <f t="shared" si="132"/>
        <v>800</v>
      </c>
      <c r="S1489" s="37">
        <v>0</v>
      </c>
      <c r="T1489" s="37">
        <v>0</v>
      </c>
      <c r="U1489" s="37">
        <v>5</v>
      </c>
      <c r="V1489" s="37">
        <f>158+159+164+161+158</f>
        <v>800</v>
      </c>
      <c r="W1489" s="37">
        <v>820</v>
      </c>
      <c r="X1489" s="37">
        <v>116</v>
      </c>
      <c r="Y1489" s="37">
        <v>83</v>
      </c>
      <c r="Z1489" s="37">
        <v>166</v>
      </c>
      <c r="AA1489" s="37">
        <v>5</v>
      </c>
      <c r="AB1489" s="300">
        <f t="shared" si="133"/>
        <v>1331.8733333333332</v>
      </c>
      <c r="AC1489" s="300">
        <f t="shared" si="134"/>
        <v>8.0233333333333334</v>
      </c>
      <c r="AD1489" s="37">
        <v>5300</v>
      </c>
      <c r="AE1489" s="151" t="s">
        <v>109</v>
      </c>
      <c r="AF1489" s="151" t="s">
        <v>317</v>
      </c>
      <c r="AG1489" s="151" t="s">
        <v>317</v>
      </c>
      <c r="AH1489" s="151" t="s">
        <v>48</v>
      </c>
      <c r="AI1489" s="309"/>
      <c r="AJ1489" s="309"/>
      <c r="AK1489" s="37" t="s">
        <v>41</v>
      </c>
      <c r="AL1489" s="151" t="s">
        <v>56</v>
      </c>
      <c r="AM1489" s="299">
        <f t="shared" ca="1" si="130"/>
        <v>2.125</v>
      </c>
      <c r="AN1489" s="51"/>
      <c r="AO1489" s="171" t="s">
        <v>181</v>
      </c>
      <c r="AP1489" s="171" t="s">
        <v>3844</v>
      </c>
      <c r="AQ1489" s="171" t="s">
        <v>3909</v>
      </c>
      <c r="AR1489" s="174">
        <v>44914.725694444445</v>
      </c>
      <c r="AS1489" s="173" t="s">
        <v>3910</v>
      </c>
      <c r="AT1489" s="171" t="s">
        <v>65</v>
      </c>
      <c r="AU1489" s="173">
        <v>0.77430555555555547</v>
      </c>
      <c r="AV1489" s="171">
        <v>1</v>
      </c>
      <c r="AW1489" s="171" t="s">
        <v>66</v>
      </c>
      <c r="AX1489" s="52"/>
      <c r="AY1489" s="52"/>
      <c r="AZ1489" s="52"/>
      <c r="BA1489" s="52"/>
    </row>
    <row r="1490" spans="1:53" ht="24" x14ac:dyDescent="0.25">
      <c r="A1490" s="48">
        <v>342</v>
      </c>
      <c r="B1490" s="155">
        <v>44912.600694444445</v>
      </c>
      <c r="C1490" s="150">
        <v>0.60416666666666663</v>
      </c>
      <c r="D1490" s="150">
        <v>0.625</v>
      </c>
      <c r="E1490" s="178" t="s">
        <v>3862</v>
      </c>
      <c r="F1490" s="151" t="s">
        <v>171</v>
      </c>
      <c r="G1490" s="151" t="s">
        <v>133</v>
      </c>
      <c r="H1490" s="146" t="s">
        <v>91</v>
      </c>
      <c r="I1490" s="146" t="s">
        <v>3843</v>
      </c>
      <c r="J1490" s="146" t="s">
        <v>41</v>
      </c>
      <c r="K1490" s="146" t="s">
        <v>233</v>
      </c>
      <c r="L1490" s="146" t="s">
        <v>206</v>
      </c>
      <c r="M1490" s="151" t="s">
        <v>3844</v>
      </c>
      <c r="N1490" s="151" t="s">
        <v>175</v>
      </c>
      <c r="O1490" s="37">
        <v>1054969925</v>
      </c>
      <c r="P1490" s="37">
        <v>1214024194</v>
      </c>
      <c r="Q1490" s="303">
        <f t="shared" si="131"/>
        <v>1</v>
      </c>
      <c r="R1490" s="303">
        <f t="shared" si="132"/>
        <v>204</v>
      </c>
      <c r="S1490" s="37">
        <v>0</v>
      </c>
      <c r="T1490" s="37">
        <v>0</v>
      </c>
      <c r="U1490" s="37">
        <v>1</v>
      </c>
      <c r="V1490" s="37">
        <v>204</v>
      </c>
      <c r="W1490" s="37">
        <v>210</v>
      </c>
      <c r="X1490" s="37">
        <v>113</v>
      </c>
      <c r="Y1490" s="37">
        <v>79</v>
      </c>
      <c r="Z1490" s="37">
        <v>83</v>
      </c>
      <c r="AA1490" s="37">
        <v>1</v>
      </c>
      <c r="AB1490" s="300">
        <f t="shared" si="133"/>
        <v>123.49016666666667</v>
      </c>
      <c r="AC1490" s="300">
        <f t="shared" si="134"/>
        <v>0.74391666666666667</v>
      </c>
      <c r="AD1490" s="37">
        <v>1572.08</v>
      </c>
      <c r="AE1490" s="151" t="s">
        <v>109</v>
      </c>
      <c r="AF1490" s="151" t="s">
        <v>317</v>
      </c>
      <c r="AG1490" s="151" t="s">
        <v>317</v>
      </c>
      <c r="AH1490" s="151" t="s">
        <v>48</v>
      </c>
      <c r="AI1490" s="309"/>
      <c r="AJ1490" s="309"/>
      <c r="AK1490" s="151" t="s">
        <v>37</v>
      </c>
      <c r="AL1490" s="151" t="s">
        <v>56</v>
      </c>
      <c r="AM1490" s="299">
        <f t="shared" ca="1" si="130"/>
        <v>2.125</v>
      </c>
      <c r="AN1490" s="51"/>
      <c r="AO1490" s="171" t="s">
        <v>181</v>
      </c>
      <c r="AP1490" s="171" t="s">
        <v>3844</v>
      </c>
      <c r="AQ1490" s="171" t="s">
        <v>3909</v>
      </c>
      <c r="AR1490" s="174">
        <v>44914.725694444445</v>
      </c>
      <c r="AS1490" s="173" t="s">
        <v>3910</v>
      </c>
      <c r="AT1490" s="171" t="s">
        <v>65</v>
      </c>
      <c r="AU1490" s="173">
        <v>0.77430555555555547</v>
      </c>
      <c r="AV1490" s="171">
        <v>1</v>
      </c>
      <c r="AW1490" s="171" t="s">
        <v>66</v>
      </c>
      <c r="AX1490" s="52"/>
      <c r="AY1490" s="52"/>
      <c r="AZ1490" s="52"/>
      <c r="BA1490" s="52"/>
    </row>
    <row r="1491" spans="1:53" ht="24" x14ac:dyDescent="0.25">
      <c r="A1491" s="48">
        <v>343</v>
      </c>
      <c r="B1491" s="155">
        <v>44912.645833333336</v>
      </c>
      <c r="C1491" s="150">
        <v>0.65277777777777779</v>
      </c>
      <c r="D1491" s="150">
        <v>0.67361111111111116</v>
      </c>
      <c r="E1491" s="178" t="s">
        <v>3862</v>
      </c>
      <c r="F1491" s="151" t="s">
        <v>171</v>
      </c>
      <c r="G1491" s="151" t="s">
        <v>88</v>
      </c>
      <c r="H1491" s="146" t="s">
        <v>91</v>
      </c>
      <c r="I1491" s="146" t="s">
        <v>3843</v>
      </c>
      <c r="J1491" s="146" t="s">
        <v>41</v>
      </c>
      <c r="K1491" s="146" t="s">
        <v>233</v>
      </c>
      <c r="L1491" s="146" t="s">
        <v>206</v>
      </c>
      <c r="M1491" s="151" t="s">
        <v>3844</v>
      </c>
      <c r="N1491" s="151" t="s">
        <v>175</v>
      </c>
      <c r="O1491" s="37">
        <v>1054969824</v>
      </c>
      <c r="P1491" s="37">
        <v>1214006829</v>
      </c>
      <c r="Q1491" s="303">
        <f t="shared" si="131"/>
        <v>2</v>
      </c>
      <c r="R1491" s="303">
        <f t="shared" si="132"/>
        <v>349</v>
      </c>
      <c r="S1491" s="37">
        <v>0</v>
      </c>
      <c r="T1491" s="37">
        <v>0</v>
      </c>
      <c r="U1491" s="37">
        <v>2</v>
      </c>
      <c r="V1491" s="37">
        <f>100+249</f>
        <v>349</v>
      </c>
      <c r="W1491" s="37">
        <v>357</v>
      </c>
      <c r="X1491" s="37">
        <v>131</v>
      </c>
      <c r="Y1491" s="37">
        <v>76</v>
      </c>
      <c r="Z1491" s="37">
        <v>72</v>
      </c>
      <c r="AA1491" s="37">
        <v>1</v>
      </c>
      <c r="AB1491" s="300">
        <f t="shared" si="133"/>
        <v>119.47199999999999</v>
      </c>
      <c r="AC1491" s="300">
        <f t="shared" si="134"/>
        <v>0.71971084337349389</v>
      </c>
      <c r="AD1491" s="37">
        <v>14502.33</v>
      </c>
      <c r="AE1491" s="151" t="s">
        <v>109</v>
      </c>
      <c r="AF1491" s="151" t="s">
        <v>317</v>
      </c>
      <c r="AG1491" s="151" t="s">
        <v>317</v>
      </c>
      <c r="AH1491" s="151" t="s">
        <v>48</v>
      </c>
      <c r="AI1491" s="309"/>
      <c r="AJ1491" s="309"/>
      <c r="AK1491" s="151" t="s">
        <v>37</v>
      </c>
      <c r="AL1491" s="151" t="s">
        <v>56</v>
      </c>
      <c r="AM1491" s="299">
        <f t="shared" ca="1" si="130"/>
        <v>2.0798611111094942</v>
      </c>
      <c r="AN1491" s="51"/>
      <c r="AO1491" s="171" t="s">
        <v>181</v>
      </c>
      <c r="AP1491" s="171" t="s">
        <v>3844</v>
      </c>
      <c r="AQ1491" s="171" t="s">
        <v>3909</v>
      </c>
      <c r="AR1491" s="174">
        <v>44914.725694444445</v>
      </c>
      <c r="AS1491" s="173" t="s">
        <v>3910</v>
      </c>
      <c r="AT1491" s="171" t="s">
        <v>65</v>
      </c>
      <c r="AU1491" s="173">
        <v>0.77430555555555547</v>
      </c>
      <c r="AV1491" s="171">
        <v>1</v>
      </c>
      <c r="AW1491" s="171" t="s">
        <v>66</v>
      </c>
      <c r="AX1491" s="52"/>
      <c r="AY1491" s="52"/>
      <c r="AZ1491" s="52"/>
      <c r="BA1491" s="52"/>
    </row>
    <row r="1492" spans="1:53" ht="24" x14ac:dyDescent="0.25">
      <c r="A1492" s="157">
        <v>343</v>
      </c>
      <c r="B1492" s="155">
        <v>44912.645833333336</v>
      </c>
      <c r="C1492" s="150">
        <v>0.65277777777777779</v>
      </c>
      <c r="D1492" s="150">
        <v>0.67361111111111116</v>
      </c>
      <c r="E1492" s="178" t="s">
        <v>3862</v>
      </c>
      <c r="F1492" s="151" t="s">
        <v>171</v>
      </c>
      <c r="G1492" s="151" t="s">
        <v>88</v>
      </c>
      <c r="H1492" s="146" t="s">
        <v>91</v>
      </c>
      <c r="I1492" s="146" t="s">
        <v>3843</v>
      </c>
      <c r="J1492" s="146" t="s">
        <v>41</v>
      </c>
      <c r="K1492" s="146" t="s">
        <v>233</v>
      </c>
      <c r="L1492" s="146" t="s">
        <v>206</v>
      </c>
      <c r="M1492" s="151" t="s">
        <v>3844</v>
      </c>
      <c r="N1492" s="151" t="s">
        <v>175</v>
      </c>
      <c r="O1492" s="151">
        <v>1054969824</v>
      </c>
      <c r="P1492" s="151">
        <v>1214006829</v>
      </c>
      <c r="Q1492" s="303">
        <f t="shared" si="131"/>
        <v>0</v>
      </c>
      <c r="R1492" s="303">
        <f t="shared" si="132"/>
        <v>0</v>
      </c>
      <c r="S1492" s="151">
        <v>0</v>
      </c>
      <c r="T1492" s="151">
        <v>0</v>
      </c>
      <c r="U1492" s="151">
        <v>0</v>
      </c>
      <c r="V1492" s="151">
        <v>0</v>
      </c>
      <c r="W1492" s="151">
        <v>0</v>
      </c>
      <c r="X1492" s="37">
        <v>100</v>
      </c>
      <c r="Y1492" s="37">
        <v>76</v>
      </c>
      <c r="Z1492" s="37">
        <v>53</v>
      </c>
      <c r="AA1492" s="37">
        <v>1</v>
      </c>
      <c r="AB1492" s="300">
        <f t="shared" si="133"/>
        <v>67.13333333333334</v>
      </c>
      <c r="AC1492" s="300">
        <f t="shared" si="134"/>
        <v>0.40441767068273099</v>
      </c>
      <c r="AD1492" s="37">
        <v>0</v>
      </c>
      <c r="AE1492" s="151">
        <v>0</v>
      </c>
      <c r="AF1492" s="151" t="s">
        <v>317</v>
      </c>
      <c r="AG1492" s="151" t="s">
        <v>317</v>
      </c>
      <c r="AH1492" s="151" t="s">
        <v>48</v>
      </c>
      <c r="AI1492" s="309"/>
      <c r="AJ1492" s="309"/>
      <c r="AK1492" s="151" t="s">
        <v>37</v>
      </c>
      <c r="AL1492" s="151" t="s">
        <v>56</v>
      </c>
      <c r="AM1492" s="299">
        <f t="shared" ca="1" si="130"/>
        <v>2.0798611111094942</v>
      </c>
      <c r="AN1492" s="51"/>
      <c r="AO1492" s="171" t="s">
        <v>181</v>
      </c>
      <c r="AP1492" s="171" t="s">
        <v>3844</v>
      </c>
      <c r="AQ1492" s="171" t="s">
        <v>3909</v>
      </c>
      <c r="AR1492" s="174">
        <v>44914.725694444445</v>
      </c>
      <c r="AS1492" s="173" t="s">
        <v>3910</v>
      </c>
      <c r="AT1492" s="171" t="s">
        <v>65</v>
      </c>
      <c r="AU1492" s="173">
        <v>0.77430555555555547</v>
      </c>
      <c r="AV1492" s="171">
        <v>1</v>
      </c>
      <c r="AW1492" s="171" t="s">
        <v>66</v>
      </c>
      <c r="AX1492" s="52"/>
      <c r="AY1492" s="52"/>
      <c r="AZ1492" s="52"/>
      <c r="BA1492" s="52"/>
    </row>
    <row r="1493" spans="1:53" ht="24" x14ac:dyDescent="0.25">
      <c r="A1493" s="48">
        <v>344</v>
      </c>
      <c r="B1493" s="155">
        <v>44912.645833333336</v>
      </c>
      <c r="C1493" s="150">
        <v>0.65277777777777779</v>
      </c>
      <c r="D1493" s="150">
        <v>0.67361111111111116</v>
      </c>
      <c r="E1493" s="178" t="s">
        <v>3862</v>
      </c>
      <c r="F1493" s="151" t="s">
        <v>171</v>
      </c>
      <c r="G1493" s="151" t="s">
        <v>88</v>
      </c>
      <c r="H1493" s="146" t="s">
        <v>91</v>
      </c>
      <c r="I1493" s="146" t="s">
        <v>3843</v>
      </c>
      <c r="J1493" s="146" t="s">
        <v>41</v>
      </c>
      <c r="K1493" s="146" t="s">
        <v>233</v>
      </c>
      <c r="L1493" s="146" t="s">
        <v>206</v>
      </c>
      <c r="M1493" s="151" t="s">
        <v>3844</v>
      </c>
      <c r="N1493" s="151" t="s">
        <v>175</v>
      </c>
      <c r="O1493" s="37">
        <v>1054969828</v>
      </c>
      <c r="P1493" s="37">
        <v>1214015210</v>
      </c>
      <c r="Q1493" s="303">
        <f t="shared" si="131"/>
        <v>2</v>
      </c>
      <c r="R1493" s="303">
        <f t="shared" si="132"/>
        <v>10</v>
      </c>
      <c r="S1493" s="37">
        <v>2</v>
      </c>
      <c r="T1493" s="37">
        <v>10</v>
      </c>
      <c r="U1493" s="37">
        <v>0</v>
      </c>
      <c r="V1493" s="37">
        <v>0</v>
      </c>
      <c r="W1493" s="37">
        <v>11</v>
      </c>
      <c r="X1493" s="37">
        <v>42</v>
      </c>
      <c r="Y1493" s="37">
        <v>39</v>
      </c>
      <c r="Z1493" s="37">
        <v>38</v>
      </c>
      <c r="AA1493" s="37">
        <v>1</v>
      </c>
      <c r="AB1493" s="300">
        <f t="shared" si="133"/>
        <v>10.374000000000001</v>
      </c>
      <c r="AC1493" s="300">
        <f t="shared" si="134"/>
        <v>6.2493975903614461E-2</v>
      </c>
      <c r="AD1493" s="37">
        <v>131.28</v>
      </c>
      <c r="AE1493" s="37" t="s">
        <v>109</v>
      </c>
      <c r="AF1493" s="151" t="s">
        <v>317</v>
      </c>
      <c r="AG1493" s="151" t="s">
        <v>317</v>
      </c>
      <c r="AH1493" s="151" t="s">
        <v>48</v>
      </c>
      <c r="AI1493" s="309"/>
      <c r="AJ1493" s="309"/>
      <c r="AK1493" s="151" t="s">
        <v>48</v>
      </c>
      <c r="AL1493" s="151" t="s">
        <v>54</v>
      </c>
      <c r="AM1493" s="299">
        <f t="shared" ca="1" si="130"/>
        <v>2.0798611111094942</v>
      </c>
      <c r="AN1493" s="51"/>
      <c r="AO1493" s="171" t="s">
        <v>181</v>
      </c>
      <c r="AP1493" s="171" t="s">
        <v>3844</v>
      </c>
      <c r="AQ1493" s="171" t="s">
        <v>3909</v>
      </c>
      <c r="AR1493" s="174">
        <v>44914.725694444445</v>
      </c>
      <c r="AS1493" s="173" t="s">
        <v>3910</v>
      </c>
      <c r="AT1493" s="171" t="s">
        <v>65</v>
      </c>
      <c r="AU1493" s="173">
        <v>0.77430555555555547</v>
      </c>
      <c r="AV1493" s="171">
        <v>1</v>
      </c>
      <c r="AW1493" s="171" t="s">
        <v>66</v>
      </c>
      <c r="AX1493" s="52"/>
      <c r="AY1493" s="52"/>
      <c r="AZ1493" s="52"/>
      <c r="BA1493" s="52"/>
    </row>
    <row r="1494" spans="1:53" ht="24" x14ac:dyDescent="0.25">
      <c r="A1494" s="157">
        <v>344</v>
      </c>
      <c r="B1494" s="155">
        <v>44912.645833333336</v>
      </c>
      <c r="C1494" s="150">
        <v>0.65277777777777779</v>
      </c>
      <c r="D1494" s="150">
        <v>0.67361111111111116</v>
      </c>
      <c r="E1494" s="178" t="s">
        <v>3862</v>
      </c>
      <c r="F1494" s="151" t="s">
        <v>171</v>
      </c>
      <c r="G1494" s="151" t="s">
        <v>88</v>
      </c>
      <c r="H1494" s="146" t="s">
        <v>91</v>
      </c>
      <c r="I1494" s="146" t="s">
        <v>3843</v>
      </c>
      <c r="J1494" s="146" t="s">
        <v>41</v>
      </c>
      <c r="K1494" s="146" t="s">
        <v>233</v>
      </c>
      <c r="L1494" s="146" t="s">
        <v>206</v>
      </c>
      <c r="M1494" s="151" t="s">
        <v>3844</v>
      </c>
      <c r="N1494" s="151" t="s">
        <v>175</v>
      </c>
      <c r="O1494" s="151">
        <v>1054969828</v>
      </c>
      <c r="P1494" s="151">
        <v>1214015210</v>
      </c>
      <c r="Q1494" s="303">
        <f t="shared" si="131"/>
        <v>0</v>
      </c>
      <c r="R1494" s="303">
        <f t="shared" si="132"/>
        <v>0</v>
      </c>
      <c r="S1494" s="151">
        <v>0</v>
      </c>
      <c r="T1494" s="151">
        <v>0</v>
      </c>
      <c r="U1494" s="151">
        <v>0</v>
      </c>
      <c r="V1494" s="151">
        <v>0</v>
      </c>
      <c r="W1494" s="151">
        <v>0</v>
      </c>
      <c r="X1494" s="37">
        <v>38</v>
      </c>
      <c r="Y1494" s="37">
        <v>37</v>
      </c>
      <c r="Z1494" s="37">
        <v>30</v>
      </c>
      <c r="AA1494" s="37">
        <v>1</v>
      </c>
      <c r="AB1494" s="300">
        <f t="shared" si="133"/>
        <v>7.03</v>
      </c>
      <c r="AC1494" s="300">
        <f t="shared" si="134"/>
        <v>4.2349397590361444E-2</v>
      </c>
      <c r="AD1494" s="37">
        <v>0</v>
      </c>
      <c r="AE1494" s="151">
        <v>0</v>
      </c>
      <c r="AF1494" s="151" t="s">
        <v>317</v>
      </c>
      <c r="AG1494" s="151" t="s">
        <v>317</v>
      </c>
      <c r="AH1494" s="151" t="s">
        <v>48</v>
      </c>
      <c r="AI1494" s="309"/>
      <c r="AJ1494" s="309"/>
      <c r="AK1494" s="151" t="s">
        <v>48</v>
      </c>
      <c r="AL1494" s="151" t="s">
        <v>54</v>
      </c>
      <c r="AM1494" s="299">
        <f t="shared" ca="1" si="130"/>
        <v>2.0798611111094942</v>
      </c>
      <c r="AN1494" s="51"/>
      <c r="AO1494" s="171" t="s">
        <v>181</v>
      </c>
      <c r="AP1494" s="171" t="s">
        <v>3844</v>
      </c>
      <c r="AQ1494" s="171" t="s">
        <v>3909</v>
      </c>
      <c r="AR1494" s="174">
        <v>44914.725694444445</v>
      </c>
      <c r="AS1494" s="173" t="s">
        <v>3910</v>
      </c>
      <c r="AT1494" s="171" t="s">
        <v>65</v>
      </c>
      <c r="AU1494" s="173">
        <v>0.77430555555555547</v>
      </c>
      <c r="AV1494" s="171">
        <v>1</v>
      </c>
      <c r="AW1494" s="171" t="s">
        <v>66</v>
      </c>
      <c r="AX1494" s="52"/>
      <c r="AY1494" s="52"/>
      <c r="AZ1494" s="52"/>
      <c r="BA1494" s="52"/>
    </row>
    <row r="1495" spans="1:53" ht="24" x14ac:dyDescent="0.25">
      <c r="A1495" s="48">
        <v>345</v>
      </c>
      <c r="B1495" s="155">
        <v>44912.645833333336</v>
      </c>
      <c r="C1495" s="150">
        <v>0.65277777777777779</v>
      </c>
      <c r="D1495" s="150">
        <v>0.67361111111111116</v>
      </c>
      <c r="E1495" s="178" t="s">
        <v>3862</v>
      </c>
      <c r="F1495" s="151" t="s">
        <v>171</v>
      </c>
      <c r="G1495" s="151" t="s">
        <v>88</v>
      </c>
      <c r="H1495" s="146" t="s">
        <v>91</v>
      </c>
      <c r="I1495" s="146" t="s">
        <v>3843</v>
      </c>
      <c r="J1495" s="146" t="s">
        <v>41</v>
      </c>
      <c r="K1495" s="146" t="s">
        <v>233</v>
      </c>
      <c r="L1495" s="146" t="s">
        <v>206</v>
      </c>
      <c r="M1495" s="151" t="s">
        <v>3844</v>
      </c>
      <c r="N1495" s="151" t="s">
        <v>175</v>
      </c>
      <c r="O1495" s="37">
        <v>1054969822</v>
      </c>
      <c r="P1495" s="37">
        <v>1214011899</v>
      </c>
      <c r="Q1495" s="303">
        <f t="shared" si="131"/>
        <v>1</v>
      </c>
      <c r="R1495" s="303">
        <f t="shared" si="132"/>
        <v>36</v>
      </c>
      <c r="S1495" s="37">
        <v>0</v>
      </c>
      <c r="T1495" s="37">
        <v>0</v>
      </c>
      <c r="U1495" s="37">
        <v>1</v>
      </c>
      <c r="V1495" s="37">
        <v>36</v>
      </c>
      <c r="W1495" s="37">
        <v>37</v>
      </c>
      <c r="X1495" s="37">
        <v>100</v>
      </c>
      <c r="Y1495" s="37">
        <v>77</v>
      </c>
      <c r="Z1495" s="37">
        <v>52</v>
      </c>
      <c r="AA1495" s="37">
        <v>1</v>
      </c>
      <c r="AB1495" s="300">
        <f t="shared" si="133"/>
        <v>66.733333333333334</v>
      </c>
      <c r="AC1495" s="300">
        <f t="shared" si="134"/>
        <v>0.40200803212851405</v>
      </c>
      <c r="AD1495" s="37">
        <v>5665.6</v>
      </c>
      <c r="AE1495" s="151" t="s">
        <v>109</v>
      </c>
      <c r="AF1495" s="151" t="s">
        <v>317</v>
      </c>
      <c r="AG1495" s="151" t="s">
        <v>317</v>
      </c>
      <c r="AH1495" s="151" t="s">
        <v>48</v>
      </c>
      <c r="AI1495" s="309"/>
      <c r="AJ1495" s="309"/>
      <c r="AK1495" s="37" t="s">
        <v>37</v>
      </c>
      <c r="AL1495" s="151" t="s">
        <v>54</v>
      </c>
      <c r="AM1495" s="299">
        <f t="shared" ca="1" si="130"/>
        <v>2.0798611111094942</v>
      </c>
      <c r="AN1495" s="51"/>
      <c r="AO1495" s="171" t="s">
        <v>181</v>
      </c>
      <c r="AP1495" s="171" t="s">
        <v>3844</v>
      </c>
      <c r="AQ1495" s="171" t="s">
        <v>3909</v>
      </c>
      <c r="AR1495" s="174">
        <v>44914.725694444445</v>
      </c>
      <c r="AS1495" s="173" t="s">
        <v>3910</v>
      </c>
      <c r="AT1495" s="171" t="s">
        <v>65</v>
      </c>
      <c r="AU1495" s="173">
        <v>0.77430555555555547</v>
      </c>
      <c r="AV1495" s="171">
        <v>1</v>
      </c>
      <c r="AW1495" s="171" t="s">
        <v>66</v>
      </c>
      <c r="AX1495" s="52"/>
      <c r="AY1495" s="52"/>
      <c r="AZ1495" s="52"/>
      <c r="BA1495" s="52"/>
    </row>
    <row r="1496" spans="1:53" ht="24" x14ac:dyDescent="0.25">
      <c r="A1496" s="48">
        <v>346</v>
      </c>
      <c r="B1496" s="155">
        <v>44912.645833333336</v>
      </c>
      <c r="C1496" s="150">
        <v>0.65277777777777779</v>
      </c>
      <c r="D1496" s="150">
        <v>0.67361111111111116</v>
      </c>
      <c r="E1496" s="178" t="s">
        <v>3862</v>
      </c>
      <c r="F1496" s="151" t="s">
        <v>171</v>
      </c>
      <c r="G1496" s="151" t="s">
        <v>88</v>
      </c>
      <c r="H1496" s="146" t="s">
        <v>91</v>
      </c>
      <c r="I1496" s="146" t="s">
        <v>3843</v>
      </c>
      <c r="J1496" s="146" t="s">
        <v>41</v>
      </c>
      <c r="K1496" s="146" t="s">
        <v>233</v>
      </c>
      <c r="L1496" s="146" t="s">
        <v>206</v>
      </c>
      <c r="M1496" s="151" t="s">
        <v>3844</v>
      </c>
      <c r="N1496" s="151" t="s">
        <v>175</v>
      </c>
      <c r="O1496" s="37">
        <v>1054969826</v>
      </c>
      <c r="P1496" s="37">
        <v>1214015209</v>
      </c>
      <c r="Q1496" s="303">
        <f t="shared" si="131"/>
        <v>1</v>
      </c>
      <c r="R1496" s="303">
        <f t="shared" si="132"/>
        <v>5</v>
      </c>
      <c r="S1496" s="37">
        <v>1</v>
      </c>
      <c r="T1496" s="37">
        <v>5</v>
      </c>
      <c r="U1496" s="37">
        <v>0</v>
      </c>
      <c r="V1496" s="37">
        <v>0</v>
      </c>
      <c r="W1496" s="37">
        <v>6</v>
      </c>
      <c r="X1496" s="37">
        <v>40</v>
      </c>
      <c r="Y1496" s="37">
        <v>39</v>
      </c>
      <c r="Z1496" s="37">
        <v>33</v>
      </c>
      <c r="AA1496" s="37">
        <v>1</v>
      </c>
      <c r="AB1496" s="300">
        <f t="shared" si="133"/>
        <v>8.58</v>
      </c>
      <c r="AC1496" s="300">
        <f t="shared" si="134"/>
        <v>5.1686746987951809E-2</v>
      </c>
      <c r="AD1496" s="37">
        <v>1229.07</v>
      </c>
      <c r="AE1496" s="151" t="s">
        <v>109</v>
      </c>
      <c r="AF1496" s="151" t="s">
        <v>317</v>
      </c>
      <c r="AG1496" s="151" t="s">
        <v>317</v>
      </c>
      <c r="AH1496" s="151" t="s">
        <v>48</v>
      </c>
      <c r="AI1496" s="309"/>
      <c r="AJ1496" s="309"/>
      <c r="AK1496" s="151" t="s">
        <v>48</v>
      </c>
      <c r="AL1496" s="151" t="s">
        <v>54</v>
      </c>
      <c r="AM1496" s="299">
        <f t="shared" ca="1" si="130"/>
        <v>2.0798611111094942</v>
      </c>
      <c r="AN1496" s="51"/>
      <c r="AO1496" s="171" t="s">
        <v>181</v>
      </c>
      <c r="AP1496" s="171" t="s">
        <v>3844</v>
      </c>
      <c r="AQ1496" s="171" t="s">
        <v>3909</v>
      </c>
      <c r="AR1496" s="174">
        <v>44914.725694444445</v>
      </c>
      <c r="AS1496" s="173" t="s">
        <v>3910</v>
      </c>
      <c r="AT1496" s="171" t="s">
        <v>65</v>
      </c>
      <c r="AU1496" s="173">
        <v>0.77430555555555547</v>
      </c>
      <c r="AV1496" s="171">
        <v>1</v>
      </c>
      <c r="AW1496" s="171" t="s">
        <v>66</v>
      </c>
      <c r="AX1496" s="52"/>
      <c r="AY1496" s="52"/>
      <c r="AZ1496" s="52"/>
      <c r="BA1496" s="52"/>
    </row>
    <row r="1497" spans="1:53" ht="24" x14ac:dyDescent="0.25">
      <c r="A1497" s="48">
        <v>347</v>
      </c>
      <c r="B1497" s="155">
        <v>44912.645833333336</v>
      </c>
      <c r="C1497" s="150">
        <v>0.65277777777777779</v>
      </c>
      <c r="D1497" s="150">
        <v>0.67361111111111116</v>
      </c>
      <c r="E1497" s="178" t="s">
        <v>3862</v>
      </c>
      <c r="F1497" s="151" t="s">
        <v>171</v>
      </c>
      <c r="G1497" s="151" t="s">
        <v>88</v>
      </c>
      <c r="H1497" s="146" t="s">
        <v>91</v>
      </c>
      <c r="I1497" s="146" t="s">
        <v>3843</v>
      </c>
      <c r="J1497" s="146" t="s">
        <v>41</v>
      </c>
      <c r="K1497" s="146" t="s">
        <v>233</v>
      </c>
      <c r="L1497" s="146" t="s">
        <v>206</v>
      </c>
      <c r="M1497" s="151" t="s">
        <v>3844</v>
      </c>
      <c r="N1497" s="151" t="s">
        <v>175</v>
      </c>
      <c r="O1497" s="37">
        <v>1054969923</v>
      </c>
      <c r="P1497" s="37">
        <v>1214024221</v>
      </c>
      <c r="Q1497" s="303">
        <f t="shared" si="131"/>
        <v>7</v>
      </c>
      <c r="R1497" s="303">
        <f t="shared" si="132"/>
        <v>1542</v>
      </c>
      <c r="S1497" s="37">
        <v>0</v>
      </c>
      <c r="T1497" s="37">
        <v>0</v>
      </c>
      <c r="U1497" s="37">
        <v>7</v>
      </c>
      <c r="V1497" s="37">
        <f>258+280+217+227+280+280</f>
        <v>1542</v>
      </c>
      <c r="W1497" s="37">
        <v>1657</v>
      </c>
      <c r="X1497" s="37">
        <v>113</v>
      </c>
      <c r="Y1497" s="37">
        <v>79</v>
      </c>
      <c r="Z1497" s="37">
        <v>106</v>
      </c>
      <c r="AA1497" s="37">
        <v>5</v>
      </c>
      <c r="AB1497" s="300">
        <f t="shared" si="133"/>
        <v>788.55166666666662</v>
      </c>
      <c r="AC1497" s="300">
        <f t="shared" si="134"/>
        <v>4.750311244979919</v>
      </c>
      <c r="AD1497" s="37">
        <v>10171.49</v>
      </c>
      <c r="AE1497" s="151" t="s">
        <v>109</v>
      </c>
      <c r="AF1497" s="151" t="s">
        <v>317</v>
      </c>
      <c r="AG1497" s="151" t="s">
        <v>317</v>
      </c>
      <c r="AH1497" s="151" t="s">
        <v>48</v>
      </c>
      <c r="AI1497" s="309"/>
      <c r="AJ1497" s="309"/>
      <c r="AK1497" s="151" t="s">
        <v>48</v>
      </c>
      <c r="AL1497" s="151" t="s">
        <v>54</v>
      </c>
      <c r="AM1497" s="299">
        <f t="shared" ca="1" si="130"/>
        <v>2.0798611111094942</v>
      </c>
      <c r="AN1497" s="51"/>
      <c r="AO1497" s="171" t="s">
        <v>181</v>
      </c>
      <c r="AP1497" s="171" t="s">
        <v>3844</v>
      </c>
      <c r="AQ1497" s="171" t="s">
        <v>3909</v>
      </c>
      <c r="AR1497" s="174">
        <v>44914.725694444445</v>
      </c>
      <c r="AS1497" s="173" t="s">
        <v>3910</v>
      </c>
      <c r="AT1497" s="171" t="s">
        <v>65</v>
      </c>
      <c r="AU1497" s="173">
        <v>0.77430555555555547</v>
      </c>
      <c r="AV1497" s="171">
        <v>1</v>
      </c>
      <c r="AW1497" s="171" t="s">
        <v>66</v>
      </c>
      <c r="AX1497" s="52"/>
      <c r="AY1497" s="52"/>
      <c r="AZ1497" s="52"/>
      <c r="BA1497" s="52"/>
    </row>
    <row r="1498" spans="1:53" ht="24" x14ac:dyDescent="0.25">
      <c r="A1498" s="157">
        <v>347</v>
      </c>
      <c r="B1498" s="155">
        <v>44912.645833333336</v>
      </c>
      <c r="C1498" s="150">
        <v>0.65277777777777779</v>
      </c>
      <c r="D1498" s="150">
        <v>0.67361111111111116</v>
      </c>
      <c r="E1498" s="178" t="s">
        <v>3862</v>
      </c>
      <c r="F1498" s="151" t="s">
        <v>171</v>
      </c>
      <c r="G1498" s="151" t="s">
        <v>88</v>
      </c>
      <c r="H1498" s="146" t="s">
        <v>91</v>
      </c>
      <c r="I1498" s="146" t="s">
        <v>3843</v>
      </c>
      <c r="J1498" s="146" t="s">
        <v>41</v>
      </c>
      <c r="K1498" s="146" t="s">
        <v>233</v>
      </c>
      <c r="L1498" s="146" t="s">
        <v>206</v>
      </c>
      <c r="M1498" s="151" t="s">
        <v>3844</v>
      </c>
      <c r="N1498" s="151" t="s">
        <v>175</v>
      </c>
      <c r="O1498" s="151">
        <v>1054969923</v>
      </c>
      <c r="P1498" s="151">
        <v>1214024221</v>
      </c>
      <c r="Q1498" s="303">
        <f t="shared" si="131"/>
        <v>0</v>
      </c>
      <c r="R1498" s="303">
        <f t="shared" si="132"/>
        <v>0</v>
      </c>
      <c r="S1498" s="151">
        <v>0</v>
      </c>
      <c r="T1498" s="151">
        <v>0</v>
      </c>
      <c r="U1498" s="151">
        <v>0</v>
      </c>
      <c r="V1498" s="151">
        <v>0</v>
      </c>
      <c r="W1498" s="151">
        <v>0</v>
      </c>
      <c r="X1498" s="37">
        <v>131</v>
      </c>
      <c r="Y1498" s="37">
        <v>77</v>
      </c>
      <c r="Z1498" s="37">
        <v>78</v>
      </c>
      <c r="AA1498" s="37">
        <v>2</v>
      </c>
      <c r="AB1498" s="300">
        <f t="shared" si="133"/>
        <v>262.262</v>
      </c>
      <c r="AC1498" s="300">
        <f t="shared" si="134"/>
        <v>1.5798915662650603</v>
      </c>
      <c r="AD1498" s="37">
        <v>0</v>
      </c>
      <c r="AE1498" s="151">
        <v>0</v>
      </c>
      <c r="AF1498" s="151" t="s">
        <v>317</v>
      </c>
      <c r="AG1498" s="151" t="s">
        <v>317</v>
      </c>
      <c r="AH1498" s="151" t="s">
        <v>48</v>
      </c>
      <c r="AI1498" s="309"/>
      <c r="AJ1498" s="309"/>
      <c r="AK1498" s="37" t="s">
        <v>37</v>
      </c>
      <c r="AL1498" s="151" t="s">
        <v>54</v>
      </c>
      <c r="AM1498" s="299">
        <f t="shared" ca="1" si="130"/>
        <v>2.0798611111094942</v>
      </c>
      <c r="AN1498" s="51"/>
      <c r="AO1498" s="171" t="s">
        <v>181</v>
      </c>
      <c r="AP1498" s="171" t="s">
        <v>3844</v>
      </c>
      <c r="AQ1498" s="171" t="s">
        <v>3909</v>
      </c>
      <c r="AR1498" s="174">
        <v>44914.725694444445</v>
      </c>
      <c r="AS1498" s="173" t="s">
        <v>3910</v>
      </c>
      <c r="AT1498" s="171" t="s">
        <v>65</v>
      </c>
      <c r="AU1498" s="173">
        <v>0.77430555555555547</v>
      </c>
      <c r="AV1498" s="171">
        <v>1</v>
      </c>
      <c r="AW1498" s="171" t="s">
        <v>66</v>
      </c>
      <c r="AX1498" s="52"/>
      <c r="AY1498" s="52"/>
      <c r="AZ1498" s="52"/>
      <c r="BA1498" s="52"/>
    </row>
    <row r="1499" spans="1:53" ht="24" x14ac:dyDescent="0.25">
      <c r="A1499" s="48">
        <v>348</v>
      </c>
      <c r="B1499" s="155">
        <v>44912.645833333336</v>
      </c>
      <c r="C1499" s="150">
        <v>0.65277777777777779</v>
      </c>
      <c r="D1499" s="150">
        <v>0.67361111111111116</v>
      </c>
      <c r="E1499" s="178" t="s">
        <v>3862</v>
      </c>
      <c r="F1499" s="151" t="s">
        <v>171</v>
      </c>
      <c r="G1499" s="151" t="s">
        <v>88</v>
      </c>
      <c r="H1499" s="146" t="s">
        <v>91</v>
      </c>
      <c r="I1499" s="146" t="s">
        <v>3843</v>
      </c>
      <c r="J1499" s="146" t="s">
        <v>41</v>
      </c>
      <c r="K1499" s="146" t="s">
        <v>233</v>
      </c>
      <c r="L1499" s="146" t="s">
        <v>206</v>
      </c>
      <c r="M1499" s="151" t="s">
        <v>3844</v>
      </c>
      <c r="N1499" s="151" t="s">
        <v>175</v>
      </c>
      <c r="O1499" s="37">
        <v>1054969922</v>
      </c>
      <c r="P1499" s="37">
        <v>1214027073</v>
      </c>
      <c r="Q1499" s="303">
        <f t="shared" si="131"/>
        <v>5</v>
      </c>
      <c r="R1499" s="303">
        <f t="shared" si="132"/>
        <v>902</v>
      </c>
      <c r="S1499" s="37">
        <v>0</v>
      </c>
      <c r="T1499" s="37">
        <v>0</v>
      </c>
      <c r="U1499" s="37">
        <v>5</v>
      </c>
      <c r="V1499" s="37">
        <f>362+360+180</f>
        <v>902</v>
      </c>
      <c r="W1499" s="37">
        <v>940</v>
      </c>
      <c r="X1499" s="37">
        <v>131</v>
      </c>
      <c r="Y1499" s="37">
        <v>77</v>
      </c>
      <c r="Z1499" s="37">
        <v>70</v>
      </c>
      <c r="AA1499" s="37">
        <v>5</v>
      </c>
      <c r="AB1499" s="300">
        <f t="shared" si="133"/>
        <v>588.4083333333333</v>
      </c>
      <c r="AC1499" s="300">
        <f t="shared" si="134"/>
        <v>3.5446285140562246</v>
      </c>
      <c r="AD1499" s="37">
        <v>9083.59</v>
      </c>
      <c r="AE1499" s="151" t="s">
        <v>109</v>
      </c>
      <c r="AF1499" s="151" t="s">
        <v>317</v>
      </c>
      <c r="AG1499" s="151" t="s">
        <v>317</v>
      </c>
      <c r="AH1499" s="151" t="s">
        <v>48</v>
      </c>
      <c r="AI1499" s="309"/>
      <c r="AJ1499" s="309"/>
      <c r="AK1499" s="37" t="s">
        <v>41</v>
      </c>
      <c r="AL1499" s="151" t="s">
        <v>54</v>
      </c>
      <c r="AM1499" s="299">
        <f t="shared" ca="1" si="130"/>
        <v>2.0798611111094942</v>
      </c>
      <c r="AN1499" s="51"/>
      <c r="AO1499" s="171" t="s">
        <v>181</v>
      </c>
      <c r="AP1499" s="171" t="s">
        <v>3844</v>
      </c>
      <c r="AQ1499" s="171" t="s">
        <v>3909</v>
      </c>
      <c r="AR1499" s="174">
        <v>44914.725694444445</v>
      </c>
      <c r="AS1499" s="173" t="s">
        <v>3910</v>
      </c>
      <c r="AT1499" s="171" t="s">
        <v>65</v>
      </c>
      <c r="AU1499" s="173">
        <v>0.77430555555555547</v>
      </c>
      <c r="AV1499" s="171">
        <v>1</v>
      </c>
      <c r="AW1499" s="171" t="s">
        <v>66</v>
      </c>
      <c r="AX1499" s="52"/>
      <c r="AY1499" s="52"/>
      <c r="AZ1499" s="52"/>
      <c r="BA1499" s="52"/>
    </row>
    <row r="1500" spans="1:53" ht="24" x14ac:dyDescent="0.25">
      <c r="A1500" s="48">
        <v>349</v>
      </c>
      <c r="B1500" s="155">
        <v>44912.645833333336</v>
      </c>
      <c r="C1500" s="150">
        <v>0.65277777777777779</v>
      </c>
      <c r="D1500" s="150">
        <v>0.67361111111111116</v>
      </c>
      <c r="E1500" s="178" t="s">
        <v>3862</v>
      </c>
      <c r="F1500" s="151" t="s">
        <v>171</v>
      </c>
      <c r="G1500" s="151" t="s">
        <v>88</v>
      </c>
      <c r="H1500" s="146" t="s">
        <v>91</v>
      </c>
      <c r="I1500" s="146" t="s">
        <v>3843</v>
      </c>
      <c r="J1500" s="146" t="s">
        <v>41</v>
      </c>
      <c r="K1500" s="146" t="s">
        <v>233</v>
      </c>
      <c r="L1500" s="146" t="s">
        <v>206</v>
      </c>
      <c r="M1500" s="151" t="s">
        <v>3844</v>
      </c>
      <c r="N1500" s="151" t="s">
        <v>175</v>
      </c>
      <c r="O1500" s="37">
        <v>1054969825</v>
      </c>
      <c r="P1500" s="37">
        <v>1214007758</v>
      </c>
      <c r="Q1500" s="303">
        <f t="shared" si="131"/>
        <v>1</v>
      </c>
      <c r="R1500" s="303">
        <f t="shared" si="132"/>
        <v>158</v>
      </c>
      <c r="S1500" s="37">
        <v>0</v>
      </c>
      <c r="T1500" s="37">
        <v>0</v>
      </c>
      <c r="U1500" s="37">
        <v>1</v>
      </c>
      <c r="V1500" s="37">
        <v>158</v>
      </c>
      <c r="W1500" s="37">
        <v>189</v>
      </c>
      <c r="X1500" s="37">
        <v>131</v>
      </c>
      <c r="Y1500" s="37">
        <v>76</v>
      </c>
      <c r="Z1500" s="37">
        <v>72</v>
      </c>
      <c r="AA1500" s="37">
        <v>1</v>
      </c>
      <c r="AB1500" s="300">
        <f t="shared" si="133"/>
        <v>119.47199999999999</v>
      </c>
      <c r="AC1500" s="300">
        <f t="shared" si="134"/>
        <v>0.71971084337349389</v>
      </c>
      <c r="AD1500" s="37">
        <v>11331.53</v>
      </c>
      <c r="AE1500" s="151" t="s">
        <v>109</v>
      </c>
      <c r="AF1500" s="151" t="s">
        <v>317</v>
      </c>
      <c r="AG1500" s="151" t="s">
        <v>317</v>
      </c>
      <c r="AH1500" s="151" t="s">
        <v>48</v>
      </c>
      <c r="AI1500" s="309"/>
      <c r="AJ1500" s="309"/>
      <c r="AK1500" s="151" t="s">
        <v>41</v>
      </c>
      <c r="AL1500" s="151" t="s">
        <v>54</v>
      </c>
      <c r="AM1500" s="299">
        <f t="shared" ca="1" si="130"/>
        <v>2.0798611111094942</v>
      </c>
      <c r="AN1500" s="51"/>
      <c r="AO1500" s="171" t="s">
        <v>181</v>
      </c>
      <c r="AP1500" s="171" t="s">
        <v>3844</v>
      </c>
      <c r="AQ1500" s="171" t="s">
        <v>3909</v>
      </c>
      <c r="AR1500" s="174">
        <v>44914.725694444445</v>
      </c>
      <c r="AS1500" s="173" t="s">
        <v>3910</v>
      </c>
      <c r="AT1500" s="171" t="s">
        <v>65</v>
      </c>
      <c r="AU1500" s="173">
        <v>0.77430555555555547</v>
      </c>
      <c r="AV1500" s="171">
        <v>1</v>
      </c>
      <c r="AW1500" s="171" t="s">
        <v>66</v>
      </c>
      <c r="AX1500" s="52"/>
      <c r="AY1500" s="52"/>
      <c r="AZ1500" s="52"/>
      <c r="BA1500" s="52"/>
    </row>
    <row r="1501" spans="1:53" x14ac:dyDescent="0.25">
      <c r="A1501" s="183">
        <v>350</v>
      </c>
      <c r="B1501" s="182">
        <v>44912.763888888891</v>
      </c>
      <c r="C1501" s="178">
        <v>0.76388888888888884</v>
      </c>
      <c r="D1501" s="178">
        <v>0.76736111111111116</v>
      </c>
      <c r="E1501" s="178">
        <v>0.79166666666666663</v>
      </c>
      <c r="F1501" s="179" t="s">
        <v>171</v>
      </c>
      <c r="G1501" s="179" t="s">
        <v>101</v>
      </c>
      <c r="H1501" s="170" t="s">
        <v>2964</v>
      </c>
      <c r="I1501" s="170" t="s">
        <v>2965</v>
      </c>
      <c r="J1501" s="170" t="s">
        <v>37</v>
      </c>
      <c r="K1501" s="170" t="s">
        <v>241</v>
      </c>
      <c r="L1501" s="170">
        <v>0</v>
      </c>
      <c r="M1501" s="179" t="s">
        <v>3861</v>
      </c>
      <c r="N1501" s="179" t="s">
        <v>155</v>
      </c>
      <c r="O1501" s="179" t="s">
        <v>3845</v>
      </c>
      <c r="P1501" s="179" t="s">
        <v>2968</v>
      </c>
      <c r="Q1501" s="303">
        <f t="shared" si="131"/>
        <v>1</v>
      </c>
      <c r="R1501" s="303">
        <f t="shared" si="132"/>
        <v>80</v>
      </c>
      <c r="S1501" s="179">
        <v>0</v>
      </c>
      <c r="T1501" s="179">
        <v>0</v>
      </c>
      <c r="U1501" s="179">
        <v>1</v>
      </c>
      <c r="V1501" s="180">
        <v>80</v>
      </c>
      <c r="W1501" s="180">
        <v>50</v>
      </c>
      <c r="X1501" s="179">
        <v>107</v>
      </c>
      <c r="Y1501" s="179">
        <v>79</v>
      </c>
      <c r="Z1501" s="179">
        <v>79</v>
      </c>
      <c r="AA1501" s="179">
        <v>1</v>
      </c>
      <c r="AB1501" s="300">
        <f t="shared" si="133"/>
        <v>111.29783333333333</v>
      </c>
      <c r="AC1501" s="300">
        <f t="shared" si="134"/>
        <v>0.67046887550200795</v>
      </c>
      <c r="AD1501" s="179" t="s">
        <v>48</v>
      </c>
      <c r="AE1501" s="179" t="s">
        <v>48</v>
      </c>
      <c r="AF1501" s="179" t="s">
        <v>317</v>
      </c>
      <c r="AG1501" s="179" t="s">
        <v>317</v>
      </c>
      <c r="AH1501" s="179" t="s">
        <v>3846</v>
      </c>
      <c r="AI1501" s="309"/>
      <c r="AJ1501" s="309"/>
      <c r="AK1501" s="179" t="s">
        <v>37</v>
      </c>
      <c r="AL1501" s="179" t="s">
        <v>47</v>
      </c>
      <c r="AM1501" s="299">
        <f t="shared" ca="1" si="130"/>
        <v>2.7604166666642413</v>
      </c>
      <c r="AN1501" s="184"/>
      <c r="AO1501" s="210" t="s">
        <v>446</v>
      </c>
      <c r="AP1501" s="211" t="s">
        <v>2966</v>
      </c>
      <c r="AQ1501" s="212" t="s">
        <v>3982</v>
      </c>
      <c r="AR1501" s="213">
        <v>44915.524305555555</v>
      </c>
      <c r="AS1501" s="208" t="s">
        <v>173</v>
      </c>
      <c r="AT1501" s="210" t="s">
        <v>225</v>
      </c>
      <c r="AU1501" s="212">
        <v>0.52430555555555558</v>
      </c>
      <c r="AV1501" s="210">
        <v>1</v>
      </c>
      <c r="AW1501" s="210" t="s">
        <v>66</v>
      </c>
      <c r="AX1501" s="185"/>
      <c r="AY1501" s="185"/>
      <c r="AZ1501" s="185"/>
      <c r="BA1501" s="185"/>
    </row>
    <row r="1502" spans="1:53" x14ac:dyDescent="0.25">
      <c r="A1502" s="183">
        <v>351</v>
      </c>
      <c r="B1502" s="182">
        <v>44914.4375</v>
      </c>
      <c r="C1502" s="178">
        <v>0.44097222222222227</v>
      </c>
      <c r="D1502" s="178">
        <v>0.44791666666666669</v>
      </c>
      <c r="E1502" s="178">
        <v>0.4513888888888889</v>
      </c>
      <c r="F1502" s="179" t="s">
        <v>171</v>
      </c>
      <c r="G1502" s="179" t="s">
        <v>88</v>
      </c>
      <c r="H1502" s="170" t="s">
        <v>91</v>
      </c>
      <c r="I1502" s="170" t="s">
        <v>3843</v>
      </c>
      <c r="J1502" s="170" t="s">
        <v>41</v>
      </c>
      <c r="K1502" s="170" t="s">
        <v>233</v>
      </c>
      <c r="L1502" s="170" t="s">
        <v>206</v>
      </c>
      <c r="M1502" s="179" t="s">
        <v>3844</v>
      </c>
      <c r="N1502" s="179" t="s">
        <v>175</v>
      </c>
      <c r="O1502" s="179">
        <v>1054969934</v>
      </c>
      <c r="P1502" s="179">
        <v>1214028009</v>
      </c>
      <c r="Q1502" s="303">
        <f t="shared" si="131"/>
        <v>1</v>
      </c>
      <c r="R1502" s="303">
        <f t="shared" si="132"/>
        <v>31</v>
      </c>
      <c r="S1502" s="179">
        <v>0</v>
      </c>
      <c r="T1502" s="179">
        <v>0</v>
      </c>
      <c r="U1502" s="179">
        <v>1</v>
      </c>
      <c r="V1502" s="179">
        <v>31</v>
      </c>
      <c r="W1502" s="179">
        <v>32</v>
      </c>
      <c r="X1502" s="179">
        <v>99</v>
      </c>
      <c r="Y1502" s="179">
        <v>76</v>
      </c>
      <c r="Z1502" s="179">
        <v>52</v>
      </c>
      <c r="AA1502" s="179">
        <v>1</v>
      </c>
      <c r="AB1502" s="300">
        <f t="shared" si="133"/>
        <v>65.207999999999998</v>
      </c>
      <c r="AC1502" s="300">
        <f t="shared" si="134"/>
        <v>0.39281927710843373</v>
      </c>
      <c r="AD1502" s="179">
        <v>173.04</v>
      </c>
      <c r="AE1502" s="179" t="s">
        <v>109</v>
      </c>
      <c r="AF1502" s="179" t="s">
        <v>317</v>
      </c>
      <c r="AG1502" s="179" t="s">
        <v>317</v>
      </c>
      <c r="AH1502" s="179" t="s">
        <v>41</v>
      </c>
      <c r="AI1502" s="309"/>
      <c r="AJ1502" s="309"/>
      <c r="AK1502" s="179" t="s">
        <v>37</v>
      </c>
      <c r="AL1502" s="179" t="s">
        <v>54</v>
      </c>
      <c r="AM1502" s="299">
        <f t="shared" ca="1" si="130"/>
        <v>0.28819444444525288</v>
      </c>
      <c r="AN1502" s="184"/>
      <c r="AO1502" s="171" t="s">
        <v>181</v>
      </c>
      <c r="AP1502" s="171" t="s">
        <v>3844</v>
      </c>
      <c r="AQ1502" s="171" t="s">
        <v>3909</v>
      </c>
      <c r="AR1502" s="174">
        <v>44914.725694444445</v>
      </c>
      <c r="AS1502" s="173" t="s">
        <v>3910</v>
      </c>
      <c r="AT1502" s="171" t="s">
        <v>65</v>
      </c>
      <c r="AU1502" s="173">
        <v>0.77430555555555547</v>
      </c>
      <c r="AV1502" s="171">
        <v>1</v>
      </c>
      <c r="AW1502" s="171" t="s">
        <v>66</v>
      </c>
      <c r="AX1502" s="185"/>
      <c r="AY1502" s="185"/>
      <c r="AZ1502" s="185"/>
      <c r="BA1502" s="185"/>
    </row>
    <row r="1503" spans="1:53" x14ac:dyDescent="0.25">
      <c r="A1503" s="48">
        <v>352</v>
      </c>
      <c r="B1503" s="46">
        <v>44914.489583333336</v>
      </c>
      <c r="C1503" s="36">
        <v>0.49305555555555558</v>
      </c>
      <c r="D1503" s="36">
        <v>0.5</v>
      </c>
      <c r="E1503" s="36">
        <v>0.51736111111111105</v>
      </c>
      <c r="F1503" s="37" t="s">
        <v>170</v>
      </c>
      <c r="G1503" s="37" t="s">
        <v>2600</v>
      </c>
      <c r="H1503" s="26" t="s">
        <v>187</v>
      </c>
      <c r="I1503" s="26" t="s">
        <v>110</v>
      </c>
      <c r="J1503" s="26" t="s">
        <v>37</v>
      </c>
      <c r="K1503" s="179" t="s">
        <v>63</v>
      </c>
      <c r="L1503" s="179" t="s">
        <v>212</v>
      </c>
      <c r="M1503" s="37" t="s">
        <v>3863</v>
      </c>
      <c r="N1503" s="37" t="s">
        <v>186</v>
      </c>
      <c r="O1503" s="37">
        <v>21222231702</v>
      </c>
      <c r="P1503" s="37">
        <v>5052017862</v>
      </c>
      <c r="Q1503" s="303">
        <f t="shared" si="131"/>
        <v>2</v>
      </c>
      <c r="R1503" s="303">
        <f t="shared" si="132"/>
        <v>178</v>
      </c>
      <c r="S1503" s="37">
        <v>0</v>
      </c>
      <c r="T1503" s="37">
        <v>0</v>
      </c>
      <c r="U1503" s="37">
        <v>2</v>
      </c>
      <c r="V1503" s="37">
        <f>58+120</f>
        <v>178</v>
      </c>
      <c r="W1503" s="37">
        <v>197</v>
      </c>
      <c r="X1503" s="37">
        <v>65</v>
      </c>
      <c r="Y1503" s="37">
        <v>47</v>
      </c>
      <c r="Z1503" s="37">
        <v>53</v>
      </c>
      <c r="AA1503" s="37">
        <v>1</v>
      </c>
      <c r="AB1503" s="300">
        <f t="shared" si="133"/>
        <v>26.985833333333332</v>
      </c>
      <c r="AC1503" s="300">
        <f t="shared" si="134"/>
        <v>0.16256526104417671</v>
      </c>
      <c r="AD1503" s="37">
        <v>669.33</v>
      </c>
      <c r="AE1503" s="179" t="s">
        <v>109</v>
      </c>
      <c r="AF1503" s="179" t="s">
        <v>317</v>
      </c>
      <c r="AG1503" s="179" t="s">
        <v>317</v>
      </c>
      <c r="AH1503" s="37" t="s">
        <v>3864</v>
      </c>
      <c r="AI1503" s="309"/>
      <c r="AJ1503" s="309"/>
      <c r="AK1503" s="37" t="s">
        <v>41</v>
      </c>
      <c r="AL1503" s="37" t="s">
        <v>39</v>
      </c>
      <c r="AM1503" s="299">
        <f t="shared" ca="1" si="130"/>
        <v>1.2465277777737356</v>
      </c>
      <c r="AN1503" s="51"/>
      <c r="AO1503" s="189" t="s">
        <v>131</v>
      </c>
      <c r="AP1503" s="190" t="s">
        <v>3863</v>
      </c>
      <c r="AQ1503" s="191" t="s">
        <v>3992</v>
      </c>
      <c r="AR1503" s="192">
        <v>44915.736111111109</v>
      </c>
      <c r="AS1503" s="186" t="s">
        <v>382</v>
      </c>
      <c r="AT1503" s="189" t="s">
        <v>65</v>
      </c>
      <c r="AU1503" s="191">
        <v>0.73611111111111116</v>
      </c>
      <c r="AV1503" s="189">
        <v>1</v>
      </c>
      <c r="AW1503" s="189" t="s">
        <v>66</v>
      </c>
      <c r="AX1503" s="52"/>
      <c r="AY1503" s="52"/>
      <c r="AZ1503" s="52"/>
      <c r="BA1503" s="52"/>
    </row>
    <row r="1504" spans="1:53" x14ac:dyDescent="0.25">
      <c r="A1504" s="183">
        <v>352</v>
      </c>
      <c r="B1504" s="182">
        <v>44914.489583333336</v>
      </c>
      <c r="C1504" s="178">
        <v>0.49305555555555558</v>
      </c>
      <c r="D1504" s="178">
        <v>0.5</v>
      </c>
      <c r="E1504" s="178">
        <v>0.51736111111111105</v>
      </c>
      <c r="F1504" s="179" t="s">
        <v>170</v>
      </c>
      <c r="G1504" s="179" t="s">
        <v>2600</v>
      </c>
      <c r="H1504" s="170" t="s">
        <v>187</v>
      </c>
      <c r="I1504" s="170" t="s">
        <v>110</v>
      </c>
      <c r="J1504" s="170" t="s">
        <v>37</v>
      </c>
      <c r="K1504" s="179" t="s">
        <v>63</v>
      </c>
      <c r="L1504" s="179" t="s">
        <v>212</v>
      </c>
      <c r="M1504" s="179" t="s">
        <v>3863</v>
      </c>
      <c r="N1504" s="179" t="s">
        <v>186</v>
      </c>
      <c r="O1504" s="179">
        <v>21222231702</v>
      </c>
      <c r="P1504" s="179">
        <v>5052017862</v>
      </c>
      <c r="Q1504" s="303">
        <f t="shared" si="131"/>
        <v>0</v>
      </c>
      <c r="R1504" s="303">
        <f t="shared" si="132"/>
        <v>0</v>
      </c>
      <c r="S1504" s="179">
        <v>0</v>
      </c>
      <c r="T1504" s="179">
        <v>0</v>
      </c>
      <c r="U1504" s="179">
        <v>0</v>
      </c>
      <c r="V1504" s="179">
        <v>0</v>
      </c>
      <c r="W1504" s="179">
        <v>0</v>
      </c>
      <c r="X1504" s="37">
        <v>93</v>
      </c>
      <c r="Y1504" s="37">
        <v>56</v>
      </c>
      <c r="Z1504" s="37">
        <v>64</v>
      </c>
      <c r="AA1504" s="37">
        <v>1</v>
      </c>
      <c r="AB1504" s="300">
        <f t="shared" si="133"/>
        <v>55.552</v>
      </c>
      <c r="AC1504" s="300">
        <f t="shared" si="134"/>
        <v>0.33465060240963856</v>
      </c>
      <c r="AD1504" s="37">
        <v>0</v>
      </c>
      <c r="AE1504" s="179">
        <v>0</v>
      </c>
      <c r="AF1504" s="179" t="s">
        <v>317</v>
      </c>
      <c r="AG1504" s="179" t="s">
        <v>317</v>
      </c>
      <c r="AH1504" s="179" t="s">
        <v>3864</v>
      </c>
      <c r="AI1504" s="309"/>
      <c r="AJ1504" s="309"/>
      <c r="AK1504" s="179" t="s">
        <v>41</v>
      </c>
      <c r="AL1504" s="179" t="s">
        <v>39</v>
      </c>
      <c r="AM1504" s="299">
        <f t="shared" ca="1" si="130"/>
        <v>1.2465277777737356</v>
      </c>
      <c r="AN1504" s="51"/>
      <c r="AO1504" s="189" t="s">
        <v>131</v>
      </c>
      <c r="AP1504" s="190" t="s">
        <v>3863</v>
      </c>
      <c r="AQ1504" s="191" t="s">
        <v>3992</v>
      </c>
      <c r="AR1504" s="192">
        <v>44915.736111111109</v>
      </c>
      <c r="AS1504" s="186" t="s">
        <v>382</v>
      </c>
      <c r="AT1504" s="189" t="s">
        <v>65</v>
      </c>
      <c r="AU1504" s="191">
        <v>0.73611111111111116</v>
      </c>
      <c r="AV1504" s="189">
        <v>1</v>
      </c>
      <c r="AW1504" s="189" t="s">
        <v>66</v>
      </c>
      <c r="AX1504" s="52"/>
      <c r="AY1504" s="52"/>
      <c r="AZ1504" s="52"/>
      <c r="BA1504" s="52"/>
    </row>
    <row r="1505" spans="1:53" x14ac:dyDescent="0.25">
      <c r="A1505" s="48">
        <v>353</v>
      </c>
      <c r="B1505" s="182">
        <v>44914.489583333336</v>
      </c>
      <c r="C1505" s="178">
        <v>0.49305555555555558</v>
      </c>
      <c r="D1505" s="178">
        <v>0.5</v>
      </c>
      <c r="E1505" s="178">
        <v>0.51736111111111105</v>
      </c>
      <c r="F1505" s="179" t="s">
        <v>170</v>
      </c>
      <c r="G1505" s="179" t="s">
        <v>2600</v>
      </c>
      <c r="H1505" s="170" t="s">
        <v>187</v>
      </c>
      <c r="I1505" s="170" t="s">
        <v>110</v>
      </c>
      <c r="J1505" s="170" t="s">
        <v>37</v>
      </c>
      <c r="K1505" s="179" t="s">
        <v>63</v>
      </c>
      <c r="L1505" s="179" t="s">
        <v>212</v>
      </c>
      <c r="M1505" s="37" t="s">
        <v>3865</v>
      </c>
      <c r="N1505" s="179" t="s">
        <v>186</v>
      </c>
      <c r="O1505" s="37">
        <v>21222231703</v>
      </c>
      <c r="P1505" s="37">
        <v>5052018292</v>
      </c>
      <c r="Q1505" s="303">
        <f t="shared" si="131"/>
        <v>1</v>
      </c>
      <c r="R1505" s="303">
        <f t="shared" si="132"/>
        <v>164</v>
      </c>
      <c r="S1505" s="37">
        <v>0</v>
      </c>
      <c r="T1505" s="37">
        <v>0</v>
      </c>
      <c r="U1505" s="37">
        <v>1</v>
      </c>
      <c r="V1505" s="37">
        <v>164</v>
      </c>
      <c r="W1505" s="37">
        <v>185</v>
      </c>
      <c r="X1505" s="37">
        <v>109</v>
      </c>
      <c r="Y1505" s="37">
        <v>63</v>
      </c>
      <c r="Z1505" s="37">
        <v>70</v>
      </c>
      <c r="AA1505" s="37">
        <v>1</v>
      </c>
      <c r="AB1505" s="300">
        <f t="shared" si="133"/>
        <v>80.114999999999995</v>
      </c>
      <c r="AC1505" s="300">
        <f t="shared" si="134"/>
        <v>0.48262048192771079</v>
      </c>
      <c r="AD1505" s="37">
        <v>614.32000000000005</v>
      </c>
      <c r="AE1505" s="37" t="s">
        <v>109</v>
      </c>
      <c r="AF1505" s="179" t="s">
        <v>317</v>
      </c>
      <c r="AG1505" s="179" t="s">
        <v>317</v>
      </c>
      <c r="AH1505" s="37" t="s">
        <v>3866</v>
      </c>
      <c r="AI1505" s="309"/>
      <c r="AJ1505" s="309"/>
      <c r="AK1505" s="179" t="s">
        <v>41</v>
      </c>
      <c r="AL1505" s="179" t="s">
        <v>94</v>
      </c>
      <c r="AM1505" s="299">
        <f t="shared" ca="1" si="130"/>
        <v>1.2465277777737356</v>
      </c>
      <c r="AN1505" s="51" t="s">
        <v>3842</v>
      </c>
      <c r="AO1505" s="189" t="s">
        <v>131</v>
      </c>
      <c r="AP1505" s="190" t="s">
        <v>3865</v>
      </c>
      <c r="AQ1505" s="191" t="s">
        <v>3992</v>
      </c>
      <c r="AR1505" s="192">
        <v>44915.736111111109</v>
      </c>
      <c r="AS1505" s="186" t="s">
        <v>382</v>
      </c>
      <c r="AT1505" s="189" t="s">
        <v>65</v>
      </c>
      <c r="AU1505" s="191">
        <v>0.73611111111111116</v>
      </c>
      <c r="AV1505" s="189">
        <v>1</v>
      </c>
      <c r="AW1505" s="189" t="s">
        <v>66</v>
      </c>
      <c r="AX1505" s="52"/>
      <c r="AY1505" s="52"/>
      <c r="AZ1505" s="52"/>
      <c r="BA1505" s="52"/>
    </row>
    <row r="1506" spans="1:53" x14ac:dyDescent="0.25">
      <c r="A1506" s="48">
        <v>354</v>
      </c>
      <c r="B1506" s="182">
        <v>44914.489583333336</v>
      </c>
      <c r="C1506" s="178">
        <v>0.49305555555555558</v>
      </c>
      <c r="D1506" s="178">
        <v>0.5</v>
      </c>
      <c r="E1506" s="178">
        <v>0.51736111111111105</v>
      </c>
      <c r="F1506" s="179" t="s">
        <v>170</v>
      </c>
      <c r="G1506" s="179" t="s">
        <v>2600</v>
      </c>
      <c r="H1506" s="170" t="s">
        <v>187</v>
      </c>
      <c r="I1506" s="170" t="s">
        <v>110</v>
      </c>
      <c r="J1506" s="170" t="s">
        <v>37</v>
      </c>
      <c r="K1506" s="179" t="s">
        <v>63</v>
      </c>
      <c r="L1506" s="179" t="s">
        <v>212</v>
      </c>
      <c r="M1506" s="37" t="s">
        <v>3867</v>
      </c>
      <c r="N1506" s="179" t="s">
        <v>186</v>
      </c>
      <c r="O1506" s="37">
        <v>21222231708</v>
      </c>
      <c r="P1506" s="37">
        <v>5052020471</v>
      </c>
      <c r="Q1506" s="303">
        <f t="shared" si="131"/>
        <v>1</v>
      </c>
      <c r="R1506" s="303">
        <f t="shared" si="132"/>
        <v>151</v>
      </c>
      <c r="S1506" s="37">
        <v>0</v>
      </c>
      <c r="T1506" s="37">
        <v>0</v>
      </c>
      <c r="U1506" s="37">
        <v>1</v>
      </c>
      <c r="V1506" s="37">
        <v>151</v>
      </c>
      <c r="W1506" s="37">
        <v>175</v>
      </c>
      <c r="X1506" s="37">
        <v>83</v>
      </c>
      <c r="Y1506" s="37">
        <v>62</v>
      </c>
      <c r="Z1506" s="37">
        <v>71</v>
      </c>
      <c r="AA1506" s="37">
        <v>1</v>
      </c>
      <c r="AB1506" s="300">
        <f t="shared" si="133"/>
        <v>60.894333333333336</v>
      </c>
      <c r="AC1506" s="300">
        <f t="shared" si="134"/>
        <v>0.36683333333333334</v>
      </c>
      <c r="AD1506" s="37">
        <v>969.09</v>
      </c>
      <c r="AE1506" s="179" t="s">
        <v>109</v>
      </c>
      <c r="AF1506" s="179" t="s">
        <v>317</v>
      </c>
      <c r="AG1506" s="179" t="s">
        <v>317</v>
      </c>
      <c r="AH1506" s="37" t="s">
        <v>3868</v>
      </c>
      <c r="AI1506" s="309"/>
      <c r="AJ1506" s="309"/>
      <c r="AK1506" s="179" t="s">
        <v>41</v>
      </c>
      <c r="AL1506" s="37" t="s">
        <v>39</v>
      </c>
      <c r="AM1506" s="299">
        <f t="shared" ca="1" si="130"/>
        <v>1.2465277777737356</v>
      </c>
      <c r="AN1506" s="51"/>
      <c r="AO1506" s="189" t="s">
        <v>131</v>
      </c>
      <c r="AP1506" s="190" t="s">
        <v>3867</v>
      </c>
      <c r="AQ1506" s="191" t="s">
        <v>3992</v>
      </c>
      <c r="AR1506" s="192">
        <v>44915.736111111109</v>
      </c>
      <c r="AS1506" s="186" t="s">
        <v>382</v>
      </c>
      <c r="AT1506" s="189" t="s">
        <v>65</v>
      </c>
      <c r="AU1506" s="191">
        <v>0.73611111111111116</v>
      </c>
      <c r="AV1506" s="189">
        <v>1</v>
      </c>
      <c r="AW1506" s="189" t="s">
        <v>66</v>
      </c>
      <c r="AX1506" s="52"/>
      <c r="AY1506" s="52"/>
      <c r="AZ1506" s="52"/>
      <c r="BA1506" s="52"/>
    </row>
    <row r="1507" spans="1:53" x14ac:dyDescent="0.25">
      <c r="A1507" s="48">
        <v>355</v>
      </c>
      <c r="B1507" s="46">
        <v>44914.5</v>
      </c>
      <c r="C1507" s="36">
        <v>0.50347222222222221</v>
      </c>
      <c r="D1507" s="36">
        <v>0.51388888888888895</v>
      </c>
      <c r="E1507" s="36">
        <v>0.52430555555555558</v>
      </c>
      <c r="F1507" s="179" t="s">
        <v>170</v>
      </c>
      <c r="G1507" s="37" t="s">
        <v>235</v>
      </c>
      <c r="H1507" s="26" t="s">
        <v>227</v>
      </c>
      <c r="I1507" s="26" t="s">
        <v>189</v>
      </c>
      <c r="J1507" s="170" t="s">
        <v>41</v>
      </c>
      <c r="K1507" s="177" t="s">
        <v>63</v>
      </c>
      <c r="L1507" s="181" t="s">
        <v>206</v>
      </c>
      <c r="M1507" s="37" t="s">
        <v>3869</v>
      </c>
      <c r="N1507" s="37" t="s">
        <v>43</v>
      </c>
      <c r="O1507" s="37">
        <v>1112</v>
      </c>
      <c r="P1507" s="37">
        <v>32373</v>
      </c>
      <c r="Q1507" s="303">
        <f t="shared" si="131"/>
        <v>5</v>
      </c>
      <c r="R1507" s="303">
        <f t="shared" si="132"/>
        <v>93</v>
      </c>
      <c r="S1507" s="37">
        <v>5</v>
      </c>
      <c r="T1507" s="180">
        <f>114-21</f>
        <v>93</v>
      </c>
      <c r="U1507" s="37">
        <v>0</v>
      </c>
      <c r="V1507" s="37">
        <v>0</v>
      </c>
      <c r="W1507" s="180">
        <v>50.5</v>
      </c>
      <c r="X1507" s="37">
        <v>83</v>
      </c>
      <c r="Y1507" s="37">
        <v>53</v>
      </c>
      <c r="Z1507" s="37">
        <v>62</v>
      </c>
      <c r="AA1507" s="37">
        <v>5</v>
      </c>
      <c r="AB1507" s="300">
        <f t="shared" si="133"/>
        <v>227.28166666666667</v>
      </c>
      <c r="AC1507" s="300">
        <f t="shared" si="134"/>
        <v>1.3691666666666666</v>
      </c>
      <c r="AD1507" s="37">
        <v>4779</v>
      </c>
      <c r="AE1507" s="179" t="s">
        <v>109</v>
      </c>
      <c r="AF1507" s="179" t="s">
        <v>317</v>
      </c>
      <c r="AG1507" s="179" t="s">
        <v>317</v>
      </c>
      <c r="AH1507" s="37" t="s">
        <v>3870</v>
      </c>
      <c r="AI1507" s="309"/>
      <c r="AJ1507" s="309"/>
      <c r="AK1507" s="37" t="s">
        <v>48</v>
      </c>
      <c r="AL1507" s="37" t="s">
        <v>50</v>
      </c>
      <c r="AM1507" s="299">
        <f t="shared" ca="1" si="130"/>
        <v>0.22569444444525288</v>
      </c>
      <c r="AN1507" s="51"/>
      <c r="AO1507" s="171" t="s">
        <v>179</v>
      </c>
      <c r="AP1507" s="172" t="s">
        <v>3869</v>
      </c>
      <c r="AQ1507" s="173" t="s">
        <v>3907</v>
      </c>
      <c r="AR1507" s="174">
        <v>44914.725694444445</v>
      </c>
      <c r="AS1507" s="168" t="s">
        <v>173</v>
      </c>
      <c r="AT1507" s="171" t="s">
        <v>225</v>
      </c>
      <c r="AU1507" s="173">
        <v>0.72569444444444453</v>
      </c>
      <c r="AV1507" s="171">
        <v>2</v>
      </c>
      <c r="AW1507" s="171" t="s">
        <v>66</v>
      </c>
      <c r="AX1507" s="52"/>
      <c r="AY1507" s="52"/>
      <c r="AZ1507" s="52"/>
      <c r="BA1507" s="52"/>
    </row>
    <row r="1508" spans="1:53" x14ac:dyDescent="0.25">
      <c r="A1508" s="48">
        <v>356</v>
      </c>
      <c r="B1508" s="182">
        <v>44914.5</v>
      </c>
      <c r="C1508" s="178">
        <v>0.50347222222222221</v>
      </c>
      <c r="D1508" s="178">
        <v>0.51388888888888895</v>
      </c>
      <c r="E1508" s="178">
        <v>0.52430555555555558</v>
      </c>
      <c r="F1508" s="179" t="s">
        <v>170</v>
      </c>
      <c r="G1508" s="179" t="s">
        <v>235</v>
      </c>
      <c r="H1508" s="170" t="s">
        <v>227</v>
      </c>
      <c r="I1508" s="170" t="s">
        <v>189</v>
      </c>
      <c r="J1508" s="170" t="s">
        <v>41</v>
      </c>
      <c r="K1508" s="177" t="s">
        <v>63</v>
      </c>
      <c r="L1508" s="181" t="s">
        <v>206</v>
      </c>
      <c r="M1508" s="37" t="s">
        <v>3871</v>
      </c>
      <c r="N1508" s="37" t="s">
        <v>42</v>
      </c>
      <c r="O1508" s="37">
        <v>1111</v>
      </c>
      <c r="P1508" s="37">
        <v>3728</v>
      </c>
      <c r="Q1508" s="303">
        <f t="shared" si="131"/>
        <v>5</v>
      </c>
      <c r="R1508" s="303">
        <f t="shared" si="132"/>
        <v>1010</v>
      </c>
      <c r="S1508" s="37">
        <v>0</v>
      </c>
      <c r="T1508" s="37">
        <v>0</v>
      </c>
      <c r="U1508" s="37">
        <v>5</v>
      </c>
      <c r="V1508" s="37">
        <f>204+201+201+202+202</f>
        <v>1010</v>
      </c>
      <c r="W1508" s="37">
        <v>975</v>
      </c>
      <c r="X1508" s="37">
        <v>170</v>
      </c>
      <c r="Y1508" s="37">
        <v>97</v>
      </c>
      <c r="Z1508" s="37">
        <v>95</v>
      </c>
      <c r="AA1508" s="37">
        <v>5</v>
      </c>
      <c r="AB1508" s="300">
        <f t="shared" si="133"/>
        <v>1305.4583333333333</v>
      </c>
      <c r="AC1508" s="300">
        <f t="shared" si="134"/>
        <v>7.8642068273092365</v>
      </c>
      <c r="AD1508" s="37">
        <v>10767.5</v>
      </c>
      <c r="AE1508" s="179" t="s">
        <v>109</v>
      </c>
      <c r="AF1508" s="179" t="s">
        <v>317</v>
      </c>
      <c r="AG1508" s="179" t="s">
        <v>317</v>
      </c>
      <c r="AH1508" s="37" t="s">
        <v>3872</v>
      </c>
      <c r="AI1508" s="309"/>
      <c r="AJ1508" s="309"/>
      <c r="AK1508" s="37" t="s">
        <v>37</v>
      </c>
      <c r="AL1508" s="179" t="s">
        <v>50</v>
      </c>
      <c r="AM1508" s="299">
        <f t="shared" ca="1" si="130"/>
        <v>0.28819444444525288</v>
      </c>
      <c r="AN1508" s="51"/>
      <c r="AO1508" s="171" t="s">
        <v>89</v>
      </c>
      <c r="AP1508" s="172" t="s">
        <v>3871</v>
      </c>
      <c r="AQ1508" s="173" t="s">
        <v>3911</v>
      </c>
      <c r="AR1508" s="174">
        <v>44914.788194444445</v>
      </c>
      <c r="AS1508" s="168" t="s">
        <v>279</v>
      </c>
      <c r="AT1508" s="171" t="s">
        <v>122</v>
      </c>
      <c r="AU1508" s="173">
        <v>0.78819444444444453</v>
      </c>
      <c r="AV1508" s="171">
        <v>1</v>
      </c>
      <c r="AW1508" s="171" t="s">
        <v>66</v>
      </c>
      <c r="AX1508" s="52"/>
      <c r="AY1508" s="52"/>
      <c r="AZ1508" s="52"/>
      <c r="BA1508" s="52"/>
    </row>
    <row r="1509" spans="1:53" x14ac:dyDescent="0.25">
      <c r="A1509" s="48">
        <v>357</v>
      </c>
      <c r="B1509" s="46">
        <v>44914.604166666664</v>
      </c>
      <c r="C1509" s="36">
        <v>0.60763888888888895</v>
      </c>
      <c r="D1509" s="36">
        <v>0.63541666666666663</v>
      </c>
      <c r="E1509" s="36">
        <v>0.63888888888888895</v>
      </c>
      <c r="F1509" s="37" t="s">
        <v>169</v>
      </c>
      <c r="G1509" s="37" t="s">
        <v>3873</v>
      </c>
      <c r="H1509" s="26" t="s">
        <v>3874</v>
      </c>
      <c r="I1509" s="26" t="s">
        <v>2915</v>
      </c>
      <c r="J1509" s="170" t="s">
        <v>37</v>
      </c>
      <c r="K1509" s="26" t="s">
        <v>241</v>
      </c>
      <c r="L1509" s="26">
        <v>0</v>
      </c>
      <c r="M1509" s="37" t="s">
        <v>3875</v>
      </c>
      <c r="N1509" s="37" t="s">
        <v>42</v>
      </c>
      <c r="O1509" s="37" t="s">
        <v>3876</v>
      </c>
      <c r="P1509" s="37" t="s">
        <v>3877</v>
      </c>
      <c r="Q1509" s="303">
        <f t="shared" si="131"/>
        <v>196</v>
      </c>
      <c r="R1509" s="303">
        <f t="shared" si="132"/>
        <v>1425</v>
      </c>
      <c r="S1509" s="37">
        <v>196</v>
      </c>
      <c r="T1509" s="37">
        <f>208-23+217-21+228-21+223-24+262-16+268-21+167-22</f>
        <v>1425</v>
      </c>
      <c r="U1509" s="37">
        <v>0</v>
      </c>
      <c r="V1509" s="37">
        <v>0</v>
      </c>
      <c r="W1509" s="37">
        <v>1408.8150000000001</v>
      </c>
      <c r="X1509" s="37">
        <v>53</v>
      </c>
      <c r="Y1509" s="37">
        <v>42</v>
      </c>
      <c r="Z1509" s="37">
        <v>27</v>
      </c>
      <c r="AA1509" s="37">
        <v>196</v>
      </c>
      <c r="AB1509" s="300">
        <f t="shared" si="133"/>
        <v>1963.3320000000001</v>
      </c>
      <c r="AC1509" s="300">
        <f t="shared" si="134"/>
        <v>11.827301204819278</v>
      </c>
      <c r="AD1509" s="37">
        <v>42314.54</v>
      </c>
      <c r="AE1509" s="179" t="s">
        <v>109</v>
      </c>
      <c r="AF1509" s="179" t="s">
        <v>3878</v>
      </c>
      <c r="AG1509" s="179" t="s">
        <v>3879</v>
      </c>
      <c r="AH1509" s="37" t="s">
        <v>3880</v>
      </c>
      <c r="AI1509" s="309"/>
      <c r="AJ1509" s="309"/>
      <c r="AK1509" s="37" t="s">
        <v>48</v>
      </c>
      <c r="AL1509" s="37" t="s">
        <v>56</v>
      </c>
      <c r="AM1509" s="299">
        <f t="shared" ca="1" si="130"/>
        <v>0.90972222222626442</v>
      </c>
      <c r="AN1509" s="51"/>
      <c r="AO1509" s="189" t="s">
        <v>255</v>
      </c>
      <c r="AP1509" s="190" t="s">
        <v>3875</v>
      </c>
      <c r="AQ1509" s="191" t="s">
        <v>3980</v>
      </c>
      <c r="AR1509" s="192">
        <v>44915.513888888891</v>
      </c>
      <c r="AS1509" s="186" t="s">
        <v>483</v>
      </c>
      <c r="AT1509" s="189" t="s">
        <v>225</v>
      </c>
      <c r="AU1509" s="191">
        <v>0.51388888888888895</v>
      </c>
      <c r="AV1509" s="189">
        <v>1</v>
      </c>
      <c r="AW1509" s="189" t="s">
        <v>66</v>
      </c>
      <c r="AX1509" s="189"/>
      <c r="AY1509" s="194" t="s">
        <v>3981</v>
      </c>
      <c r="AZ1509" s="52"/>
      <c r="BA1509" s="52"/>
    </row>
    <row r="1510" spans="1:53" x14ac:dyDescent="0.25">
      <c r="A1510" s="48">
        <v>358</v>
      </c>
      <c r="B1510" s="46">
        <v>44914.666666666664</v>
      </c>
      <c r="C1510" s="36">
        <v>0.67361111111111116</v>
      </c>
      <c r="D1510" s="36">
        <v>0.68055555555555547</v>
      </c>
      <c r="E1510" s="36">
        <v>0.6875</v>
      </c>
      <c r="F1510" s="179" t="s">
        <v>169</v>
      </c>
      <c r="G1510" s="37" t="s">
        <v>324</v>
      </c>
      <c r="H1510" s="26" t="s">
        <v>305</v>
      </c>
      <c r="I1510" s="26" t="s">
        <v>407</v>
      </c>
      <c r="J1510" s="26" t="s">
        <v>41</v>
      </c>
      <c r="K1510" s="179" t="s">
        <v>241</v>
      </c>
      <c r="L1510" s="179" t="s">
        <v>325</v>
      </c>
      <c r="M1510" s="37" t="s">
        <v>3881</v>
      </c>
      <c r="N1510" s="37" t="s">
        <v>42</v>
      </c>
      <c r="O1510" s="37">
        <v>95002952</v>
      </c>
      <c r="P1510" s="37">
        <v>5030613</v>
      </c>
      <c r="Q1510" s="303">
        <f t="shared" si="131"/>
        <v>42</v>
      </c>
      <c r="R1510" s="303">
        <f t="shared" si="132"/>
        <v>536</v>
      </c>
      <c r="S1510" s="37">
        <v>42</v>
      </c>
      <c r="T1510" s="179">
        <f>293-24+281-14</f>
        <v>536</v>
      </c>
      <c r="U1510" s="37">
        <v>0</v>
      </c>
      <c r="V1510" s="37">
        <v>0</v>
      </c>
      <c r="W1510" s="179">
        <v>527.21</v>
      </c>
      <c r="X1510" s="37">
        <v>58</v>
      </c>
      <c r="Y1510" s="37">
        <v>45</v>
      </c>
      <c r="Z1510" s="37">
        <v>15</v>
      </c>
      <c r="AA1510" s="37">
        <v>4</v>
      </c>
      <c r="AB1510" s="300">
        <f t="shared" si="133"/>
        <v>26.1</v>
      </c>
      <c r="AC1510" s="300">
        <f t="shared" si="134"/>
        <v>0.1572289156626506</v>
      </c>
      <c r="AD1510" s="37">
        <v>17775.75</v>
      </c>
      <c r="AE1510" s="179" t="s">
        <v>109</v>
      </c>
      <c r="AF1510" s="37">
        <v>6205201</v>
      </c>
      <c r="AG1510" s="37" t="s">
        <v>3882</v>
      </c>
      <c r="AH1510" s="37" t="s">
        <v>3883</v>
      </c>
      <c r="AI1510" s="309"/>
      <c r="AJ1510" s="309"/>
      <c r="AK1510" s="179" t="s">
        <v>48</v>
      </c>
      <c r="AL1510" s="37" t="s">
        <v>50</v>
      </c>
      <c r="AM1510" s="299">
        <f t="shared" ca="1" si="130"/>
        <v>2.7916666666715173</v>
      </c>
      <c r="AN1510" s="51"/>
      <c r="AO1510" s="191" t="s">
        <v>135</v>
      </c>
      <c r="AP1510" s="190" t="s">
        <v>3881</v>
      </c>
      <c r="AQ1510" s="189" t="s">
        <v>4172</v>
      </c>
      <c r="AR1510" s="192">
        <v>44917.458333333336</v>
      </c>
      <c r="AS1510" s="189" t="s">
        <v>136</v>
      </c>
      <c r="AT1510" s="189" t="s">
        <v>225</v>
      </c>
      <c r="AU1510" s="191">
        <v>0.45833333333333331</v>
      </c>
      <c r="AV1510" s="189">
        <v>1</v>
      </c>
      <c r="AW1510" s="189" t="s">
        <v>66</v>
      </c>
      <c r="AX1510" s="52"/>
      <c r="AY1510" s="52"/>
      <c r="AZ1510" s="52"/>
      <c r="BA1510" s="52"/>
    </row>
    <row r="1511" spans="1:53" x14ac:dyDescent="0.25">
      <c r="A1511" s="183">
        <v>358</v>
      </c>
      <c r="B1511" s="182">
        <v>44914.666666666664</v>
      </c>
      <c r="C1511" s="178">
        <v>0.67361111111111116</v>
      </c>
      <c r="D1511" s="178">
        <v>0.68055555555555547</v>
      </c>
      <c r="E1511" s="178">
        <v>0.6875</v>
      </c>
      <c r="F1511" s="179" t="s">
        <v>169</v>
      </c>
      <c r="G1511" s="179" t="s">
        <v>324</v>
      </c>
      <c r="H1511" s="170" t="s">
        <v>305</v>
      </c>
      <c r="I1511" s="170" t="s">
        <v>407</v>
      </c>
      <c r="J1511" s="170" t="s">
        <v>41</v>
      </c>
      <c r="K1511" s="179" t="s">
        <v>241</v>
      </c>
      <c r="L1511" s="179" t="s">
        <v>325</v>
      </c>
      <c r="M1511" s="179" t="s">
        <v>3881</v>
      </c>
      <c r="N1511" s="179" t="s">
        <v>42</v>
      </c>
      <c r="O1511" s="179">
        <v>95002952</v>
      </c>
      <c r="P1511" s="179">
        <v>5030613</v>
      </c>
      <c r="Q1511" s="303">
        <f t="shared" si="131"/>
        <v>0</v>
      </c>
      <c r="R1511" s="303">
        <f t="shared" si="132"/>
        <v>0</v>
      </c>
      <c r="S1511" s="179">
        <v>0</v>
      </c>
      <c r="T1511" s="179">
        <v>0</v>
      </c>
      <c r="U1511" s="179">
        <v>0</v>
      </c>
      <c r="V1511" s="179">
        <v>0</v>
      </c>
      <c r="W1511" s="179">
        <v>0</v>
      </c>
      <c r="X1511" s="37">
        <v>59</v>
      </c>
      <c r="Y1511" s="37">
        <v>44</v>
      </c>
      <c r="Z1511" s="37">
        <v>27</v>
      </c>
      <c r="AA1511" s="37">
        <v>38</v>
      </c>
      <c r="AB1511" s="300">
        <f t="shared" si="133"/>
        <v>443.916</v>
      </c>
      <c r="AC1511" s="300">
        <f t="shared" si="134"/>
        <v>2.6741927710843374</v>
      </c>
      <c r="AD1511" s="37">
        <v>0</v>
      </c>
      <c r="AE1511" s="179">
        <v>0</v>
      </c>
      <c r="AF1511" s="179">
        <v>6205201</v>
      </c>
      <c r="AG1511" s="179" t="s">
        <v>3882</v>
      </c>
      <c r="AH1511" s="179" t="s">
        <v>3883</v>
      </c>
      <c r="AI1511" s="309"/>
      <c r="AJ1511" s="309"/>
      <c r="AK1511" s="179" t="s">
        <v>48</v>
      </c>
      <c r="AL1511" s="179" t="s">
        <v>50</v>
      </c>
      <c r="AM1511" s="299">
        <f t="shared" ca="1" si="130"/>
        <v>2.7916666666715173</v>
      </c>
      <c r="AN1511" s="51"/>
      <c r="AO1511" s="191" t="s">
        <v>135</v>
      </c>
      <c r="AP1511" s="190" t="s">
        <v>3881</v>
      </c>
      <c r="AQ1511" s="189" t="s">
        <v>4172</v>
      </c>
      <c r="AR1511" s="192">
        <v>44917.458333333336</v>
      </c>
      <c r="AS1511" s="189" t="s">
        <v>136</v>
      </c>
      <c r="AT1511" s="189" t="s">
        <v>225</v>
      </c>
      <c r="AU1511" s="191">
        <v>0.45833333333333331</v>
      </c>
      <c r="AV1511" s="189">
        <v>1</v>
      </c>
      <c r="AW1511" s="189" t="s">
        <v>66</v>
      </c>
      <c r="AX1511" s="52"/>
      <c r="AY1511" s="52"/>
      <c r="AZ1511" s="52"/>
      <c r="BA1511" s="52"/>
    </row>
    <row r="1512" spans="1:53" x14ac:dyDescent="0.25">
      <c r="A1512" s="48">
        <v>359</v>
      </c>
      <c r="B1512" s="46">
        <v>44914.715277777781</v>
      </c>
      <c r="C1512" s="36">
        <v>0.71875</v>
      </c>
      <c r="D1512" s="36">
        <v>0.71875</v>
      </c>
      <c r="E1512" s="36">
        <v>0.73263888888888884</v>
      </c>
      <c r="F1512" s="37" t="s">
        <v>171</v>
      </c>
      <c r="G1512" s="37" t="s">
        <v>244</v>
      </c>
      <c r="H1512" s="26" t="s">
        <v>75</v>
      </c>
      <c r="I1512" s="26" t="s">
        <v>166</v>
      </c>
      <c r="J1512" s="177" t="s">
        <v>37</v>
      </c>
      <c r="K1512" s="177" t="s">
        <v>180</v>
      </c>
      <c r="L1512" s="181" t="s">
        <v>209</v>
      </c>
      <c r="M1512" s="37" t="s">
        <v>3884</v>
      </c>
      <c r="N1512" s="37" t="s">
        <v>167</v>
      </c>
      <c r="O1512" s="37" t="s">
        <v>3885</v>
      </c>
      <c r="P1512" s="37">
        <v>17355</v>
      </c>
      <c r="Q1512" s="303">
        <f t="shared" si="131"/>
        <v>1</v>
      </c>
      <c r="R1512" s="303">
        <f t="shared" si="132"/>
        <v>56</v>
      </c>
      <c r="S1512" s="37">
        <v>0</v>
      </c>
      <c r="T1512" s="37">
        <v>0</v>
      </c>
      <c r="U1512" s="37">
        <v>1</v>
      </c>
      <c r="V1512" s="37">
        <v>56</v>
      </c>
      <c r="W1512" s="37">
        <v>56</v>
      </c>
      <c r="X1512" s="37">
        <v>107</v>
      </c>
      <c r="Y1512" s="37">
        <v>107</v>
      </c>
      <c r="Z1512" s="37">
        <v>36</v>
      </c>
      <c r="AA1512" s="37">
        <v>1</v>
      </c>
      <c r="AB1512" s="300">
        <f t="shared" si="133"/>
        <v>68.694000000000003</v>
      </c>
      <c r="AC1512" s="300">
        <f t="shared" si="134"/>
        <v>0.41381927710843375</v>
      </c>
      <c r="AD1512" s="37">
        <v>557.5</v>
      </c>
      <c r="AE1512" s="37" t="s">
        <v>109</v>
      </c>
      <c r="AF1512" s="37" t="s">
        <v>317</v>
      </c>
      <c r="AG1512" s="37" t="s">
        <v>317</v>
      </c>
      <c r="AH1512" s="37">
        <v>0</v>
      </c>
      <c r="AI1512" s="309"/>
      <c r="AJ1512" s="309"/>
      <c r="AK1512" s="37" t="s">
        <v>37</v>
      </c>
      <c r="AL1512" s="37" t="s">
        <v>39</v>
      </c>
      <c r="AM1512" s="299">
        <f t="shared" ref="AM1512:AM1575" ca="1" si="135">IF(AP1512="",NOW()-B1512,AR1512-B1512)</f>
        <v>0.90972222221898846</v>
      </c>
      <c r="AN1512" s="51"/>
      <c r="AO1512" s="189" t="s">
        <v>161</v>
      </c>
      <c r="AP1512" s="190" t="s">
        <v>3884</v>
      </c>
      <c r="AQ1512" s="191" t="s">
        <v>3986</v>
      </c>
      <c r="AR1512" s="192">
        <v>44915.625</v>
      </c>
      <c r="AS1512" s="186" t="s">
        <v>483</v>
      </c>
      <c r="AT1512" s="189" t="s">
        <v>225</v>
      </c>
      <c r="AU1512" s="191">
        <v>0.625</v>
      </c>
      <c r="AV1512" s="189">
        <v>2</v>
      </c>
      <c r="AW1512" s="189" t="s">
        <v>66</v>
      </c>
      <c r="AX1512" s="52"/>
      <c r="AY1512" s="52"/>
      <c r="AZ1512" s="52"/>
      <c r="BA1512" s="52"/>
    </row>
    <row r="1513" spans="1:53" x14ac:dyDescent="0.25">
      <c r="A1513" s="48">
        <v>360</v>
      </c>
      <c r="B1513" s="46">
        <v>44914.725694444445</v>
      </c>
      <c r="C1513" s="36">
        <v>0.72916666666666663</v>
      </c>
      <c r="D1513" s="36">
        <v>0.73263888888888884</v>
      </c>
      <c r="E1513" s="36">
        <v>0.73611111111111116</v>
      </c>
      <c r="F1513" s="179" t="s">
        <v>171</v>
      </c>
      <c r="G1513" s="37" t="s">
        <v>101</v>
      </c>
      <c r="H1513" s="26" t="s">
        <v>234</v>
      </c>
      <c r="I1513" s="26" t="s">
        <v>234</v>
      </c>
      <c r="J1513" s="170" t="s">
        <v>37</v>
      </c>
      <c r="K1513" s="170" t="s">
        <v>233</v>
      </c>
      <c r="L1513" s="175" t="s">
        <v>206</v>
      </c>
      <c r="M1513" s="37" t="s">
        <v>3886</v>
      </c>
      <c r="N1513" s="37" t="s">
        <v>44</v>
      </c>
      <c r="O1513" s="37" t="s">
        <v>3887</v>
      </c>
      <c r="P1513" s="37" t="s">
        <v>3888</v>
      </c>
      <c r="Q1513" s="303">
        <f t="shared" ref="Q1513:Q1576" si="136">S1513+U1513</f>
        <v>1</v>
      </c>
      <c r="R1513" s="303">
        <f t="shared" ref="R1513:R1576" si="137">T1513+V1513</f>
        <v>22</v>
      </c>
      <c r="S1513" s="37">
        <v>1</v>
      </c>
      <c r="T1513" s="37">
        <v>22</v>
      </c>
      <c r="U1513" s="37">
        <v>0</v>
      </c>
      <c r="V1513" s="37">
        <v>0</v>
      </c>
      <c r="W1513" s="37">
        <v>22</v>
      </c>
      <c r="X1513" s="37">
        <v>65</v>
      </c>
      <c r="Y1513" s="37">
        <v>39</v>
      </c>
      <c r="Z1513" s="37">
        <v>34</v>
      </c>
      <c r="AA1513" s="37">
        <v>1</v>
      </c>
      <c r="AB1513" s="300">
        <f t="shared" ref="AB1513:AB1576" si="138">X1513*Y1513*Z1513*AA1513/6000</f>
        <v>14.365</v>
      </c>
      <c r="AC1513" s="300">
        <f t="shared" ref="AC1513:AC1576" si="139">AB1513/166</f>
        <v>8.6536144578313254E-2</v>
      </c>
      <c r="AD1513" s="37">
        <v>870</v>
      </c>
      <c r="AE1513" s="179" t="s">
        <v>109</v>
      </c>
      <c r="AF1513" s="179" t="s">
        <v>317</v>
      </c>
      <c r="AG1513" s="179" t="s">
        <v>317</v>
      </c>
      <c r="AH1513" s="37" t="s">
        <v>3889</v>
      </c>
      <c r="AI1513" s="309"/>
      <c r="AJ1513" s="309"/>
      <c r="AK1513" s="37" t="s">
        <v>48</v>
      </c>
      <c r="AL1513" s="37" t="s">
        <v>50</v>
      </c>
      <c r="AM1513" s="299">
        <f t="shared" ca="1" si="135"/>
        <v>1.6909722222189885</v>
      </c>
      <c r="AN1513" s="51"/>
      <c r="AO1513" s="189" t="s">
        <v>322</v>
      </c>
      <c r="AP1513" s="190" t="s">
        <v>3886</v>
      </c>
      <c r="AQ1513" s="191" t="s">
        <v>3993</v>
      </c>
      <c r="AR1513" s="192">
        <v>44916.416666666664</v>
      </c>
      <c r="AS1513" s="186" t="s">
        <v>173</v>
      </c>
      <c r="AT1513" s="189" t="s">
        <v>225</v>
      </c>
      <c r="AU1513" s="191">
        <v>0.41666666666666669</v>
      </c>
      <c r="AV1513" s="189">
        <v>1</v>
      </c>
      <c r="AW1513" s="189" t="s">
        <v>66</v>
      </c>
      <c r="AX1513" s="52"/>
      <c r="AY1513" s="52"/>
      <c r="AZ1513" s="52"/>
      <c r="BA1513" s="52"/>
    </row>
    <row r="1514" spans="1:53" x14ac:dyDescent="0.25">
      <c r="A1514" s="48">
        <v>361</v>
      </c>
      <c r="B1514" s="46">
        <v>44914.753472222219</v>
      </c>
      <c r="C1514" s="36">
        <v>0.75694444444444453</v>
      </c>
      <c r="D1514" s="36">
        <v>0.76041666666666663</v>
      </c>
      <c r="E1514" s="36">
        <v>0.77083333333333337</v>
      </c>
      <c r="F1514" s="37" t="s">
        <v>169</v>
      </c>
      <c r="G1514" s="37" t="s">
        <v>3890</v>
      </c>
      <c r="H1514" s="26" t="s">
        <v>3301</v>
      </c>
      <c r="I1514" s="26" t="s">
        <v>3891</v>
      </c>
      <c r="J1514" s="170" t="s">
        <v>41</v>
      </c>
      <c r="K1514" s="170" t="s">
        <v>233</v>
      </c>
      <c r="L1514" s="26">
        <v>0</v>
      </c>
      <c r="M1514" s="37" t="s">
        <v>3892</v>
      </c>
      <c r="N1514" s="37" t="s">
        <v>38</v>
      </c>
      <c r="O1514" s="37" t="s">
        <v>3893</v>
      </c>
      <c r="P1514" s="37">
        <v>464450</v>
      </c>
      <c r="Q1514" s="303">
        <f t="shared" si="136"/>
        <v>1</v>
      </c>
      <c r="R1514" s="303">
        <f t="shared" si="137"/>
        <v>9</v>
      </c>
      <c r="S1514" s="37">
        <v>1</v>
      </c>
      <c r="T1514" s="37">
        <v>9</v>
      </c>
      <c r="U1514" s="37">
        <v>0</v>
      </c>
      <c r="V1514" s="37">
        <v>0</v>
      </c>
      <c r="W1514" s="37">
        <v>6</v>
      </c>
      <c r="X1514" s="37">
        <v>95</v>
      </c>
      <c r="Y1514" s="37">
        <v>71</v>
      </c>
      <c r="Z1514" s="37">
        <v>17</v>
      </c>
      <c r="AA1514" s="37">
        <v>1</v>
      </c>
      <c r="AB1514" s="300">
        <f t="shared" si="138"/>
        <v>19.110833333333332</v>
      </c>
      <c r="AC1514" s="300">
        <f t="shared" si="139"/>
        <v>0.11512550200803212</v>
      </c>
      <c r="AD1514" s="37">
        <v>620</v>
      </c>
      <c r="AE1514" s="179" t="s">
        <v>109</v>
      </c>
      <c r="AF1514" s="37" t="s">
        <v>3894</v>
      </c>
      <c r="AG1514" s="37" t="s">
        <v>3895</v>
      </c>
      <c r="AH1514" s="37" t="s">
        <v>3896</v>
      </c>
      <c r="AI1514" s="309"/>
      <c r="AJ1514" s="309"/>
      <c r="AK1514" s="179" t="s">
        <v>48</v>
      </c>
      <c r="AL1514" s="37" t="s">
        <v>50</v>
      </c>
      <c r="AM1514" s="299">
        <f t="shared" ca="1" si="135"/>
        <v>0.87152777778101154</v>
      </c>
      <c r="AN1514" s="51"/>
      <c r="AO1514" s="189" t="s">
        <v>427</v>
      </c>
      <c r="AP1514" s="190" t="s">
        <v>3892</v>
      </c>
      <c r="AQ1514" s="191" t="s">
        <v>3990</v>
      </c>
      <c r="AR1514" s="192">
        <v>44915.625</v>
      </c>
      <c r="AS1514" s="186" t="s">
        <v>483</v>
      </c>
      <c r="AT1514" s="189" t="s">
        <v>225</v>
      </c>
      <c r="AU1514" s="191">
        <v>0.625</v>
      </c>
      <c r="AV1514" s="189">
        <v>2</v>
      </c>
      <c r="AW1514" s="189" t="s">
        <v>66</v>
      </c>
      <c r="AX1514" s="52"/>
      <c r="AY1514" s="52"/>
      <c r="AZ1514" s="52"/>
      <c r="BA1514" s="52"/>
    </row>
    <row r="1515" spans="1:53" x14ac:dyDescent="0.25">
      <c r="A1515" s="48">
        <v>362</v>
      </c>
      <c r="B1515" s="46">
        <v>44914.784722222219</v>
      </c>
      <c r="C1515" s="36">
        <v>0.78819444444444453</v>
      </c>
      <c r="D1515" s="36">
        <v>0.79513888888888884</v>
      </c>
      <c r="E1515" s="36">
        <v>0.81597222222222221</v>
      </c>
      <c r="F1515" s="37" t="s">
        <v>171</v>
      </c>
      <c r="G1515" s="37" t="s">
        <v>3897</v>
      </c>
      <c r="H1515" s="26" t="s">
        <v>3898</v>
      </c>
      <c r="I1515" s="26" t="s">
        <v>3899</v>
      </c>
      <c r="J1515" s="26" t="s">
        <v>37</v>
      </c>
      <c r="K1515" s="26" t="s">
        <v>180</v>
      </c>
      <c r="L1515" s="26">
        <v>0</v>
      </c>
      <c r="M1515" s="37" t="s">
        <v>3900</v>
      </c>
      <c r="N1515" s="37" t="s">
        <v>43</v>
      </c>
      <c r="O1515" s="37" t="s">
        <v>3901</v>
      </c>
      <c r="P1515" s="37">
        <v>4266</v>
      </c>
      <c r="Q1515" s="303">
        <f t="shared" si="136"/>
        <v>2</v>
      </c>
      <c r="R1515" s="303">
        <f t="shared" si="137"/>
        <v>357</v>
      </c>
      <c r="S1515" s="37">
        <v>0</v>
      </c>
      <c r="T1515" s="37">
        <v>0</v>
      </c>
      <c r="U1515" s="37">
        <v>2</v>
      </c>
      <c r="V1515" s="37">
        <f>250+107</f>
        <v>357</v>
      </c>
      <c r="W1515" s="37">
        <v>323</v>
      </c>
      <c r="X1515" s="37">
        <v>75</v>
      </c>
      <c r="Y1515" s="37">
        <v>74</v>
      </c>
      <c r="Z1515" s="37">
        <v>46</v>
      </c>
      <c r="AA1515" s="37">
        <v>1</v>
      </c>
      <c r="AB1515" s="300">
        <f t="shared" si="138"/>
        <v>42.55</v>
      </c>
      <c r="AC1515" s="300">
        <f t="shared" si="139"/>
        <v>0.25632530120481928</v>
      </c>
      <c r="AD1515" s="37">
        <v>5140.6000000000004</v>
      </c>
      <c r="AE1515" s="179" t="s">
        <v>109</v>
      </c>
      <c r="AF1515" s="37" t="s">
        <v>317</v>
      </c>
      <c r="AG1515" s="37" t="s">
        <v>317</v>
      </c>
      <c r="AH1515" s="37" t="s">
        <v>3902</v>
      </c>
      <c r="AI1515" s="309"/>
      <c r="AJ1515" s="309"/>
      <c r="AK1515" s="37" t="s">
        <v>41</v>
      </c>
      <c r="AL1515" s="37" t="s">
        <v>49</v>
      </c>
      <c r="AM1515" s="299">
        <f t="shared" ca="1" si="135"/>
        <v>0.75694444444525288</v>
      </c>
      <c r="AN1515" s="51"/>
      <c r="AO1515" s="189" t="s">
        <v>190</v>
      </c>
      <c r="AP1515" s="190" t="s">
        <v>3900</v>
      </c>
      <c r="AQ1515" s="191" t="s">
        <v>3984</v>
      </c>
      <c r="AR1515" s="192">
        <v>44915.541666666664</v>
      </c>
      <c r="AS1515" s="189" t="s">
        <v>136</v>
      </c>
      <c r="AT1515" s="189" t="s">
        <v>225</v>
      </c>
      <c r="AU1515" s="191">
        <v>0.54166666666666663</v>
      </c>
      <c r="AV1515" s="189">
        <v>1</v>
      </c>
      <c r="AW1515" s="189" t="s">
        <v>66</v>
      </c>
      <c r="AX1515" s="52"/>
      <c r="AY1515" s="52"/>
      <c r="AZ1515" s="52"/>
      <c r="BA1515" s="52"/>
    </row>
    <row r="1516" spans="1:53" x14ac:dyDescent="0.25">
      <c r="A1516" s="183">
        <v>362</v>
      </c>
      <c r="B1516" s="182">
        <v>44914.784722222219</v>
      </c>
      <c r="C1516" s="178">
        <v>0.78819444444444453</v>
      </c>
      <c r="D1516" s="178">
        <v>0.79513888888888884</v>
      </c>
      <c r="E1516" s="178">
        <v>0.81597222222222221</v>
      </c>
      <c r="F1516" s="179" t="s">
        <v>171</v>
      </c>
      <c r="G1516" s="179" t="s">
        <v>3897</v>
      </c>
      <c r="H1516" s="170" t="s">
        <v>3898</v>
      </c>
      <c r="I1516" s="170" t="s">
        <v>3899</v>
      </c>
      <c r="J1516" s="170" t="s">
        <v>37</v>
      </c>
      <c r="K1516" s="170" t="s">
        <v>180</v>
      </c>
      <c r="L1516" s="170">
        <v>0</v>
      </c>
      <c r="M1516" s="179" t="s">
        <v>3900</v>
      </c>
      <c r="N1516" s="179" t="s">
        <v>43</v>
      </c>
      <c r="O1516" s="179" t="s">
        <v>3901</v>
      </c>
      <c r="P1516" s="179">
        <v>4266</v>
      </c>
      <c r="Q1516" s="303">
        <f t="shared" si="136"/>
        <v>0</v>
      </c>
      <c r="R1516" s="303">
        <f t="shared" si="137"/>
        <v>0</v>
      </c>
      <c r="S1516" s="179">
        <v>0</v>
      </c>
      <c r="T1516" s="179">
        <v>0</v>
      </c>
      <c r="U1516" s="179">
        <v>0</v>
      </c>
      <c r="V1516" s="179">
        <v>0</v>
      </c>
      <c r="W1516" s="179">
        <v>0</v>
      </c>
      <c r="X1516" s="37">
        <v>58</v>
      </c>
      <c r="Y1516" s="37">
        <v>57</v>
      </c>
      <c r="Z1516" s="37">
        <v>42</v>
      </c>
      <c r="AA1516" s="37">
        <v>1</v>
      </c>
      <c r="AB1516" s="300">
        <f t="shared" si="138"/>
        <v>23.141999999999999</v>
      </c>
      <c r="AC1516" s="300">
        <f t="shared" si="139"/>
        <v>0.13940963855421687</v>
      </c>
      <c r="AD1516" s="37">
        <v>0</v>
      </c>
      <c r="AE1516" s="179">
        <v>0</v>
      </c>
      <c r="AF1516" s="179" t="s">
        <v>317</v>
      </c>
      <c r="AG1516" s="179" t="s">
        <v>317</v>
      </c>
      <c r="AH1516" s="179" t="s">
        <v>3902</v>
      </c>
      <c r="AI1516" s="309"/>
      <c r="AJ1516" s="309"/>
      <c r="AK1516" s="179" t="s">
        <v>41</v>
      </c>
      <c r="AL1516" s="179" t="s">
        <v>49</v>
      </c>
      <c r="AM1516" s="299">
        <f t="shared" ca="1" si="135"/>
        <v>0.75694444444525288</v>
      </c>
      <c r="AN1516" s="51"/>
      <c r="AO1516" s="189" t="s">
        <v>190</v>
      </c>
      <c r="AP1516" s="190" t="s">
        <v>3900</v>
      </c>
      <c r="AQ1516" s="191" t="s">
        <v>3984</v>
      </c>
      <c r="AR1516" s="192">
        <v>44915.541666666664</v>
      </c>
      <c r="AS1516" s="189" t="s">
        <v>136</v>
      </c>
      <c r="AT1516" s="189" t="s">
        <v>225</v>
      </c>
      <c r="AU1516" s="191">
        <v>0.54166666666666663</v>
      </c>
      <c r="AV1516" s="189">
        <v>1</v>
      </c>
      <c r="AW1516" s="189" t="s">
        <v>66</v>
      </c>
      <c r="AX1516" s="52"/>
      <c r="AY1516" s="52"/>
      <c r="AZ1516" s="52"/>
      <c r="BA1516" s="52"/>
    </row>
    <row r="1517" spans="1:53" x14ac:dyDescent="0.25">
      <c r="A1517" s="203">
        <v>363</v>
      </c>
      <c r="B1517" s="202">
        <v>44915.416666666664</v>
      </c>
      <c r="C1517" s="196">
        <v>0.4201388888888889</v>
      </c>
      <c r="D1517" s="196">
        <v>0.42708333333333331</v>
      </c>
      <c r="E1517" s="196">
        <v>0.43055555555555558</v>
      </c>
      <c r="F1517" s="197" t="s">
        <v>171</v>
      </c>
      <c r="G1517" s="197" t="s">
        <v>483</v>
      </c>
      <c r="H1517" s="188" t="s">
        <v>195</v>
      </c>
      <c r="I1517" s="188" t="s">
        <v>195</v>
      </c>
      <c r="J1517" s="188" t="s">
        <v>37</v>
      </c>
      <c r="K1517" s="195" t="s">
        <v>180</v>
      </c>
      <c r="L1517" s="195" t="s">
        <v>209</v>
      </c>
      <c r="M1517" s="197" t="s">
        <v>3912</v>
      </c>
      <c r="N1517" s="197" t="s">
        <v>42</v>
      </c>
      <c r="O1517" s="197" t="s">
        <v>3913</v>
      </c>
      <c r="P1517" s="197">
        <v>2101099322</v>
      </c>
      <c r="Q1517" s="303">
        <f t="shared" si="136"/>
        <v>5</v>
      </c>
      <c r="R1517" s="303">
        <f t="shared" si="137"/>
        <v>949</v>
      </c>
      <c r="S1517" s="197">
        <v>0</v>
      </c>
      <c r="T1517" s="197">
        <v>0</v>
      </c>
      <c r="U1517" s="197">
        <v>5</v>
      </c>
      <c r="V1517" s="197">
        <v>949</v>
      </c>
      <c r="W1517" s="197">
        <v>1013</v>
      </c>
      <c r="X1517" s="197">
        <v>114</v>
      </c>
      <c r="Y1517" s="197">
        <v>80</v>
      </c>
      <c r="Z1517" s="197">
        <v>100</v>
      </c>
      <c r="AA1517" s="197">
        <v>1</v>
      </c>
      <c r="AB1517" s="300">
        <f t="shared" si="138"/>
        <v>152</v>
      </c>
      <c r="AC1517" s="300">
        <f t="shared" si="139"/>
        <v>0.91566265060240959</v>
      </c>
      <c r="AD1517" s="197">
        <v>45475.199999999997</v>
      </c>
      <c r="AE1517" s="197" t="s">
        <v>109</v>
      </c>
      <c r="AF1517" s="197" t="s">
        <v>317</v>
      </c>
      <c r="AG1517" s="197" t="s">
        <v>317</v>
      </c>
      <c r="AH1517" s="197" t="s">
        <v>3914</v>
      </c>
      <c r="AI1517" s="309"/>
      <c r="AJ1517" s="309"/>
      <c r="AK1517" s="197" t="s">
        <v>41</v>
      </c>
      <c r="AL1517" s="197" t="s">
        <v>54</v>
      </c>
      <c r="AM1517" s="299">
        <f t="shared" ca="1" si="135"/>
        <v>0.10763888889050577</v>
      </c>
      <c r="AN1517" s="204"/>
      <c r="AO1517" s="189" t="s">
        <v>132</v>
      </c>
      <c r="AP1517" s="190" t="s">
        <v>3912</v>
      </c>
      <c r="AQ1517" s="191" t="s">
        <v>3983</v>
      </c>
      <c r="AR1517" s="192">
        <v>44915.524305555555</v>
      </c>
      <c r="AS1517" s="186" t="s">
        <v>173</v>
      </c>
      <c r="AT1517" s="189" t="s">
        <v>225</v>
      </c>
      <c r="AU1517" s="191">
        <v>0.52430555555555558</v>
      </c>
      <c r="AV1517" s="189">
        <v>1</v>
      </c>
      <c r="AW1517" s="189" t="s">
        <v>66</v>
      </c>
      <c r="AX1517" s="205"/>
      <c r="AY1517" s="205"/>
      <c r="AZ1517" s="205"/>
      <c r="BA1517" s="205"/>
    </row>
    <row r="1518" spans="1:53" x14ac:dyDescent="0.25">
      <c r="A1518" s="203">
        <v>363</v>
      </c>
      <c r="B1518" s="202">
        <v>44915.416666666664</v>
      </c>
      <c r="C1518" s="196">
        <v>0.4201388888888889</v>
      </c>
      <c r="D1518" s="196">
        <v>0.42708333333333331</v>
      </c>
      <c r="E1518" s="196">
        <v>0.43055555555555558</v>
      </c>
      <c r="F1518" s="197" t="s">
        <v>171</v>
      </c>
      <c r="G1518" s="197" t="s">
        <v>483</v>
      </c>
      <c r="H1518" s="188" t="s">
        <v>195</v>
      </c>
      <c r="I1518" s="188" t="s">
        <v>195</v>
      </c>
      <c r="J1518" s="188" t="s">
        <v>37</v>
      </c>
      <c r="K1518" s="195" t="s">
        <v>180</v>
      </c>
      <c r="L1518" s="195" t="s">
        <v>209</v>
      </c>
      <c r="M1518" s="197" t="s">
        <v>3912</v>
      </c>
      <c r="N1518" s="197" t="s">
        <v>42</v>
      </c>
      <c r="O1518" s="197" t="s">
        <v>3913</v>
      </c>
      <c r="P1518" s="197">
        <v>2101099322</v>
      </c>
      <c r="Q1518" s="303">
        <f t="shared" si="136"/>
        <v>0</v>
      </c>
      <c r="R1518" s="303">
        <f t="shared" si="137"/>
        <v>0</v>
      </c>
      <c r="S1518" s="197">
        <v>0</v>
      </c>
      <c r="T1518" s="197">
        <v>0</v>
      </c>
      <c r="U1518" s="197">
        <v>0</v>
      </c>
      <c r="V1518" s="197">
        <v>0</v>
      </c>
      <c r="W1518" s="197">
        <v>0</v>
      </c>
      <c r="X1518" s="197">
        <v>114</v>
      </c>
      <c r="Y1518" s="197">
        <v>80</v>
      </c>
      <c r="Z1518" s="197">
        <v>112</v>
      </c>
      <c r="AA1518" s="197">
        <v>4</v>
      </c>
      <c r="AB1518" s="300">
        <f t="shared" si="138"/>
        <v>680.96</v>
      </c>
      <c r="AC1518" s="300">
        <f t="shared" si="139"/>
        <v>4.1021686746987953</v>
      </c>
      <c r="AD1518" s="197">
        <v>0</v>
      </c>
      <c r="AE1518" s="197">
        <v>0</v>
      </c>
      <c r="AF1518" s="197" t="s">
        <v>317</v>
      </c>
      <c r="AG1518" s="197" t="s">
        <v>317</v>
      </c>
      <c r="AH1518" s="197" t="s">
        <v>3914</v>
      </c>
      <c r="AI1518" s="309"/>
      <c r="AJ1518" s="309"/>
      <c r="AK1518" s="197" t="s">
        <v>41</v>
      </c>
      <c r="AL1518" s="197" t="s">
        <v>54</v>
      </c>
      <c r="AM1518" s="299">
        <f t="shared" ca="1" si="135"/>
        <v>0.10763888889050577</v>
      </c>
      <c r="AN1518" s="204"/>
      <c r="AO1518" s="189" t="s">
        <v>132</v>
      </c>
      <c r="AP1518" s="190" t="s">
        <v>3912</v>
      </c>
      <c r="AQ1518" s="191" t="s">
        <v>3983</v>
      </c>
      <c r="AR1518" s="192">
        <v>44915.524305555555</v>
      </c>
      <c r="AS1518" s="186" t="s">
        <v>173</v>
      </c>
      <c r="AT1518" s="189" t="s">
        <v>225</v>
      </c>
      <c r="AU1518" s="191">
        <v>0.52430555555555558</v>
      </c>
      <c r="AV1518" s="189">
        <v>1</v>
      </c>
      <c r="AW1518" s="189" t="s">
        <v>66</v>
      </c>
      <c r="AX1518" s="205"/>
      <c r="AY1518" s="205"/>
      <c r="AZ1518" s="205"/>
      <c r="BA1518" s="205"/>
    </row>
    <row r="1519" spans="1:53" x14ac:dyDescent="0.25">
      <c r="A1519" s="203">
        <v>364</v>
      </c>
      <c r="B1519" s="202">
        <v>44915.416666666664</v>
      </c>
      <c r="C1519" s="196">
        <v>0.4201388888888889</v>
      </c>
      <c r="D1519" s="196">
        <v>0.42708333333333331</v>
      </c>
      <c r="E1519" s="196">
        <v>0.43055555555555558</v>
      </c>
      <c r="F1519" s="197" t="s">
        <v>171</v>
      </c>
      <c r="G1519" s="197" t="s">
        <v>483</v>
      </c>
      <c r="H1519" s="188" t="s">
        <v>195</v>
      </c>
      <c r="I1519" s="188" t="s">
        <v>195</v>
      </c>
      <c r="J1519" s="188" t="s">
        <v>37</v>
      </c>
      <c r="K1519" s="195" t="s">
        <v>180</v>
      </c>
      <c r="L1519" s="195" t="s">
        <v>209</v>
      </c>
      <c r="M1519" s="197" t="s">
        <v>3915</v>
      </c>
      <c r="N1519" s="197" t="s">
        <v>42</v>
      </c>
      <c r="O1519" s="197" t="s">
        <v>3916</v>
      </c>
      <c r="P1519" s="197">
        <v>2101099319</v>
      </c>
      <c r="Q1519" s="303">
        <f t="shared" si="136"/>
        <v>4</v>
      </c>
      <c r="R1519" s="303">
        <f t="shared" si="137"/>
        <v>777</v>
      </c>
      <c r="S1519" s="197">
        <v>0</v>
      </c>
      <c r="T1519" s="197">
        <v>0</v>
      </c>
      <c r="U1519" s="197">
        <v>4</v>
      </c>
      <c r="V1519" s="197">
        <v>777</v>
      </c>
      <c r="W1519" s="197">
        <v>820</v>
      </c>
      <c r="X1519" s="197">
        <v>114</v>
      </c>
      <c r="Y1519" s="197">
        <v>80</v>
      </c>
      <c r="Z1519" s="197">
        <v>118</v>
      </c>
      <c r="AA1519" s="197">
        <v>1</v>
      </c>
      <c r="AB1519" s="300">
        <f t="shared" si="138"/>
        <v>179.36</v>
      </c>
      <c r="AC1519" s="300">
        <f t="shared" si="139"/>
        <v>1.0804819277108435</v>
      </c>
      <c r="AD1519" s="197">
        <v>29566.7</v>
      </c>
      <c r="AE1519" s="197" t="s">
        <v>109</v>
      </c>
      <c r="AF1519" s="197" t="s">
        <v>317</v>
      </c>
      <c r="AG1519" s="197" t="s">
        <v>317</v>
      </c>
      <c r="AH1519" s="197" t="s">
        <v>3917</v>
      </c>
      <c r="AI1519" s="309"/>
      <c r="AJ1519" s="309"/>
      <c r="AK1519" s="197" t="s">
        <v>41</v>
      </c>
      <c r="AL1519" s="197" t="s">
        <v>54</v>
      </c>
      <c r="AM1519" s="299">
        <f t="shared" ca="1" si="135"/>
        <v>0.10763888889050577</v>
      </c>
      <c r="AN1519" s="204"/>
      <c r="AO1519" s="189" t="s">
        <v>128</v>
      </c>
      <c r="AP1519" s="190" t="s">
        <v>3915</v>
      </c>
      <c r="AQ1519" s="191" t="s">
        <v>3983</v>
      </c>
      <c r="AR1519" s="192">
        <v>44915.524305555555</v>
      </c>
      <c r="AS1519" s="186" t="s">
        <v>173</v>
      </c>
      <c r="AT1519" s="189" t="s">
        <v>225</v>
      </c>
      <c r="AU1519" s="191">
        <v>0.52430555555555558</v>
      </c>
      <c r="AV1519" s="189">
        <v>1</v>
      </c>
      <c r="AW1519" s="189" t="s">
        <v>66</v>
      </c>
      <c r="AX1519" s="205"/>
      <c r="AY1519" s="205"/>
      <c r="AZ1519" s="205"/>
      <c r="BA1519" s="205"/>
    </row>
    <row r="1520" spans="1:53" x14ac:dyDescent="0.25">
      <c r="A1520" s="203">
        <v>364</v>
      </c>
      <c r="B1520" s="202">
        <v>44915.416666666664</v>
      </c>
      <c r="C1520" s="196">
        <v>0.4201388888888889</v>
      </c>
      <c r="D1520" s="196">
        <v>0.42708333333333331</v>
      </c>
      <c r="E1520" s="196">
        <v>0.43055555555555558</v>
      </c>
      <c r="F1520" s="197" t="s">
        <v>171</v>
      </c>
      <c r="G1520" s="197" t="s">
        <v>483</v>
      </c>
      <c r="H1520" s="188" t="s">
        <v>195</v>
      </c>
      <c r="I1520" s="188" t="s">
        <v>195</v>
      </c>
      <c r="J1520" s="188" t="s">
        <v>37</v>
      </c>
      <c r="K1520" s="195" t="s">
        <v>180</v>
      </c>
      <c r="L1520" s="195" t="s">
        <v>209</v>
      </c>
      <c r="M1520" s="197" t="s">
        <v>3915</v>
      </c>
      <c r="N1520" s="197" t="s">
        <v>42</v>
      </c>
      <c r="O1520" s="197" t="s">
        <v>3916</v>
      </c>
      <c r="P1520" s="197">
        <v>2101099319</v>
      </c>
      <c r="Q1520" s="303">
        <f t="shared" si="136"/>
        <v>0</v>
      </c>
      <c r="R1520" s="303">
        <f t="shared" si="137"/>
        <v>0</v>
      </c>
      <c r="S1520" s="197">
        <v>0</v>
      </c>
      <c r="T1520" s="197">
        <v>0</v>
      </c>
      <c r="U1520" s="197">
        <v>0</v>
      </c>
      <c r="V1520" s="197">
        <v>0</v>
      </c>
      <c r="W1520" s="197">
        <v>0</v>
      </c>
      <c r="X1520" s="197">
        <v>114</v>
      </c>
      <c r="Y1520" s="197">
        <v>80</v>
      </c>
      <c r="Z1520" s="197">
        <v>94</v>
      </c>
      <c r="AA1520" s="197">
        <v>2</v>
      </c>
      <c r="AB1520" s="300">
        <f t="shared" si="138"/>
        <v>285.76</v>
      </c>
      <c r="AC1520" s="300">
        <f t="shared" si="139"/>
        <v>1.72144578313253</v>
      </c>
      <c r="AD1520" s="197">
        <v>0</v>
      </c>
      <c r="AE1520" s="197">
        <v>0</v>
      </c>
      <c r="AF1520" s="197" t="s">
        <v>317</v>
      </c>
      <c r="AG1520" s="197" t="s">
        <v>317</v>
      </c>
      <c r="AH1520" s="197" t="s">
        <v>3917</v>
      </c>
      <c r="AI1520" s="309"/>
      <c r="AJ1520" s="309"/>
      <c r="AK1520" s="197" t="s">
        <v>41</v>
      </c>
      <c r="AL1520" s="197" t="s">
        <v>54</v>
      </c>
      <c r="AM1520" s="299">
        <f t="shared" ca="1" si="135"/>
        <v>0.10763888889050577</v>
      </c>
      <c r="AN1520" s="204"/>
      <c r="AO1520" s="189" t="s">
        <v>128</v>
      </c>
      <c r="AP1520" s="190" t="s">
        <v>3915</v>
      </c>
      <c r="AQ1520" s="191" t="s">
        <v>3983</v>
      </c>
      <c r="AR1520" s="192">
        <v>44915.524305555555</v>
      </c>
      <c r="AS1520" s="186" t="s">
        <v>173</v>
      </c>
      <c r="AT1520" s="189" t="s">
        <v>225</v>
      </c>
      <c r="AU1520" s="191">
        <v>0.52430555555555558</v>
      </c>
      <c r="AV1520" s="189">
        <v>1</v>
      </c>
      <c r="AW1520" s="189" t="s">
        <v>66</v>
      </c>
      <c r="AX1520" s="205"/>
      <c r="AY1520" s="205"/>
      <c r="AZ1520" s="205"/>
      <c r="BA1520" s="205"/>
    </row>
    <row r="1521" spans="1:53" x14ac:dyDescent="0.25">
      <c r="A1521" s="203">
        <v>364</v>
      </c>
      <c r="B1521" s="202">
        <v>44915.416666666664</v>
      </c>
      <c r="C1521" s="196">
        <v>0.4201388888888889</v>
      </c>
      <c r="D1521" s="196">
        <v>0.42708333333333331</v>
      </c>
      <c r="E1521" s="196">
        <v>0.43055555555555558</v>
      </c>
      <c r="F1521" s="197" t="s">
        <v>171</v>
      </c>
      <c r="G1521" s="197" t="s">
        <v>483</v>
      </c>
      <c r="H1521" s="188" t="s">
        <v>195</v>
      </c>
      <c r="I1521" s="188" t="s">
        <v>195</v>
      </c>
      <c r="J1521" s="188" t="s">
        <v>37</v>
      </c>
      <c r="K1521" s="195" t="s">
        <v>180</v>
      </c>
      <c r="L1521" s="195" t="s">
        <v>209</v>
      </c>
      <c r="M1521" s="197" t="s">
        <v>3915</v>
      </c>
      <c r="N1521" s="197" t="s">
        <v>42</v>
      </c>
      <c r="O1521" s="197" t="s">
        <v>3916</v>
      </c>
      <c r="P1521" s="197">
        <v>2101099319</v>
      </c>
      <c r="Q1521" s="303">
        <f t="shared" si="136"/>
        <v>0</v>
      </c>
      <c r="R1521" s="303">
        <f t="shared" si="137"/>
        <v>0</v>
      </c>
      <c r="S1521" s="197">
        <v>0</v>
      </c>
      <c r="T1521" s="197">
        <v>0</v>
      </c>
      <c r="U1521" s="197">
        <v>0</v>
      </c>
      <c r="V1521" s="197">
        <v>0</v>
      </c>
      <c r="W1521" s="197">
        <v>0</v>
      </c>
      <c r="X1521" s="197">
        <v>114</v>
      </c>
      <c r="Y1521" s="197">
        <v>80</v>
      </c>
      <c r="Z1521" s="197">
        <v>114</v>
      </c>
      <c r="AA1521" s="197">
        <v>1</v>
      </c>
      <c r="AB1521" s="300">
        <f t="shared" si="138"/>
        <v>173.28</v>
      </c>
      <c r="AC1521" s="300">
        <f t="shared" si="139"/>
        <v>1.0438554216867471</v>
      </c>
      <c r="AD1521" s="197">
        <v>0</v>
      </c>
      <c r="AE1521" s="197">
        <v>0</v>
      </c>
      <c r="AF1521" s="197" t="s">
        <v>317</v>
      </c>
      <c r="AG1521" s="197" t="s">
        <v>317</v>
      </c>
      <c r="AH1521" s="197" t="s">
        <v>3917</v>
      </c>
      <c r="AI1521" s="309"/>
      <c r="AJ1521" s="309"/>
      <c r="AK1521" s="197" t="s">
        <v>41</v>
      </c>
      <c r="AL1521" s="197" t="s">
        <v>54</v>
      </c>
      <c r="AM1521" s="299">
        <f t="shared" ca="1" si="135"/>
        <v>0.10763888889050577</v>
      </c>
      <c r="AN1521" s="204"/>
      <c r="AO1521" s="189" t="s">
        <v>128</v>
      </c>
      <c r="AP1521" s="190" t="s">
        <v>3915</v>
      </c>
      <c r="AQ1521" s="191" t="s">
        <v>3983</v>
      </c>
      <c r="AR1521" s="192">
        <v>44915.524305555555</v>
      </c>
      <c r="AS1521" s="186" t="s">
        <v>173</v>
      </c>
      <c r="AT1521" s="189" t="s">
        <v>225</v>
      </c>
      <c r="AU1521" s="191">
        <v>0.52430555555555558</v>
      </c>
      <c r="AV1521" s="189">
        <v>1</v>
      </c>
      <c r="AW1521" s="189" t="s">
        <v>66</v>
      </c>
      <c r="AX1521" s="205"/>
      <c r="AY1521" s="205"/>
      <c r="AZ1521" s="205"/>
      <c r="BA1521" s="205"/>
    </row>
    <row r="1522" spans="1:53" x14ac:dyDescent="0.25">
      <c r="A1522" s="203">
        <v>365</v>
      </c>
      <c r="B1522" s="202">
        <v>44915.430555555555</v>
      </c>
      <c r="C1522" s="196">
        <v>0.43402777777777773</v>
      </c>
      <c r="D1522" s="196">
        <v>0.44097222222222227</v>
      </c>
      <c r="E1522" s="196">
        <v>0.44444444444444442</v>
      </c>
      <c r="F1522" s="197" t="s">
        <v>171</v>
      </c>
      <c r="G1522" s="197" t="s">
        <v>245</v>
      </c>
      <c r="H1522" s="188" t="s">
        <v>85</v>
      </c>
      <c r="I1522" s="188" t="s">
        <v>86</v>
      </c>
      <c r="J1522" s="188" t="s">
        <v>37</v>
      </c>
      <c r="K1522" s="201" t="s">
        <v>180</v>
      </c>
      <c r="L1522" s="201" t="s">
        <v>207</v>
      </c>
      <c r="M1522" s="197" t="s">
        <v>3918</v>
      </c>
      <c r="N1522" s="197" t="s">
        <v>42</v>
      </c>
      <c r="O1522" s="197" t="s">
        <v>3919</v>
      </c>
      <c r="P1522" s="197" t="s">
        <v>3920</v>
      </c>
      <c r="Q1522" s="303">
        <f t="shared" si="136"/>
        <v>4</v>
      </c>
      <c r="R1522" s="303">
        <f t="shared" si="137"/>
        <v>1085</v>
      </c>
      <c r="S1522" s="197">
        <v>0</v>
      </c>
      <c r="T1522" s="197">
        <v>0</v>
      </c>
      <c r="U1522" s="197">
        <v>4</v>
      </c>
      <c r="V1522" s="197">
        <v>1085</v>
      </c>
      <c r="W1522" s="197">
        <v>1056</v>
      </c>
      <c r="X1522" s="197">
        <v>120</v>
      </c>
      <c r="Y1522" s="197">
        <v>80</v>
      </c>
      <c r="Z1522" s="197">
        <v>87</v>
      </c>
      <c r="AA1522" s="197">
        <v>2</v>
      </c>
      <c r="AB1522" s="300">
        <f t="shared" si="138"/>
        <v>278.39999999999998</v>
      </c>
      <c r="AC1522" s="300">
        <f t="shared" si="139"/>
        <v>1.6771084337349396</v>
      </c>
      <c r="AD1522" s="197">
        <v>15669.96</v>
      </c>
      <c r="AE1522" s="197" t="s">
        <v>109</v>
      </c>
      <c r="AF1522" s="197">
        <v>6279366</v>
      </c>
      <c r="AG1522" s="197" t="s">
        <v>3921</v>
      </c>
      <c r="AH1522" s="197" t="s">
        <v>3922</v>
      </c>
      <c r="AI1522" s="309"/>
      <c r="AJ1522" s="309"/>
      <c r="AK1522" s="197" t="s">
        <v>37</v>
      </c>
      <c r="AL1522" s="197" t="s">
        <v>54</v>
      </c>
      <c r="AM1522" s="299">
        <f t="shared" ca="1" si="135"/>
        <v>9.375E-2</v>
      </c>
      <c r="AN1522" s="204"/>
      <c r="AO1522" s="189" t="s">
        <v>87</v>
      </c>
      <c r="AP1522" s="190" t="s">
        <v>3918</v>
      </c>
      <c r="AQ1522" s="191" t="s">
        <v>3983</v>
      </c>
      <c r="AR1522" s="192">
        <v>44915.524305555555</v>
      </c>
      <c r="AS1522" s="186" t="s">
        <v>173</v>
      </c>
      <c r="AT1522" s="189" t="s">
        <v>225</v>
      </c>
      <c r="AU1522" s="191">
        <v>0.52430555555555558</v>
      </c>
      <c r="AV1522" s="189">
        <v>1</v>
      </c>
      <c r="AW1522" s="189" t="s">
        <v>66</v>
      </c>
      <c r="AX1522" s="205"/>
      <c r="AY1522" s="205"/>
      <c r="AZ1522" s="205"/>
      <c r="BA1522" s="205"/>
    </row>
    <row r="1523" spans="1:53" x14ac:dyDescent="0.25">
      <c r="A1523" s="203">
        <v>365</v>
      </c>
      <c r="B1523" s="202">
        <v>44915.430555555555</v>
      </c>
      <c r="C1523" s="196">
        <v>0.43402777777777773</v>
      </c>
      <c r="D1523" s="196">
        <v>0.44097222222222227</v>
      </c>
      <c r="E1523" s="196">
        <v>0.44444444444444442</v>
      </c>
      <c r="F1523" s="197" t="s">
        <v>171</v>
      </c>
      <c r="G1523" s="197" t="s">
        <v>245</v>
      </c>
      <c r="H1523" s="188" t="s">
        <v>85</v>
      </c>
      <c r="I1523" s="188" t="s">
        <v>86</v>
      </c>
      <c r="J1523" s="188" t="s">
        <v>37</v>
      </c>
      <c r="K1523" s="201" t="s">
        <v>180</v>
      </c>
      <c r="L1523" s="201" t="s">
        <v>207</v>
      </c>
      <c r="M1523" s="197" t="s">
        <v>3918</v>
      </c>
      <c r="N1523" s="197" t="s">
        <v>42</v>
      </c>
      <c r="O1523" s="197" t="s">
        <v>3919</v>
      </c>
      <c r="P1523" s="197" t="s">
        <v>3920</v>
      </c>
      <c r="Q1523" s="303">
        <f t="shared" si="136"/>
        <v>0</v>
      </c>
      <c r="R1523" s="303">
        <f t="shared" si="137"/>
        <v>0</v>
      </c>
      <c r="S1523" s="197">
        <v>0</v>
      </c>
      <c r="T1523" s="197">
        <v>0</v>
      </c>
      <c r="U1523" s="197">
        <v>0</v>
      </c>
      <c r="V1523" s="197">
        <v>0</v>
      </c>
      <c r="W1523" s="197">
        <v>0</v>
      </c>
      <c r="X1523" s="197">
        <v>120</v>
      </c>
      <c r="Y1523" s="197">
        <v>80</v>
      </c>
      <c r="Z1523" s="197">
        <v>60</v>
      </c>
      <c r="AA1523" s="197">
        <v>1</v>
      </c>
      <c r="AB1523" s="300">
        <f t="shared" si="138"/>
        <v>96</v>
      </c>
      <c r="AC1523" s="300">
        <f t="shared" si="139"/>
        <v>0.57831325301204817</v>
      </c>
      <c r="AD1523" s="197">
        <v>0</v>
      </c>
      <c r="AE1523" s="197">
        <v>0</v>
      </c>
      <c r="AF1523" s="197">
        <v>6279366</v>
      </c>
      <c r="AG1523" s="197" t="s">
        <v>3921</v>
      </c>
      <c r="AH1523" s="197" t="s">
        <v>3922</v>
      </c>
      <c r="AI1523" s="309"/>
      <c r="AJ1523" s="309"/>
      <c r="AK1523" s="197" t="s">
        <v>37</v>
      </c>
      <c r="AL1523" s="197" t="s">
        <v>54</v>
      </c>
      <c r="AM1523" s="299">
        <f t="shared" ca="1" si="135"/>
        <v>9.375E-2</v>
      </c>
      <c r="AN1523" s="204"/>
      <c r="AO1523" s="189" t="s">
        <v>87</v>
      </c>
      <c r="AP1523" s="190" t="s">
        <v>3918</v>
      </c>
      <c r="AQ1523" s="191" t="s">
        <v>3983</v>
      </c>
      <c r="AR1523" s="192">
        <v>44915.524305555555</v>
      </c>
      <c r="AS1523" s="186" t="s">
        <v>173</v>
      </c>
      <c r="AT1523" s="189" t="s">
        <v>225</v>
      </c>
      <c r="AU1523" s="191">
        <v>0.52430555555555558</v>
      </c>
      <c r="AV1523" s="189">
        <v>1</v>
      </c>
      <c r="AW1523" s="189" t="s">
        <v>66</v>
      </c>
      <c r="AX1523" s="205"/>
      <c r="AY1523" s="205"/>
      <c r="AZ1523" s="205"/>
      <c r="BA1523" s="205"/>
    </row>
    <row r="1524" spans="1:53" x14ac:dyDescent="0.25">
      <c r="A1524" s="203">
        <v>365</v>
      </c>
      <c r="B1524" s="202">
        <v>44915.430555555555</v>
      </c>
      <c r="C1524" s="196">
        <v>0.43402777777777773</v>
      </c>
      <c r="D1524" s="196">
        <v>0.44097222222222227</v>
      </c>
      <c r="E1524" s="196">
        <v>0.44444444444444442</v>
      </c>
      <c r="F1524" s="197" t="s">
        <v>171</v>
      </c>
      <c r="G1524" s="197" t="s">
        <v>245</v>
      </c>
      <c r="H1524" s="188" t="s">
        <v>85</v>
      </c>
      <c r="I1524" s="188" t="s">
        <v>86</v>
      </c>
      <c r="J1524" s="188" t="s">
        <v>37</v>
      </c>
      <c r="K1524" s="201" t="s">
        <v>180</v>
      </c>
      <c r="L1524" s="201" t="s">
        <v>207</v>
      </c>
      <c r="M1524" s="197" t="s">
        <v>3918</v>
      </c>
      <c r="N1524" s="197" t="s">
        <v>42</v>
      </c>
      <c r="O1524" s="197" t="s">
        <v>3919</v>
      </c>
      <c r="P1524" s="197" t="s">
        <v>3920</v>
      </c>
      <c r="Q1524" s="303">
        <f t="shared" si="136"/>
        <v>0</v>
      </c>
      <c r="R1524" s="303">
        <f t="shared" si="137"/>
        <v>0</v>
      </c>
      <c r="S1524" s="197">
        <v>0</v>
      </c>
      <c r="T1524" s="197">
        <v>0</v>
      </c>
      <c r="U1524" s="197">
        <v>0</v>
      </c>
      <c r="V1524" s="197">
        <v>0</v>
      </c>
      <c r="W1524" s="197">
        <v>0</v>
      </c>
      <c r="X1524" s="197">
        <v>120</v>
      </c>
      <c r="Y1524" s="197">
        <v>80</v>
      </c>
      <c r="Z1524" s="197">
        <v>51</v>
      </c>
      <c r="AA1524" s="197">
        <v>1</v>
      </c>
      <c r="AB1524" s="300">
        <f t="shared" si="138"/>
        <v>81.599999999999994</v>
      </c>
      <c r="AC1524" s="300">
        <f t="shared" si="139"/>
        <v>0.49156626506024093</v>
      </c>
      <c r="AD1524" s="197">
        <v>0</v>
      </c>
      <c r="AE1524" s="197">
        <v>0</v>
      </c>
      <c r="AF1524" s="197">
        <v>6279366</v>
      </c>
      <c r="AG1524" s="197" t="s">
        <v>3921</v>
      </c>
      <c r="AH1524" s="197" t="s">
        <v>3922</v>
      </c>
      <c r="AI1524" s="309"/>
      <c r="AJ1524" s="309"/>
      <c r="AK1524" s="197" t="s">
        <v>37</v>
      </c>
      <c r="AL1524" s="197" t="s">
        <v>54</v>
      </c>
      <c r="AM1524" s="299">
        <f t="shared" ca="1" si="135"/>
        <v>9.375E-2</v>
      </c>
      <c r="AN1524" s="204"/>
      <c r="AO1524" s="189" t="s">
        <v>87</v>
      </c>
      <c r="AP1524" s="190" t="s">
        <v>3918</v>
      </c>
      <c r="AQ1524" s="191" t="s">
        <v>3983</v>
      </c>
      <c r="AR1524" s="192">
        <v>44915.524305555555</v>
      </c>
      <c r="AS1524" s="186" t="s">
        <v>173</v>
      </c>
      <c r="AT1524" s="189" t="s">
        <v>225</v>
      </c>
      <c r="AU1524" s="191">
        <v>0.52430555555555558</v>
      </c>
      <c r="AV1524" s="189">
        <v>1</v>
      </c>
      <c r="AW1524" s="189" t="s">
        <v>66</v>
      </c>
      <c r="AX1524" s="205"/>
      <c r="AY1524" s="205"/>
      <c r="AZ1524" s="205"/>
      <c r="BA1524" s="205"/>
    </row>
    <row r="1525" spans="1:53" x14ac:dyDescent="0.25">
      <c r="A1525" s="203">
        <v>366</v>
      </c>
      <c r="B1525" s="202">
        <v>44915.416666666664</v>
      </c>
      <c r="C1525" s="196">
        <v>0.41666666666666669</v>
      </c>
      <c r="D1525" s="196">
        <v>0.42708333333333331</v>
      </c>
      <c r="E1525" s="196">
        <v>0.46527777777777773</v>
      </c>
      <c r="F1525" s="197" t="s">
        <v>171</v>
      </c>
      <c r="G1525" s="197" t="s">
        <v>3923</v>
      </c>
      <c r="H1525" s="188" t="s">
        <v>199</v>
      </c>
      <c r="I1525" s="188" t="s">
        <v>174</v>
      </c>
      <c r="J1525" s="188" t="s">
        <v>37</v>
      </c>
      <c r="K1525" s="195" t="s">
        <v>180</v>
      </c>
      <c r="L1525" s="200" t="s">
        <v>206</v>
      </c>
      <c r="M1525" s="197" t="s">
        <v>3924</v>
      </c>
      <c r="N1525" s="197" t="s">
        <v>42</v>
      </c>
      <c r="O1525" s="197">
        <v>274010857</v>
      </c>
      <c r="P1525" s="197" t="s">
        <v>3925</v>
      </c>
      <c r="Q1525" s="303">
        <f t="shared" si="136"/>
        <v>9</v>
      </c>
      <c r="R1525" s="303">
        <f t="shared" si="137"/>
        <v>925</v>
      </c>
      <c r="S1525" s="197">
        <v>4</v>
      </c>
      <c r="T1525" s="197">
        <v>62</v>
      </c>
      <c r="U1525" s="197">
        <v>5</v>
      </c>
      <c r="V1525" s="197">
        <v>863</v>
      </c>
      <c r="W1525" s="197">
        <v>934.2</v>
      </c>
      <c r="X1525" s="197">
        <v>123</v>
      </c>
      <c r="Y1525" s="197">
        <v>83</v>
      </c>
      <c r="Z1525" s="197">
        <v>75</v>
      </c>
      <c r="AA1525" s="197">
        <v>5</v>
      </c>
      <c r="AB1525" s="300">
        <f t="shared" si="138"/>
        <v>638.0625</v>
      </c>
      <c r="AC1525" s="300">
        <f t="shared" si="139"/>
        <v>3.84375</v>
      </c>
      <c r="AD1525" s="197">
        <v>21651.96</v>
      </c>
      <c r="AE1525" s="197" t="s">
        <v>109</v>
      </c>
      <c r="AF1525" s="197" t="s">
        <v>3926</v>
      </c>
      <c r="AG1525" s="197" t="s">
        <v>3921</v>
      </c>
      <c r="AH1525" s="197" t="s">
        <v>3927</v>
      </c>
      <c r="AI1525" s="309"/>
      <c r="AJ1525" s="309"/>
      <c r="AK1525" s="197" t="s">
        <v>37</v>
      </c>
      <c r="AL1525" s="197" t="s">
        <v>39</v>
      </c>
      <c r="AM1525" s="299">
        <f t="shared" ca="1" si="135"/>
        <v>0.29166666667151731</v>
      </c>
      <c r="AN1525" s="204"/>
      <c r="AO1525" s="189" t="s">
        <v>232</v>
      </c>
      <c r="AP1525" s="190" t="s">
        <v>3924</v>
      </c>
      <c r="AQ1525" s="191" t="s">
        <v>3991</v>
      </c>
      <c r="AR1525" s="192">
        <v>44915.708333333336</v>
      </c>
      <c r="AS1525" s="186" t="s">
        <v>173</v>
      </c>
      <c r="AT1525" s="189" t="s">
        <v>225</v>
      </c>
      <c r="AU1525" s="191">
        <v>0.70833333333333337</v>
      </c>
      <c r="AV1525" s="189">
        <v>2</v>
      </c>
      <c r="AW1525" s="189" t="s">
        <v>66</v>
      </c>
      <c r="AX1525" s="205"/>
      <c r="AY1525" s="205"/>
      <c r="AZ1525" s="205"/>
      <c r="BA1525" s="205"/>
    </row>
    <row r="1526" spans="1:53" x14ac:dyDescent="0.25">
      <c r="A1526" s="203">
        <v>366</v>
      </c>
      <c r="B1526" s="202">
        <v>44915.416666666664</v>
      </c>
      <c r="C1526" s="196">
        <v>0.41666666666666669</v>
      </c>
      <c r="D1526" s="196">
        <v>0.42708333333333331</v>
      </c>
      <c r="E1526" s="196">
        <v>0.46527777777777773</v>
      </c>
      <c r="F1526" s="197" t="s">
        <v>171</v>
      </c>
      <c r="G1526" s="197" t="s">
        <v>3923</v>
      </c>
      <c r="H1526" s="188" t="s">
        <v>199</v>
      </c>
      <c r="I1526" s="188" t="s">
        <v>174</v>
      </c>
      <c r="J1526" s="188" t="s">
        <v>37</v>
      </c>
      <c r="K1526" s="195" t="s">
        <v>180</v>
      </c>
      <c r="L1526" s="200" t="s">
        <v>206</v>
      </c>
      <c r="M1526" s="197" t="s">
        <v>3924</v>
      </c>
      <c r="N1526" s="197" t="s">
        <v>42</v>
      </c>
      <c r="O1526" s="197">
        <v>274010857</v>
      </c>
      <c r="P1526" s="197" t="s">
        <v>3925</v>
      </c>
      <c r="Q1526" s="303">
        <f t="shared" si="136"/>
        <v>0</v>
      </c>
      <c r="R1526" s="303">
        <f t="shared" si="137"/>
        <v>0</v>
      </c>
      <c r="S1526" s="197">
        <v>0</v>
      </c>
      <c r="T1526" s="197">
        <v>0</v>
      </c>
      <c r="U1526" s="197">
        <v>0</v>
      </c>
      <c r="V1526" s="197">
        <v>0</v>
      </c>
      <c r="W1526" s="197">
        <v>0</v>
      </c>
      <c r="X1526" s="197">
        <v>60</v>
      </c>
      <c r="Y1526" s="197">
        <v>40</v>
      </c>
      <c r="Z1526" s="197">
        <v>30</v>
      </c>
      <c r="AA1526" s="197">
        <v>4</v>
      </c>
      <c r="AB1526" s="300">
        <f t="shared" si="138"/>
        <v>48</v>
      </c>
      <c r="AC1526" s="300">
        <f t="shared" si="139"/>
        <v>0.28915662650602408</v>
      </c>
      <c r="AD1526" s="197">
        <v>0</v>
      </c>
      <c r="AE1526" s="197">
        <v>0</v>
      </c>
      <c r="AF1526" s="197" t="s">
        <v>3926</v>
      </c>
      <c r="AG1526" s="197" t="s">
        <v>3921</v>
      </c>
      <c r="AH1526" s="197" t="s">
        <v>3927</v>
      </c>
      <c r="AI1526" s="309"/>
      <c r="AJ1526" s="309"/>
      <c r="AK1526" s="197" t="s">
        <v>48</v>
      </c>
      <c r="AL1526" s="197" t="s">
        <v>39</v>
      </c>
      <c r="AM1526" s="299">
        <f t="shared" ca="1" si="135"/>
        <v>0.29166666667151731</v>
      </c>
      <c r="AN1526" s="204"/>
      <c r="AO1526" s="189" t="s">
        <v>232</v>
      </c>
      <c r="AP1526" s="190" t="s">
        <v>3924</v>
      </c>
      <c r="AQ1526" s="191" t="s">
        <v>3991</v>
      </c>
      <c r="AR1526" s="192">
        <v>44915.708333333336</v>
      </c>
      <c r="AS1526" s="186" t="s">
        <v>173</v>
      </c>
      <c r="AT1526" s="189" t="s">
        <v>225</v>
      </c>
      <c r="AU1526" s="191">
        <v>0.70833333333333337</v>
      </c>
      <c r="AV1526" s="189">
        <v>2</v>
      </c>
      <c r="AW1526" s="189" t="s">
        <v>66</v>
      </c>
      <c r="AX1526" s="205"/>
      <c r="AY1526" s="205"/>
      <c r="AZ1526" s="205"/>
      <c r="BA1526" s="205"/>
    </row>
    <row r="1527" spans="1:53" x14ac:dyDescent="0.25">
      <c r="A1527" s="203">
        <v>367</v>
      </c>
      <c r="B1527" s="202">
        <v>44915.444444444445</v>
      </c>
      <c r="C1527" s="196">
        <v>0.44444444444444442</v>
      </c>
      <c r="D1527" s="196">
        <v>0.4513888888888889</v>
      </c>
      <c r="E1527" s="196">
        <v>0.46527777777777773</v>
      </c>
      <c r="F1527" s="197" t="s">
        <v>171</v>
      </c>
      <c r="G1527" s="197" t="s">
        <v>552</v>
      </c>
      <c r="H1527" s="188" t="s">
        <v>199</v>
      </c>
      <c r="I1527" s="188" t="s">
        <v>174</v>
      </c>
      <c r="J1527" s="188" t="s">
        <v>37</v>
      </c>
      <c r="K1527" s="195" t="s">
        <v>180</v>
      </c>
      <c r="L1527" s="200" t="s">
        <v>206</v>
      </c>
      <c r="M1527" s="197" t="s">
        <v>3924</v>
      </c>
      <c r="N1527" s="197" t="s">
        <v>42</v>
      </c>
      <c r="O1527" s="197">
        <v>274010856</v>
      </c>
      <c r="P1527" s="197" t="s">
        <v>3928</v>
      </c>
      <c r="Q1527" s="303">
        <f t="shared" si="136"/>
        <v>7</v>
      </c>
      <c r="R1527" s="303">
        <f t="shared" si="137"/>
        <v>1089</v>
      </c>
      <c r="S1527" s="197">
        <v>0</v>
      </c>
      <c r="T1527" s="197">
        <v>0</v>
      </c>
      <c r="U1527" s="197">
        <v>7</v>
      </c>
      <c r="V1527" s="197">
        <v>1089</v>
      </c>
      <c r="W1527" s="197">
        <v>1113.67</v>
      </c>
      <c r="X1527" s="197">
        <v>123</v>
      </c>
      <c r="Y1527" s="197">
        <v>83</v>
      </c>
      <c r="Z1527" s="197">
        <v>75</v>
      </c>
      <c r="AA1527" s="197">
        <v>7</v>
      </c>
      <c r="AB1527" s="300">
        <f t="shared" si="138"/>
        <v>893.28750000000002</v>
      </c>
      <c r="AC1527" s="300">
        <f t="shared" si="139"/>
        <v>5.3812500000000005</v>
      </c>
      <c r="AD1527" s="197">
        <v>25784.639999999999</v>
      </c>
      <c r="AE1527" s="197" t="s">
        <v>109</v>
      </c>
      <c r="AF1527" s="197" t="s">
        <v>3929</v>
      </c>
      <c r="AG1527" s="197" t="s">
        <v>3921</v>
      </c>
      <c r="AH1527" s="197" t="s">
        <v>3930</v>
      </c>
      <c r="AI1527" s="309"/>
      <c r="AJ1527" s="309"/>
      <c r="AK1527" s="197" t="s">
        <v>37</v>
      </c>
      <c r="AL1527" s="197" t="s">
        <v>54</v>
      </c>
      <c r="AM1527" s="299">
        <f t="shared" ca="1" si="135"/>
        <v>0.26388888889050577</v>
      </c>
      <c r="AN1527" s="204"/>
      <c r="AO1527" s="189" t="s">
        <v>232</v>
      </c>
      <c r="AP1527" s="190" t="s">
        <v>3924</v>
      </c>
      <c r="AQ1527" s="191" t="s">
        <v>3991</v>
      </c>
      <c r="AR1527" s="192">
        <v>44915.708333333336</v>
      </c>
      <c r="AS1527" s="186" t="s">
        <v>173</v>
      </c>
      <c r="AT1527" s="189" t="s">
        <v>225</v>
      </c>
      <c r="AU1527" s="191">
        <v>0.70833333333333337</v>
      </c>
      <c r="AV1527" s="189">
        <v>2</v>
      </c>
      <c r="AW1527" s="189" t="s">
        <v>66</v>
      </c>
      <c r="AX1527" s="205"/>
      <c r="AY1527" s="205"/>
      <c r="AZ1527" s="205"/>
      <c r="BA1527" s="205"/>
    </row>
    <row r="1528" spans="1:53" x14ac:dyDescent="0.25">
      <c r="A1528" s="203">
        <v>368</v>
      </c>
      <c r="B1528" s="202">
        <v>44915.444444444445</v>
      </c>
      <c r="C1528" s="196">
        <v>0.44444444444444442</v>
      </c>
      <c r="D1528" s="196">
        <v>0.4548611111111111</v>
      </c>
      <c r="E1528" s="196">
        <v>0.5</v>
      </c>
      <c r="F1528" s="197" t="s">
        <v>171</v>
      </c>
      <c r="G1528" s="197" t="s">
        <v>3931</v>
      </c>
      <c r="H1528" s="188" t="s">
        <v>195</v>
      </c>
      <c r="I1528" s="188" t="s">
        <v>195</v>
      </c>
      <c r="J1528" s="188" t="s">
        <v>37</v>
      </c>
      <c r="K1528" s="195" t="s">
        <v>180</v>
      </c>
      <c r="L1528" s="195" t="s">
        <v>209</v>
      </c>
      <c r="M1528" s="197" t="s">
        <v>3932</v>
      </c>
      <c r="N1528" s="197" t="s">
        <v>44</v>
      </c>
      <c r="O1528" s="197" t="s">
        <v>3933</v>
      </c>
      <c r="P1528" s="197">
        <v>2101100671</v>
      </c>
      <c r="Q1528" s="303">
        <f t="shared" si="136"/>
        <v>4</v>
      </c>
      <c r="R1528" s="303">
        <f t="shared" si="137"/>
        <v>1279</v>
      </c>
      <c r="S1528" s="197">
        <v>0</v>
      </c>
      <c r="T1528" s="197">
        <v>0</v>
      </c>
      <c r="U1528" s="197">
        <v>4</v>
      </c>
      <c r="V1528" s="197">
        <v>1279</v>
      </c>
      <c r="W1528" s="197">
        <v>1261</v>
      </c>
      <c r="X1528" s="197">
        <v>82</v>
      </c>
      <c r="Y1528" s="197">
        <v>58</v>
      </c>
      <c r="Z1528" s="197">
        <v>56</v>
      </c>
      <c r="AA1528" s="197">
        <v>1</v>
      </c>
      <c r="AB1528" s="300">
        <f t="shared" si="138"/>
        <v>44.389333333333333</v>
      </c>
      <c r="AC1528" s="300">
        <f t="shared" si="139"/>
        <v>0.26740562248995986</v>
      </c>
      <c r="AD1528" s="197">
        <v>83188.800000000003</v>
      </c>
      <c r="AE1528" s="197" t="s">
        <v>109</v>
      </c>
      <c r="AF1528" s="197" t="s">
        <v>317</v>
      </c>
      <c r="AG1528" s="197" t="s">
        <v>317</v>
      </c>
      <c r="AH1528" s="197" t="s">
        <v>3934</v>
      </c>
      <c r="AI1528" s="309"/>
      <c r="AJ1528" s="309"/>
      <c r="AK1528" s="197" t="s">
        <v>37</v>
      </c>
      <c r="AL1528" s="197" t="s">
        <v>39</v>
      </c>
      <c r="AM1528" s="299">
        <f t="shared" ca="1" si="135"/>
        <v>0.97222222221898846</v>
      </c>
      <c r="AN1528" s="204"/>
      <c r="AO1528" s="189" t="s">
        <v>53</v>
      </c>
      <c r="AP1528" s="190" t="s">
        <v>3932</v>
      </c>
      <c r="AQ1528" s="191" t="s">
        <v>3993</v>
      </c>
      <c r="AR1528" s="192">
        <v>44916.416666666664</v>
      </c>
      <c r="AS1528" s="186" t="s">
        <v>173</v>
      </c>
      <c r="AT1528" s="189" t="s">
        <v>225</v>
      </c>
      <c r="AU1528" s="191">
        <v>0.41666666666666669</v>
      </c>
      <c r="AV1528" s="189">
        <v>1</v>
      </c>
      <c r="AW1528" s="189" t="s">
        <v>66</v>
      </c>
      <c r="AX1528" s="205"/>
      <c r="AY1528" s="205"/>
      <c r="AZ1528" s="205"/>
      <c r="BA1528" s="205"/>
    </row>
    <row r="1529" spans="1:53" x14ac:dyDescent="0.25">
      <c r="A1529" s="203">
        <v>368</v>
      </c>
      <c r="B1529" s="202">
        <v>44915.444444444445</v>
      </c>
      <c r="C1529" s="196">
        <v>0.44444444444444442</v>
      </c>
      <c r="D1529" s="196">
        <v>0.4548611111111111</v>
      </c>
      <c r="E1529" s="196">
        <v>0.5</v>
      </c>
      <c r="F1529" s="197" t="s">
        <v>171</v>
      </c>
      <c r="G1529" s="197" t="s">
        <v>3931</v>
      </c>
      <c r="H1529" s="188" t="s">
        <v>195</v>
      </c>
      <c r="I1529" s="188" t="s">
        <v>195</v>
      </c>
      <c r="J1529" s="188" t="s">
        <v>37</v>
      </c>
      <c r="K1529" s="195" t="s">
        <v>180</v>
      </c>
      <c r="L1529" s="195" t="s">
        <v>209</v>
      </c>
      <c r="M1529" s="197" t="s">
        <v>3932</v>
      </c>
      <c r="N1529" s="197" t="s">
        <v>44</v>
      </c>
      <c r="O1529" s="197" t="s">
        <v>3933</v>
      </c>
      <c r="P1529" s="197">
        <v>2101100671</v>
      </c>
      <c r="Q1529" s="303">
        <f t="shared" si="136"/>
        <v>0</v>
      </c>
      <c r="R1529" s="303">
        <f t="shared" si="137"/>
        <v>0</v>
      </c>
      <c r="S1529" s="197">
        <v>0</v>
      </c>
      <c r="T1529" s="197">
        <v>0</v>
      </c>
      <c r="U1529" s="197">
        <v>0</v>
      </c>
      <c r="V1529" s="197">
        <v>0</v>
      </c>
      <c r="W1529" s="197">
        <v>0</v>
      </c>
      <c r="X1529" s="197">
        <v>117</v>
      </c>
      <c r="Y1529" s="197">
        <v>81</v>
      </c>
      <c r="Z1529" s="197">
        <v>96</v>
      </c>
      <c r="AA1529" s="197">
        <v>3</v>
      </c>
      <c r="AB1529" s="300">
        <f t="shared" si="138"/>
        <v>454.89600000000002</v>
      </c>
      <c r="AC1529" s="300">
        <f t="shared" si="139"/>
        <v>2.7403373493975907</v>
      </c>
      <c r="AD1529" s="197">
        <v>0</v>
      </c>
      <c r="AE1529" s="197">
        <v>0</v>
      </c>
      <c r="AF1529" s="197" t="s">
        <v>317</v>
      </c>
      <c r="AG1529" s="197" t="s">
        <v>317</v>
      </c>
      <c r="AH1529" s="197" t="s">
        <v>3934</v>
      </c>
      <c r="AI1529" s="309"/>
      <c r="AJ1529" s="309"/>
      <c r="AK1529" s="197" t="s">
        <v>37</v>
      </c>
      <c r="AL1529" s="197" t="s">
        <v>39</v>
      </c>
      <c r="AM1529" s="299">
        <f t="shared" ca="1" si="135"/>
        <v>0.97222222221898846</v>
      </c>
      <c r="AN1529" s="204"/>
      <c r="AO1529" s="189" t="s">
        <v>53</v>
      </c>
      <c r="AP1529" s="190" t="s">
        <v>3932</v>
      </c>
      <c r="AQ1529" s="191" t="s">
        <v>3993</v>
      </c>
      <c r="AR1529" s="192">
        <v>44916.416666666664</v>
      </c>
      <c r="AS1529" s="186" t="s">
        <v>173</v>
      </c>
      <c r="AT1529" s="189" t="s">
        <v>225</v>
      </c>
      <c r="AU1529" s="191">
        <v>0.41666666666666669</v>
      </c>
      <c r="AV1529" s="189">
        <v>1</v>
      </c>
      <c r="AW1529" s="189" t="s">
        <v>66</v>
      </c>
      <c r="AX1529" s="205"/>
      <c r="AY1529" s="205"/>
      <c r="AZ1529" s="205"/>
      <c r="BA1529" s="205"/>
    </row>
    <row r="1530" spans="1:53" x14ac:dyDescent="0.25">
      <c r="A1530" s="203">
        <v>369</v>
      </c>
      <c r="B1530" s="202">
        <v>44915.444444444445</v>
      </c>
      <c r="C1530" s="196">
        <v>0.44444444444444442</v>
      </c>
      <c r="D1530" s="196">
        <v>0.4548611111111111</v>
      </c>
      <c r="E1530" s="196">
        <v>0.5</v>
      </c>
      <c r="F1530" s="197" t="s">
        <v>171</v>
      </c>
      <c r="G1530" s="197" t="s">
        <v>3931</v>
      </c>
      <c r="H1530" s="188" t="s">
        <v>195</v>
      </c>
      <c r="I1530" s="188" t="s">
        <v>195</v>
      </c>
      <c r="J1530" s="188" t="s">
        <v>37</v>
      </c>
      <c r="K1530" s="195" t="s">
        <v>180</v>
      </c>
      <c r="L1530" s="195" t="s">
        <v>209</v>
      </c>
      <c r="M1530" s="197" t="s">
        <v>3935</v>
      </c>
      <c r="N1530" s="197" t="s">
        <v>186</v>
      </c>
      <c r="O1530" s="197" t="s">
        <v>3936</v>
      </c>
      <c r="P1530" s="197">
        <v>2101100705</v>
      </c>
      <c r="Q1530" s="303">
        <f t="shared" si="136"/>
        <v>2</v>
      </c>
      <c r="R1530" s="303">
        <f t="shared" si="137"/>
        <v>886</v>
      </c>
      <c r="S1530" s="197">
        <v>0</v>
      </c>
      <c r="T1530" s="197">
        <v>0</v>
      </c>
      <c r="U1530" s="197">
        <v>2</v>
      </c>
      <c r="V1530" s="197">
        <v>886</v>
      </c>
      <c r="W1530" s="197">
        <v>876</v>
      </c>
      <c r="X1530" s="197">
        <v>116</v>
      </c>
      <c r="Y1530" s="197">
        <v>81</v>
      </c>
      <c r="Z1530" s="197">
        <v>95</v>
      </c>
      <c r="AA1530" s="197">
        <v>2</v>
      </c>
      <c r="AB1530" s="300">
        <f t="shared" si="138"/>
        <v>297.54000000000002</v>
      </c>
      <c r="AC1530" s="300">
        <f t="shared" si="139"/>
        <v>1.792409638554217</v>
      </c>
      <c r="AD1530" s="197">
        <v>25682.83</v>
      </c>
      <c r="AE1530" s="197" t="s">
        <v>109</v>
      </c>
      <c r="AF1530" s="197" t="s">
        <v>317</v>
      </c>
      <c r="AG1530" s="197" t="s">
        <v>317</v>
      </c>
      <c r="AH1530" s="197" t="s">
        <v>3937</v>
      </c>
      <c r="AI1530" s="309"/>
      <c r="AJ1530" s="309"/>
      <c r="AK1530" s="197" t="s">
        <v>37</v>
      </c>
      <c r="AL1530" s="197" t="s">
        <v>39</v>
      </c>
      <c r="AM1530" s="299">
        <f t="shared" ca="1" si="135"/>
        <v>1.1180555555547471</v>
      </c>
      <c r="AN1530" s="204"/>
      <c r="AO1530" s="189" t="s">
        <v>131</v>
      </c>
      <c r="AP1530" s="91" t="s">
        <v>3935</v>
      </c>
      <c r="AQ1530" s="189" t="s">
        <v>4068</v>
      </c>
      <c r="AR1530" s="192">
        <v>44916.5625</v>
      </c>
      <c r="AS1530" s="186" t="s">
        <v>483</v>
      </c>
      <c r="AT1530" s="189" t="s">
        <v>225</v>
      </c>
      <c r="AU1530" s="191">
        <v>0.5625</v>
      </c>
      <c r="AV1530" s="189">
        <v>1</v>
      </c>
      <c r="AW1530" s="189" t="s">
        <v>66</v>
      </c>
      <c r="AX1530" s="205"/>
      <c r="AY1530" s="205"/>
      <c r="AZ1530" s="205"/>
      <c r="BA1530" s="205"/>
    </row>
    <row r="1531" spans="1:53" x14ac:dyDescent="0.25">
      <c r="A1531" s="203">
        <v>370</v>
      </c>
      <c r="B1531" s="202">
        <v>44915.475694444445</v>
      </c>
      <c r="C1531" s="196">
        <v>0.47916666666666669</v>
      </c>
      <c r="D1531" s="196">
        <v>0.48958333333333331</v>
      </c>
      <c r="E1531" s="196">
        <v>0.50694444444444442</v>
      </c>
      <c r="F1531" s="197" t="s">
        <v>170</v>
      </c>
      <c r="G1531" s="197" t="s">
        <v>435</v>
      </c>
      <c r="H1531" s="188" t="s">
        <v>301</v>
      </c>
      <c r="I1531" s="188" t="s">
        <v>395</v>
      </c>
      <c r="J1531" s="195" t="s">
        <v>37</v>
      </c>
      <c r="K1531" s="195" t="s">
        <v>63</v>
      </c>
      <c r="L1531" s="195" t="s">
        <v>206</v>
      </c>
      <c r="M1531" s="197" t="s">
        <v>3938</v>
      </c>
      <c r="N1531" s="197" t="s">
        <v>42</v>
      </c>
      <c r="O1531" s="197" t="s">
        <v>3939</v>
      </c>
      <c r="P1531" s="197">
        <v>28943</v>
      </c>
      <c r="Q1531" s="303">
        <f t="shared" si="136"/>
        <v>16</v>
      </c>
      <c r="R1531" s="303">
        <f t="shared" si="137"/>
        <v>121</v>
      </c>
      <c r="S1531" s="197">
        <v>16</v>
      </c>
      <c r="T1531" s="197">
        <v>121</v>
      </c>
      <c r="U1531" s="197">
        <v>0</v>
      </c>
      <c r="V1531" s="197">
        <v>0</v>
      </c>
      <c r="W1531" s="197">
        <v>118.65</v>
      </c>
      <c r="X1531" s="197">
        <v>58</v>
      </c>
      <c r="Y1531" s="197">
        <v>38</v>
      </c>
      <c r="Z1531" s="197">
        <v>25</v>
      </c>
      <c r="AA1531" s="197">
        <v>12</v>
      </c>
      <c r="AB1531" s="300">
        <f t="shared" si="138"/>
        <v>110.2</v>
      </c>
      <c r="AC1531" s="300">
        <f t="shared" si="139"/>
        <v>0.66385542168674705</v>
      </c>
      <c r="AD1531" s="197">
        <v>6262.8</v>
      </c>
      <c r="AE1531" s="197" t="s">
        <v>109</v>
      </c>
      <c r="AF1531" s="197" t="s">
        <v>317</v>
      </c>
      <c r="AG1531" s="197" t="s">
        <v>317</v>
      </c>
      <c r="AH1531" s="197" t="s">
        <v>3940</v>
      </c>
      <c r="AI1531" s="309"/>
      <c r="AJ1531" s="309"/>
      <c r="AK1531" s="197" t="s">
        <v>48</v>
      </c>
      <c r="AL1531" s="197" t="s">
        <v>56</v>
      </c>
      <c r="AM1531" s="299">
        <f t="shared" ca="1" si="135"/>
        <v>1.2673611111094942</v>
      </c>
      <c r="AN1531" s="204"/>
      <c r="AO1531" s="189" t="s">
        <v>247</v>
      </c>
      <c r="AP1531" s="91" t="s">
        <v>4072</v>
      </c>
      <c r="AQ1531" s="189" t="s">
        <v>4073</v>
      </c>
      <c r="AR1531" s="192">
        <v>44916.743055555555</v>
      </c>
      <c r="AS1531" s="189" t="s">
        <v>240</v>
      </c>
      <c r="AT1531" s="189" t="s">
        <v>65</v>
      </c>
      <c r="AU1531" s="191">
        <v>0.74305555555555547</v>
      </c>
      <c r="AV1531" s="189">
        <v>1</v>
      </c>
      <c r="AW1531" s="189" t="s">
        <v>66</v>
      </c>
      <c r="AX1531" s="205"/>
      <c r="AY1531" s="205"/>
      <c r="AZ1531" s="205"/>
      <c r="BA1531" s="205"/>
    </row>
    <row r="1532" spans="1:53" x14ac:dyDescent="0.25">
      <c r="A1532" s="203">
        <v>370</v>
      </c>
      <c r="B1532" s="202">
        <v>44915.475694444445</v>
      </c>
      <c r="C1532" s="196">
        <v>0.47916666666666669</v>
      </c>
      <c r="D1532" s="196">
        <v>0.48958333333333331</v>
      </c>
      <c r="E1532" s="196">
        <v>0.50694444444444442</v>
      </c>
      <c r="F1532" s="197" t="s">
        <v>170</v>
      </c>
      <c r="G1532" s="197" t="s">
        <v>435</v>
      </c>
      <c r="H1532" s="188" t="s">
        <v>301</v>
      </c>
      <c r="I1532" s="188" t="s">
        <v>395</v>
      </c>
      <c r="J1532" s="195" t="s">
        <v>37</v>
      </c>
      <c r="K1532" s="195" t="s">
        <v>63</v>
      </c>
      <c r="L1532" s="195" t="s">
        <v>206</v>
      </c>
      <c r="M1532" s="197" t="s">
        <v>3938</v>
      </c>
      <c r="N1532" s="197" t="s">
        <v>42</v>
      </c>
      <c r="O1532" s="197" t="s">
        <v>3939</v>
      </c>
      <c r="P1532" s="197">
        <v>28943</v>
      </c>
      <c r="Q1532" s="303">
        <f t="shared" si="136"/>
        <v>0</v>
      </c>
      <c r="R1532" s="303">
        <f t="shared" si="137"/>
        <v>0</v>
      </c>
      <c r="S1532" s="197">
        <v>0</v>
      </c>
      <c r="T1532" s="197">
        <v>0</v>
      </c>
      <c r="U1532" s="197">
        <v>0</v>
      </c>
      <c r="V1532" s="197">
        <v>0</v>
      </c>
      <c r="W1532" s="197">
        <v>0</v>
      </c>
      <c r="X1532" s="197">
        <v>58</v>
      </c>
      <c r="Y1532" s="197">
        <v>38</v>
      </c>
      <c r="Z1532" s="197">
        <v>17</v>
      </c>
      <c r="AA1532" s="197">
        <v>4</v>
      </c>
      <c r="AB1532" s="300">
        <f t="shared" si="138"/>
        <v>24.978666666666665</v>
      </c>
      <c r="AC1532" s="300">
        <f t="shared" si="139"/>
        <v>0.15047389558232932</v>
      </c>
      <c r="AD1532" s="197">
        <v>0</v>
      </c>
      <c r="AE1532" s="197">
        <v>0</v>
      </c>
      <c r="AF1532" s="197" t="s">
        <v>317</v>
      </c>
      <c r="AG1532" s="197" t="s">
        <v>317</v>
      </c>
      <c r="AH1532" s="197" t="s">
        <v>3940</v>
      </c>
      <c r="AI1532" s="309"/>
      <c r="AJ1532" s="309"/>
      <c r="AK1532" s="197" t="s">
        <v>48</v>
      </c>
      <c r="AL1532" s="197" t="s">
        <v>56</v>
      </c>
      <c r="AM1532" s="299">
        <f t="shared" ca="1" si="135"/>
        <v>1.2673611111094942</v>
      </c>
      <c r="AN1532" s="204"/>
      <c r="AO1532" s="189" t="s">
        <v>247</v>
      </c>
      <c r="AP1532" s="91" t="s">
        <v>4072</v>
      </c>
      <c r="AQ1532" s="189" t="s">
        <v>4073</v>
      </c>
      <c r="AR1532" s="192">
        <v>44916.743055555555</v>
      </c>
      <c r="AS1532" s="189" t="s">
        <v>240</v>
      </c>
      <c r="AT1532" s="189" t="s">
        <v>65</v>
      </c>
      <c r="AU1532" s="191">
        <v>0.74305555555555547</v>
      </c>
      <c r="AV1532" s="189">
        <v>1</v>
      </c>
      <c r="AW1532" s="189" t="s">
        <v>66</v>
      </c>
      <c r="AX1532" s="205"/>
      <c r="AY1532" s="205"/>
      <c r="AZ1532" s="205"/>
      <c r="BA1532" s="205"/>
    </row>
    <row r="1533" spans="1:53" x14ac:dyDescent="0.25">
      <c r="A1533" s="203">
        <v>371</v>
      </c>
      <c r="B1533" s="202">
        <v>44915.475694444445</v>
      </c>
      <c r="C1533" s="196">
        <v>0.47916666666666669</v>
      </c>
      <c r="D1533" s="196">
        <v>0.48958333333333331</v>
      </c>
      <c r="E1533" s="196">
        <v>0.50694444444444442</v>
      </c>
      <c r="F1533" s="197" t="s">
        <v>170</v>
      </c>
      <c r="G1533" s="197" t="s">
        <v>435</v>
      </c>
      <c r="H1533" s="188" t="s">
        <v>45</v>
      </c>
      <c r="I1533" s="188" t="s">
        <v>110</v>
      </c>
      <c r="J1533" s="195" t="s">
        <v>37</v>
      </c>
      <c r="K1533" s="195" t="s">
        <v>63</v>
      </c>
      <c r="L1533" s="195" t="s">
        <v>215</v>
      </c>
      <c r="M1533" s="197" t="s">
        <v>3941</v>
      </c>
      <c r="N1533" s="197" t="s">
        <v>186</v>
      </c>
      <c r="O1533" s="197">
        <v>3500787</v>
      </c>
      <c r="P1533" s="197">
        <v>5051952858</v>
      </c>
      <c r="Q1533" s="303">
        <f t="shared" si="136"/>
        <v>1</v>
      </c>
      <c r="R1533" s="303">
        <f t="shared" si="137"/>
        <v>117</v>
      </c>
      <c r="S1533" s="197">
        <v>0</v>
      </c>
      <c r="T1533" s="197">
        <v>0</v>
      </c>
      <c r="U1533" s="197">
        <v>1</v>
      </c>
      <c r="V1533" s="197">
        <v>117</v>
      </c>
      <c r="W1533" s="197">
        <v>118.1</v>
      </c>
      <c r="X1533" s="197">
        <v>87</v>
      </c>
      <c r="Y1533" s="197">
        <v>42</v>
      </c>
      <c r="Z1533" s="197">
        <v>49</v>
      </c>
      <c r="AA1533" s="197">
        <v>1</v>
      </c>
      <c r="AB1533" s="300">
        <f t="shared" si="138"/>
        <v>29.841000000000001</v>
      </c>
      <c r="AC1533" s="300">
        <f t="shared" si="139"/>
        <v>0.17976506024096386</v>
      </c>
      <c r="AD1533" s="197">
        <v>19446.900000000001</v>
      </c>
      <c r="AE1533" s="197" t="s">
        <v>109</v>
      </c>
      <c r="AF1533" s="197" t="s">
        <v>317</v>
      </c>
      <c r="AG1533" s="197" t="s">
        <v>317</v>
      </c>
      <c r="AH1533" s="197" t="s">
        <v>3942</v>
      </c>
      <c r="AI1533" s="309"/>
      <c r="AJ1533" s="309"/>
      <c r="AK1533" s="197" t="s">
        <v>37</v>
      </c>
      <c r="AL1533" s="197" t="s">
        <v>39</v>
      </c>
      <c r="AM1533" s="299">
        <f t="shared" ca="1" si="135"/>
        <v>1.0868055555547471</v>
      </c>
      <c r="AN1533" s="204"/>
      <c r="AO1533" s="189" t="s">
        <v>131</v>
      </c>
      <c r="AP1533" s="91" t="s">
        <v>3941</v>
      </c>
      <c r="AQ1533" s="189" t="s">
        <v>4068</v>
      </c>
      <c r="AR1533" s="192">
        <v>44916.5625</v>
      </c>
      <c r="AS1533" s="186" t="s">
        <v>483</v>
      </c>
      <c r="AT1533" s="189" t="s">
        <v>225</v>
      </c>
      <c r="AU1533" s="191">
        <v>0.5625</v>
      </c>
      <c r="AV1533" s="189">
        <v>1</v>
      </c>
      <c r="AW1533" s="189" t="s">
        <v>66</v>
      </c>
      <c r="AX1533" s="205"/>
      <c r="AY1533" s="205"/>
      <c r="AZ1533" s="205"/>
      <c r="BA1533" s="205"/>
    </row>
    <row r="1534" spans="1:53" x14ac:dyDescent="0.25">
      <c r="A1534" s="203">
        <v>372</v>
      </c>
      <c r="B1534" s="202">
        <v>44915.475694444445</v>
      </c>
      <c r="C1534" s="196">
        <v>0.47916666666666669</v>
      </c>
      <c r="D1534" s="196">
        <v>0.48958333333333331</v>
      </c>
      <c r="E1534" s="196">
        <v>0.50694444444444442</v>
      </c>
      <c r="F1534" s="197" t="s">
        <v>170</v>
      </c>
      <c r="G1534" s="197" t="s">
        <v>435</v>
      </c>
      <c r="H1534" s="188" t="s">
        <v>57</v>
      </c>
      <c r="I1534" s="188" t="s">
        <v>3943</v>
      </c>
      <c r="J1534" s="195" t="s">
        <v>37</v>
      </c>
      <c r="K1534" s="195" t="s">
        <v>63</v>
      </c>
      <c r="L1534" s="195" t="s">
        <v>209</v>
      </c>
      <c r="M1534" s="197" t="s">
        <v>3944</v>
      </c>
      <c r="N1534" s="197" t="s">
        <v>42</v>
      </c>
      <c r="O1534" s="197" t="s">
        <v>3945</v>
      </c>
      <c r="P1534" s="197">
        <v>81983662</v>
      </c>
      <c r="Q1534" s="303">
        <f t="shared" si="136"/>
        <v>2</v>
      </c>
      <c r="R1534" s="303">
        <f t="shared" si="137"/>
        <v>327</v>
      </c>
      <c r="S1534" s="197">
        <v>0</v>
      </c>
      <c r="T1534" s="197">
        <v>0</v>
      </c>
      <c r="U1534" s="197">
        <v>2</v>
      </c>
      <c r="V1534" s="197">
        <v>327</v>
      </c>
      <c r="W1534" s="197">
        <v>328</v>
      </c>
      <c r="X1534" s="197">
        <v>123</v>
      </c>
      <c r="Y1534" s="197">
        <v>83</v>
      </c>
      <c r="Z1534" s="197">
        <v>74</v>
      </c>
      <c r="AA1534" s="197">
        <v>1</v>
      </c>
      <c r="AB1534" s="300">
        <f t="shared" si="138"/>
        <v>125.911</v>
      </c>
      <c r="AC1534" s="300">
        <f t="shared" si="139"/>
        <v>0.75850000000000006</v>
      </c>
      <c r="AD1534" s="197">
        <v>8432.6</v>
      </c>
      <c r="AE1534" s="197" t="s">
        <v>109</v>
      </c>
      <c r="AF1534" s="197" t="s">
        <v>317</v>
      </c>
      <c r="AG1534" s="197" t="s">
        <v>317</v>
      </c>
      <c r="AH1534" s="197" t="s">
        <v>3946</v>
      </c>
      <c r="AI1534" s="309"/>
      <c r="AJ1534" s="309"/>
      <c r="AK1534" s="197" t="s">
        <v>37</v>
      </c>
      <c r="AL1534" s="197" t="s">
        <v>39</v>
      </c>
      <c r="AM1534" s="299">
        <f t="shared" ca="1" si="135"/>
        <v>3.2395833333357587</v>
      </c>
      <c r="AN1534" s="204"/>
      <c r="AO1534" s="189" t="s">
        <v>120</v>
      </c>
      <c r="AP1534" s="190" t="s">
        <v>4241</v>
      </c>
      <c r="AQ1534" s="189" t="s">
        <v>4242</v>
      </c>
      <c r="AR1534" s="192">
        <v>44918.715277777781</v>
      </c>
      <c r="AS1534" s="186" t="s">
        <v>483</v>
      </c>
      <c r="AT1534" s="189" t="s">
        <v>225</v>
      </c>
      <c r="AU1534" s="191">
        <v>0.71527777777777779</v>
      </c>
      <c r="AV1534" s="189">
        <v>2</v>
      </c>
      <c r="AW1534" s="189" t="s">
        <v>66</v>
      </c>
      <c r="AX1534" s="205"/>
      <c r="AY1534" s="205"/>
      <c r="AZ1534" s="205"/>
      <c r="BA1534" s="205"/>
    </row>
    <row r="1535" spans="1:53" x14ac:dyDescent="0.25">
      <c r="A1535" s="203">
        <v>372</v>
      </c>
      <c r="B1535" s="202">
        <v>44915.475694444445</v>
      </c>
      <c r="C1535" s="196">
        <v>0.47916666666666669</v>
      </c>
      <c r="D1535" s="196">
        <v>0.48958333333333331</v>
      </c>
      <c r="E1535" s="196">
        <v>0.50694444444444442</v>
      </c>
      <c r="F1535" s="197" t="s">
        <v>170</v>
      </c>
      <c r="G1535" s="197" t="s">
        <v>435</v>
      </c>
      <c r="H1535" s="188" t="s">
        <v>57</v>
      </c>
      <c r="I1535" s="188" t="s">
        <v>3943</v>
      </c>
      <c r="J1535" s="195" t="s">
        <v>37</v>
      </c>
      <c r="K1535" s="195" t="s">
        <v>63</v>
      </c>
      <c r="L1535" s="195" t="s">
        <v>209</v>
      </c>
      <c r="M1535" s="197" t="s">
        <v>3944</v>
      </c>
      <c r="N1535" s="197" t="s">
        <v>42</v>
      </c>
      <c r="O1535" s="197" t="s">
        <v>3945</v>
      </c>
      <c r="P1535" s="197">
        <v>81983662</v>
      </c>
      <c r="Q1535" s="303">
        <f t="shared" si="136"/>
        <v>0</v>
      </c>
      <c r="R1535" s="303">
        <f t="shared" si="137"/>
        <v>0</v>
      </c>
      <c r="S1535" s="197">
        <v>0</v>
      </c>
      <c r="T1535" s="197">
        <v>0</v>
      </c>
      <c r="U1535" s="197">
        <v>0</v>
      </c>
      <c r="V1535" s="197">
        <v>0</v>
      </c>
      <c r="W1535" s="197">
        <v>0</v>
      </c>
      <c r="X1535" s="197">
        <v>109</v>
      </c>
      <c r="Y1535" s="197">
        <v>83</v>
      </c>
      <c r="Z1535" s="197">
        <v>77</v>
      </c>
      <c r="AA1535" s="197">
        <v>1</v>
      </c>
      <c r="AB1535" s="300">
        <f t="shared" si="138"/>
        <v>116.10316666666667</v>
      </c>
      <c r="AC1535" s="300">
        <f t="shared" si="139"/>
        <v>0.69941666666666669</v>
      </c>
      <c r="AD1535" s="197">
        <v>0</v>
      </c>
      <c r="AE1535" s="197">
        <v>0</v>
      </c>
      <c r="AF1535" s="197" t="s">
        <v>317</v>
      </c>
      <c r="AG1535" s="197" t="s">
        <v>317</v>
      </c>
      <c r="AH1535" s="197" t="s">
        <v>3946</v>
      </c>
      <c r="AI1535" s="309"/>
      <c r="AJ1535" s="309"/>
      <c r="AK1535" s="197" t="s">
        <v>37</v>
      </c>
      <c r="AL1535" s="197" t="s">
        <v>39</v>
      </c>
      <c r="AM1535" s="299">
        <f t="shared" ca="1" si="135"/>
        <v>3.2395833333357587</v>
      </c>
      <c r="AN1535" s="204"/>
      <c r="AO1535" s="189" t="s">
        <v>120</v>
      </c>
      <c r="AP1535" s="190" t="s">
        <v>4241</v>
      </c>
      <c r="AQ1535" s="189" t="s">
        <v>4242</v>
      </c>
      <c r="AR1535" s="192">
        <v>44918.715277777781</v>
      </c>
      <c r="AS1535" s="186" t="s">
        <v>483</v>
      </c>
      <c r="AT1535" s="189" t="s">
        <v>225</v>
      </c>
      <c r="AU1535" s="191">
        <v>0.71527777777777779</v>
      </c>
      <c r="AV1535" s="189">
        <v>2</v>
      </c>
      <c r="AW1535" s="189" t="s">
        <v>66</v>
      </c>
      <c r="AX1535" s="205"/>
      <c r="AY1535" s="205"/>
      <c r="AZ1535" s="205"/>
      <c r="BA1535" s="205"/>
    </row>
    <row r="1536" spans="1:53" x14ac:dyDescent="0.25">
      <c r="A1536" s="203">
        <v>373</v>
      </c>
      <c r="B1536" s="202">
        <v>44915.489583333336</v>
      </c>
      <c r="C1536" s="196">
        <v>0.49305555555555558</v>
      </c>
      <c r="D1536" s="196">
        <v>0.49652777777777773</v>
      </c>
      <c r="E1536" s="196">
        <v>0.51041666666666663</v>
      </c>
      <c r="F1536" s="197" t="s">
        <v>171</v>
      </c>
      <c r="G1536" s="197" t="s">
        <v>3947</v>
      </c>
      <c r="H1536" s="188" t="s">
        <v>236</v>
      </c>
      <c r="I1536" s="188" t="s">
        <v>237</v>
      </c>
      <c r="J1536" s="197" t="s">
        <v>37</v>
      </c>
      <c r="K1536" s="197" t="s">
        <v>180</v>
      </c>
      <c r="L1536" s="197" t="s">
        <v>206</v>
      </c>
      <c r="M1536" s="197" t="s">
        <v>3948</v>
      </c>
      <c r="N1536" s="197" t="s">
        <v>42</v>
      </c>
      <c r="O1536" s="197">
        <v>2221004790</v>
      </c>
      <c r="P1536" s="197">
        <v>4200834960</v>
      </c>
      <c r="Q1536" s="303">
        <f t="shared" si="136"/>
        <v>1</v>
      </c>
      <c r="R1536" s="303">
        <f t="shared" si="137"/>
        <v>189</v>
      </c>
      <c r="S1536" s="197">
        <v>0</v>
      </c>
      <c r="T1536" s="197">
        <v>0</v>
      </c>
      <c r="U1536" s="197">
        <v>1</v>
      </c>
      <c r="V1536" s="197">
        <v>189</v>
      </c>
      <c r="W1536" s="197">
        <v>186</v>
      </c>
      <c r="X1536" s="197">
        <v>95</v>
      </c>
      <c r="Y1536" s="197">
        <v>92</v>
      </c>
      <c r="Z1536" s="197">
        <v>75</v>
      </c>
      <c r="AA1536" s="197">
        <v>1</v>
      </c>
      <c r="AB1536" s="300">
        <f t="shared" si="138"/>
        <v>109.25</v>
      </c>
      <c r="AC1536" s="300">
        <f t="shared" si="139"/>
        <v>0.6581325301204819</v>
      </c>
      <c r="AD1536" s="197">
        <v>6415</v>
      </c>
      <c r="AE1536" s="197" t="s">
        <v>109</v>
      </c>
      <c r="AF1536" s="197" t="s">
        <v>317</v>
      </c>
      <c r="AG1536" s="197" t="s">
        <v>317</v>
      </c>
      <c r="AH1536" s="197" t="s">
        <v>3949</v>
      </c>
      <c r="AI1536" s="309"/>
      <c r="AJ1536" s="309"/>
      <c r="AK1536" s="197" t="s">
        <v>41</v>
      </c>
      <c r="AL1536" s="197" t="s">
        <v>39</v>
      </c>
      <c r="AM1536" s="299">
        <f t="shared" ca="1" si="135"/>
        <v>1.2534722222189885</v>
      </c>
      <c r="AN1536" s="204"/>
      <c r="AO1536" s="189" t="s">
        <v>239</v>
      </c>
      <c r="AP1536" s="91" t="s">
        <v>3948</v>
      </c>
      <c r="AQ1536" s="189" t="s">
        <v>4076</v>
      </c>
      <c r="AR1536" s="192">
        <v>44916.743055555555</v>
      </c>
      <c r="AS1536" s="189" t="s">
        <v>240</v>
      </c>
      <c r="AT1536" s="189" t="s">
        <v>65</v>
      </c>
      <c r="AU1536" s="191">
        <v>0.74305555555555547</v>
      </c>
      <c r="AV1536" s="189">
        <v>1</v>
      </c>
      <c r="AW1536" s="189" t="s">
        <v>66</v>
      </c>
      <c r="AX1536" s="205"/>
      <c r="AY1536" s="205"/>
      <c r="AZ1536" s="205"/>
      <c r="BA1536" s="205"/>
    </row>
    <row r="1537" spans="1:53" x14ac:dyDescent="0.25">
      <c r="A1537" s="203">
        <v>374</v>
      </c>
      <c r="B1537" s="202">
        <v>44915.541666666664</v>
      </c>
      <c r="C1537" s="196">
        <v>0.54166666666666663</v>
      </c>
      <c r="D1537" s="196">
        <v>0.54861111111111105</v>
      </c>
      <c r="E1537" s="196">
        <v>0.55208333333333337</v>
      </c>
      <c r="F1537" s="197" t="s">
        <v>169</v>
      </c>
      <c r="G1537" s="197" t="s">
        <v>3950</v>
      </c>
      <c r="H1537" s="188" t="s">
        <v>184</v>
      </c>
      <c r="I1537" s="188" t="s">
        <v>311</v>
      </c>
      <c r="J1537" s="188" t="s">
        <v>41</v>
      </c>
      <c r="K1537" s="195" t="s">
        <v>82</v>
      </c>
      <c r="L1537" s="195" t="s">
        <v>220</v>
      </c>
      <c r="M1537" s="197" t="s">
        <v>3951</v>
      </c>
      <c r="N1537" s="197" t="s">
        <v>453</v>
      </c>
      <c r="O1537" s="197" t="s">
        <v>3952</v>
      </c>
      <c r="P1537" s="197">
        <v>4505989955</v>
      </c>
      <c r="Q1537" s="303">
        <f t="shared" si="136"/>
        <v>36</v>
      </c>
      <c r="R1537" s="303">
        <f t="shared" si="137"/>
        <v>483</v>
      </c>
      <c r="S1537" s="197">
        <v>36</v>
      </c>
      <c r="T1537" s="197">
        <v>483</v>
      </c>
      <c r="U1537" s="197">
        <v>0</v>
      </c>
      <c r="V1537" s="197">
        <v>0</v>
      </c>
      <c r="W1537" s="197">
        <v>479.02</v>
      </c>
      <c r="X1537" s="197">
        <v>41</v>
      </c>
      <c r="Y1537" s="197">
        <v>41</v>
      </c>
      <c r="Z1537" s="197">
        <v>34</v>
      </c>
      <c r="AA1537" s="197">
        <v>36</v>
      </c>
      <c r="AB1537" s="300">
        <f t="shared" si="138"/>
        <v>342.92399999999998</v>
      </c>
      <c r="AC1537" s="300">
        <f t="shared" si="139"/>
        <v>2.0658072289156624</v>
      </c>
      <c r="AD1537" s="197">
        <v>25430</v>
      </c>
      <c r="AE1537" s="197" t="s">
        <v>109</v>
      </c>
      <c r="AF1537" s="197" t="s">
        <v>82</v>
      </c>
      <c r="AG1537" s="197" t="s">
        <v>82</v>
      </c>
      <c r="AH1537" s="197" t="s">
        <v>3953</v>
      </c>
      <c r="AI1537" s="309"/>
      <c r="AJ1537" s="309"/>
      <c r="AK1537" s="197" t="s">
        <v>48</v>
      </c>
      <c r="AL1537" s="197" t="s">
        <v>56</v>
      </c>
      <c r="AM1537" s="299">
        <f t="shared" ca="1" si="135"/>
        <v>1.0208333333357587</v>
      </c>
      <c r="AN1537" s="204"/>
      <c r="AO1537" s="189" t="s">
        <v>68</v>
      </c>
      <c r="AP1537" s="91" t="s">
        <v>3951</v>
      </c>
      <c r="AQ1537" s="189" t="s">
        <v>4071</v>
      </c>
      <c r="AR1537" s="192">
        <v>44916.5625</v>
      </c>
      <c r="AS1537" s="186" t="s">
        <v>483</v>
      </c>
      <c r="AT1537" s="189" t="s">
        <v>225</v>
      </c>
      <c r="AU1537" s="191">
        <v>0.5625</v>
      </c>
      <c r="AV1537" s="189">
        <v>1</v>
      </c>
      <c r="AW1537" s="189" t="s">
        <v>66</v>
      </c>
      <c r="AX1537" s="205"/>
      <c r="AY1537" s="205"/>
      <c r="AZ1537" s="205"/>
      <c r="BA1537" s="205"/>
    </row>
    <row r="1538" spans="1:53" x14ac:dyDescent="0.25">
      <c r="A1538" s="203">
        <v>375</v>
      </c>
      <c r="B1538" s="202">
        <v>44915.652777777781</v>
      </c>
      <c r="C1538" s="196">
        <v>0.65625</v>
      </c>
      <c r="D1538" s="196">
        <v>0.65972222222222221</v>
      </c>
      <c r="E1538" s="196">
        <v>0.65972222222222221</v>
      </c>
      <c r="F1538" s="197" t="s">
        <v>171</v>
      </c>
      <c r="G1538" s="197" t="s">
        <v>811</v>
      </c>
      <c r="H1538" s="188" t="s">
        <v>140</v>
      </c>
      <c r="I1538" s="188" t="s">
        <v>3954</v>
      </c>
      <c r="J1538" s="188" t="s">
        <v>37</v>
      </c>
      <c r="K1538" s="195" t="s">
        <v>180</v>
      </c>
      <c r="L1538" s="200" t="s">
        <v>206</v>
      </c>
      <c r="M1538" s="197" t="s">
        <v>3955</v>
      </c>
      <c r="N1538" s="197" t="s">
        <v>44</v>
      </c>
      <c r="O1538" s="197">
        <v>1008100822</v>
      </c>
      <c r="P1538" s="197">
        <v>3126537</v>
      </c>
      <c r="Q1538" s="303">
        <f t="shared" si="136"/>
        <v>1</v>
      </c>
      <c r="R1538" s="303">
        <f t="shared" si="137"/>
        <v>66</v>
      </c>
      <c r="S1538" s="197">
        <v>0</v>
      </c>
      <c r="T1538" s="197">
        <v>0</v>
      </c>
      <c r="U1538" s="197">
        <v>1</v>
      </c>
      <c r="V1538" s="197">
        <v>66</v>
      </c>
      <c r="W1538" s="197">
        <v>55</v>
      </c>
      <c r="X1538" s="197">
        <v>48</v>
      </c>
      <c r="Y1538" s="197">
        <v>48</v>
      </c>
      <c r="Z1538" s="197">
        <v>59</v>
      </c>
      <c r="AA1538" s="197">
        <v>1</v>
      </c>
      <c r="AB1538" s="300">
        <f t="shared" si="138"/>
        <v>22.655999999999999</v>
      </c>
      <c r="AC1538" s="300">
        <f t="shared" si="139"/>
        <v>0.13648192771084336</v>
      </c>
      <c r="AD1538" s="197">
        <v>558.5</v>
      </c>
      <c r="AE1538" s="197" t="s">
        <v>109</v>
      </c>
      <c r="AF1538" s="197" t="s">
        <v>3956</v>
      </c>
      <c r="AG1538" s="197" t="s">
        <v>3957</v>
      </c>
      <c r="AH1538" s="197" t="s">
        <v>3958</v>
      </c>
      <c r="AI1538" s="309"/>
      <c r="AJ1538" s="309"/>
      <c r="AK1538" s="197" t="s">
        <v>37</v>
      </c>
      <c r="AL1538" s="197" t="s">
        <v>39</v>
      </c>
      <c r="AM1538" s="299">
        <f t="shared" ca="1" si="135"/>
        <v>0.76388888888322981</v>
      </c>
      <c r="AN1538" s="204"/>
      <c r="AO1538" s="189" t="s">
        <v>53</v>
      </c>
      <c r="AP1538" s="190" t="s">
        <v>3955</v>
      </c>
      <c r="AQ1538" s="191" t="s">
        <v>3993</v>
      </c>
      <c r="AR1538" s="192">
        <v>44916.416666666664</v>
      </c>
      <c r="AS1538" s="186" t="s">
        <v>173</v>
      </c>
      <c r="AT1538" s="189" t="s">
        <v>225</v>
      </c>
      <c r="AU1538" s="191">
        <v>0.41666666666666669</v>
      </c>
      <c r="AV1538" s="189">
        <v>1</v>
      </c>
      <c r="AW1538" s="189" t="s">
        <v>66</v>
      </c>
      <c r="AX1538" s="205"/>
      <c r="AY1538" s="205"/>
      <c r="AZ1538" s="205"/>
      <c r="BA1538" s="205"/>
    </row>
    <row r="1539" spans="1:53" x14ac:dyDescent="0.25">
      <c r="A1539" s="203">
        <v>376</v>
      </c>
      <c r="B1539" s="202">
        <v>44915.659722222219</v>
      </c>
      <c r="C1539" s="196">
        <v>0.66319444444444442</v>
      </c>
      <c r="D1539" s="196">
        <v>0.67013888888888884</v>
      </c>
      <c r="E1539" s="196">
        <v>0.69097222222222221</v>
      </c>
      <c r="F1539" s="197" t="s">
        <v>169</v>
      </c>
      <c r="G1539" s="197" t="s">
        <v>3959</v>
      </c>
      <c r="H1539" s="188" t="s">
        <v>2804</v>
      </c>
      <c r="I1539" s="188" t="s">
        <v>3960</v>
      </c>
      <c r="J1539" s="188" t="s">
        <v>37</v>
      </c>
      <c r="K1539" s="188" t="s">
        <v>241</v>
      </c>
      <c r="L1539" s="188">
        <v>0</v>
      </c>
      <c r="M1539" s="197" t="s">
        <v>3961</v>
      </c>
      <c r="N1539" s="197" t="s">
        <v>59</v>
      </c>
      <c r="O1539" s="197" t="s">
        <v>3962</v>
      </c>
      <c r="P1539" s="197">
        <v>1005601</v>
      </c>
      <c r="Q1539" s="303">
        <f t="shared" si="136"/>
        <v>43</v>
      </c>
      <c r="R1539" s="303">
        <f t="shared" si="137"/>
        <v>572</v>
      </c>
      <c r="S1539" s="197">
        <v>43</v>
      </c>
      <c r="T1539" s="197">
        <v>572</v>
      </c>
      <c r="U1539" s="197">
        <v>0</v>
      </c>
      <c r="V1539" s="197">
        <v>0</v>
      </c>
      <c r="W1539" s="197" t="s">
        <v>48</v>
      </c>
      <c r="X1539" s="197">
        <v>61</v>
      </c>
      <c r="Y1539" s="197">
        <v>41</v>
      </c>
      <c r="Z1539" s="197">
        <v>30</v>
      </c>
      <c r="AA1539" s="197">
        <v>36</v>
      </c>
      <c r="AB1539" s="300">
        <f t="shared" si="138"/>
        <v>450.18</v>
      </c>
      <c r="AC1539" s="300">
        <f t="shared" si="139"/>
        <v>2.7119277108433737</v>
      </c>
      <c r="AD1539" s="197">
        <v>14409.03</v>
      </c>
      <c r="AE1539" s="197" t="s">
        <v>111</v>
      </c>
      <c r="AF1539" s="197" t="s">
        <v>3963</v>
      </c>
      <c r="AG1539" s="197" t="s">
        <v>3957</v>
      </c>
      <c r="AH1539" s="197" t="s">
        <v>3964</v>
      </c>
      <c r="AI1539" s="309"/>
      <c r="AJ1539" s="309"/>
      <c r="AK1539" s="197" t="s">
        <v>48</v>
      </c>
      <c r="AL1539" s="197" t="s">
        <v>56</v>
      </c>
      <c r="AM1539" s="299">
        <f t="shared" ca="1" si="135"/>
        <v>6.0520833333357587</v>
      </c>
      <c r="AN1539" s="204"/>
      <c r="AO1539" s="210" t="s">
        <v>90</v>
      </c>
      <c r="AP1539" s="211" t="s">
        <v>3961</v>
      </c>
      <c r="AQ1539" s="210" t="s">
        <v>4369</v>
      </c>
      <c r="AR1539" s="213">
        <v>44921.711805555555</v>
      </c>
      <c r="AS1539" s="210" t="s">
        <v>1203</v>
      </c>
      <c r="AT1539" s="210" t="s">
        <v>225</v>
      </c>
      <c r="AU1539" s="59">
        <v>0.71180555555555547</v>
      </c>
      <c r="AV1539" s="210">
        <v>1</v>
      </c>
      <c r="AW1539" s="210" t="s">
        <v>66</v>
      </c>
      <c r="AX1539" s="205"/>
      <c r="AY1539" s="205"/>
      <c r="AZ1539" s="205"/>
      <c r="BA1539" s="205"/>
    </row>
    <row r="1540" spans="1:53" x14ac:dyDescent="0.25">
      <c r="A1540" s="203">
        <v>376</v>
      </c>
      <c r="B1540" s="202">
        <v>44915.659722222219</v>
      </c>
      <c r="C1540" s="196">
        <v>0.66319444444444442</v>
      </c>
      <c r="D1540" s="196">
        <v>0.67013888888888884</v>
      </c>
      <c r="E1540" s="196">
        <v>0.69097222222222221</v>
      </c>
      <c r="F1540" s="197" t="s">
        <v>169</v>
      </c>
      <c r="G1540" s="197" t="s">
        <v>3959</v>
      </c>
      <c r="H1540" s="188" t="s">
        <v>2804</v>
      </c>
      <c r="I1540" s="188" t="s">
        <v>3960</v>
      </c>
      <c r="J1540" s="188" t="s">
        <v>37</v>
      </c>
      <c r="K1540" s="188" t="s">
        <v>241</v>
      </c>
      <c r="L1540" s="188">
        <v>0</v>
      </c>
      <c r="M1540" s="197" t="s">
        <v>3961</v>
      </c>
      <c r="N1540" s="197" t="s">
        <v>59</v>
      </c>
      <c r="O1540" s="197" t="s">
        <v>3962</v>
      </c>
      <c r="P1540" s="197">
        <v>1005601</v>
      </c>
      <c r="Q1540" s="303">
        <f t="shared" si="136"/>
        <v>0</v>
      </c>
      <c r="R1540" s="303">
        <f t="shared" si="137"/>
        <v>0</v>
      </c>
      <c r="S1540" s="197">
        <v>0</v>
      </c>
      <c r="T1540" s="197">
        <v>0</v>
      </c>
      <c r="U1540" s="197">
        <v>0</v>
      </c>
      <c r="V1540" s="197">
        <v>0</v>
      </c>
      <c r="W1540" s="197">
        <v>0</v>
      </c>
      <c r="X1540" s="197">
        <v>60</v>
      </c>
      <c r="Y1540" s="197">
        <v>41</v>
      </c>
      <c r="Z1540" s="197">
        <v>20</v>
      </c>
      <c r="AA1540" s="197">
        <v>7</v>
      </c>
      <c r="AB1540" s="300">
        <f t="shared" si="138"/>
        <v>57.4</v>
      </c>
      <c r="AC1540" s="300">
        <f t="shared" si="139"/>
        <v>0.3457831325301205</v>
      </c>
      <c r="AD1540" s="197">
        <v>0</v>
      </c>
      <c r="AE1540" s="197">
        <v>0</v>
      </c>
      <c r="AF1540" s="197" t="s">
        <v>3963</v>
      </c>
      <c r="AG1540" s="197" t="s">
        <v>3957</v>
      </c>
      <c r="AH1540" s="197" t="s">
        <v>3964</v>
      </c>
      <c r="AI1540" s="309"/>
      <c r="AJ1540" s="309"/>
      <c r="AK1540" s="197" t="s">
        <v>48</v>
      </c>
      <c r="AL1540" s="197" t="s">
        <v>56</v>
      </c>
      <c r="AM1540" s="299">
        <f t="shared" ca="1" si="135"/>
        <v>6.0520833333357587</v>
      </c>
      <c r="AN1540" s="204"/>
      <c r="AO1540" s="210" t="s">
        <v>90</v>
      </c>
      <c r="AP1540" s="211" t="s">
        <v>3961</v>
      </c>
      <c r="AQ1540" s="210" t="s">
        <v>4369</v>
      </c>
      <c r="AR1540" s="213">
        <v>44921.711805555555</v>
      </c>
      <c r="AS1540" s="210" t="s">
        <v>1203</v>
      </c>
      <c r="AT1540" s="210" t="s">
        <v>225</v>
      </c>
      <c r="AU1540" s="59">
        <v>0.71180555555555547</v>
      </c>
      <c r="AV1540" s="210">
        <v>1</v>
      </c>
      <c r="AW1540" s="210" t="s">
        <v>66</v>
      </c>
      <c r="AX1540" s="205"/>
      <c r="AY1540" s="205"/>
      <c r="AZ1540" s="205"/>
      <c r="BA1540" s="205"/>
    </row>
    <row r="1541" spans="1:53" x14ac:dyDescent="0.25">
      <c r="A1541" s="203">
        <v>377</v>
      </c>
      <c r="B1541" s="202">
        <v>44915.701388888891</v>
      </c>
      <c r="C1541" s="196">
        <v>0.70486111111111116</v>
      </c>
      <c r="D1541" s="196">
        <v>0.70833333333333337</v>
      </c>
      <c r="E1541" s="196">
        <v>0.71527777777777779</v>
      </c>
      <c r="F1541" s="197" t="s">
        <v>171</v>
      </c>
      <c r="G1541" s="197" t="s">
        <v>200</v>
      </c>
      <c r="H1541" s="188" t="s">
        <v>178</v>
      </c>
      <c r="I1541" s="188" t="s">
        <v>188</v>
      </c>
      <c r="J1541" s="188" t="s">
        <v>37</v>
      </c>
      <c r="K1541" s="188" t="s">
        <v>180</v>
      </c>
      <c r="L1541" s="193" t="s">
        <v>206</v>
      </c>
      <c r="M1541" s="197" t="s">
        <v>3965</v>
      </c>
      <c r="N1541" s="197" t="s">
        <v>42</v>
      </c>
      <c r="O1541" s="197" t="s">
        <v>3966</v>
      </c>
      <c r="P1541" s="197">
        <v>28588297</v>
      </c>
      <c r="Q1541" s="303">
        <f t="shared" si="136"/>
        <v>1</v>
      </c>
      <c r="R1541" s="303">
        <f t="shared" si="137"/>
        <v>87</v>
      </c>
      <c r="S1541" s="197">
        <v>0</v>
      </c>
      <c r="T1541" s="197">
        <v>0</v>
      </c>
      <c r="U1541" s="197">
        <v>1</v>
      </c>
      <c r="V1541" s="197">
        <v>87</v>
      </c>
      <c r="W1541" s="197">
        <v>95</v>
      </c>
      <c r="X1541" s="197">
        <v>110</v>
      </c>
      <c r="Y1541" s="197">
        <v>110</v>
      </c>
      <c r="Z1541" s="197">
        <v>103</v>
      </c>
      <c r="AA1541" s="197">
        <v>1</v>
      </c>
      <c r="AB1541" s="300">
        <f t="shared" si="138"/>
        <v>207.71666666666667</v>
      </c>
      <c r="AC1541" s="300">
        <f t="shared" si="139"/>
        <v>1.2513052208835342</v>
      </c>
      <c r="AD1541" s="197">
        <v>2217.6</v>
      </c>
      <c r="AE1541" s="197" t="s">
        <v>109</v>
      </c>
      <c r="AF1541" s="197" t="s">
        <v>3432</v>
      </c>
      <c r="AG1541" s="197" t="s">
        <v>3432</v>
      </c>
      <c r="AH1541" s="197" t="s">
        <v>3967</v>
      </c>
      <c r="AI1541" s="309"/>
      <c r="AJ1541" s="309"/>
      <c r="AK1541" s="197" t="s">
        <v>41</v>
      </c>
      <c r="AL1541" s="197" t="s">
        <v>47</v>
      </c>
      <c r="AM1541" s="299">
        <f t="shared" ca="1" si="135"/>
        <v>3.7951388888905058</v>
      </c>
      <c r="AN1541" s="204"/>
      <c r="AO1541" s="210" t="s">
        <v>177</v>
      </c>
      <c r="AP1541" s="211" t="s">
        <v>3965</v>
      </c>
      <c r="AQ1541" s="210" t="s">
        <v>4298</v>
      </c>
      <c r="AR1541" s="213">
        <v>44919.496527777781</v>
      </c>
      <c r="AS1541" s="210" t="s">
        <v>136</v>
      </c>
      <c r="AT1541" s="210" t="s">
        <v>225</v>
      </c>
      <c r="AU1541" s="212">
        <v>0.49652777777777773</v>
      </c>
      <c r="AV1541" s="210">
        <v>1</v>
      </c>
      <c r="AW1541" s="210" t="s">
        <v>66</v>
      </c>
      <c r="AX1541" s="205"/>
      <c r="AY1541" s="205"/>
      <c r="AZ1541" s="205"/>
      <c r="BA1541" s="205"/>
    </row>
    <row r="1542" spans="1:53" x14ac:dyDescent="0.25">
      <c r="A1542" s="203">
        <v>378</v>
      </c>
      <c r="B1542" s="202">
        <v>44915.729166666664</v>
      </c>
      <c r="C1542" s="196">
        <v>0.73263888888888884</v>
      </c>
      <c r="D1542" s="196">
        <v>0.74305555555555547</v>
      </c>
      <c r="E1542" s="196">
        <v>0.75347222222222221</v>
      </c>
      <c r="F1542" s="197" t="s">
        <v>171</v>
      </c>
      <c r="G1542" s="197" t="s">
        <v>3968</v>
      </c>
      <c r="H1542" s="188" t="s">
        <v>254</v>
      </c>
      <c r="I1542" s="188" t="s">
        <v>141</v>
      </c>
      <c r="J1542" s="188" t="s">
        <v>37</v>
      </c>
      <c r="K1542" s="188" t="s">
        <v>180</v>
      </c>
      <c r="L1542" s="188" t="s">
        <v>268</v>
      </c>
      <c r="M1542" s="197" t="s">
        <v>3973</v>
      </c>
      <c r="N1542" s="197" t="s">
        <v>340</v>
      </c>
      <c r="O1542" s="197" t="s">
        <v>3970</v>
      </c>
      <c r="P1542" s="197" t="s">
        <v>3971</v>
      </c>
      <c r="Q1542" s="303">
        <f t="shared" si="136"/>
        <v>4</v>
      </c>
      <c r="R1542" s="303">
        <f t="shared" si="137"/>
        <v>756</v>
      </c>
      <c r="S1542" s="197">
        <v>0</v>
      </c>
      <c r="T1542" s="197">
        <v>0</v>
      </c>
      <c r="U1542" s="197">
        <v>4</v>
      </c>
      <c r="V1542" s="197">
        <v>756</v>
      </c>
      <c r="W1542" s="197">
        <v>761</v>
      </c>
      <c r="X1542" s="197">
        <v>125</v>
      </c>
      <c r="Y1542" s="197">
        <v>120</v>
      </c>
      <c r="Z1542" s="197">
        <v>77</v>
      </c>
      <c r="AA1542" s="197">
        <v>3</v>
      </c>
      <c r="AB1542" s="300">
        <f t="shared" si="138"/>
        <v>577.5</v>
      </c>
      <c r="AC1542" s="300">
        <f t="shared" si="139"/>
        <v>3.4789156626506026</v>
      </c>
      <c r="AD1542" s="197">
        <v>146546.72</v>
      </c>
      <c r="AE1542" s="197" t="s">
        <v>111</v>
      </c>
      <c r="AF1542" s="197" t="s">
        <v>3432</v>
      </c>
      <c r="AG1542" s="197" t="s">
        <v>3432</v>
      </c>
      <c r="AH1542" s="197" t="s">
        <v>3972</v>
      </c>
      <c r="AI1542" s="309"/>
      <c r="AJ1542" s="309"/>
      <c r="AK1542" s="197" t="s">
        <v>37</v>
      </c>
      <c r="AL1542" s="197" t="s">
        <v>54</v>
      </c>
      <c r="AM1542" s="299">
        <f t="shared" ca="1" si="135"/>
        <v>2.9583333333357587</v>
      </c>
      <c r="AN1542" s="204"/>
      <c r="AO1542" s="189" t="s">
        <v>81</v>
      </c>
      <c r="AP1542" s="190" t="s">
        <v>3973</v>
      </c>
      <c r="AQ1542" s="189" t="s">
        <v>4238</v>
      </c>
      <c r="AR1542" s="192">
        <v>44918.6875</v>
      </c>
      <c r="AS1542" s="186" t="s">
        <v>173</v>
      </c>
      <c r="AT1542" s="189" t="s">
        <v>225</v>
      </c>
      <c r="AU1542" s="191">
        <v>0.6875</v>
      </c>
      <c r="AV1542" s="189">
        <v>4</v>
      </c>
      <c r="AW1542" s="189" t="s">
        <v>66</v>
      </c>
      <c r="AX1542" s="205"/>
      <c r="AY1542" s="205"/>
      <c r="AZ1542" s="205"/>
      <c r="BA1542" s="205"/>
    </row>
    <row r="1543" spans="1:53" x14ac:dyDescent="0.25">
      <c r="A1543" s="203">
        <v>378</v>
      </c>
      <c r="B1543" s="202">
        <v>44915.729166666664</v>
      </c>
      <c r="C1543" s="196">
        <v>0.73263888888888884</v>
      </c>
      <c r="D1543" s="196">
        <v>0.74305555555555547</v>
      </c>
      <c r="E1543" s="196">
        <v>0.75347222222222221</v>
      </c>
      <c r="F1543" s="197" t="s">
        <v>171</v>
      </c>
      <c r="G1543" s="197" t="s">
        <v>3968</v>
      </c>
      <c r="H1543" s="188" t="s">
        <v>254</v>
      </c>
      <c r="I1543" s="188" t="s">
        <v>141</v>
      </c>
      <c r="J1543" s="188" t="s">
        <v>37</v>
      </c>
      <c r="K1543" s="188" t="s">
        <v>180</v>
      </c>
      <c r="L1543" s="188" t="s">
        <v>268</v>
      </c>
      <c r="M1543" s="197" t="s">
        <v>3973</v>
      </c>
      <c r="N1543" s="197" t="s">
        <v>340</v>
      </c>
      <c r="O1543" s="197" t="s">
        <v>3970</v>
      </c>
      <c r="P1543" s="197" t="s">
        <v>3971</v>
      </c>
      <c r="Q1543" s="303">
        <f t="shared" si="136"/>
        <v>0</v>
      </c>
      <c r="R1543" s="303">
        <f t="shared" si="137"/>
        <v>0</v>
      </c>
      <c r="S1543" s="197">
        <v>0</v>
      </c>
      <c r="T1543" s="197">
        <v>0</v>
      </c>
      <c r="U1543" s="197">
        <v>0</v>
      </c>
      <c r="V1543" s="197">
        <v>0</v>
      </c>
      <c r="W1543" s="197">
        <v>0</v>
      </c>
      <c r="X1543" s="197">
        <v>120</v>
      </c>
      <c r="Y1543" s="197">
        <v>75</v>
      </c>
      <c r="Z1543" s="197">
        <v>78</v>
      </c>
      <c r="AA1543" s="197">
        <v>1</v>
      </c>
      <c r="AB1543" s="300">
        <f t="shared" si="138"/>
        <v>117</v>
      </c>
      <c r="AC1543" s="300">
        <f t="shared" si="139"/>
        <v>0.70481927710843373</v>
      </c>
      <c r="AD1543" s="197">
        <v>0</v>
      </c>
      <c r="AE1543" s="197">
        <v>0</v>
      </c>
      <c r="AF1543" s="197" t="s">
        <v>3432</v>
      </c>
      <c r="AG1543" s="197" t="s">
        <v>3432</v>
      </c>
      <c r="AH1543" s="197" t="s">
        <v>3972</v>
      </c>
      <c r="AI1543" s="309"/>
      <c r="AJ1543" s="309"/>
      <c r="AK1543" s="197" t="s">
        <v>37</v>
      </c>
      <c r="AL1543" s="197" t="s">
        <v>54</v>
      </c>
      <c r="AM1543" s="299">
        <f t="shared" ca="1" si="135"/>
        <v>2.9583333333357587</v>
      </c>
      <c r="AN1543" s="204"/>
      <c r="AO1543" s="189" t="s">
        <v>81</v>
      </c>
      <c r="AP1543" s="190" t="s">
        <v>3973</v>
      </c>
      <c r="AQ1543" s="189" t="s">
        <v>4238</v>
      </c>
      <c r="AR1543" s="192">
        <v>44918.6875</v>
      </c>
      <c r="AS1543" s="186" t="s">
        <v>173</v>
      </c>
      <c r="AT1543" s="189" t="s">
        <v>225</v>
      </c>
      <c r="AU1543" s="191">
        <v>0.6875</v>
      </c>
      <c r="AV1543" s="189">
        <v>4</v>
      </c>
      <c r="AW1543" s="189" t="s">
        <v>66</v>
      </c>
      <c r="AX1543" s="205"/>
      <c r="AY1543" s="205"/>
      <c r="AZ1543" s="205"/>
      <c r="BA1543" s="205"/>
    </row>
    <row r="1544" spans="1:53" x14ac:dyDescent="0.25">
      <c r="A1544" s="203">
        <v>379</v>
      </c>
      <c r="B1544" s="202">
        <v>44915.729166666664</v>
      </c>
      <c r="C1544" s="196">
        <v>0.73263888888888884</v>
      </c>
      <c r="D1544" s="196">
        <v>0.74305555555555547</v>
      </c>
      <c r="E1544" s="196">
        <v>0.75347222222222221</v>
      </c>
      <c r="F1544" s="197" t="s">
        <v>171</v>
      </c>
      <c r="G1544" s="197" t="s">
        <v>3968</v>
      </c>
      <c r="H1544" s="188" t="s">
        <v>254</v>
      </c>
      <c r="I1544" s="188" t="s">
        <v>141</v>
      </c>
      <c r="J1544" s="188" t="s">
        <v>37</v>
      </c>
      <c r="K1544" s="188" t="s">
        <v>180</v>
      </c>
      <c r="L1544" s="188" t="s">
        <v>268</v>
      </c>
      <c r="M1544" s="197" t="s">
        <v>3969</v>
      </c>
      <c r="N1544" s="197" t="s">
        <v>186</v>
      </c>
      <c r="O1544" s="197" t="s">
        <v>3974</v>
      </c>
      <c r="P1544" s="197" t="s">
        <v>3975</v>
      </c>
      <c r="Q1544" s="303">
        <f t="shared" si="136"/>
        <v>3</v>
      </c>
      <c r="R1544" s="303">
        <f t="shared" si="137"/>
        <v>111</v>
      </c>
      <c r="S1544" s="197">
        <v>3</v>
      </c>
      <c r="T1544" s="197">
        <v>111</v>
      </c>
      <c r="U1544" s="197">
        <v>0</v>
      </c>
      <c r="V1544" s="197">
        <v>0</v>
      </c>
      <c r="W1544" s="197">
        <v>111</v>
      </c>
      <c r="X1544" s="197">
        <v>73</v>
      </c>
      <c r="Y1544" s="197">
        <v>46</v>
      </c>
      <c r="Z1544" s="197">
        <v>48</v>
      </c>
      <c r="AA1544" s="197">
        <v>3</v>
      </c>
      <c r="AB1544" s="300">
        <f t="shared" si="138"/>
        <v>80.591999999999999</v>
      </c>
      <c r="AC1544" s="300">
        <f t="shared" si="139"/>
        <v>0.48549397590361443</v>
      </c>
      <c r="AD1544" s="197">
        <v>28830</v>
      </c>
      <c r="AE1544" s="197" t="s">
        <v>111</v>
      </c>
      <c r="AF1544" s="197" t="s">
        <v>3432</v>
      </c>
      <c r="AG1544" s="197" t="s">
        <v>3432</v>
      </c>
      <c r="AH1544" s="197">
        <v>0</v>
      </c>
      <c r="AI1544" s="309"/>
      <c r="AJ1544" s="309"/>
      <c r="AK1544" s="197" t="s">
        <v>48</v>
      </c>
      <c r="AL1544" s="197" t="s">
        <v>56</v>
      </c>
      <c r="AM1544" s="299">
        <f t="shared" ca="1" si="135"/>
        <v>9.7847222222262644</v>
      </c>
      <c r="AN1544" s="204"/>
      <c r="AO1544" s="288" t="s">
        <v>131</v>
      </c>
      <c r="AP1544" s="275" t="s">
        <v>3969</v>
      </c>
      <c r="AQ1544" s="288" t="s">
        <v>4636</v>
      </c>
      <c r="AR1544" s="277">
        <v>44925.513888888891</v>
      </c>
      <c r="AS1544" s="272" t="s">
        <v>483</v>
      </c>
      <c r="AT1544" s="288" t="s">
        <v>225</v>
      </c>
      <c r="AU1544" s="276">
        <v>0.51388888888888895</v>
      </c>
      <c r="AV1544" s="288">
        <v>1</v>
      </c>
      <c r="AW1544" s="288" t="s">
        <v>66</v>
      </c>
      <c r="AX1544" s="205"/>
      <c r="AY1544" s="205"/>
      <c r="AZ1544" s="205"/>
      <c r="BA1544" s="205"/>
    </row>
    <row r="1545" spans="1:53" x14ac:dyDescent="0.25">
      <c r="A1545" s="203">
        <v>380</v>
      </c>
      <c r="B1545" s="202">
        <v>44915.739583333336</v>
      </c>
      <c r="C1545" s="196">
        <v>0.73958333333333337</v>
      </c>
      <c r="D1545" s="196">
        <v>0.74305555555555547</v>
      </c>
      <c r="E1545" s="196">
        <v>0.75694444444444453</v>
      </c>
      <c r="F1545" s="197" t="s">
        <v>169</v>
      </c>
      <c r="G1545" s="197" t="s">
        <v>3976</v>
      </c>
      <c r="H1545" s="188" t="s">
        <v>99</v>
      </c>
      <c r="I1545" s="188" t="s">
        <v>1760</v>
      </c>
      <c r="J1545" s="188" t="s">
        <v>37</v>
      </c>
      <c r="K1545" s="195" t="s">
        <v>241</v>
      </c>
      <c r="L1545" s="195" t="s">
        <v>210</v>
      </c>
      <c r="M1545" s="197" t="s">
        <v>3977</v>
      </c>
      <c r="N1545" s="197" t="s">
        <v>139</v>
      </c>
      <c r="O1545" s="197">
        <v>5552200294</v>
      </c>
      <c r="P1545" s="197" t="s">
        <v>3978</v>
      </c>
      <c r="Q1545" s="303">
        <f t="shared" si="136"/>
        <v>1</v>
      </c>
      <c r="R1545" s="303">
        <f t="shared" si="137"/>
        <v>133</v>
      </c>
      <c r="S1545" s="197">
        <v>0</v>
      </c>
      <c r="T1545" s="197">
        <v>0</v>
      </c>
      <c r="U1545" s="197">
        <v>1</v>
      </c>
      <c r="V1545" s="197">
        <v>133</v>
      </c>
      <c r="W1545" s="197">
        <v>151.76</v>
      </c>
      <c r="X1545" s="197">
        <v>130</v>
      </c>
      <c r="Y1545" s="197">
        <v>116</v>
      </c>
      <c r="Z1545" s="197">
        <v>51</v>
      </c>
      <c r="AA1545" s="197">
        <v>1</v>
      </c>
      <c r="AB1545" s="300">
        <f t="shared" si="138"/>
        <v>128.18</v>
      </c>
      <c r="AC1545" s="300">
        <f t="shared" si="139"/>
        <v>0.77216867469879524</v>
      </c>
      <c r="AD1545" s="197">
        <v>3321.07</v>
      </c>
      <c r="AE1545" s="197" t="s">
        <v>111</v>
      </c>
      <c r="AF1545" s="197">
        <v>6275933</v>
      </c>
      <c r="AG1545" s="197" t="s">
        <v>3879</v>
      </c>
      <c r="AH1545" s="197" t="s">
        <v>3979</v>
      </c>
      <c r="AI1545" s="309"/>
      <c r="AJ1545" s="309"/>
      <c r="AK1545" s="197" t="s">
        <v>37</v>
      </c>
      <c r="AL1545" s="197" t="s">
        <v>54</v>
      </c>
      <c r="AM1545" s="299">
        <f t="shared" ca="1" si="135"/>
        <v>2.8055555555547471</v>
      </c>
      <c r="AN1545" s="204"/>
      <c r="AO1545" s="189" t="s">
        <v>1880</v>
      </c>
      <c r="AP1545" s="190" t="s">
        <v>3977</v>
      </c>
      <c r="AQ1545" s="189" t="s">
        <v>4236</v>
      </c>
      <c r="AR1545" s="192">
        <v>44918.545138888891</v>
      </c>
      <c r="AS1545" s="186" t="s">
        <v>483</v>
      </c>
      <c r="AT1545" s="189" t="s">
        <v>225</v>
      </c>
      <c r="AU1545" s="191">
        <v>0.54513888888888895</v>
      </c>
      <c r="AV1545" s="189">
        <v>1</v>
      </c>
      <c r="AW1545" s="189" t="s">
        <v>66</v>
      </c>
      <c r="AX1545" s="205"/>
      <c r="AY1545" s="205"/>
      <c r="AZ1545" s="205"/>
      <c r="BA1545" s="205"/>
    </row>
    <row r="1546" spans="1:53" x14ac:dyDescent="0.25">
      <c r="A1546" s="203">
        <v>381</v>
      </c>
      <c r="B1546" s="202">
        <v>44916.409722222219</v>
      </c>
      <c r="C1546" s="196">
        <v>0.41319444444444442</v>
      </c>
      <c r="D1546" s="196">
        <v>0.41666666666666669</v>
      </c>
      <c r="E1546" s="196">
        <v>0.43055555555555558</v>
      </c>
      <c r="F1546" s="197" t="s">
        <v>171</v>
      </c>
      <c r="G1546" s="197" t="s">
        <v>136</v>
      </c>
      <c r="H1546" s="188" t="s">
        <v>91</v>
      </c>
      <c r="I1546" s="188" t="s">
        <v>318</v>
      </c>
      <c r="J1546" s="195" t="s">
        <v>41</v>
      </c>
      <c r="K1546" s="195" t="s">
        <v>180</v>
      </c>
      <c r="L1546" s="195" t="s">
        <v>206</v>
      </c>
      <c r="M1546" s="197" t="s">
        <v>3994</v>
      </c>
      <c r="N1546" s="197" t="s">
        <v>44</v>
      </c>
      <c r="O1546" s="197">
        <v>1054970038</v>
      </c>
      <c r="P1546" s="197">
        <v>1214043365</v>
      </c>
      <c r="Q1546" s="303">
        <f t="shared" si="136"/>
        <v>1</v>
      </c>
      <c r="R1546" s="303">
        <f t="shared" si="137"/>
        <v>36</v>
      </c>
      <c r="S1546" s="197">
        <v>0</v>
      </c>
      <c r="T1546" s="197">
        <v>0</v>
      </c>
      <c r="U1546" s="197">
        <v>1</v>
      </c>
      <c r="V1546" s="197">
        <v>36</v>
      </c>
      <c r="W1546" s="197">
        <v>34.5</v>
      </c>
      <c r="X1546" s="197">
        <v>65</v>
      </c>
      <c r="Y1546" s="197">
        <v>60</v>
      </c>
      <c r="Z1546" s="197">
        <v>60</v>
      </c>
      <c r="AA1546" s="197">
        <v>1</v>
      </c>
      <c r="AB1546" s="300">
        <f t="shared" si="138"/>
        <v>39</v>
      </c>
      <c r="AC1546" s="300">
        <f t="shared" si="139"/>
        <v>0.23493975903614459</v>
      </c>
      <c r="AD1546" s="197">
        <v>8725.0499999999993</v>
      </c>
      <c r="AE1546" s="197" t="s">
        <v>109</v>
      </c>
      <c r="AF1546" s="197">
        <v>6301426</v>
      </c>
      <c r="AG1546" s="197" t="s">
        <v>3957</v>
      </c>
      <c r="AH1546" s="197" t="s">
        <v>3995</v>
      </c>
      <c r="AI1546" s="309"/>
      <c r="AJ1546" s="309"/>
      <c r="AK1546" s="197" t="s">
        <v>37</v>
      </c>
      <c r="AL1546" s="197" t="s">
        <v>49</v>
      </c>
      <c r="AM1546" s="299">
        <f t="shared" ca="1" si="135"/>
        <v>1.3402777777810115</v>
      </c>
      <c r="AN1546" s="204"/>
      <c r="AO1546" s="191" t="s">
        <v>323</v>
      </c>
      <c r="AP1546" s="190" t="s">
        <v>3994</v>
      </c>
      <c r="AQ1546" s="189" t="s">
        <v>4177</v>
      </c>
      <c r="AR1546" s="192">
        <v>44917.75</v>
      </c>
      <c r="AS1546" s="186" t="s">
        <v>173</v>
      </c>
      <c r="AT1546" s="189" t="s">
        <v>225</v>
      </c>
      <c r="AU1546" s="191">
        <v>0.75</v>
      </c>
      <c r="AV1546" s="189">
        <v>2</v>
      </c>
      <c r="AW1546" s="189" t="s">
        <v>66</v>
      </c>
      <c r="AX1546" s="205"/>
      <c r="AY1546" s="205"/>
      <c r="AZ1546" s="205"/>
      <c r="BA1546" s="205"/>
    </row>
    <row r="1547" spans="1:53" x14ac:dyDescent="0.25">
      <c r="A1547" s="48">
        <v>382</v>
      </c>
      <c r="B1547" s="202">
        <v>44916.451388888891</v>
      </c>
      <c r="C1547" s="36">
        <v>0.4548611111111111</v>
      </c>
      <c r="D1547" s="36">
        <v>0.45833333333333331</v>
      </c>
      <c r="E1547" s="36">
        <v>0.4826388888888889</v>
      </c>
      <c r="F1547" s="197" t="s">
        <v>171</v>
      </c>
      <c r="G1547" s="37" t="s">
        <v>483</v>
      </c>
      <c r="H1547" s="188" t="s">
        <v>342</v>
      </c>
      <c r="I1547" s="188" t="s">
        <v>342</v>
      </c>
      <c r="J1547" s="188" t="s">
        <v>37</v>
      </c>
      <c r="K1547" s="188" t="s">
        <v>180</v>
      </c>
      <c r="L1547" s="188" t="s">
        <v>206</v>
      </c>
      <c r="M1547" s="37" t="s">
        <v>3996</v>
      </c>
      <c r="N1547" s="37" t="s">
        <v>42</v>
      </c>
      <c r="O1547" s="37" t="s">
        <v>3997</v>
      </c>
      <c r="P1547" s="37">
        <v>29569612</v>
      </c>
      <c r="Q1547" s="303">
        <f t="shared" si="136"/>
        <v>1</v>
      </c>
      <c r="R1547" s="303">
        <f t="shared" si="137"/>
        <v>306</v>
      </c>
      <c r="S1547" s="37">
        <v>0</v>
      </c>
      <c r="T1547" s="37">
        <v>0</v>
      </c>
      <c r="U1547" s="37">
        <v>1</v>
      </c>
      <c r="V1547" s="37">
        <v>306</v>
      </c>
      <c r="W1547" s="37">
        <v>302</v>
      </c>
      <c r="X1547" s="37">
        <v>122</v>
      </c>
      <c r="Y1547" s="37">
        <v>114</v>
      </c>
      <c r="Z1547" s="37">
        <v>87</v>
      </c>
      <c r="AA1547" s="37">
        <v>1</v>
      </c>
      <c r="AB1547" s="300">
        <f t="shared" si="138"/>
        <v>201.666</v>
      </c>
      <c r="AC1547" s="300">
        <f t="shared" si="139"/>
        <v>1.2148554216867469</v>
      </c>
      <c r="AD1547" s="37">
        <v>88.07</v>
      </c>
      <c r="AE1547" s="197" t="s">
        <v>109</v>
      </c>
      <c r="AF1547" s="37" t="s">
        <v>3432</v>
      </c>
      <c r="AG1547" s="37" t="s">
        <v>3432</v>
      </c>
      <c r="AH1547" s="37" t="s">
        <v>3998</v>
      </c>
      <c r="AI1547" s="309"/>
      <c r="AJ1547" s="309"/>
      <c r="AK1547" s="37" t="s">
        <v>41</v>
      </c>
      <c r="AL1547" s="37" t="s">
        <v>39</v>
      </c>
      <c r="AM1547" s="299">
        <f t="shared" ca="1" si="135"/>
        <v>0.29166666666424135</v>
      </c>
      <c r="AN1547" s="51"/>
      <c r="AO1547" s="189" t="s">
        <v>107</v>
      </c>
      <c r="AP1547" s="91" t="s">
        <v>3996</v>
      </c>
      <c r="AQ1547" s="189" t="s">
        <v>4074</v>
      </c>
      <c r="AR1547" s="192">
        <v>44916.743055555555</v>
      </c>
      <c r="AS1547" s="189" t="s">
        <v>240</v>
      </c>
      <c r="AT1547" s="189" t="s">
        <v>65</v>
      </c>
      <c r="AU1547" s="191">
        <v>0.74305555555555547</v>
      </c>
      <c r="AV1547" s="189">
        <v>1</v>
      </c>
      <c r="AW1547" s="189" t="s">
        <v>66</v>
      </c>
      <c r="AX1547" s="52"/>
      <c r="AY1547" s="52"/>
      <c r="AZ1547" s="52"/>
      <c r="BA1547" s="52"/>
    </row>
    <row r="1548" spans="1:53" x14ac:dyDescent="0.25">
      <c r="A1548" s="48">
        <v>383</v>
      </c>
      <c r="B1548" s="202">
        <v>44916.451388888891</v>
      </c>
      <c r="C1548" s="36">
        <v>0.45833333333333331</v>
      </c>
      <c r="D1548" s="36">
        <v>0.46180555555555558</v>
      </c>
      <c r="E1548" s="36">
        <v>0.48958333333333331</v>
      </c>
      <c r="F1548" s="37" t="s">
        <v>171</v>
      </c>
      <c r="G1548" s="37" t="s">
        <v>151</v>
      </c>
      <c r="H1548" s="195" t="s">
        <v>1420</v>
      </c>
      <c r="I1548" s="195" t="s">
        <v>1420</v>
      </c>
      <c r="J1548" s="195" t="s">
        <v>37</v>
      </c>
      <c r="K1548" s="195" t="s">
        <v>233</v>
      </c>
      <c r="L1548" s="188" t="s">
        <v>206</v>
      </c>
      <c r="M1548" s="37" t="s">
        <v>3999</v>
      </c>
      <c r="N1548" s="37" t="s">
        <v>158</v>
      </c>
      <c r="O1548" s="37" t="s">
        <v>4000</v>
      </c>
      <c r="P1548" s="37">
        <v>129407</v>
      </c>
      <c r="Q1548" s="303">
        <f t="shared" si="136"/>
        <v>1</v>
      </c>
      <c r="R1548" s="303">
        <f t="shared" si="137"/>
        <v>24</v>
      </c>
      <c r="S1548" s="37">
        <v>0</v>
      </c>
      <c r="T1548" s="37">
        <v>0</v>
      </c>
      <c r="U1548" s="37">
        <v>1</v>
      </c>
      <c r="V1548" s="37">
        <v>24</v>
      </c>
      <c r="W1548" s="37">
        <v>23</v>
      </c>
      <c r="X1548" s="37">
        <v>54</v>
      </c>
      <c r="Y1548" s="37">
        <v>38</v>
      </c>
      <c r="Z1548" s="37">
        <v>28</v>
      </c>
      <c r="AA1548" s="37">
        <v>1</v>
      </c>
      <c r="AB1548" s="300">
        <f t="shared" si="138"/>
        <v>9.5760000000000005</v>
      </c>
      <c r="AC1548" s="300">
        <f t="shared" si="139"/>
        <v>5.7686746987951808E-2</v>
      </c>
      <c r="AD1548" s="37">
        <v>0</v>
      </c>
      <c r="AE1548" s="197" t="s">
        <v>109</v>
      </c>
      <c r="AF1548" s="197" t="s">
        <v>3432</v>
      </c>
      <c r="AG1548" s="197" t="s">
        <v>3432</v>
      </c>
      <c r="AH1548" s="37" t="s">
        <v>4001</v>
      </c>
      <c r="AI1548" s="309"/>
      <c r="AJ1548" s="309"/>
      <c r="AK1548" s="37" t="s">
        <v>41</v>
      </c>
      <c r="AL1548" s="197" t="s">
        <v>39</v>
      </c>
      <c r="AM1548" s="299">
        <f t="shared" ca="1" si="135"/>
        <v>2.0208333333284827</v>
      </c>
      <c r="AN1548" s="51"/>
      <c r="AO1548" s="189" t="s">
        <v>509</v>
      </c>
      <c r="AP1548" s="190" t="s">
        <v>3999</v>
      </c>
      <c r="AQ1548" s="189" t="s">
        <v>4234</v>
      </c>
      <c r="AR1548" s="192">
        <v>44918.472222222219</v>
      </c>
      <c r="AS1548" s="186" t="s">
        <v>173</v>
      </c>
      <c r="AT1548" s="189" t="s">
        <v>225</v>
      </c>
      <c r="AU1548" s="191">
        <v>0.47222222222222227</v>
      </c>
      <c r="AV1548" s="189">
        <v>1</v>
      </c>
      <c r="AW1548" s="189" t="s">
        <v>66</v>
      </c>
      <c r="AX1548" s="52"/>
      <c r="AY1548" s="52"/>
      <c r="AZ1548" s="52"/>
      <c r="BA1548" s="52"/>
    </row>
    <row r="1549" spans="1:53" x14ac:dyDescent="0.25">
      <c r="A1549" s="48">
        <v>384</v>
      </c>
      <c r="B1549" s="202">
        <v>44916.451388888891</v>
      </c>
      <c r="C1549" s="196">
        <v>0.45833333333333331</v>
      </c>
      <c r="D1549" s="196">
        <v>0.46180555555555558</v>
      </c>
      <c r="E1549" s="196">
        <v>0.48958333333333331</v>
      </c>
      <c r="F1549" s="197" t="s">
        <v>171</v>
      </c>
      <c r="G1549" s="197" t="s">
        <v>151</v>
      </c>
      <c r="H1549" s="195" t="s">
        <v>1420</v>
      </c>
      <c r="I1549" s="195" t="s">
        <v>1420</v>
      </c>
      <c r="J1549" s="195" t="s">
        <v>37</v>
      </c>
      <c r="K1549" s="195" t="s">
        <v>233</v>
      </c>
      <c r="L1549" s="188" t="s">
        <v>206</v>
      </c>
      <c r="M1549" s="37" t="s">
        <v>4002</v>
      </c>
      <c r="N1549" s="197" t="s">
        <v>158</v>
      </c>
      <c r="O1549" s="197" t="s">
        <v>4003</v>
      </c>
      <c r="P1549" s="37" t="s">
        <v>4004</v>
      </c>
      <c r="Q1549" s="303">
        <f t="shared" si="136"/>
        <v>1</v>
      </c>
      <c r="R1549" s="303">
        <f t="shared" si="137"/>
        <v>1</v>
      </c>
      <c r="S1549" s="37">
        <v>1</v>
      </c>
      <c r="T1549" s="37">
        <v>1</v>
      </c>
      <c r="U1549" s="37">
        <v>0</v>
      </c>
      <c r="V1549" s="37">
        <v>0</v>
      </c>
      <c r="W1549" s="37">
        <v>2</v>
      </c>
      <c r="X1549" s="37">
        <v>23</v>
      </c>
      <c r="Y1549" s="37">
        <v>22</v>
      </c>
      <c r="Z1549" s="37">
        <v>12</v>
      </c>
      <c r="AA1549" s="37">
        <v>1</v>
      </c>
      <c r="AB1549" s="300">
        <f t="shared" si="138"/>
        <v>1.012</v>
      </c>
      <c r="AC1549" s="300">
        <f t="shared" si="139"/>
        <v>6.0963855421686747E-3</v>
      </c>
      <c r="AD1549" s="197">
        <v>0</v>
      </c>
      <c r="AE1549" s="197" t="s">
        <v>109</v>
      </c>
      <c r="AF1549" s="197" t="s">
        <v>3432</v>
      </c>
      <c r="AG1549" s="197" t="s">
        <v>3432</v>
      </c>
      <c r="AH1549" s="37" t="s">
        <v>4005</v>
      </c>
      <c r="AI1549" s="309"/>
      <c r="AJ1549" s="309"/>
      <c r="AK1549" s="197" t="s">
        <v>41</v>
      </c>
      <c r="AL1549" s="197" t="s">
        <v>39</v>
      </c>
      <c r="AM1549" s="299">
        <f t="shared" ca="1" si="135"/>
        <v>2.0208333333284827</v>
      </c>
      <c r="AN1549" s="51"/>
      <c r="AO1549" s="189" t="s">
        <v>509</v>
      </c>
      <c r="AP1549" s="190" t="s">
        <v>4002</v>
      </c>
      <c r="AQ1549" s="189" t="s">
        <v>4234</v>
      </c>
      <c r="AR1549" s="192">
        <v>44918.472222222219</v>
      </c>
      <c r="AS1549" s="186" t="s">
        <v>173</v>
      </c>
      <c r="AT1549" s="189" t="s">
        <v>225</v>
      </c>
      <c r="AU1549" s="191">
        <v>0.47222222222222227</v>
      </c>
      <c r="AV1549" s="189">
        <v>1</v>
      </c>
      <c r="AW1549" s="189" t="s">
        <v>66</v>
      </c>
      <c r="AX1549" s="52"/>
      <c r="AY1549" s="52"/>
      <c r="AZ1549" s="52"/>
      <c r="BA1549" s="52"/>
    </row>
    <row r="1550" spans="1:53" x14ac:dyDescent="0.25">
      <c r="A1550" s="48">
        <v>385</v>
      </c>
      <c r="B1550" s="202">
        <v>44916.604166666664</v>
      </c>
      <c r="C1550" s="36">
        <v>0.625</v>
      </c>
      <c r="D1550" s="36">
        <v>0.63888888888888895</v>
      </c>
      <c r="E1550" s="36">
        <v>0.64236111111111105</v>
      </c>
      <c r="F1550" s="37" t="s">
        <v>170</v>
      </c>
      <c r="G1550" s="37" t="s">
        <v>360</v>
      </c>
      <c r="H1550" s="26" t="s">
        <v>57</v>
      </c>
      <c r="I1550" s="26" t="s">
        <v>124</v>
      </c>
      <c r="J1550" s="195" t="s">
        <v>37</v>
      </c>
      <c r="K1550" s="26" t="s">
        <v>63</v>
      </c>
      <c r="L1550" s="26" t="s">
        <v>209</v>
      </c>
      <c r="M1550" s="37" t="s">
        <v>4007</v>
      </c>
      <c r="N1550" s="37" t="s">
        <v>59</v>
      </c>
      <c r="O1550" s="37" t="s">
        <v>4008</v>
      </c>
      <c r="P1550" s="37">
        <v>81954505</v>
      </c>
      <c r="Q1550" s="303">
        <f t="shared" si="136"/>
        <v>1</v>
      </c>
      <c r="R1550" s="303">
        <f t="shared" si="137"/>
        <v>233</v>
      </c>
      <c r="S1550" s="37">
        <v>0</v>
      </c>
      <c r="T1550" s="37">
        <v>0</v>
      </c>
      <c r="U1550" s="37">
        <v>1</v>
      </c>
      <c r="V1550" s="198">
        <f>301-68</f>
        <v>233</v>
      </c>
      <c r="W1550" s="198">
        <v>262</v>
      </c>
      <c r="X1550" s="37">
        <v>160</v>
      </c>
      <c r="Y1550" s="37">
        <v>84</v>
      </c>
      <c r="Z1550" s="37">
        <v>96</v>
      </c>
      <c r="AA1550" s="37">
        <v>1</v>
      </c>
      <c r="AB1550" s="300">
        <f t="shared" si="138"/>
        <v>215.04</v>
      </c>
      <c r="AC1550" s="300">
        <f t="shared" si="139"/>
        <v>1.2954216867469879</v>
      </c>
      <c r="AD1550" s="37">
        <v>16801.419999999998</v>
      </c>
      <c r="AE1550" s="197" t="s">
        <v>109</v>
      </c>
      <c r="AF1550" s="197" t="s">
        <v>317</v>
      </c>
      <c r="AG1550" s="197" t="s">
        <v>317</v>
      </c>
      <c r="AH1550" s="37" t="s">
        <v>4009</v>
      </c>
      <c r="AI1550" s="309"/>
      <c r="AJ1550" s="309"/>
      <c r="AK1550" s="37" t="s">
        <v>37</v>
      </c>
      <c r="AL1550" s="197" t="s">
        <v>39</v>
      </c>
      <c r="AM1550" s="299">
        <f t="shared" ca="1" si="135"/>
        <v>7.6388888890505768E-2</v>
      </c>
      <c r="AN1550" s="51"/>
      <c r="AO1550" s="210" t="s">
        <v>70</v>
      </c>
      <c r="AP1550" s="91" t="s">
        <v>4314</v>
      </c>
      <c r="AQ1550" s="210" t="s">
        <v>4071</v>
      </c>
      <c r="AR1550" s="213">
        <v>44916.680555555555</v>
      </c>
      <c r="AS1550" s="208" t="s">
        <v>483</v>
      </c>
      <c r="AT1550" s="210" t="s">
        <v>225</v>
      </c>
      <c r="AU1550" s="212">
        <v>0.68055555555555547</v>
      </c>
      <c r="AV1550" s="210">
        <v>1</v>
      </c>
      <c r="AW1550" s="210" t="s">
        <v>66</v>
      </c>
      <c r="AX1550" s="52"/>
      <c r="AY1550" s="52"/>
      <c r="AZ1550" s="52"/>
      <c r="BA1550" s="52"/>
    </row>
    <row r="1551" spans="1:53" s="187" customFormat="1" x14ac:dyDescent="0.25">
      <c r="A1551" s="203">
        <v>386</v>
      </c>
      <c r="B1551" s="202">
        <v>44916.697916666664</v>
      </c>
      <c r="C1551" s="196">
        <v>0.70138888888888884</v>
      </c>
      <c r="D1551" s="196">
        <v>0.70486111111111116</v>
      </c>
      <c r="E1551" s="196">
        <v>0.71180555555555547</v>
      </c>
      <c r="F1551" s="197" t="s">
        <v>171</v>
      </c>
      <c r="G1551" s="197" t="s">
        <v>811</v>
      </c>
      <c r="H1551" s="195" t="s">
        <v>144</v>
      </c>
      <c r="I1551" s="195" t="s">
        <v>69</v>
      </c>
      <c r="J1551" s="195" t="s">
        <v>37</v>
      </c>
      <c r="K1551" s="195" t="s">
        <v>82</v>
      </c>
      <c r="L1551" s="200" t="s">
        <v>206</v>
      </c>
      <c r="M1551" s="197" t="s">
        <v>4016</v>
      </c>
      <c r="N1551" s="197" t="s">
        <v>42</v>
      </c>
      <c r="O1551" s="197">
        <v>75045973</v>
      </c>
      <c r="P1551" s="197">
        <v>3923178</v>
      </c>
      <c r="Q1551" s="303">
        <f t="shared" si="136"/>
        <v>9</v>
      </c>
      <c r="R1551" s="303">
        <f t="shared" si="137"/>
        <v>66</v>
      </c>
      <c r="S1551" s="197">
        <v>9</v>
      </c>
      <c r="T1551" s="197">
        <f>86-20</f>
        <v>66</v>
      </c>
      <c r="U1551" s="197">
        <v>0</v>
      </c>
      <c r="V1551" s="197">
        <v>0</v>
      </c>
      <c r="W1551" s="197">
        <v>54.36</v>
      </c>
      <c r="X1551" s="197">
        <v>72</v>
      </c>
      <c r="Y1551" s="197">
        <v>39</v>
      </c>
      <c r="Z1551" s="197">
        <v>13</v>
      </c>
      <c r="AA1551" s="197">
        <v>9</v>
      </c>
      <c r="AB1551" s="300">
        <f t="shared" si="138"/>
        <v>54.756</v>
      </c>
      <c r="AC1551" s="300">
        <f t="shared" si="139"/>
        <v>0.32985542168674697</v>
      </c>
      <c r="AD1551" s="197">
        <v>414</v>
      </c>
      <c r="AE1551" s="197" t="s">
        <v>109</v>
      </c>
      <c r="AF1551" s="197" t="s">
        <v>4013</v>
      </c>
      <c r="AG1551" s="197" t="s">
        <v>4014</v>
      </c>
      <c r="AH1551" s="197" t="s">
        <v>4015</v>
      </c>
      <c r="AI1551" s="309"/>
      <c r="AJ1551" s="309"/>
      <c r="AK1551" s="197" t="s">
        <v>48</v>
      </c>
      <c r="AL1551" s="197" t="s">
        <v>39</v>
      </c>
      <c r="AM1551" s="299">
        <f t="shared" ca="1" si="135"/>
        <v>4.5138888890505768E-2</v>
      </c>
      <c r="AN1551" s="204"/>
      <c r="AO1551" s="189" t="s">
        <v>247</v>
      </c>
      <c r="AP1551" s="91" t="s">
        <v>4016</v>
      </c>
      <c r="AQ1551" s="189" t="s">
        <v>4075</v>
      </c>
      <c r="AR1551" s="192">
        <v>44916.743055555555</v>
      </c>
      <c r="AS1551" s="189" t="s">
        <v>240</v>
      </c>
      <c r="AT1551" s="189" t="s">
        <v>65</v>
      </c>
      <c r="AU1551" s="191">
        <v>0.74305555555555547</v>
      </c>
      <c r="AV1551" s="189">
        <v>1</v>
      </c>
      <c r="AW1551" s="189" t="s">
        <v>66</v>
      </c>
      <c r="AX1551" s="205"/>
      <c r="AY1551" s="205"/>
      <c r="AZ1551" s="205"/>
      <c r="BA1551" s="205"/>
    </row>
    <row r="1552" spans="1:53" x14ac:dyDescent="0.25">
      <c r="A1552" s="48">
        <v>387</v>
      </c>
      <c r="B1552" s="202">
        <v>44916.604166666664</v>
      </c>
      <c r="C1552" s="196">
        <v>0.625</v>
      </c>
      <c r="D1552" s="196">
        <v>0.63888888888888895</v>
      </c>
      <c r="E1552" s="196">
        <v>0.71875</v>
      </c>
      <c r="F1552" s="197" t="s">
        <v>170</v>
      </c>
      <c r="G1552" s="197" t="s">
        <v>360</v>
      </c>
      <c r="H1552" s="188" t="s">
        <v>57</v>
      </c>
      <c r="I1552" s="26" t="s">
        <v>124</v>
      </c>
      <c r="J1552" s="195" t="s">
        <v>37</v>
      </c>
      <c r="K1552" s="188" t="s">
        <v>63</v>
      </c>
      <c r="L1552" s="188" t="s">
        <v>209</v>
      </c>
      <c r="M1552" s="37" t="s">
        <v>4019</v>
      </c>
      <c r="N1552" s="37" t="s">
        <v>42</v>
      </c>
      <c r="O1552" s="37" t="s">
        <v>4017</v>
      </c>
      <c r="P1552" s="37">
        <v>46045972</v>
      </c>
      <c r="Q1552" s="303">
        <f t="shared" si="136"/>
        <v>1</v>
      </c>
      <c r="R1552" s="303">
        <f t="shared" si="137"/>
        <v>443</v>
      </c>
      <c r="S1552" s="37">
        <v>0</v>
      </c>
      <c r="T1552" s="37">
        <v>0</v>
      </c>
      <c r="U1552" s="37">
        <v>1</v>
      </c>
      <c r="V1552" s="37">
        <v>443</v>
      </c>
      <c r="W1552" s="37">
        <v>440</v>
      </c>
      <c r="X1552" s="37">
        <v>147</v>
      </c>
      <c r="Y1552" s="37">
        <v>68</v>
      </c>
      <c r="Z1552" s="37">
        <v>75</v>
      </c>
      <c r="AA1552" s="37">
        <v>1</v>
      </c>
      <c r="AB1552" s="300">
        <f t="shared" si="138"/>
        <v>124.95</v>
      </c>
      <c r="AC1552" s="300">
        <f t="shared" si="139"/>
        <v>0.75271084337349403</v>
      </c>
      <c r="AD1552" s="37">
        <v>24999.09</v>
      </c>
      <c r="AE1552" s="197" t="s">
        <v>109</v>
      </c>
      <c r="AF1552" s="197" t="s">
        <v>317</v>
      </c>
      <c r="AG1552" s="197" t="s">
        <v>317</v>
      </c>
      <c r="AH1552" s="37" t="s">
        <v>4018</v>
      </c>
      <c r="AI1552" s="309"/>
      <c r="AJ1552" s="309"/>
      <c r="AK1552" s="37" t="s">
        <v>37</v>
      </c>
      <c r="AL1552" s="37" t="s">
        <v>39</v>
      </c>
      <c r="AM1552" s="299">
        <f t="shared" ca="1" si="135"/>
        <v>0.13888888889050577</v>
      </c>
      <c r="AN1552" s="51"/>
      <c r="AO1552" s="189" t="s">
        <v>83</v>
      </c>
      <c r="AP1552" s="91" t="s">
        <v>4019</v>
      </c>
      <c r="AQ1552" s="189" t="s">
        <v>4073</v>
      </c>
      <c r="AR1552" s="192">
        <v>44916.743055555555</v>
      </c>
      <c r="AS1552" s="189" t="s">
        <v>240</v>
      </c>
      <c r="AT1552" s="189" t="s">
        <v>65</v>
      </c>
      <c r="AU1552" s="191">
        <v>0.74305555555555547</v>
      </c>
      <c r="AV1552" s="189">
        <v>1</v>
      </c>
      <c r="AW1552" s="189" t="s">
        <v>66</v>
      </c>
      <c r="AX1552" s="52"/>
      <c r="AY1552" s="52"/>
      <c r="AZ1552" s="52"/>
      <c r="BA1552" s="52"/>
    </row>
    <row r="1553" spans="1:53" x14ac:dyDescent="0.25">
      <c r="A1553" s="48">
        <v>388</v>
      </c>
      <c r="B1553" s="202">
        <v>44916.604166666664</v>
      </c>
      <c r="C1553" s="196">
        <v>0.625</v>
      </c>
      <c r="D1553" s="196">
        <v>0.63888888888888895</v>
      </c>
      <c r="E1553" s="196">
        <v>0.75</v>
      </c>
      <c r="F1553" s="197" t="s">
        <v>170</v>
      </c>
      <c r="G1553" s="197" t="s">
        <v>360</v>
      </c>
      <c r="H1553" s="188" t="s">
        <v>57</v>
      </c>
      <c r="I1553" s="26" t="s">
        <v>4010</v>
      </c>
      <c r="J1553" s="26" t="s">
        <v>37</v>
      </c>
      <c r="K1553" s="188" t="s">
        <v>63</v>
      </c>
      <c r="L1553" s="188" t="s">
        <v>209</v>
      </c>
      <c r="M1553" s="37" t="s">
        <v>4025</v>
      </c>
      <c r="N1553" s="37" t="s">
        <v>44</v>
      </c>
      <c r="O1553" s="37" t="s">
        <v>4011</v>
      </c>
      <c r="P1553" s="37">
        <v>860187530</v>
      </c>
      <c r="Q1553" s="303">
        <f t="shared" si="136"/>
        <v>3</v>
      </c>
      <c r="R1553" s="303">
        <f t="shared" si="137"/>
        <v>0</v>
      </c>
      <c r="S1553" s="37">
        <v>0</v>
      </c>
      <c r="T1553" s="37">
        <v>0</v>
      </c>
      <c r="U1553" s="37">
        <v>3</v>
      </c>
      <c r="V1553" s="37">
        <v>0</v>
      </c>
      <c r="W1553" s="37">
        <v>2070</v>
      </c>
      <c r="X1553" s="37">
        <v>224</v>
      </c>
      <c r="Y1553" s="37">
        <v>84</v>
      </c>
      <c r="Z1553" s="37">
        <v>100</v>
      </c>
      <c r="AA1553" s="37">
        <v>3</v>
      </c>
      <c r="AB1553" s="300">
        <f t="shared" si="138"/>
        <v>940.8</v>
      </c>
      <c r="AC1553" s="300">
        <f t="shared" si="139"/>
        <v>5.6674698795180722</v>
      </c>
      <c r="AD1553" s="37">
        <v>24999.09</v>
      </c>
      <c r="AE1553" s="37" t="s">
        <v>109</v>
      </c>
      <c r="AF1553" s="197" t="s">
        <v>317</v>
      </c>
      <c r="AG1553" s="197" t="s">
        <v>317</v>
      </c>
      <c r="AH1553" s="37" t="s">
        <v>4012</v>
      </c>
      <c r="AI1553" s="309"/>
      <c r="AJ1553" s="309"/>
      <c r="AK1553" s="37" t="s">
        <v>41</v>
      </c>
      <c r="AL1553" s="37" t="s">
        <v>47</v>
      </c>
      <c r="AM1553" s="299">
        <f t="shared" ca="1" si="135"/>
        <v>1.0763888888905058</v>
      </c>
      <c r="AN1553" s="206" t="s">
        <v>4020</v>
      </c>
      <c r="AO1553" s="189" t="s">
        <v>53</v>
      </c>
      <c r="AP1553" s="190" t="s">
        <v>4025</v>
      </c>
      <c r="AQ1553" s="189" t="s">
        <v>243</v>
      </c>
      <c r="AR1553" s="192">
        <v>44917.680555555555</v>
      </c>
      <c r="AS1553" s="186" t="s">
        <v>483</v>
      </c>
      <c r="AT1553" s="189" t="s">
        <v>225</v>
      </c>
      <c r="AU1553" s="191">
        <v>0.68055555555555547</v>
      </c>
      <c r="AV1553" s="189">
        <v>2</v>
      </c>
      <c r="AW1553" s="189" t="s">
        <v>152</v>
      </c>
      <c r="AX1553" s="52"/>
      <c r="AY1553" s="52"/>
      <c r="AZ1553" s="52"/>
      <c r="BA1553" s="52"/>
    </row>
    <row r="1554" spans="1:53" x14ac:dyDescent="0.25">
      <c r="A1554" s="48">
        <v>389</v>
      </c>
      <c r="B1554" s="202">
        <v>44916.604166666664</v>
      </c>
      <c r="C1554" s="196">
        <v>0.625</v>
      </c>
      <c r="D1554" s="196">
        <v>0.63888888888888895</v>
      </c>
      <c r="E1554" s="196">
        <v>0.75</v>
      </c>
      <c r="F1554" s="197" t="s">
        <v>170</v>
      </c>
      <c r="G1554" s="197" t="s">
        <v>360</v>
      </c>
      <c r="H1554" s="188" t="s">
        <v>57</v>
      </c>
      <c r="I1554" s="26" t="s">
        <v>71</v>
      </c>
      <c r="J1554" s="188" t="s">
        <v>37</v>
      </c>
      <c r="K1554" s="188" t="s">
        <v>63</v>
      </c>
      <c r="L1554" s="188" t="s">
        <v>209</v>
      </c>
      <c r="M1554" s="37" t="s">
        <v>4026</v>
      </c>
      <c r="N1554" s="37" t="s">
        <v>139</v>
      </c>
      <c r="O1554" s="37" t="s">
        <v>4021</v>
      </c>
      <c r="P1554" s="37">
        <v>81979351</v>
      </c>
      <c r="Q1554" s="303">
        <f t="shared" si="136"/>
        <v>1</v>
      </c>
      <c r="R1554" s="303">
        <f t="shared" si="137"/>
        <v>234</v>
      </c>
      <c r="S1554" s="37">
        <v>0</v>
      </c>
      <c r="T1554" s="37">
        <v>0</v>
      </c>
      <c r="U1554" s="37">
        <v>1</v>
      </c>
      <c r="V1554" s="37">
        <v>234</v>
      </c>
      <c r="W1554" s="37">
        <v>232</v>
      </c>
      <c r="X1554" s="37">
        <v>95</v>
      </c>
      <c r="Y1554" s="37">
        <v>66</v>
      </c>
      <c r="Z1554" s="37">
        <v>64</v>
      </c>
      <c r="AA1554" s="37">
        <v>1</v>
      </c>
      <c r="AB1554" s="300">
        <f t="shared" si="138"/>
        <v>66.88</v>
      </c>
      <c r="AC1554" s="300">
        <f t="shared" si="139"/>
        <v>0.40289156626506023</v>
      </c>
      <c r="AD1554" s="37">
        <v>810</v>
      </c>
      <c r="AE1554" s="197" t="s">
        <v>109</v>
      </c>
      <c r="AF1554" s="197" t="s">
        <v>317</v>
      </c>
      <c r="AG1554" s="197" t="s">
        <v>317</v>
      </c>
      <c r="AH1554" s="37" t="s">
        <v>4022</v>
      </c>
      <c r="AI1554" s="309"/>
      <c r="AJ1554" s="309"/>
      <c r="AK1554" s="37" t="s">
        <v>37</v>
      </c>
      <c r="AL1554" s="37" t="s">
        <v>49</v>
      </c>
      <c r="AM1554" s="299">
        <f t="shared" ca="1" si="135"/>
        <v>0.85416666667151731</v>
      </c>
      <c r="AN1554" s="206" t="s">
        <v>3842</v>
      </c>
      <c r="AO1554" s="191" t="s">
        <v>72</v>
      </c>
      <c r="AP1554" s="190" t="s">
        <v>4026</v>
      </c>
      <c r="AQ1554" s="189" t="s">
        <v>4171</v>
      </c>
      <c r="AR1554" s="192">
        <v>44917.458333333336</v>
      </c>
      <c r="AS1554" s="189" t="s">
        <v>136</v>
      </c>
      <c r="AT1554" s="189" t="s">
        <v>225</v>
      </c>
      <c r="AU1554" s="191">
        <v>0.45833333333333331</v>
      </c>
      <c r="AV1554" s="189">
        <v>1</v>
      </c>
      <c r="AW1554" s="189" t="s">
        <v>66</v>
      </c>
      <c r="AX1554" s="52"/>
      <c r="AY1554" s="52"/>
      <c r="AZ1554" s="52"/>
      <c r="BA1554" s="52"/>
    </row>
    <row r="1555" spans="1:53" x14ac:dyDescent="0.25">
      <c r="A1555" s="48">
        <v>390</v>
      </c>
      <c r="B1555" s="202">
        <v>44916.604166666664</v>
      </c>
      <c r="C1555" s="196">
        <v>0.625</v>
      </c>
      <c r="D1555" s="196">
        <v>0.63888888888888895</v>
      </c>
      <c r="E1555" s="196">
        <v>0.75</v>
      </c>
      <c r="F1555" s="197" t="s">
        <v>170</v>
      </c>
      <c r="G1555" s="197" t="s">
        <v>360</v>
      </c>
      <c r="H1555" s="188" t="s">
        <v>57</v>
      </c>
      <c r="I1555" s="188" t="s">
        <v>71</v>
      </c>
      <c r="J1555" s="188" t="s">
        <v>37</v>
      </c>
      <c r="K1555" s="188" t="s">
        <v>63</v>
      </c>
      <c r="L1555" s="188" t="s">
        <v>209</v>
      </c>
      <c r="M1555" s="37" t="s">
        <v>4026</v>
      </c>
      <c r="N1555" s="197" t="s">
        <v>139</v>
      </c>
      <c r="O1555" s="37" t="s">
        <v>4023</v>
      </c>
      <c r="P1555" s="37">
        <v>81979355</v>
      </c>
      <c r="Q1555" s="303">
        <f t="shared" si="136"/>
        <v>2</v>
      </c>
      <c r="R1555" s="303">
        <f t="shared" si="137"/>
        <v>454</v>
      </c>
      <c r="S1555" s="37">
        <v>0</v>
      </c>
      <c r="T1555" s="37">
        <v>0</v>
      </c>
      <c r="U1555" s="37">
        <v>2</v>
      </c>
      <c r="V1555" s="37">
        <v>454</v>
      </c>
      <c r="W1555" s="37">
        <v>450</v>
      </c>
      <c r="X1555" s="37">
        <v>109</v>
      </c>
      <c r="Y1555" s="37">
        <v>58</v>
      </c>
      <c r="Z1555" s="37">
        <v>66</v>
      </c>
      <c r="AA1555" s="37">
        <v>2</v>
      </c>
      <c r="AB1555" s="300">
        <f t="shared" si="138"/>
        <v>139.084</v>
      </c>
      <c r="AC1555" s="300">
        <f t="shared" si="139"/>
        <v>0.83785542168674698</v>
      </c>
      <c r="AD1555" s="37">
        <v>2727.34</v>
      </c>
      <c r="AE1555" s="197" t="s">
        <v>109</v>
      </c>
      <c r="AF1555" s="197" t="s">
        <v>317</v>
      </c>
      <c r="AG1555" s="197" t="s">
        <v>317</v>
      </c>
      <c r="AH1555" s="37" t="s">
        <v>4024</v>
      </c>
      <c r="AI1555" s="309"/>
      <c r="AJ1555" s="309"/>
      <c r="AK1555" s="197" t="s">
        <v>37</v>
      </c>
      <c r="AL1555" s="37" t="s">
        <v>39</v>
      </c>
      <c r="AM1555" s="299">
        <f t="shared" ca="1" si="135"/>
        <v>0.85416666667151731</v>
      </c>
      <c r="AN1555" s="51"/>
      <c r="AO1555" s="191" t="s">
        <v>72</v>
      </c>
      <c r="AP1555" s="190" t="s">
        <v>4026</v>
      </c>
      <c r="AQ1555" s="189" t="s">
        <v>4171</v>
      </c>
      <c r="AR1555" s="192">
        <v>44917.458333333336</v>
      </c>
      <c r="AS1555" s="189" t="s">
        <v>136</v>
      </c>
      <c r="AT1555" s="189" t="s">
        <v>225</v>
      </c>
      <c r="AU1555" s="191">
        <v>0.45833333333333331</v>
      </c>
      <c r="AV1555" s="189">
        <v>1</v>
      </c>
      <c r="AW1555" s="189" t="s">
        <v>66</v>
      </c>
      <c r="AX1555" s="52"/>
      <c r="AY1555" s="52"/>
      <c r="AZ1555" s="52"/>
      <c r="BA1555" s="52"/>
    </row>
    <row r="1556" spans="1:53" x14ac:dyDescent="0.25">
      <c r="A1556" s="48">
        <v>391</v>
      </c>
      <c r="B1556" s="202">
        <v>44916.746527777781</v>
      </c>
      <c r="C1556" s="36">
        <v>0.75347222222222221</v>
      </c>
      <c r="D1556" s="36">
        <v>0.75694444444444453</v>
      </c>
      <c r="E1556" s="36">
        <v>0.76388888888888884</v>
      </c>
      <c r="F1556" s="37" t="s">
        <v>169</v>
      </c>
      <c r="G1556" s="37" t="s">
        <v>4027</v>
      </c>
      <c r="H1556" s="188" t="s">
        <v>336</v>
      </c>
      <c r="I1556" s="188" t="s">
        <v>337</v>
      </c>
      <c r="J1556" s="188" t="s">
        <v>41</v>
      </c>
      <c r="K1556" s="188" t="s">
        <v>241</v>
      </c>
      <c r="L1556" s="188" t="s">
        <v>355</v>
      </c>
      <c r="M1556" s="37" t="s">
        <v>4176</v>
      </c>
      <c r="N1556" s="37" t="s">
        <v>42</v>
      </c>
      <c r="O1556" s="37" t="s">
        <v>4028</v>
      </c>
      <c r="P1556" s="37" t="s">
        <v>4029</v>
      </c>
      <c r="Q1556" s="303">
        <f t="shared" si="136"/>
        <v>10</v>
      </c>
      <c r="R1556" s="303">
        <f t="shared" si="137"/>
        <v>243</v>
      </c>
      <c r="S1556" s="37">
        <v>10</v>
      </c>
      <c r="T1556" s="37">
        <f>269-26</f>
        <v>243</v>
      </c>
      <c r="U1556" s="37">
        <v>0</v>
      </c>
      <c r="V1556" s="37">
        <v>0</v>
      </c>
      <c r="W1556" s="37">
        <v>240.85</v>
      </c>
      <c r="X1556" s="37">
        <v>45</v>
      </c>
      <c r="Y1556" s="37">
        <v>41</v>
      </c>
      <c r="Z1556" s="37">
        <v>43</v>
      </c>
      <c r="AA1556" s="37">
        <v>7</v>
      </c>
      <c r="AB1556" s="300">
        <f t="shared" si="138"/>
        <v>92.557500000000005</v>
      </c>
      <c r="AC1556" s="300">
        <f t="shared" si="139"/>
        <v>0.55757530120481935</v>
      </c>
      <c r="AD1556" s="37">
        <v>10935</v>
      </c>
      <c r="AE1556" s="197" t="s">
        <v>109</v>
      </c>
      <c r="AF1556" s="37">
        <v>6324734</v>
      </c>
      <c r="AG1556" s="37" t="s">
        <v>4030</v>
      </c>
      <c r="AH1556" s="37" t="s">
        <v>4031</v>
      </c>
      <c r="AI1556" s="309"/>
      <c r="AJ1556" s="309"/>
      <c r="AK1556" s="37" t="s">
        <v>48</v>
      </c>
      <c r="AL1556" s="37" t="s">
        <v>47</v>
      </c>
      <c r="AM1556" s="299">
        <f t="shared" ca="1" si="135"/>
        <v>0.79513888888322981</v>
      </c>
      <c r="AN1556" s="51"/>
      <c r="AO1556" s="191" t="s">
        <v>87</v>
      </c>
      <c r="AP1556" s="190" t="s">
        <v>4176</v>
      </c>
      <c r="AQ1556" s="189" t="s">
        <v>4175</v>
      </c>
      <c r="AR1556" s="192">
        <v>44917.541666666664</v>
      </c>
      <c r="AS1556" s="191" t="s">
        <v>290</v>
      </c>
      <c r="AT1556" s="189" t="s">
        <v>65</v>
      </c>
      <c r="AU1556" s="191">
        <v>0.54166666666666663</v>
      </c>
      <c r="AV1556" s="189">
        <v>1</v>
      </c>
      <c r="AW1556" s="189" t="s">
        <v>66</v>
      </c>
      <c r="AX1556" s="52"/>
      <c r="AY1556" s="52"/>
      <c r="AZ1556" s="52"/>
      <c r="BA1556" s="52"/>
    </row>
    <row r="1557" spans="1:53" x14ac:dyDescent="0.25">
      <c r="A1557" s="203">
        <v>391</v>
      </c>
      <c r="B1557" s="202">
        <v>44916.746527777781</v>
      </c>
      <c r="C1557" s="196">
        <v>0.75347222222222221</v>
      </c>
      <c r="D1557" s="196">
        <v>0.75694444444444453</v>
      </c>
      <c r="E1557" s="196">
        <v>0.76388888888888884</v>
      </c>
      <c r="F1557" s="197" t="s">
        <v>169</v>
      </c>
      <c r="G1557" s="197" t="s">
        <v>4027</v>
      </c>
      <c r="H1557" s="188" t="s">
        <v>336</v>
      </c>
      <c r="I1557" s="188" t="s">
        <v>337</v>
      </c>
      <c r="J1557" s="188" t="s">
        <v>41</v>
      </c>
      <c r="K1557" s="188" t="s">
        <v>241</v>
      </c>
      <c r="L1557" s="188" t="s">
        <v>355</v>
      </c>
      <c r="M1557" s="197" t="s">
        <v>4176</v>
      </c>
      <c r="N1557" s="197" t="s">
        <v>42</v>
      </c>
      <c r="O1557" s="197" t="s">
        <v>4028</v>
      </c>
      <c r="P1557" s="197" t="s">
        <v>4029</v>
      </c>
      <c r="Q1557" s="303">
        <f t="shared" si="136"/>
        <v>0</v>
      </c>
      <c r="R1557" s="303">
        <f t="shared" si="137"/>
        <v>0</v>
      </c>
      <c r="S1557" s="197">
        <v>0</v>
      </c>
      <c r="T1557" s="197">
        <v>0</v>
      </c>
      <c r="U1557" s="197">
        <v>0</v>
      </c>
      <c r="V1557" s="197">
        <v>0</v>
      </c>
      <c r="W1557" s="37">
        <v>0</v>
      </c>
      <c r="X1557" s="37">
        <v>63</v>
      </c>
      <c r="Y1557" s="37">
        <v>45</v>
      </c>
      <c r="Z1557" s="37">
        <v>39</v>
      </c>
      <c r="AA1557" s="37">
        <v>1</v>
      </c>
      <c r="AB1557" s="300">
        <f t="shared" si="138"/>
        <v>18.427499999999998</v>
      </c>
      <c r="AC1557" s="300">
        <f t="shared" si="139"/>
        <v>0.1110090361445783</v>
      </c>
      <c r="AD1557" s="37">
        <v>0</v>
      </c>
      <c r="AE1557" s="197" t="s">
        <v>109</v>
      </c>
      <c r="AF1557" s="197">
        <v>6324734</v>
      </c>
      <c r="AG1557" s="197" t="s">
        <v>4030</v>
      </c>
      <c r="AH1557" s="37">
        <v>0</v>
      </c>
      <c r="AI1557" s="309"/>
      <c r="AJ1557" s="309"/>
      <c r="AK1557" s="197" t="s">
        <v>48</v>
      </c>
      <c r="AL1557" s="197" t="s">
        <v>47</v>
      </c>
      <c r="AM1557" s="299">
        <f t="shared" ca="1" si="135"/>
        <v>0.79513888888322981</v>
      </c>
      <c r="AN1557" s="51"/>
      <c r="AO1557" s="191" t="s">
        <v>87</v>
      </c>
      <c r="AP1557" s="190" t="s">
        <v>4176</v>
      </c>
      <c r="AQ1557" s="189" t="s">
        <v>4175</v>
      </c>
      <c r="AR1557" s="192">
        <v>44917.541666666664</v>
      </c>
      <c r="AS1557" s="191" t="s">
        <v>290</v>
      </c>
      <c r="AT1557" s="189" t="s">
        <v>65</v>
      </c>
      <c r="AU1557" s="191">
        <v>0.54166666666666663</v>
      </c>
      <c r="AV1557" s="189">
        <v>1</v>
      </c>
      <c r="AW1557" s="189" t="s">
        <v>66</v>
      </c>
      <c r="AX1557" s="52"/>
      <c r="AY1557" s="52"/>
      <c r="AZ1557" s="52"/>
      <c r="BA1557" s="52"/>
    </row>
    <row r="1558" spans="1:53" x14ac:dyDescent="0.25">
      <c r="A1558" s="203">
        <v>391</v>
      </c>
      <c r="B1558" s="202">
        <v>44916.746527777781</v>
      </c>
      <c r="C1558" s="196">
        <v>0.75347222222222221</v>
      </c>
      <c r="D1558" s="196">
        <v>0.75694444444444453</v>
      </c>
      <c r="E1558" s="196">
        <v>0.76388888888888884</v>
      </c>
      <c r="F1558" s="197" t="s">
        <v>169</v>
      </c>
      <c r="G1558" s="197" t="s">
        <v>4027</v>
      </c>
      <c r="H1558" s="188" t="s">
        <v>336</v>
      </c>
      <c r="I1558" s="188" t="s">
        <v>337</v>
      </c>
      <c r="J1558" s="188" t="s">
        <v>41</v>
      </c>
      <c r="K1558" s="188" t="s">
        <v>241</v>
      </c>
      <c r="L1558" s="188" t="s">
        <v>355</v>
      </c>
      <c r="M1558" s="197" t="s">
        <v>4176</v>
      </c>
      <c r="N1558" s="197" t="s">
        <v>42</v>
      </c>
      <c r="O1558" s="197" t="s">
        <v>4028</v>
      </c>
      <c r="P1558" s="197" t="s">
        <v>4029</v>
      </c>
      <c r="Q1558" s="303">
        <f t="shared" si="136"/>
        <v>0</v>
      </c>
      <c r="R1558" s="303">
        <f t="shared" si="137"/>
        <v>0</v>
      </c>
      <c r="S1558" s="197">
        <v>0</v>
      </c>
      <c r="T1558" s="197">
        <v>0</v>
      </c>
      <c r="U1558" s="197">
        <v>0</v>
      </c>
      <c r="V1558" s="197">
        <v>0</v>
      </c>
      <c r="W1558" s="197">
        <v>0</v>
      </c>
      <c r="X1558" s="37">
        <v>39</v>
      </c>
      <c r="Y1558" s="37">
        <v>37</v>
      </c>
      <c r="Z1558" s="37">
        <v>24</v>
      </c>
      <c r="AA1558" s="37">
        <v>1</v>
      </c>
      <c r="AB1558" s="300">
        <f t="shared" si="138"/>
        <v>5.7720000000000002</v>
      </c>
      <c r="AC1558" s="300">
        <f t="shared" si="139"/>
        <v>3.4771084337349399E-2</v>
      </c>
      <c r="AD1558" s="197">
        <v>0</v>
      </c>
      <c r="AE1558" s="197" t="s">
        <v>109</v>
      </c>
      <c r="AF1558" s="197">
        <v>6324734</v>
      </c>
      <c r="AG1558" s="197" t="s">
        <v>4030</v>
      </c>
      <c r="AH1558" s="37">
        <v>0</v>
      </c>
      <c r="AI1558" s="309"/>
      <c r="AJ1558" s="309"/>
      <c r="AK1558" s="197" t="s">
        <v>48</v>
      </c>
      <c r="AL1558" s="197" t="s">
        <v>47</v>
      </c>
      <c r="AM1558" s="299">
        <f t="shared" ca="1" si="135"/>
        <v>0.79513888888322981</v>
      </c>
      <c r="AN1558" s="51"/>
      <c r="AO1558" s="191" t="s">
        <v>87</v>
      </c>
      <c r="AP1558" s="190" t="s">
        <v>4176</v>
      </c>
      <c r="AQ1558" s="189" t="s">
        <v>4175</v>
      </c>
      <c r="AR1558" s="192">
        <v>44917.541666666664</v>
      </c>
      <c r="AS1558" s="191" t="s">
        <v>290</v>
      </c>
      <c r="AT1558" s="189" t="s">
        <v>65</v>
      </c>
      <c r="AU1558" s="191">
        <v>0.54166666666666663</v>
      </c>
      <c r="AV1558" s="189">
        <v>1</v>
      </c>
      <c r="AW1558" s="189" t="s">
        <v>66</v>
      </c>
      <c r="AX1558" s="52"/>
      <c r="AY1558" s="52"/>
      <c r="AZ1558" s="52"/>
      <c r="BA1558" s="52"/>
    </row>
    <row r="1559" spans="1:53" x14ac:dyDescent="0.25">
      <c r="A1559" s="203">
        <v>391</v>
      </c>
      <c r="B1559" s="202">
        <v>44916.746527777781</v>
      </c>
      <c r="C1559" s="196">
        <v>0.75347222222222221</v>
      </c>
      <c r="D1559" s="196">
        <v>0.75694444444444453</v>
      </c>
      <c r="E1559" s="196">
        <v>0.76388888888888884</v>
      </c>
      <c r="F1559" s="197" t="s">
        <v>169</v>
      </c>
      <c r="G1559" s="197" t="s">
        <v>4027</v>
      </c>
      <c r="H1559" s="188" t="s">
        <v>336</v>
      </c>
      <c r="I1559" s="188" t="s">
        <v>337</v>
      </c>
      <c r="J1559" s="188" t="s">
        <v>41</v>
      </c>
      <c r="K1559" s="188" t="s">
        <v>241</v>
      </c>
      <c r="L1559" s="188" t="s">
        <v>355</v>
      </c>
      <c r="M1559" s="197" t="s">
        <v>4176</v>
      </c>
      <c r="N1559" s="197" t="s">
        <v>42</v>
      </c>
      <c r="O1559" s="197" t="s">
        <v>4028</v>
      </c>
      <c r="P1559" s="197" t="s">
        <v>4029</v>
      </c>
      <c r="Q1559" s="303">
        <f t="shared" si="136"/>
        <v>0</v>
      </c>
      <c r="R1559" s="303">
        <f t="shared" si="137"/>
        <v>0</v>
      </c>
      <c r="S1559" s="197">
        <v>0</v>
      </c>
      <c r="T1559" s="197">
        <v>0</v>
      </c>
      <c r="U1559" s="197">
        <v>0</v>
      </c>
      <c r="V1559" s="197">
        <v>0</v>
      </c>
      <c r="W1559" s="197">
        <v>0</v>
      </c>
      <c r="X1559" s="37">
        <v>45</v>
      </c>
      <c r="Y1559" s="37">
        <v>42</v>
      </c>
      <c r="Z1559" s="37">
        <v>25</v>
      </c>
      <c r="AA1559" s="37">
        <v>1</v>
      </c>
      <c r="AB1559" s="300">
        <f t="shared" si="138"/>
        <v>7.875</v>
      </c>
      <c r="AC1559" s="300">
        <f t="shared" si="139"/>
        <v>4.7439759036144578E-2</v>
      </c>
      <c r="AD1559" s="197">
        <v>0</v>
      </c>
      <c r="AE1559" s="197" t="s">
        <v>109</v>
      </c>
      <c r="AF1559" s="197">
        <v>6324734</v>
      </c>
      <c r="AG1559" s="197" t="s">
        <v>4030</v>
      </c>
      <c r="AH1559" s="37">
        <v>0</v>
      </c>
      <c r="AI1559" s="309"/>
      <c r="AJ1559" s="309"/>
      <c r="AK1559" s="197" t="s">
        <v>48</v>
      </c>
      <c r="AL1559" s="197" t="s">
        <v>47</v>
      </c>
      <c r="AM1559" s="299">
        <f t="shared" ca="1" si="135"/>
        <v>0.79513888888322981</v>
      </c>
      <c r="AN1559" s="51"/>
      <c r="AO1559" s="191" t="s">
        <v>87</v>
      </c>
      <c r="AP1559" s="190" t="s">
        <v>4176</v>
      </c>
      <c r="AQ1559" s="189" t="s">
        <v>4175</v>
      </c>
      <c r="AR1559" s="192">
        <v>44917.541666666664</v>
      </c>
      <c r="AS1559" s="191" t="s">
        <v>290</v>
      </c>
      <c r="AT1559" s="189" t="s">
        <v>65</v>
      </c>
      <c r="AU1559" s="191">
        <v>0.54166666666666663</v>
      </c>
      <c r="AV1559" s="189">
        <v>1</v>
      </c>
      <c r="AW1559" s="189" t="s">
        <v>66</v>
      </c>
      <c r="AX1559" s="52"/>
      <c r="AY1559" s="52"/>
      <c r="AZ1559" s="52"/>
      <c r="BA1559" s="52"/>
    </row>
    <row r="1560" spans="1:53" x14ac:dyDescent="0.25">
      <c r="A1560" s="48">
        <v>392</v>
      </c>
      <c r="B1560" s="202">
        <v>44916.625</v>
      </c>
      <c r="C1560" s="36">
        <v>0.69444444444444453</v>
      </c>
      <c r="D1560" s="36">
        <v>0.70138888888888884</v>
      </c>
      <c r="E1560" s="36">
        <v>0.77777777777777779</v>
      </c>
      <c r="F1560" s="37" t="s">
        <v>170</v>
      </c>
      <c r="G1560" s="37" t="s">
        <v>437</v>
      </c>
      <c r="H1560" s="26" t="s">
        <v>227</v>
      </c>
      <c r="I1560" s="26" t="s">
        <v>189</v>
      </c>
      <c r="J1560" s="195" t="s">
        <v>37</v>
      </c>
      <c r="K1560" s="195" t="s">
        <v>63</v>
      </c>
      <c r="L1560" s="200" t="s">
        <v>206</v>
      </c>
      <c r="M1560" s="37" t="s">
        <v>4032</v>
      </c>
      <c r="N1560" s="37" t="s">
        <v>42</v>
      </c>
      <c r="O1560" s="37" t="s">
        <v>4033</v>
      </c>
      <c r="P1560" s="37">
        <v>3719</v>
      </c>
      <c r="Q1560" s="303">
        <f t="shared" si="136"/>
        <v>7</v>
      </c>
      <c r="R1560" s="303">
        <f t="shared" si="137"/>
        <v>129</v>
      </c>
      <c r="S1560" s="37">
        <v>7</v>
      </c>
      <c r="T1560" s="198">
        <f>146-17</f>
        <v>129</v>
      </c>
      <c r="U1560" s="37">
        <v>0</v>
      </c>
      <c r="V1560" s="37">
        <v>0</v>
      </c>
      <c r="W1560" s="198">
        <v>72.7</v>
      </c>
      <c r="X1560" s="37">
        <v>84</v>
      </c>
      <c r="Y1560" s="37">
        <v>52</v>
      </c>
      <c r="Z1560" s="37">
        <v>63</v>
      </c>
      <c r="AA1560" s="37">
        <v>7</v>
      </c>
      <c r="AB1560" s="300">
        <f t="shared" si="138"/>
        <v>321.048</v>
      </c>
      <c r="AC1560" s="300">
        <f t="shared" si="139"/>
        <v>1.9340240963855422</v>
      </c>
      <c r="AD1560" s="37">
        <v>4906.4399999999996</v>
      </c>
      <c r="AE1560" s="197" t="s">
        <v>109</v>
      </c>
      <c r="AF1560" s="37" t="s">
        <v>317</v>
      </c>
      <c r="AG1560" s="37" t="s">
        <v>317</v>
      </c>
      <c r="AH1560" s="37" t="s">
        <v>4034</v>
      </c>
      <c r="AI1560" s="309"/>
      <c r="AJ1560" s="309"/>
      <c r="AK1560" s="37" t="s">
        <v>48</v>
      </c>
      <c r="AL1560" s="37" t="s">
        <v>56</v>
      </c>
      <c r="AM1560" s="299">
        <f t="shared" ca="1" si="135"/>
        <v>1.125</v>
      </c>
      <c r="AN1560" s="51"/>
      <c r="AO1560" s="191" t="s">
        <v>89</v>
      </c>
      <c r="AP1560" s="190" t="s">
        <v>4032</v>
      </c>
      <c r="AQ1560" s="189" t="s">
        <v>4178</v>
      </c>
      <c r="AR1560" s="192">
        <v>44917.75</v>
      </c>
      <c r="AS1560" s="186" t="s">
        <v>173</v>
      </c>
      <c r="AT1560" s="189" t="s">
        <v>225</v>
      </c>
      <c r="AU1560" s="191">
        <v>0.75</v>
      </c>
      <c r="AV1560" s="189">
        <v>2</v>
      </c>
      <c r="AW1560" s="189" t="s">
        <v>66</v>
      </c>
      <c r="AX1560" s="52"/>
      <c r="AY1560" s="52"/>
      <c r="AZ1560" s="52"/>
      <c r="BA1560" s="52"/>
    </row>
    <row r="1561" spans="1:53" x14ac:dyDescent="0.25">
      <c r="A1561" s="48">
        <v>393</v>
      </c>
      <c r="B1561" s="202">
        <v>44916.625</v>
      </c>
      <c r="C1561" s="196">
        <v>0.69444444444444453</v>
      </c>
      <c r="D1561" s="196">
        <v>0.70138888888888884</v>
      </c>
      <c r="E1561" s="196">
        <v>0.77777777777777779</v>
      </c>
      <c r="F1561" s="197" t="s">
        <v>170</v>
      </c>
      <c r="G1561" s="197" t="s">
        <v>437</v>
      </c>
      <c r="H1561" s="188" t="s">
        <v>227</v>
      </c>
      <c r="I1561" s="188" t="s">
        <v>189</v>
      </c>
      <c r="J1561" s="195" t="s">
        <v>37</v>
      </c>
      <c r="K1561" s="195" t="s">
        <v>63</v>
      </c>
      <c r="L1561" s="200" t="s">
        <v>206</v>
      </c>
      <c r="M1561" s="37" t="s">
        <v>4036</v>
      </c>
      <c r="N1561" s="197" t="s">
        <v>43</v>
      </c>
      <c r="O1561" s="37" t="s">
        <v>4035</v>
      </c>
      <c r="P1561" s="37">
        <v>32373</v>
      </c>
      <c r="Q1561" s="303">
        <f t="shared" si="136"/>
        <v>7</v>
      </c>
      <c r="R1561" s="303">
        <f t="shared" si="137"/>
        <v>130</v>
      </c>
      <c r="S1561" s="37">
        <v>7</v>
      </c>
      <c r="T1561" s="198">
        <f>152-22</f>
        <v>130</v>
      </c>
      <c r="U1561" s="37">
        <v>0</v>
      </c>
      <c r="V1561" s="37">
        <v>0</v>
      </c>
      <c r="W1561" s="198">
        <v>70.7</v>
      </c>
      <c r="X1561" s="37">
        <v>84</v>
      </c>
      <c r="Y1561" s="37">
        <v>52</v>
      </c>
      <c r="Z1561" s="37">
        <v>63</v>
      </c>
      <c r="AA1561" s="37">
        <v>7</v>
      </c>
      <c r="AB1561" s="300">
        <f t="shared" si="138"/>
        <v>321.048</v>
      </c>
      <c r="AC1561" s="300">
        <f t="shared" si="139"/>
        <v>1.9340240963855422</v>
      </c>
      <c r="AD1561" s="37">
        <v>6690.6</v>
      </c>
      <c r="AE1561" s="197" t="s">
        <v>109</v>
      </c>
      <c r="AF1561" s="197" t="s">
        <v>317</v>
      </c>
      <c r="AG1561" s="197" t="s">
        <v>317</v>
      </c>
      <c r="AH1561" s="197" t="s">
        <v>4037</v>
      </c>
      <c r="AI1561" s="309"/>
      <c r="AJ1561" s="309"/>
      <c r="AK1561" s="197" t="s">
        <v>48</v>
      </c>
      <c r="AL1561" s="197" t="s">
        <v>56</v>
      </c>
      <c r="AM1561" s="299">
        <f t="shared" ca="1" si="135"/>
        <v>0.83333333333575865</v>
      </c>
      <c r="AN1561" s="51"/>
      <c r="AO1561" s="191" t="s">
        <v>179</v>
      </c>
      <c r="AP1561" s="190" t="s">
        <v>4041</v>
      </c>
      <c r="AQ1561" s="189" t="s">
        <v>4170</v>
      </c>
      <c r="AR1561" s="192">
        <v>44917.458333333336</v>
      </c>
      <c r="AS1561" s="189" t="s">
        <v>136</v>
      </c>
      <c r="AT1561" s="189" t="s">
        <v>225</v>
      </c>
      <c r="AU1561" s="191">
        <v>0.45833333333333331</v>
      </c>
      <c r="AV1561" s="189">
        <v>1</v>
      </c>
      <c r="AW1561" s="189" t="s">
        <v>66</v>
      </c>
      <c r="AX1561" s="52"/>
      <c r="AY1561" s="52"/>
      <c r="AZ1561" s="52"/>
      <c r="BA1561" s="52"/>
    </row>
    <row r="1562" spans="1:53" x14ac:dyDescent="0.25">
      <c r="A1562" s="48">
        <v>394</v>
      </c>
      <c r="B1562" s="202">
        <v>44916.625</v>
      </c>
      <c r="C1562" s="196">
        <v>0.69444444444444453</v>
      </c>
      <c r="D1562" s="196">
        <v>0.70138888888888884</v>
      </c>
      <c r="E1562" s="196">
        <v>0.77777777777777779</v>
      </c>
      <c r="F1562" s="197" t="s">
        <v>170</v>
      </c>
      <c r="G1562" s="197" t="s">
        <v>437</v>
      </c>
      <c r="H1562" s="188" t="s">
        <v>227</v>
      </c>
      <c r="I1562" s="188" t="s">
        <v>189</v>
      </c>
      <c r="J1562" s="195" t="s">
        <v>37</v>
      </c>
      <c r="K1562" s="195" t="s">
        <v>63</v>
      </c>
      <c r="L1562" s="200" t="s">
        <v>206</v>
      </c>
      <c r="M1562" s="37" t="s">
        <v>4041</v>
      </c>
      <c r="N1562" s="37" t="s">
        <v>43</v>
      </c>
      <c r="O1562" s="37" t="s">
        <v>4038</v>
      </c>
      <c r="P1562" s="37" t="s">
        <v>4039</v>
      </c>
      <c r="Q1562" s="303">
        <f t="shared" si="136"/>
        <v>4</v>
      </c>
      <c r="R1562" s="303">
        <f t="shared" si="137"/>
        <v>1157</v>
      </c>
      <c r="S1562" s="37">
        <v>0</v>
      </c>
      <c r="T1562" s="37">
        <v>0</v>
      </c>
      <c r="U1562" s="37">
        <v>4</v>
      </c>
      <c r="V1562" s="198">
        <f>581+345+109+122</f>
        <v>1157</v>
      </c>
      <c r="W1562" s="198">
        <v>1090</v>
      </c>
      <c r="X1562" s="37">
        <v>160</v>
      </c>
      <c r="Y1562" s="37">
        <v>73</v>
      </c>
      <c r="Z1562" s="37">
        <v>78</v>
      </c>
      <c r="AA1562" s="37">
        <v>2</v>
      </c>
      <c r="AB1562" s="300">
        <f t="shared" si="138"/>
        <v>303.68</v>
      </c>
      <c r="AC1562" s="300">
        <f t="shared" si="139"/>
        <v>1.8293975903614459</v>
      </c>
      <c r="AD1562" s="37">
        <f>1118.1975+11331.2096+1818.144+3082.16+4905.13</f>
        <v>22254.841100000001</v>
      </c>
      <c r="AE1562" s="197" t="s">
        <v>109</v>
      </c>
      <c r="AF1562" s="197" t="s">
        <v>317</v>
      </c>
      <c r="AG1562" s="197" t="s">
        <v>317</v>
      </c>
      <c r="AH1562" s="37" t="s">
        <v>4040</v>
      </c>
      <c r="AI1562" s="309"/>
      <c r="AJ1562" s="309"/>
      <c r="AK1562" s="37" t="s">
        <v>37</v>
      </c>
      <c r="AL1562" s="37" t="s">
        <v>39</v>
      </c>
      <c r="AM1562" s="299">
        <f t="shared" ca="1" si="135"/>
        <v>0.83333333333575865</v>
      </c>
      <c r="AN1562" s="51"/>
      <c r="AO1562" s="191" t="s">
        <v>179</v>
      </c>
      <c r="AP1562" s="190" t="s">
        <v>4041</v>
      </c>
      <c r="AQ1562" s="189" t="s">
        <v>4170</v>
      </c>
      <c r="AR1562" s="192">
        <v>44917.458333333336</v>
      </c>
      <c r="AS1562" s="189" t="s">
        <v>136</v>
      </c>
      <c r="AT1562" s="189" t="s">
        <v>225</v>
      </c>
      <c r="AU1562" s="191">
        <v>0.45833333333333331</v>
      </c>
      <c r="AV1562" s="189">
        <v>1</v>
      </c>
      <c r="AW1562" s="189" t="s">
        <v>66</v>
      </c>
      <c r="AX1562" s="52"/>
      <c r="AY1562" s="52"/>
      <c r="AZ1562" s="52"/>
      <c r="BA1562" s="52"/>
    </row>
    <row r="1563" spans="1:53" x14ac:dyDescent="0.25">
      <c r="A1563" s="203">
        <v>394</v>
      </c>
      <c r="B1563" s="202">
        <v>44916.625</v>
      </c>
      <c r="C1563" s="196">
        <v>0.69444444444444453</v>
      </c>
      <c r="D1563" s="196">
        <v>0.70138888888888884</v>
      </c>
      <c r="E1563" s="196">
        <v>0.77777777777777779</v>
      </c>
      <c r="F1563" s="197" t="s">
        <v>170</v>
      </c>
      <c r="G1563" s="197" t="s">
        <v>437</v>
      </c>
      <c r="H1563" s="188" t="s">
        <v>227</v>
      </c>
      <c r="I1563" s="188" t="s">
        <v>189</v>
      </c>
      <c r="J1563" s="195" t="s">
        <v>37</v>
      </c>
      <c r="K1563" s="195" t="s">
        <v>63</v>
      </c>
      <c r="L1563" s="200" t="s">
        <v>206</v>
      </c>
      <c r="M1563" s="197" t="s">
        <v>4041</v>
      </c>
      <c r="N1563" s="197" t="s">
        <v>43</v>
      </c>
      <c r="O1563" s="197" t="s">
        <v>4038</v>
      </c>
      <c r="P1563" s="197" t="s">
        <v>4039</v>
      </c>
      <c r="Q1563" s="303">
        <f t="shared" si="136"/>
        <v>0</v>
      </c>
      <c r="R1563" s="303">
        <f t="shared" si="137"/>
        <v>0</v>
      </c>
      <c r="S1563" s="37">
        <v>0</v>
      </c>
      <c r="T1563" s="37">
        <v>0</v>
      </c>
      <c r="U1563" s="37">
        <v>0</v>
      </c>
      <c r="V1563" s="37">
        <v>0</v>
      </c>
      <c r="W1563" s="37">
        <v>0</v>
      </c>
      <c r="X1563" s="37">
        <v>160</v>
      </c>
      <c r="Y1563" s="37">
        <v>138</v>
      </c>
      <c r="Z1563" s="37">
        <v>78</v>
      </c>
      <c r="AA1563" s="37">
        <v>2</v>
      </c>
      <c r="AB1563" s="300">
        <f t="shared" si="138"/>
        <v>574.08000000000004</v>
      </c>
      <c r="AC1563" s="300">
        <f t="shared" si="139"/>
        <v>3.4583132530120486</v>
      </c>
      <c r="AD1563" s="37">
        <v>0</v>
      </c>
      <c r="AE1563" s="197" t="s">
        <v>109</v>
      </c>
      <c r="AF1563" s="197" t="s">
        <v>317</v>
      </c>
      <c r="AG1563" s="197" t="s">
        <v>317</v>
      </c>
      <c r="AH1563" s="37">
        <v>0</v>
      </c>
      <c r="AI1563" s="309"/>
      <c r="AJ1563" s="309"/>
      <c r="AK1563" s="197" t="s">
        <v>37</v>
      </c>
      <c r="AL1563" s="197" t="s">
        <v>39</v>
      </c>
      <c r="AM1563" s="299">
        <f t="shared" ca="1" si="135"/>
        <v>0.83333333333575865</v>
      </c>
      <c r="AN1563" s="51"/>
      <c r="AO1563" s="191" t="s">
        <v>179</v>
      </c>
      <c r="AP1563" s="190" t="s">
        <v>4041</v>
      </c>
      <c r="AQ1563" s="189" t="s">
        <v>4170</v>
      </c>
      <c r="AR1563" s="192">
        <v>44917.458333333336</v>
      </c>
      <c r="AS1563" s="189" t="s">
        <v>136</v>
      </c>
      <c r="AT1563" s="189" t="s">
        <v>225</v>
      </c>
      <c r="AU1563" s="191">
        <v>0.45833333333333331</v>
      </c>
      <c r="AV1563" s="189">
        <v>1</v>
      </c>
      <c r="AW1563" s="189" t="s">
        <v>66</v>
      </c>
      <c r="AX1563" s="52"/>
      <c r="AY1563" s="52"/>
      <c r="AZ1563" s="52"/>
      <c r="BA1563" s="52"/>
    </row>
    <row r="1564" spans="1:53" x14ac:dyDescent="0.25">
      <c r="A1564" s="48">
        <v>395</v>
      </c>
      <c r="B1564" s="202">
        <v>44916.722222222219</v>
      </c>
      <c r="C1564" s="36">
        <v>0.75</v>
      </c>
      <c r="D1564" s="36">
        <v>0.76041666666666663</v>
      </c>
      <c r="E1564" s="36">
        <v>0.79166666666666663</v>
      </c>
      <c r="F1564" s="37" t="s">
        <v>170</v>
      </c>
      <c r="G1564" s="37" t="s">
        <v>276</v>
      </c>
      <c r="H1564" s="197" t="s">
        <v>356</v>
      </c>
      <c r="I1564" s="26" t="s">
        <v>4042</v>
      </c>
      <c r="J1564" s="26" t="s">
        <v>41</v>
      </c>
      <c r="K1564" s="195" t="s">
        <v>63</v>
      </c>
      <c r="L1564" s="200" t="s">
        <v>206</v>
      </c>
      <c r="M1564" s="37" t="s">
        <v>4044</v>
      </c>
      <c r="N1564" s="37" t="s">
        <v>42</v>
      </c>
      <c r="O1564" s="37">
        <v>8275002297</v>
      </c>
      <c r="P1564" s="37">
        <v>4502369811</v>
      </c>
      <c r="Q1564" s="303">
        <f t="shared" si="136"/>
        <v>1</v>
      </c>
      <c r="R1564" s="303">
        <f t="shared" si="137"/>
        <v>78</v>
      </c>
      <c r="S1564" s="37">
        <v>0</v>
      </c>
      <c r="T1564" s="37">
        <v>0</v>
      </c>
      <c r="U1564" s="37">
        <v>1</v>
      </c>
      <c r="V1564" s="37">
        <v>78</v>
      </c>
      <c r="W1564" s="37">
        <v>71</v>
      </c>
      <c r="X1564" s="37">
        <v>46</v>
      </c>
      <c r="Y1564" s="37">
        <v>45</v>
      </c>
      <c r="Z1564" s="37">
        <v>61</v>
      </c>
      <c r="AA1564" s="37">
        <v>1</v>
      </c>
      <c r="AB1564" s="300">
        <f t="shared" si="138"/>
        <v>21.045000000000002</v>
      </c>
      <c r="AC1564" s="300">
        <f t="shared" si="139"/>
        <v>0.12677710843373494</v>
      </c>
      <c r="AD1564" s="37">
        <v>936</v>
      </c>
      <c r="AE1564" s="197" t="s">
        <v>109</v>
      </c>
      <c r="AF1564" s="197" t="s">
        <v>317</v>
      </c>
      <c r="AG1564" s="197" t="s">
        <v>317</v>
      </c>
      <c r="AH1564" s="197">
        <v>0</v>
      </c>
      <c r="AI1564" s="309"/>
      <c r="AJ1564" s="309"/>
      <c r="AK1564" s="197" t="s">
        <v>37</v>
      </c>
      <c r="AL1564" s="197" t="s">
        <v>39</v>
      </c>
      <c r="AM1564" s="299">
        <f t="shared" ca="1" si="135"/>
        <v>1.9930555555620231</v>
      </c>
      <c r="AN1564" s="51"/>
      <c r="AO1564" s="189" t="s">
        <v>120</v>
      </c>
      <c r="AP1564" s="190" t="s">
        <v>4044</v>
      </c>
      <c r="AQ1564" s="189" t="s">
        <v>4242</v>
      </c>
      <c r="AR1564" s="192">
        <v>44918.715277777781</v>
      </c>
      <c r="AS1564" s="186" t="s">
        <v>483</v>
      </c>
      <c r="AT1564" s="189" t="s">
        <v>225</v>
      </c>
      <c r="AU1564" s="191">
        <v>0.71527777777777779</v>
      </c>
      <c r="AV1564" s="189">
        <v>3</v>
      </c>
      <c r="AW1564" s="189" t="s">
        <v>66</v>
      </c>
      <c r="AX1564" s="52"/>
      <c r="AY1564" s="52"/>
      <c r="AZ1564" s="52"/>
      <c r="BA1564" s="52"/>
    </row>
    <row r="1565" spans="1:53" x14ac:dyDescent="0.25">
      <c r="A1565" s="48">
        <v>396</v>
      </c>
      <c r="B1565" s="202">
        <v>44916.722222222219</v>
      </c>
      <c r="C1565" s="196">
        <v>0.75</v>
      </c>
      <c r="D1565" s="196">
        <v>0.76041666666666663</v>
      </c>
      <c r="E1565" s="196">
        <v>0.79166666666666663</v>
      </c>
      <c r="F1565" s="197" t="s">
        <v>170</v>
      </c>
      <c r="G1565" s="197" t="s">
        <v>276</v>
      </c>
      <c r="H1565" s="197" t="s">
        <v>356</v>
      </c>
      <c r="I1565" s="188" t="s">
        <v>4042</v>
      </c>
      <c r="J1565" s="188" t="s">
        <v>41</v>
      </c>
      <c r="K1565" s="195" t="s">
        <v>63</v>
      </c>
      <c r="L1565" s="200" t="s">
        <v>206</v>
      </c>
      <c r="M1565" s="197" t="s">
        <v>4044</v>
      </c>
      <c r="N1565" s="197" t="s">
        <v>42</v>
      </c>
      <c r="O1565" s="37">
        <v>8275002296</v>
      </c>
      <c r="P1565" s="37">
        <v>4502369368</v>
      </c>
      <c r="Q1565" s="303">
        <f t="shared" si="136"/>
        <v>2</v>
      </c>
      <c r="R1565" s="303">
        <f t="shared" si="137"/>
        <v>41</v>
      </c>
      <c r="S1565" s="37">
        <v>0</v>
      </c>
      <c r="T1565" s="37">
        <v>0</v>
      </c>
      <c r="U1565" s="37">
        <v>2</v>
      </c>
      <c r="V1565" s="37">
        <v>41</v>
      </c>
      <c r="W1565" s="37">
        <v>38</v>
      </c>
      <c r="X1565" s="37">
        <v>33</v>
      </c>
      <c r="Y1565" s="37">
        <v>29</v>
      </c>
      <c r="Z1565" s="37">
        <v>38</v>
      </c>
      <c r="AA1565" s="37">
        <v>2</v>
      </c>
      <c r="AB1565" s="300">
        <f t="shared" si="138"/>
        <v>12.122</v>
      </c>
      <c r="AC1565" s="300">
        <f t="shared" si="139"/>
        <v>7.3024096385542164E-2</v>
      </c>
      <c r="AD1565" s="37">
        <v>447.8</v>
      </c>
      <c r="AE1565" s="197" t="s">
        <v>109</v>
      </c>
      <c r="AF1565" s="197" t="s">
        <v>317</v>
      </c>
      <c r="AG1565" s="197" t="s">
        <v>317</v>
      </c>
      <c r="AH1565" s="37" t="s">
        <v>4045</v>
      </c>
      <c r="AI1565" s="309"/>
      <c r="AJ1565" s="309"/>
      <c r="AK1565" s="197" t="s">
        <v>37</v>
      </c>
      <c r="AL1565" s="197" t="s">
        <v>39</v>
      </c>
      <c r="AM1565" s="299">
        <f t="shared" ca="1" si="135"/>
        <v>1.9930555555620231</v>
      </c>
      <c r="AN1565" s="51"/>
      <c r="AO1565" s="189" t="s">
        <v>120</v>
      </c>
      <c r="AP1565" s="190" t="s">
        <v>4044</v>
      </c>
      <c r="AQ1565" s="189" t="s">
        <v>4242</v>
      </c>
      <c r="AR1565" s="192">
        <v>44918.715277777781</v>
      </c>
      <c r="AS1565" s="186" t="s">
        <v>483</v>
      </c>
      <c r="AT1565" s="189" t="s">
        <v>225</v>
      </c>
      <c r="AU1565" s="191">
        <v>0.71527777777777779</v>
      </c>
      <c r="AV1565" s="189">
        <v>3</v>
      </c>
      <c r="AW1565" s="189" t="s">
        <v>66</v>
      </c>
      <c r="AX1565" s="52"/>
      <c r="AY1565" s="52"/>
      <c r="AZ1565" s="52"/>
      <c r="BA1565" s="52"/>
    </row>
    <row r="1566" spans="1:53" x14ac:dyDescent="0.25">
      <c r="A1566" s="48">
        <v>397</v>
      </c>
      <c r="B1566" s="202">
        <v>44916.722222222219</v>
      </c>
      <c r="C1566" s="196">
        <v>0.75</v>
      </c>
      <c r="D1566" s="196">
        <v>0.76041666666666663</v>
      </c>
      <c r="E1566" s="196">
        <v>0.79166666666666663</v>
      </c>
      <c r="F1566" s="197" t="s">
        <v>170</v>
      </c>
      <c r="G1566" s="197" t="s">
        <v>276</v>
      </c>
      <c r="H1566" s="26" t="s">
        <v>4043</v>
      </c>
      <c r="I1566" s="26" t="s">
        <v>195</v>
      </c>
      <c r="J1566" s="26" t="s">
        <v>37</v>
      </c>
      <c r="K1566" s="195" t="s">
        <v>63</v>
      </c>
      <c r="L1566" s="200" t="s">
        <v>206</v>
      </c>
      <c r="M1566" s="37" t="s">
        <v>4046</v>
      </c>
      <c r="N1566" s="197" t="s">
        <v>42</v>
      </c>
      <c r="O1566" s="37" t="s">
        <v>4047</v>
      </c>
      <c r="P1566" s="37" t="s">
        <v>4048</v>
      </c>
      <c r="Q1566" s="303">
        <f t="shared" si="136"/>
        <v>3</v>
      </c>
      <c r="R1566" s="303">
        <f t="shared" si="137"/>
        <v>1826</v>
      </c>
      <c r="S1566" s="37">
        <v>0</v>
      </c>
      <c r="T1566" s="37">
        <v>0</v>
      </c>
      <c r="U1566" s="37">
        <v>3</v>
      </c>
      <c r="V1566" s="37">
        <f>182+824+820</f>
        <v>1826</v>
      </c>
      <c r="W1566" s="37">
        <v>1690.03</v>
      </c>
      <c r="X1566" s="37">
        <v>92</v>
      </c>
      <c r="Y1566" s="37">
        <v>62</v>
      </c>
      <c r="Z1566" s="37">
        <v>32</v>
      </c>
      <c r="AA1566" s="37">
        <v>1</v>
      </c>
      <c r="AB1566" s="300">
        <f t="shared" si="138"/>
        <v>30.421333333333333</v>
      </c>
      <c r="AC1566" s="300">
        <f t="shared" si="139"/>
        <v>0.18326104417670683</v>
      </c>
      <c r="AD1566" s="37">
        <v>0</v>
      </c>
      <c r="AE1566" s="197" t="s">
        <v>109</v>
      </c>
      <c r="AF1566" s="197" t="s">
        <v>317</v>
      </c>
      <c r="AG1566" s="197" t="s">
        <v>317</v>
      </c>
      <c r="AH1566" s="37">
        <v>0</v>
      </c>
      <c r="AI1566" s="309"/>
      <c r="AJ1566" s="309"/>
      <c r="AK1566" s="197" t="s">
        <v>37</v>
      </c>
      <c r="AL1566" s="197" t="s">
        <v>39</v>
      </c>
      <c r="AM1566" s="299">
        <f t="shared" ca="1" si="135"/>
        <v>0.76041666667151731</v>
      </c>
      <c r="AN1566" s="51"/>
      <c r="AO1566" s="191" t="s">
        <v>128</v>
      </c>
      <c r="AP1566" s="190" t="s">
        <v>4046</v>
      </c>
      <c r="AQ1566" s="189" t="s">
        <v>4173</v>
      </c>
      <c r="AR1566" s="192">
        <v>44917.482638888891</v>
      </c>
      <c r="AS1566" s="186" t="s">
        <v>173</v>
      </c>
      <c r="AT1566" s="189" t="s">
        <v>225</v>
      </c>
      <c r="AU1566" s="191">
        <v>0.4826388888888889</v>
      </c>
      <c r="AV1566" s="189">
        <v>1</v>
      </c>
      <c r="AW1566" s="189" t="s">
        <v>66</v>
      </c>
      <c r="AX1566" s="52"/>
      <c r="AY1566" s="52"/>
      <c r="AZ1566" s="52"/>
      <c r="BA1566" s="52"/>
    </row>
    <row r="1567" spans="1:53" x14ac:dyDescent="0.25">
      <c r="A1567" s="203">
        <v>397</v>
      </c>
      <c r="B1567" s="202">
        <v>44916.722222222219</v>
      </c>
      <c r="C1567" s="196">
        <v>0.75</v>
      </c>
      <c r="D1567" s="196">
        <v>0.76041666666666663</v>
      </c>
      <c r="E1567" s="196">
        <v>0.79166666666666663</v>
      </c>
      <c r="F1567" s="197" t="s">
        <v>170</v>
      </c>
      <c r="G1567" s="197" t="s">
        <v>276</v>
      </c>
      <c r="H1567" s="188" t="s">
        <v>4043</v>
      </c>
      <c r="I1567" s="188" t="s">
        <v>195</v>
      </c>
      <c r="J1567" s="188" t="s">
        <v>37</v>
      </c>
      <c r="K1567" s="195" t="s">
        <v>63</v>
      </c>
      <c r="L1567" s="200" t="s">
        <v>206</v>
      </c>
      <c r="M1567" s="197" t="s">
        <v>4046</v>
      </c>
      <c r="N1567" s="197" t="s">
        <v>42</v>
      </c>
      <c r="O1567" s="197" t="s">
        <v>4047</v>
      </c>
      <c r="P1567" s="197" t="s">
        <v>4048</v>
      </c>
      <c r="Q1567" s="303">
        <f t="shared" si="136"/>
        <v>0</v>
      </c>
      <c r="R1567" s="303">
        <f t="shared" si="137"/>
        <v>0</v>
      </c>
      <c r="S1567" s="37">
        <v>0</v>
      </c>
      <c r="T1567" s="37">
        <v>0</v>
      </c>
      <c r="U1567" s="37">
        <v>0</v>
      </c>
      <c r="V1567" s="37">
        <v>0</v>
      </c>
      <c r="W1567" s="37">
        <v>0</v>
      </c>
      <c r="X1567" s="37">
        <v>92</v>
      </c>
      <c r="Y1567" s="37">
        <v>61</v>
      </c>
      <c r="Z1567" s="37">
        <v>60</v>
      </c>
      <c r="AA1567" s="37">
        <v>2</v>
      </c>
      <c r="AB1567" s="300">
        <f t="shared" si="138"/>
        <v>112.24</v>
      </c>
      <c r="AC1567" s="300">
        <f t="shared" si="139"/>
        <v>0.67614457831325303</v>
      </c>
      <c r="AD1567" s="197">
        <v>0</v>
      </c>
      <c r="AE1567" s="197" t="s">
        <v>109</v>
      </c>
      <c r="AF1567" s="197" t="s">
        <v>317</v>
      </c>
      <c r="AG1567" s="197" t="s">
        <v>317</v>
      </c>
      <c r="AH1567" s="197">
        <v>0</v>
      </c>
      <c r="AI1567" s="309"/>
      <c r="AJ1567" s="309"/>
      <c r="AK1567" s="197" t="s">
        <v>37</v>
      </c>
      <c r="AL1567" s="197" t="s">
        <v>39</v>
      </c>
      <c r="AM1567" s="299">
        <f t="shared" ca="1" si="135"/>
        <v>0.76041666667151731</v>
      </c>
      <c r="AN1567" s="51"/>
      <c r="AO1567" s="191" t="s">
        <v>128</v>
      </c>
      <c r="AP1567" s="190" t="s">
        <v>4046</v>
      </c>
      <c r="AQ1567" s="189" t="s">
        <v>4173</v>
      </c>
      <c r="AR1567" s="192">
        <v>44917.482638888891</v>
      </c>
      <c r="AS1567" s="186" t="s">
        <v>173</v>
      </c>
      <c r="AT1567" s="189" t="s">
        <v>225</v>
      </c>
      <c r="AU1567" s="191">
        <v>0.4826388888888889</v>
      </c>
      <c r="AV1567" s="189">
        <v>1</v>
      </c>
      <c r="AW1567" s="189" t="s">
        <v>66</v>
      </c>
      <c r="AX1567" s="52"/>
      <c r="AY1567" s="52"/>
      <c r="AZ1567" s="52"/>
      <c r="BA1567" s="52"/>
    </row>
    <row r="1568" spans="1:53" x14ac:dyDescent="0.25">
      <c r="A1568" s="48">
        <v>398</v>
      </c>
      <c r="B1568" s="202">
        <v>44916.722222222219</v>
      </c>
      <c r="C1568" s="196">
        <v>0.75</v>
      </c>
      <c r="D1568" s="196">
        <v>0.76041666666666663</v>
      </c>
      <c r="E1568" s="196">
        <v>0.79166666666666663</v>
      </c>
      <c r="F1568" s="197" t="s">
        <v>170</v>
      </c>
      <c r="G1568" s="197" t="s">
        <v>276</v>
      </c>
      <c r="H1568" s="188" t="s">
        <v>459</v>
      </c>
      <c r="I1568" s="188" t="s">
        <v>62</v>
      </c>
      <c r="J1568" s="188" t="s">
        <v>37</v>
      </c>
      <c r="K1568" s="188" t="s">
        <v>63</v>
      </c>
      <c r="L1568" s="193" t="s">
        <v>206</v>
      </c>
      <c r="M1568" s="37" t="s">
        <v>4049</v>
      </c>
      <c r="N1568" s="37" t="s">
        <v>64</v>
      </c>
      <c r="O1568" s="37" t="s">
        <v>4050</v>
      </c>
      <c r="P1568" s="37">
        <v>4418219591</v>
      </c>
      <c r="Q1568" s="303">
        <f t="shared" si="136"/>
        <v>9</v>
      </c>
      <c r="R1568" s="303">
        <f t="shared" si="137"/>
        <v>2351</v>
      </c>
      <c r="S1568" s="37">
        <v>0</v>
      </c>
      <c r="T1568" s="37">
        <v>0</v>
      </c>
      <c r="U1568" s="37">
        <v>9</v>
      </c>
      <c r="V1568" s="37">
        <f>109+108+311+321+322+326+324+322+208</f>
        <v>2351</v>
      </c>
      <c r="W1568" s="37">
        <v>2302</v>
      </c>
      <c r="X1568" s="37">
        <v>60</v>
      </c>
      <c r="Y1568" s="37">
        <v>49</v>
      </c>
      <c r="Z1568" s="37">
        <v>53</v>
      </c>
      <c r="AA1568" s="37">
        <v>2</v>
      </c>
      <c r="AB1568" s="300">
        <f t="shared" si="138"/>
        <v>51.94</v>
      </c>
      <c r="AC1568" s="300">
        <f t="shared" si="139"/>
        <v>0.31289156626506021</v>
      </c>
      <c r="AD1568" s="37">
        <v>12991.6</v>
      </c>
      <c r="AE1568" s="197" t="s">
        <v>111</v>
      </c>
      <c r="AF1568" s="197" t="s">
        <v>317</v>
      </c>
      <c r="AG1568" s="197" t="s">
        <v>317</v>
      </c>
      <c r="AH1568" s="37" t="s">
        <v>4051</v>
      </c>
      <c r="AI1568" s="309"/>
      <c r="AJ1568" s="309"/>
      <c r="AK1568" s="37" t="s">
        <v>41</v>
      </c>
      <c r="AL1568" s="197" t="s">
        <v>39</v>
      </c>
      <c r="AM1568" s="299">
        <f t="shared" ca="1" si="135"/>
        <v>1.9930555555620231</v>
      </c>
      <c r="AN1568" s="51"/>
      <c r="AO1568" s="189" t="s">
        <v>77</v>
      </c>
      <c r="AP1568" s="190" t="s">
        <v>4049</v>
      </c>
      <c r="AQ1568" s="189" t="s">
        <v>4244</v>
      </c>
      <c r="AR1568" s="192">
        <v>44918.715277777781</v>
      </c>
      <c r="AS1568" s="186" t="s">
        <v>483</v>
      </c>
      <c r="AT1568" s="189" t="s">
        <v>225</v>
      </c>
      <c r="AU1568" s="191">
        <v>0.71527777777777779</v>
      </c>
      <c r="AV1568" s="189">
        <v>2</v>
      </c>
      <c r="AW1568" s="189" t="s">
        <v>66</v>
      </c>
      <c r="AX1568" s="52"/>
      <c r="AY1568" s="52"/>
      <c r="AZ1568" s="52"/>
      <c r="BA1568" s="52"/>
    </row>
    <row r="1569" spans="1:53" x14ac:dyDescent="0.25">
      <c r="A1569" s="203">
        <v>398</v>
      </c>
      <c r="B1569" s="202">
        <v>44916.722222222219</v>
      </c>
      <c r="C1569" s="196">
        <v>0.75</v>
      </c>
      <c r="D1569" s="196">
        <v>0.76041666666666663</v>
      </c>
      <c r="E1569" s="196">
        <v>0.79166666666666663</v>
      </c>
      <c r="F1569" s="197" t="s">
        <v>170</v>
      </c>
      <c r="G1569" s="197" t="s">
        <v>276</v>
      </c>
      <c r="H1569" s="188" t="s">
        <v>459</v>
      </c>
      <c r="I1569" s="188" t="s">
        <v>62</v>
      </c>
      <c r="J1569" s="188" t="s">
        <v>37</v>
      </c>
      <c r="K1569" s="188" t="s">
        <v>63</v>
      </c>
      <c r="L1569" s="193" t="s">
        <v>206</v>
      </c>
      <c r="M1569" s="197" t="s">
        <v>4049</v>
      </c>
      <c r="N1569" s="197" t="s">
        <v>64</v>
      </c>
      <c r="O1569" s="197" t="s">
        <v>4050</v>
      </c>
      <c r="P1569" s="197">
        <v>4418219591</v>
      </c>
      <c r="Q1569" s="303">
        <f t="shared" si="136"/>
        <v>0</v>
      </c>
      <c r="R1569" s="303">
        <f t="shared" si="137"/>
        <v>0</v>
      </c>
      <c r="S1569" s="197">
        <v>0</v>
      </c>
      <c r="T1569" s="197">
        <v>0</v>
      </c>
      <c r="U1569" s="197">
        <v>0</v>
      </c>
      <c r="V1569" s="197">
        <v>0</v>
      </c>
      <c r="W1569" s="37">
        <v>0</v>
      </c>
      <c r="X1569" s="37">
        <v>98</v>
      </c>
      <c r="Y1569" s="37">
        <v>64</v>
      </c>
      <c r="Z1569" s="37">
        <v>59</v>
      </c>
      <c r="AA1569" s="37">
        <v>5</v>
      </c>
      <c r="AB1569" s="300">
        <f t="shared" si="138"/>
        <v>308.37333333333333</v>
      </c>
      <c r="AC1569" s="300">
        <f t="shared" si="139"/>
        <v>1.8576706827309237</v>
      </c>
      <c r="AD1569" s="37">
        <v>0</v>
      </c>
      <c r="AE1569" s="197" t="s">
        <v>111</v>
      </c>
      <c r="AF1569" s="197" t="s">
        <v>317</v>
      </c>
      <c r="AG1569" s="197" t="s">
        <v>317</v>
      </c>
      <c r="AH1569" s="37">
        <v>0</v>
      </c>
      <c r="AI1569" s="309"/>
      <c r="AJ1569" s="309"/>
      <c r="AK1569" s="197" t="s">
        <v>41</v>
      </c>
      <c r="AL1569" s="197" t="s">
        <v>39</v>
      </c>
      <c r="AM1569" s="299">
        <f t="shared" ca="1" si="135"/>
        <v>1.9930555555620231</v>
      </c>
      <c r="AN1569" s="51"/>
      <c r="AO1569" s="189" t="s">
        <v>77</v>
      </c>
      <c r="AP1569" s="190" t="s">
        <v>4049</v>
      </c>
      <c r="AQ1569" s="189" t="s">
        <v>4244</v>
      </c>
      <c r="AR1569" s="192">
        <v>44918.715277777781</v>
      </c>
      <c r="AS1569" s="186" t="s">
        <v>483</v>
      </c>
      <c r="AT1569" s="189" t="s">
        <v>225</v>
      </c>
      <c r="AU1569" s="191">
        <v>0.71527777777777779</v>
      </c>
      <c r="AV1569" s="189">
        <v>2</v>
      </c>
      <c r="AW1569" s="189" t="s">
        <v>66</v>
      </c>
      <c r="AX1569" s="52"/>
      <c r="AY1569" s="52"/>
      <c r="AZ1569" s="52"/>
      <c r="BA1569" s="52"/>
    </row>
    <row r="1570" spans="1:53" x14ac:dyDescent="0.25">
      <c r="A1570" s="203">
        <v>398</v>
      </c>
      <c r="B1570" s="202">
        <v>44916.722222222219</v>
      </c>
      <c r="C1570" s="196">
        <v>0.75</v>
      </c>
      <c r="D1570" s="196">
        <v>0.76041666666666663</v>
      </c>
      <c r="E1570" s="196">
        <v>0.79166666666666663</v>
      </c>
      <c r="F1570" s="197" t="s">
        <v>170</v>
      </c>
      <c r="G1570" s="197" t="s">
        <v>276</v>
      </c>
      <c r="H1570" s="188" t="s">
        <v>459</v>
      </c>
      <c r="I1570" s="188" t="s">
        <v>62</v>
      </c>
      <c r="J1570" s="188" t="s">
        <v>37</v>
      </c>
      <c r="K1570" s="188" t="s">
        <v>63</v>
      </c>
      <c r="L1570" s="193" t="s">
        <v>206</v>
      </c>
      <c r="M1570" s="197" t="s">
        <v>4049</v>
      </c>
      <c r="N1570" s="197" t="s">
        <v>64</v>
      </c>
      <c r="O1570" s="197" t="s">
        <v>4050</v>
      </c>
      <c r="P1570" s="197">
        <v>4418219591</v>
      </c>
      <c r="Q1570" s="303">
        <f t="shared" si="136"/>
        <v>0</v>
      </c>
      <c r="R1570" s="303">
        <f t="shared" si="137"/>
        <v>0</v>
      </c>
      <c r="S1570" s="197">
        <v>0</v>
      </c>
      <c r="T1570" s="197">
        <v>0</v>
      </c>
      <c r="U1570" s="197">
        <v>0</v>
      </c>
      <c r="V1570" s="197">
        <v>0</v>
      </c>
      <c r="W1570" s="197">
        <v>0</v>
      </c>
      <c r="X1570" s="37">
        <v>89</v>
      </c>
      <c r="Y1570" s="37">
        <v>59</v>
      </c>
      <c r="Z1570" s="37">
        <v>53</v>
      </c>
      <c r="AA1570" s="37">
        <v>2</v>
      </c>
      <c r="AB1570" s="300">
        <f t="shared" si="138"/>
        <v>92.76766666666667</v>
      </c>
      <c r="AC1570" s="300">
        <f t="shared" si="139"/>
        <v>0.55884136546184737</v>
      </c>
      <c r="AD1570" s="197">
        <v>0</v>
      </c>
      <c r="AE1570" s="197" t="s">
        <v>111</v>
      </c>
      <c r="AF1570" s="197" t="s">
        <v>317</v>
      </c>
      <c r="AG1570" s="197" t="s">
        <v>317</v>
      </c>
      <c r="AH1570" s="37">
        <v>0</v>
      </c>
      <c r="AI1570" s="309"/>
      <c r="AJ1570" s="309"/>
      <c r="AK1570" s="197" t="s">
        <v>41</v>
      </c>
      <c r="AL1570" s="197" t="s">
        <v>39</v>
      </c>
      <c r="AM1570" s="299">
        <f t="shared" ca="1" si="135"/>
        <v>1.9930555555620231</v>
      </c>
      <c r="AN1570" s="51"/>
      <c r="AO1570" s="189" t="s">
        <v>77</v>
      </c>
      <c r="AP1570" s="190" t="s">
        <v>4049</v>
      </c>
      <c r="AQ1570" s="189" t="s">
        <v>4244</v>
      </c>
      <c r="AR1570" s="192">
        <v>44918.715277777781</v>
      </c>
      <c r="AS1570" s="186" t="s">
        <v>483</v>
      </c>
      <c r="AT1570" s="189" t="s">
        <v>225</v>
      </c>
      <c r="AU1570" s="191">
        <v>0.71527777777777779</v>
      </c>
      <c r="AV1570" s="189">
        <v>2</v>
      </c>
      <c r="AW1570" s="189" t="s">
        <v>66</v>
      </c>
      <c r="AX1570" s="52"/>
      <c r="AY1570" s="52"/>
      <c r="AZ1570" s="52"/>
      <c r="BA1570" s="52"/>
    </row>
    <row r="1571" spans="1:53" x14ac:dyDescent="0.25">
      <c r="A1571" s="48">
        <v>399</v>
      </c>
      <c r="B1571" s="202">
        <v>44916.722222222219</v>
      </c>
      <c r="C1571" s="36">
        <v>0.77083333333333337</v>
      </c>
      <c r="D1571" s="36">
        <v>0.77777777777777779</v>
      </c>
      <c r="E1571" s="36">
        <v>0.80208333333333337</v>
      </c>
      <c r="F1571" s="37" t="s">
        <v>171</v>
      </c>
      <c r="G1571" s="37" t="s">
        <v>133</v>
      </c>
      <c r="H1571" s="26" t="s">
        <v>195</v>
      </c>
      <c r="I1571" s="26" t="s">
        <v>195</v>
      </c>
      <c r="J1571" s="188" t="s">
        <v>37</v>
      </c>
      <c r="K1571" s="26" t="s">
        <v>180</v>
      </c>
      <c r="L1571" s="26" t="s">
        <v>209</v>
      </c>
      <c r="M1571" s="37" t="s">
        <v>4052</v>
      </c>
      <c r="N1571" s="37" t="s">
        <v>42</v>
      </c>
      <c r="O1571" s="37" t="s">
        <v>4053</v>
      </c>
      <c r="P1571" s="37">
        <v>2101101000</v>
      </c>
      <c r="Q1571" s="303">
        <f t="shared" si="136"/>
        <v>3</v>
      </c>
      <c r="R1571" s="303">
        <f t="shared" si="137"/>
        <v>609</v>
      </c>
      <c r="S1571" s="37">
        <v>0</v>
      </c>
      <c r="T1571" s="37">
        <v>0</v>
      </c>
      <c r="U1571" s="37">
        <v>3</v>
      </c>
      <c r="V1571" s="37">
        <f>211+207+191</f>
        <v>609</v>
      </c>
      <c r="W1571" s="37">
        <v>653</v>
      </c>
      <c r="X1571" s="37">
        <v>114</v>
      </c>
      <c r="Y1571" s="37">
        <v>80</v>
      </c>
      <c r="Z1571" s="37">
        <v>112</v>
      </c>
      <c r="AA1571" s="37">
        <v>2</v>
      </c>
      <c r="AB1571" s="300">
        <f t="shared" si="138"/>
        <v>340.48</v>
      </c>
      <c r="AC1571" s="300">
        <f t="shared" si="139"/>
        <v>2.0510843373493977</v>
      </c>
      <c r="AD1571" s="37">
        <v>27298.959999999999</v>
      </c>
      <c r="AE1571" s="37" t="s">
        <v>109</v>
      </c>
      <c r="AF1571" s="37">
        <v>6332636</v>
      </c>
      <c r="AG1571" s="37" t="s">
        <v>4030</v>
      </c>
      <c r="AH1571" s="37" t="s">
        <v>4054</v>
      </c>
      <c r="AI1571" s="309"/>
      <c r="AJ1571" s="309"/>
      <c r="AK1571" s="37" t="s">
        <v>41</v>
      </c>
      <c r="AL1571" s="37" t="s">
        <v>58</v>
      </c>
      <c r="AM1571" s="299">
        <f t="shared" ca="1" si="135"/>
        <v>0.81944444444525288</v>
      </c>
      <c r="AN1571" s="51"/>
      <c r="AO1571" s="191" t="s">
        <v>132</v>
      </c>
      <c r="AP1571" s="190" t="s">
        <v>4052</v>
      </c>
      <c r="AQ1571" s="189" t="s">
        <v>4175</v>
      </c>
      <c r="AR1571" s="192">
        <v>44917.541666666664</v>
      </c>
      <c r="AS1571" s="191" t="s">
        <v>290</v>
      </c>
      <c r="AT1571" s="189" t="s">
        <v>65</v>
      </c>
      <c r="AU1571" s="191">
        <v>0.54166666666666663</v>
      </c>
      <c r="AV1571" s="189">
        <v>1</v>
      </c>
      <c r="AW1571" s="189" t="s">
        <v>66</v>
      </c>
      <c r="AX1571" s="52"/>
      <c r="AY1571" s="52"/>
      <c r="AZ1571" s="52"/>
      <c r="BA1571" s="52"/>
    </row>
    <row r="1572" spans="1:53" x14ac:dyDescent="0.25">
      <c r="A1572" s="203">
        <v>399</v>
      </c>
      <c r="B1572" s="202">
        <v>44916.722222222219</v>
      </c>
      <c r="C1572" s="196">
        <v>0.77083333333333337</v>
      </c>
      <c r="D1572" s="196">
        <v>0.77777777777777779</v>
      </c>
      <c r="E1572" s="196">
        <v>0.80208333333333337</v>
      </c>
      <c r="F1572" s="197" t="s">
        <v>171</v>
      </c>
      <c r="G1572" s="197" t="s">
        <v>133</v>
      </c>
      <c r="H1572" s="188" t="s">
        <v>195</v>
      </c>
      <c r="I1572" s="188" t="s">
        <v>195</v>
      </c>
      <c r="J1572" s="188" t="s">
        <v>37</v>
      </c>
      <c r="K1572" s="188" t="s">
        <v>180</v>
      </c>
      <c r="L1572" s="188" t="s">
        <v>209</v>
      </c>
      <c r="M1572" s="197" t="s">
        <v>4052</v>
      </c>
      <c r="N1572" s="197" t="s">
        <v>42</v>
      </c>
      <c r="O1572" s="197" t="s">
        <v>4053</v>
      </c>
      <c r="P1572" s="197">
        <v>2101101000</v>
      </c>
      <c r="Q1572" s="303">
        <f t="shared" si="136"/>
        <v>0</v>
      </c>
      <c r="R1572" s="303">
        <f t="shared" si="137"/>
        <v>0</v>
      </c>
      <c r="S1572" s="37">
        <v>0</v>
      </c>
      <c r="T1572" s="37">
        <v>0</v>
      </c>
      <c r="U1572" s="37">
        <v>0</v>
      </c>
      <c r="V1572" s="37">
        <v>0</v>
      </c>
      <c r="W1572" s="37">
        <v>0</v>
      </c>
      <c r="X1572" s="37">
        <v>114</v>
      </c>
      <c r="Y1572" s="37">
        <v>80</v>
      </c>
      <c r="Z1572" s="37">
        <v>99</v>
      </c>
      <c r="AA1572" s="37">
        <v>1</v>
      </c>
      <c r="AB1572" s="300">
        <f t="shared" si="138"/>
        <v>150.47999999999999</v>
      </c>
      <c r="AC1572" s="300">
        <f t="shared" si="139"/>
        <v>0.90650602409638548</v>
      </c>
      <c r="AD1572" s="37">
        <v>0</v>
      </c>
      <c r="AE1572" s="197" t="s">
        <v>109</v>
      </c>
      <c r="AF1572" s="197">
        <v>6332636</v>
      </c>
      <c r="AG1572" s="197" t="s">
        <v>4030</v>
      </c>
      <c r="AH1572" s="37">
        <v>0</v>
      </c>
      <c r="AI1572" s="309"/>
      <c r="AJ1572" s="309"/>
      <c r="AK1572" s="197" t="s">
        <v>41</v>
      </c>
      <c r="AL1572" s="197" t="s">
        <v>58</v>
      </c>
      <c r="AM1572" s="299">
        <f t="shared" ca="1" si="135"/>
        <v>0.81944444444525288</v>
      </c>
      <c r="AN1572" s="51"/>
      <c r="AO1572" s="191" t="s">
        <v>132</v>
      </c>
      <c r="AP1572" s="190" t="s">
        <v>4052</v>
      </c>
      <c r="AQ1572" s="189" t="s">
        <v>4175</v>
      </c>
      <c r="AR1572" s="192">
        <v>44917.541666666664</v>
      </c>
      <c r="AS1572" s="191" t="s">
        <v>290</v>
      </c>
      <c r="AT1572" s="189" t="s">
        <v>65</v>
      </c>
      <c r="AU1572" s="191">
        <v>0.54166666666666663</v>
      </c>
      <c r="AV1572" s="189">
        <v>1</v>
      </c>
      <c r="AW1572" s="189" t="s">
        <v>66</v>
      </c>
      <c r="AX1572" s="52"/>
      <c r="AY1572" s="52"/>
      <c r="AZ1572" s="52"/>
      <c r="BA1572" s="52"/>
    </row>
    <row r="1573" spans="1:53" x14ac:dyDescent="0.25">
      <c r="A1573" s="48">
        <v>400</v>
      </c>
      <c r="B1573" s="202">
        <v>44916.722222222219</v>
      </c>
      <c r="C1573" s="196">
        <v>0.77083333333333337</v>
      </c>
      <c r="D1573" s="196">
        <v>0.77777777777777779</v>
      </c>
      <c r="E1573" s="196">
        <v>0.80208333333333337</v>
      </c>
      <c r="F1573" s="197" t="s">
        <v>171</v>
      </c>
      <c r="G1573" s="197" t="s">
        <v>133</v>
      </c>
      <c r="H1573" s="188" t="s">
        <v>195</v>
      </c>
      <c r="I1573" s="188" t="s">
        <v>195</v>
      </c>
      <c r="J1573" s="188" t="s">
        <v>37</v>
      </c>
      <c r="K1573" s="188" t="s">
        <v>180</v>
      </c>
      <c r="L1573" s="188" t="s">
        <v>209</v>
      </c>
      <c r="M1573" s="37" t="s">
        <v>4057</v>
      </c>
      <c r="N1573" s="197" t="s">
        <v>42</v>
      </c>
      <c r="O1573" s="197" t="s">
        <v>4055</v>
      </c>
      <c r="P1573" s="37">
        <v>2101100998</v>
      </c>
      <c r="Q1573" s="303">
        <f t="shared" si="136"/>
        <v>11</v>
      </c>
      <c r="R1573" s="303">
        <f t="shared" si="137"/>
        <v>2536</v>
      </c>
      <c r="S1573" s="37">
        <v>0</v>
      </c>
      <c r="T1573" s="37">
        <v>0</v>
      </c>
      <c r="U1573" s="37">
        <v>11</v>
      </c>
      <c r="V1573" s="37">
        <f>220+328+77+211+268+269+220+221+295+206+221</f>
        <v>2536</v>
      </c>
      <c r="W1573" s="37">
        <v>2604</v>
      </c>
      <c r="X1573" s="37">
        <v>114</v>
      </c>
      <c r="Y1573" s="37">
        <v>80</v>
      </c>
      <c r="Z1573" s="37">
        <v>120</v>
      </c>
      <c r="AA1573" s="37">
        <v>2</v>
      </c>
      <c r="AB1573" s="300">
        <f t="shared" si="138"/>
        <v>364.8</v>
      </c>
      <c r="AC1573" s="300">
        <f t="shared" si="139"/>
        <v>2.197590361445783</v>
      </c>
      <c r="AD1573" s="37">
        <v>103073.86</v>
      </c>
      <c r="AE1573" s="197" t="s">
        <v>109</v>
      </c>
      <c r="AF1573" s="37">
        <v>6328916</v>
      </c>
      <c r="AG1573" s="197" t="s">
        <v>4030</v>
      </c>
      <c r="AH1573" s="37" t="s">
        <v>4056</v>
      </c>
      <c r="AI1573" s="309"/>
      <c r="AJ1573" s="309"/>
      <c r="AK1573" s="197" t="s">
        <v>41</v>
      </c>
      <c r="AL1573" s="197" t="s">
        <v>58</v>
      </c>
      <c r="AM1573" s="299">
        <f t="shared" ca="1" si="135"/>
        <v>0.81944444444525288</v>
      </c>
      <c r="AN1573" s="51"/>
      <c r="AO1573" s="191" t="s">
        <v>128</v>
      </c>
      <c r="AP1573" s="190" t="s">
        <v>4057</v>
      </c>
      <c r="AQ1573" s="189" t="s">
        <v>4175</v>
      </c>
      <c r="AR1573" s="192">
        <v>44917.541666666664</v>
      </c>
      <c r="AS1573" s="191" t="s">
        <v>290</v>
      </c>
      <c r="AT1573" s="189" t="s">
        <v>65</v>
      </c>
      <c r="AU1573" s="191">
        <v>0.54166666666666663</v>
      </c>
      <c r="AV1573" s="189">
        <v>1</v>
      </c>
      <c r="AW1573" s="189" t="s">
        <v>66</v>
      </c>
      <c r="AX1573" s="52"/>
      <c r="AY1573" s="52"/>
      <c r="AZ1573" s="52"/>
      <c r="BA1573" s="52"/>
    </row>
    <row r="1574" spans="1:53" x14ac:dyDescent="0.25">
      <c r="A1574" s="203">
        <v>400</v>
      </c>
      <c r="B1574" s="202">
        <v>44916.722222222219</v>
      </c>
      <c r="C1574" s="196">
        <v>0.77083333333333337</v>
      </c>
      <c r="D1574" s="196">
        <v>0.77777777777777779</v>
      </c>
      <c r="E1574" s="196">
        <v>0.80208333333333337</v>
      </c>
      <c r="F1574" s="197" t="s">
        <v>171</v>
      </c>
      <c r="G1574" s="197" t="s">
        <v>133</v>
      </c>
      <c r="H1574" s="188" t="s">
        <v>195</v>
      </c>
      <c r="I1574" s="188" t="s">
        <v>195</v>
      </c>
      <c r="J1574" s="188" t="s">
        <v>37</v>
      </c>
      <c r="K1574" s="188" t="s">
        <v>180</v>
      </c>
      <c r="L1574" s="188" t="s">
        <v>209</v>
      </c>
      <c r="M1574" s="197" t="s">
        <v>4057</v>
      </c>
      <c r="N1574" s="197" t="s">
        <v>42</v>
      </c>
      <c r="O1574" s="197" t="s">
        <v>4055</v>
      </c>
      <c r="P1574" s="197">
        <v>2101100998</v>
      </c>
      <c r="Q1574" s="303">
        <f t="shared" si="136"/>
        <v>0</v>
      </c>
      <c r="R1574" s="303">
        <f t="shared" si="137"/>
        <v>0</v>
      </c>
      <c r="S1574" s="197">
        <v>0</v>
      </c>
      <c r="T1574" s="197">
        <v>0</v>
      </c>
      <c r="U1574" s="197">
        <v>0</v>
      </c>
      <c r="V1574" s="197">
        <v>0</v>
      </c>
      <c r="W1574" s="37">
        <v>0</v>
      </c>
      <c r="X1574" s="37">
        <v>114</v>
      </c>
      <c r="Y1574" s="37">
        <v>80</v>
      </c>
      <c r="Z1574" s="37">
        <v>118</v>
      </c>
      <c r="AA1574" s="37">
        <v>1</v>
      </c>
      <c r="AB1574" s="300">
        <f t="shared" si="138"/>
        <v>179.36</v>
      </c>
      <c r="AC1574" s="300">
        <f t="shared" si="139"/>
        <v>1.0804819277108435</v>
      </c>
      <c r="AD1574" s="37">
        <v>0</v>
      </c>
      <c r="AE1574" s="197" t="s">
        <v>109</v>
      </c>
      <c r="AF1574" s="197">
        <v>6328916</v>
      </c>
      <c r="AG1574" s="197" t="s">
        <v>4030</v>
      </c>
      <c r="AH1574" s="37">
        <v>0</v>
      </c>
      <c r="AI1574" s="309"/>
      <c r="AJ1574" s="309"/>
      <c r="AK1574" s="197" t="s">
        <v>41</v>
      </c>
      <c r="AL1574" s="197" t="s">
        <v>58</v>
      </c>
      <c r="AM1574" s="299">
        <f t="shared" ca="1" si="135"/>
        <v>0.81944444444525288</v>
      </c>
      <c r="AN1574" s="51"/>
      <c r="AO1574" s="191" t="s">
        <v>128</v>
      </c>
      <c r="AP1574" s="190" t="s">
        <v>4057</v>
      </c>
      <c r="AQ1574" s="189" t="s">
        <v>4175</v>
      </c>
      <c r="AR1574" s="192">
        <v>44917.541666666664</v>
      </c>
      <c r="AS1574" s="191" t="s">
        <v>290</v>
      </c>
      <c r="AT1574" s="189" t="s">
        <v>65</v>
      </c>
      <c r="AU1574" s="191">
        <v>0.54166666666666663</v>
      </c>
      <c r="AV1574" s="189">
        <v>1</v>
      </c>
      <c r="AW1574" s="189" t="s">
        <v>66</v>
      </c>
      <c r="AX1574" s="52"/>
      <c r="AY1574" s="52"/>
      <c r="AZ1574" s="52"/>
      <c r="BA1574" s="52"/>
    </row>
    <row r="1575" spans="1:53" x14ac:dyDescent="0.25">
      <c r="A1575" s="203">
        <v>400</v>
      </c>
      <c r="B1575" s="202">
        <v>44916.722222222219</v>
      </c>
      <c r="C1575" s="196">
        <v>0.77083333333333337</v>
      </c>
      <c r="D1575" s="196">
        <v>0.77777777777777779</v>
      </c>
      <c r="E1575" s="196">
        <v>0.80208333333333337</v>
      </c>
      <c r="F1575" s="197" t="s">
        <v>171</v>
      </c>
      <c r="G1575" s="197" t="s">
        <v>133</v>
      </c>
      <c r="H1575" s="188" t="s">
        <v>195</v>
      </c>
      <c r="I1575" s="188" t="s">
        <v>195</v>
      </c>
      <c r="J1575" s="188" t="s">
        <v>37</v>
      </c>
      <c r="K1575" s="188" t="s">
        <v>180</v>
      </c>
      <c r="L1575" s="188" t="s">
        <v>209</v>
      </c>
      <c r="M1575" s="197" t="s">
        <v>4057</v>
      </c>
      <c r="N1575" s="197" t="s">
        <v>42</v>
      </c>
      <c r="O1575" s="197" t="s">
        <v>4055</v>
      </c>
      <c r="P1575" s="197">
        <v>2101100998</v>
      </c>
      <c r="Q1575" s="303">
        <f t="shared" si="136"/>
        <v>0</v>
      </c>
      <c r="R1575" s="303">
        <f t="shared" si="137"/>
        <v>0</v>
      </c>
      <c r="S1575" s="197">
        <v>0</v>
      </c>
      <c r="T1575" s="197">
        <v>0</v>
      </c>
      <c r="U1575" s="197">
        <v>0</v>
      </c>
      <c r="V1575" s="197">
        <v>0</v>
      </c>
      <c r="W1575" s="197">
        <v>0</v>
      </c>
      <c r="X1575" s="37">
        <v>114</v>
      </c>
      <c r="Y1575" s="37">
        <v>80</v>
      </c>
      <c r="Z1575" s="37">
        <v>112</v>
      </c>
      <c r="AA1575" s="37">
        <v>3</v>
      </c>
      <c r="AB1575" s="300">
        <f t="shared" si="138"/>
        <v>510.72</v>
      </c>
      <c r="AC1575" s="300">
        <f t="shared" si="139"/>
        <v>3.0766265060240965</v>
      </c>
      <c r="AD1575" s="197">
        <v>0</v>
      </c>
      <c r="AE1575" s="197" t="s">
        <v>109</v>
      </c>
      <c r="AF1575" s="197">
        <v>6328916</v>
      </c>
      <c r="AG1575" s="197" t="s">
        <v>4030</v>
      </c>
      <c r="AH1575" s="37">
        <v>0</v>
      </c>
      <c r="AI1575" s="309"/>
      <c r="AJ1575" s="309"/>
      <c r="AK1575" s="197" t="s">
        <v>41</v>
      </c>
      <c r="AL1575" s="197" t="s">
        <v>58</v>
      </c>
      <c r="AM1575" s="299">
        <f t="shared" ca="1" si="135"/>
        <v>0.81944444444525288</v>
      </c>
      <c r="AN1575" s="51"/>
      <c r="AO1575" s="191" t="s">
        <v>128</v>
      </c>
      <c r="AP1575" s="190" t="s">
        <v>4057</v>
      </c>
      <c r="AQ1575" s="189" t="s">
        <v>4175</v>
      </c>
      <c r="AR1575" s="192">
        <v>44917.541666666664</v>
      </c>
      <c r="AS1575" s="191" t="s">
        <v>290</v>
      </c>
      <c r="AT1575" s="189" t="s">
        <v>65</v>
      </c>
      <c r="AU1575" s="191">
        <v>0.54166666666666663</v>
      </c>
      <c r="AV1575" s="189">
        <v>1</v>
      </c>
      <c r="AW1575" s="189" t="s">
        <v>66</v>
      </c>
      <c r="AX1575" s="52"/>
      <c r="AY1575" s="52"/>
      <c r="AZ1575" s="52"/>
      <c r="BA1575" s="52"/>
    </row>
    <row r="1576" spans="1:53" x14ac:dyDescent="0.25">
      <c r="A1576" s="203">
        <v>400</v>
      </c>
      <c r="B1576" s="202">
        <v>44916.722222222219</v>
      </c>
      <c r="C1576" s="196">
        <v>0.77083333333333337</v>
      </c>
      <c r="D1576" s="196">
        <v>0.77777777777777779</v>
      </c>
      <c r="E1576" s="196">
        <v>0.80208333333333337</v>
      </c>
      <c r="F1576" s="197" t="s">
        <v>171</v>
      </c>
      <c r="G1576" s="197" t="s">
        <v>133</v>
      </c>
      <c r="H1576" s="188" t="s">
        <v>195</v>
      </c>
      <c r="I1576" s="188" t="s">
        <v>195</v>
      </c>
      <c r="J1576" s="188" t="s">
        <v>37</v>
      </c>
      <c r="K1576" s="188" t="s">
        <v>180</v>
      </c>
      <c r="L1576" s="188" t="s">
        <v>209</v>
      </c>
      <c r="M1576" s="197" t="s">
        <v>4057</v>
      </c>
      <c r="N1576" s="197" t="s">
        <v>42</v>
      </c>
      <c r="O1576" s="197" t="s">
        <v>4055</v>
      </c>
      <c r="P1576" s="197">
        <v>2101100998</v>
      </c>
      <c r="Q1576" s="303">
        <f t="shared" si="136"/>
        <v>0</v>
      </c>
      <c r="R1576" s="303">
        <f t="shared" si="137"/>
        <v>0</v>
      </c>
      <c r="S1576" s="197">
        <v>0</v>
      </c>
      <c r="T1576" s="197">
        <v>0</v>
      </c>
      <c r="U1576" s="197">
        <v>0</v>
      </c>
      <c r="V1576" s="197">
        <v>0</v>
      </c>
      <c r="W1576" s="197">
        <v>0</v>
      </c>
      <c r="X1576" s="37">
        <v>114</v>
      </c>
      <c r="Y1576" s="37">
        <v>80</v>
      </c>
      <c r="Z1576" s="37">
        <v>126</v>
      </c>
      <c r="AA1576" s="37">
        <v>5</v>
      </c>
      <c r="AB1576" s="300">
        <f t="shared" si="138"/>
        <v>957.6</v>
      </c>
      <c r="AC1576" s="300">
        <f t="shared" si="139"/>
        <v>5.7686746987951807</v>
      </c>
      <c r="AD1576" s="197">
        <v>0</v>
      </c>
      <c r="AE1576" s="197" t="s">
        <v>109</v>
      </c>
      <c r="AF1576" s="197">
        <v>6328916</v>
      </c>
      <c r="AG1576" s="197" t="s">
        <v>4030</v>
      </c>
      <c r="AH1576" s="37">
        <v>0</v>
      </c>
      <c r="AI1576" s="309"/>
      <c r="AJ1576" s="309"/>
      <c r="AK1576" s="197" t="s">
        <v>41</v>
      </c>
      <c r="AL1576" s="197" t="s">
        <v>58</v>
      </c>
      <c r="AM1576" s="299">
        <f t="shared" ref="AM1576:AM1639" ca="1" si="140">IF(AP1576="",NOW()-B1576,AR1576-B1576)</f>
        <v>0.81944444444525288</v>
      </c>
      <c r="AN1576" s="51"/>
      <c r="AO1576" s="191" t="s">
        <v>128</v>
      </c>
      <c r="AP1576" s="190" t="s">
        <v>4057</v>
      </c>
      <c r="AQ1576" s="189" t="s">
        <v>4175</v>
      </c>
      <c r="AR1576" s="192">
        <v>44917.541666666664</v>
      </c>
      <c r="AS1576" s="191" t="s">
        <v>290</v>
      </c>
      <c r="AT1576" s="189" t="s">
        <v>65</v>
      </c>
      <c r="AU1576" s="191">
        <v>0.54166666666666663</v>
      </c>
      <c r="AV1576" s="189">
        <v>1</v>
      </c>
      <c r="AW1576" s="189" t="s">
        <v>66</v>
      </c>
      <c r="AX1576" s="52"/>
      <c r="AY1576" s="52"/>
      <c r="AZ1576" s="52"/>
      <c r="BA1576" s="52"/>
    </row>
    <row r="1577" spans="1:53" x14ac:dyDescent="0.25">
      <c r="A1577" s="48">
        <v>401</v>
      </c>
      <c r="B1577" s="202">
        <v>44916.770833333336</v>
      </c>
      <c r="C1577" s="36">
        <v>0.78125</v>
      </c>
      <c r="D1577" s="36">
        <v>0.78472222222222221</v>
      </c>
      <c r="E1577" s="36">
        <v>0.80902777777777779</v>
      </c>
      <c r="F1577" s="197" t="s">
        <v>171</v>
      </c>
      <c r="G1577" s="37" t="s">
        <v>2535</v>
      </c>
      <c r="H1577" s="201" t="s">
        <v>400</v>
      </c>
      <c r="I1577" s="201" t="s">
        <v>401</v>
      </c>
      <c r="J1577" s="201" t="s">
        <v>37</v>
      </c>
      <c r="K1577" s="201" t="s">
        <v>180</v>
      </c>
      <c r="L1577" s="156" t="s">
        <v>206</v>
      </c>
      <c r="M1577" s="37" t="s">
        <v>4058</v>
      </c>
      <c r="N1577" s="37" t="s">
        <v>160</v>
      </c>
      <c r="O1577" s="37" t="s">
        <v>4059</v>
      </c>
      <c r="P1577" s="37" t="s">
        <v>4060</v>
      </c>
      <c r="Q1577" s="303">
        <f t="shared" ref="Q1577:Q1640" si="141">S1577+U1577</f>
        <v>6</v>
      </c>
      <c r="R1577" s="303">
        <f t="shared" ref="R1577:R1640" si="142">T1577+V1577</f>
        <v>45</v>
      </c>
      <c r="S1577" s="37">
        <v>6</v>
      </c>
      <c r="T1577" s="37">
        <f>65-20</f>
        <v>45</v>
      </c>
      <c r="U1577" s="37">
        <v>0</v>
      </c>
      <c r="V1577" s="37">
        <v>0</v>
      </c>
      <c r="W1577" s="37">
        <v>52</v>
      </c>
      <c r="X1577" s="37">
        <v>36</v>
      </c>
      <c r="Y1577" s="37">
        <v>29</v>
      </c>
      <c r="Z1577" s="37">
        <v>28</v>
      </c>
      <c r="AA1577" s="37">
        <v>6</v>
      </c>
      <c r="AB1577" s="300">
        <f t="shared" ref="AB1577:AB1640" si="143">X1577*Y1577*Z1577*AA1577/6000</f>
        <v>29.231999999999999</v>
      </c>
      <c r="AC1577" s="300">
        <f t="shared" ref="AC1577:AC1640" si="144">AB1577/166</f>
        <v>0.17609638554216867</v>
      </c>
      <c r="AD1577" s="37">
        <v>3874.56</v>
      </c>
      <c r="AE1577" s="197" t="s">
        <v>109</v>
      </c>
      <c r="AF1577" s="197">
        <v>6329564</v>
      </c>
      <c r="AG1577" s="197" t="s">
        <v>4030</v>
      </c>
      <c r="AH1577" s="37" t="s">
        <v>4061</v>
      </c>
      <c r="AI1577" s="309"/>
      <c r="AJ1577" s="309"/>
      <c r="AK1577" s="37" t="s">
        <v>48</v>
      </c>
      <c r="AL1577" s="37" t="s">
        <v>50</v>
      </c>
      <c r="AM1577" s="299">
        <f t="shared" ca="1" si="140"/>
        <v>1.7013888888832298</v>
      </c>
      <c r="AN1577" s="51"/>
      <c r="AO1577" s="189" t="s">
        <v>229</v>
      </c>
      <c r="AP1577" s="190" t="s">
        <v>4058</v>
      </c>
      <c r="AQ1577" s="189" t="s">
        <v>4235</v>
      </c>
      <c r="AR1577" s="192">
        <v>44918.472222222219</v>
      </c>
      <c r="AS1577" s="186" t="s">
        <v>173</v>
      </c>
      <c r="AT1577" s="189" t="s">
        <v>225</v>
      </c>
      <c r="AU1577" s="191">
        <v>0.47222222222222227</v>
      </c>
      <c r="AV1577" s="189">
        <v>6</v>
      </c>
      <c r="AW1577" s="189" t="s">
        <v>66</v>
      </c>
      <c r="AX1577" s="52"/>
      <c r="AY1577" s="52"/>
      <c r="AZ1577" s="52"/>
      <c r="BA1577" s="52"/>
    </row>
    <row r="1578" spans="1:53" x14ac:dyDescent="0.25">
      <c r="A1578" s="48">
        <v>402</v>
      </c>
      <c r="B1578" s="202">
        <v>44916.75</v>
      </c>
      <c r="C1578" s="36">
        <v>0.76388888888888884</v>
      </c>
      <c r="D1578" s="36">
        <v>0.76736111111111116</v>
      </c>
      <c r="E1578" s="36">
        <v>0.81597222222222221</v>
      </c>
      <c r="F1578" s="197" t="s">
        <v>171</v>
      </c>
      <c r="G1578" s="37" t="s">
        <v>279</v>
      </c>
      <c r="H1578" s="197" t="s">
        <v>149</v>
      </c>
      <c r="I1578" s="197" t="s">
        <v>149</v>
      </c>
      <c r="J1578" s="195" t="s">
        <v>37</v>
      </c>
      <c r="K1578" s="195" t="s">
        <v>180</v>
      </c>
      <c r="L1578" s="200" t="s">
        <v>206</v>
      </c>
      <c r="M1578" s="37" t="s">
        <v>4062</v>
      </c>
      <c r="N1578" s="37" t="s">
        <v>44</v>
      </c>
      <c r="O1578" s="37" t="s">
        <v>4063</v>
      </c>
      <c r="P1578" s="37">
        <v>577963</v>
      </c>
      <c r="Q1578" s="303">
        <f t="shared" si="141"/>
        <v>1</v>
      </c>
      <c r="R1578" s="303">
        <f t="shared" si="142"/>
        <v>164</v>
      </c>
      <c r="S1578" s="37">
        <v>0</v>
      </c>
      <c r="T1578" s="37">
        <v>0</v>
      </c>
      <c r="U1578" s="37">
        <v>1</v>
      </c>
      <c r="V1578" s="37">
        <v>164</v>
      </c>
      <c r="W1578" s="37">
        <v>158.93700000000001</v>
      </c>
      <c r="X1578" s="37">
        <v>92</v>
      </c>
      <c r="Y1578" s="37">
        <v>85</v>
      </c>
      <c r="Z1578" s="37">
        <v>55</v>
      </c>
      <c r="AA1578" s="37">
        <v>1</v>
      </c>
      <c r="AB1578" s="300">
        <f t="shared" si="143"/>
        <v>71.683333333333337</v>
      </c>
      <c r="AC1578" s="300">
        <f t="shared" si="144"/>
        <v>0.43182730923694779</v>
      </c>
      <c r="AD1578" s="37">
        <v>6255.72</v>
      </c>
      <c r="AE1578" s="197" t="s">
        <v>109</v>
      </c>
      <c r="AF1578" s="37" t="s">
        <v>317</v>
      </c>
      <c r="AG1578" s="37" t="s">
        <v>317</v>
      </c>
      <c r="AH1578" s="37" t="s">
        <v>4064</v>
      </c>
      <c r="AI1578" s="309"/>
      <c r="AJ1578" s="309"/>
      <c r="AK1578" s="37" t="s">
        <v>37</v>
      </c>
      <c r="AL1578" s="37" t="s">
        <v>39</v>
      </c>
      <c r="AM1578" s="299">
        <f t="shared" ca="1" si="140"/>
        <v>1.9652777777810115</v>
      </c>
      <c r="AN1578" s="51"/>
      <c r="AO1578" s="189" t="s">
        <v>196</v>
      </c>
      <c r="AP1578" s="190" t="s">
        <v>4062</v>
      </c>
      <c r="AQ1578" s="189" t="s">
        <v>4245</v>
      </c>
      <c r="AR1578" s="192">
        <v>44918.715277777781</v>
      </c>
      <c r="AS1578" s="186" t="s">
        <v>483</v>
      </c>
      <c r="AT1578" s="189" t="s">
        <v>225</v>
      </c>
      <c r="AU1578" s="191">
        <v>0.71527777777777779</v>
      </c>
      <c r="AV1578" s="189">
        <v>4</v>
      </c>
      <c r="AW1578" s="189" t="s">
        <v>66</v>
      </c>
      <c r="AX1578" s="52"/>
      <c r="AY1578" s="52"/>
      <c r="AZ1578" s="52"/>
      <c r="BA1578" s="52"/>
    </row>
    <row r="1579" spans="1:53" x14ac:dyDescent="0.25">
      <c r="A1579" s="48">
        <v>403</v>
      </c>
      <c r="B1579" s="202">
        <v>44916.75</v>
      </c>
      <c r="C1579" s="196">
        <v>0.76388888888888884</v>
      </c>
      <c r="D1579" s="196">
        <v>0.76736111111111116</v>
      </c>
      <c r="E1579" s="196">
        <v>0.81597222222222221</v>
      </c>
      <c r="F1579" s="197" t="s">
        <v>171</v>
      </c>
      <c r="G1579" s="197" t="s">
        <v>279</v>
      </c>
      <c r="H1579" s="197" t="s">
        <v>149</v>
      </c>
      <c r="I1579" s="197" t="s">
        <v>149</v>
      </c>
      <c r="J1579" s="195" t="s">
        <v>37</v>
      </c>
      <c r="K1579" s="195" t="s">
        <v>180</v>
      </c>
      <c r="L1579" s="200" t="s">
        <v>206</v>
      </c>
      <c r="M1579" s="197" t="s">
        <v>4062</v>
      </c>
      <c r="N1579" s="197" t="s">
        <v>44</v>
      </c>
      <c r="O1579" s="197" t="s">
        <v>4065</v>
      </c>
      <c r="P1579" s="37" t="s">
        <v>4066</v>
      </c>
      <c r="Q1579" s="303">
        <f t="shared" si="141"/>
        <v>3</v>
      </c>
      <c r="R1579" s="303">
        <f t="shared" si="142"/>
        <v>75</v>
      </c>
      <c r="S1579" s="37">
        <v>0</v>
      </c>
      <c r="T1579" s="37">
        <v>0</v>
      </c>
      <c r="U1579" s="37">
        <v>3</v>
      </c>
      <c r="V1579" s="37">
        <v>75</v>
      </c>
      <c r="W1579" s="37">
        <v>69.739999999999995</v>
      </c>
      <c r="X1579" s="37">
        <v>35</v>
      </c>
      <c r="Y1579" s="37">
        <v>32</v>
      </c>
      <c r="Z1579" s="37">
        <v>21</v>
      </c>
      <c r="AA1579" s="37">
        <v>1</v>
      </c>
      <c r="AB1579" s="300">
        <f t="shared" si="143"/>
        <v>3.92</v>
      </c>
      <c r="AC1579" s="300">
        <f t="shared" si="144"/>
        <v>2.3614457831325302E-2</v>
      </c>
      <c r="AD1579" s="37">
        <v>2312.17</v>
      </c>
      <c r="AE1579" s="197" t="s">
        <v>109</v>
      </c>
      <c r="AF1579" s="197" t="s">
        <v>317</v>
      </c>
      <c r="AG1579" s="197" t="s">
        <v>317</v>
      </c>
      <c r="AH1579" s="37" t="s">
        <v>4067</v>
      </c>
      <c r="AI1579" s="309"/>
      <c r="AJ1579" s="309"/>
      <c r="AK1579" s="37" t="s">
        <v>41</v>
      </c>
      <c r="AL1579" s="197" t="s">
        <v>39</v>
      </c>
      <c r="AM1579" s="299">
        <f t="shared" ca="1" si="140"/>
        <v>1.9652777777810115</v>
      </c>
      <c r="AN1579" s="51"/>
      <c r="AO1579" s="189" t="s">
        <v>196</v>
      </c>
      <c r="AP1579" s="190" t="s">
        <v>4062</v>
      </c>
      <c r="AQ1579" s="189" t="s">
        <v>4245</v>
      </c>
      <c r="AR1579" s="192">
        <v>44918.715277777781</v>
      </c>
      <c r="AS1579" s="186" t="s">
        <v>483</v>
      </c>
      <c r="AT1579" s="189" t="s">
        <v>225</v>
      </c>
      <c r="AU1579" s="191">
        <v>0.71527777777777779</v>
      </c>
      <c r="AV1579" s="189">
        <v>4</v>
      </c>
      <c r="AW1579" s="189" t="s">
        <v>66</v>
      </c>
      <c r="AX1579" s="52"/>
      <c r="AY1579" s="52"/>
      <c r="AZ1579" s="52"/>
      <c r="BA1579" s="52"/>
    </row>
    <row r="1580" spans="1:53" x14ac:dyDescent="0.25">
      <c r="A1580" s="203">
        <v>403</v>
      </c>
      <c r="B1580" s="202">
        <v>44916.75</v>
      </c>
      <c r="C1580" s="196">
        <v>0.76388888888888884</v>
      </c>
      <c r="D1580" s="196">
        <v>0.76736111111111116</v>
      </c>
      <c r="E1580" s="196">
        <v>0.81597222222222221</v>
      </c>
      <c r="F1580" s="197" t="s">
        <v>171</v>
      </c>
      <c r="G1580" s="197" t="s">
        <v>279</v>
      </c>
      <c r="H1580" s="197" t="s">
        <v>149</v>
      </c>
      <c r="I1580" s="197" t="s">
        <v>149</v>
      </c>
      <c r="J1580" s="195" t="s">
        <v>37</v>
      </c>
      <c r="K1580" s="195" t="s">
        <v>180</v>
      </c>
      <c r="L1580" s="200" t="s">
        <v>206</v>
      </c>
      <c r="M1580" s="197" t="s">
        <v>4062</v>
      </c>
      <c r="N1580" s="197" t="s">
        <v>44</v>
      </c>
      <c r="O1580" s="197" t="s">
        <v>4065</v>
      </c>
      <c r="P1580" s="197" t="s">
        <v>4066</v>
      </c>
      <c r="Q1580" s="303">
        <f t="shared" si="141"/>
        <v>0</v>
      </c>
      <c r="R1580" s="303">
        <f t="shared" si="142"/>
        <v>0</v>
      </c>
      <c r="S1580" s="197">
        <v>0</v>
      </c>
      <c r="T1580" s="197">
        <v>0</v>
      </c>
      <c r="U1580" s="197">
        <v>0</v>
      </c>
      <c r="V1580" s="37">
        <v>0</v>
      </c>
      <c r="W1580" s="37">
        <v>0</v>
      </c>
      <c r="X1580" s="37">
        <v>60</v>
      </c>
      <c r="Y1580" s="37">
        <v>45</v>
      </c>
      <c r="Z1580" s="37">
        <v>39</v>
      </c>
      <c r="AA1580" s="37">
        <v>1</v>
      </c>
      <c r="AB1580" s="300">
        <f t="shared" si="143"/>
        <v>17.55</v>
      </c>
      <c r="AC1580" s="300">
        <f t="shared" si="144"/>
        <v>0.10572289156626506</v>
      </c>
      <c r="AD1580" s="37">
        <v>0</v>
      </c>
      <c r="AE1580" s="197" t="s">
        <v>109</v>
      </c>
      <c r="AF1580" s="197" t="s">
        <v>317</v>
      </c>
      <c r="AG1580" s="197" t="s">
        <v>317</v>
      </c>
      <c r="AH1580" s="37">
        <v>0</v>
      </c>
      <c r="AI1580" s="309"/>
      <c r="AJ1580" s="309"/>
      <c r="AK1580" s="197" t="s">
        <v>41</v>
      </c>
      <c r="AL1580" s="197" t="s">
        <v>39</v>
      </c>
      <c r="AM1580" s="299">
        <f t="shared" ca="1" si="140"/>
        <v>1.9652777777810115</v>
      </c>
      <c r="AN1580" s="51"/>
      <c r="AO1580" s="189" t="s">
        <v>196</v>
      </c>
      <c r="AP1580" s="190" t="s">
        <v>4062</v>
      </c>
      <c r="AQ1580" s="189" t="s">
        <v>4245</v>
      </c>
      <c r="AR1580" s="192">
        <v>44918.715277777781</v>
      </c>
      <c r="AS1580" s="186" t="s">
        <v>483</v>
      </c>
      <c r="AT1580" s="189" t="s">
        <v>225</v>
      </c>
      <c r="AU1580" s="191">
        <v>0.71527777777777779</v>
      </c>
      <c r="AV1580" s="189">
        <v>4</v>
      </c>
      <c r="AW1580" s="189" t="s">
        <v>66</v>
      </c>
      <c r="AX1580" s="52"/>
      <c r="AY1580" s="52"/>
      <c r="AZ1580" s="52"/>
      <c r="BA1580" s="52"/>
    </row>
    <row r="1581" spans="1:53" ht="15.75" thickBot="1" x14ac:dyDescent="0.3">
      <c r="A1581" s="203">
        <v>403</v>
      </c>
      <c r="B1581" s="202">
        <v>44916.75</v>
      </c>
      <c r="C1581" s="196">
        <v>0.76388888888888884</v>
      </c>
      <c r="D1581" s="196">
        <v>0.76736111111111116</v>
      </c>
      <c r="E1581" s="196">
        <v>0.81597222222222221</v>
      </c>
      <c r="F1581" s="197" t="s">
        <v>171</v>
      </c>
      <c r="G1581" s="197" t="s">
        <v>279</v>
      </c>
      <c r="H1581" s="197" t="s">
        <v>149</v>
      </c>
      <c r="I1581" s="197" t="s">
        <v>149</v>
      </c>
      <c r="J1581" s="195" t="s">
        <v>37</v>
      </c>
      <c r="K1581" s="195" t="s">
        <v>180</v>
      </c>
      <c r="L1581" s="200" t="s">
        <v>206</v>
      </c>
      <c r="M1581" s="197" t="s">
        <v>4062</v>
      </c>
      <c r="N1581" s="197" t="s">
        <v>44</v>
      </c>
      <c r="O1581" s="197" t="s">
        <v>4065</v>
      </c>
      <c r="P1581" s="197" t="s">
        <v>4066</v>
      </c>
      <c r="Q1581" s="303">
        <f t="shared" si="141"/>
        <v>0</v>
      </c>
      <c r="R1581" s="303">
        <f t="shared" si="142"/>
        <v>0</v>
      </c>
      <c r="S1581" s="197">
        <v>0</v>
      </c>
      <c r="T1581" s="197">
        <v>0</v>
      </c>
      <c r="U1581" s="197">
        <v>0</v>
      </c>
      <c r="V1581" s="37">
        <v>0</v>
      </c>
      <c r="W1581" s="37">
        <v>0</v>
      </c>
      <c r="X1581" s="37">
        <v>122</v>
      </c>
      <c r="Y1581" s="37">
        <v>43</v>
      </c>
      <c r="Z1581" s="37">
        <v>38</v>
      </c>
      <c r="AA1581" s="37">
        <v>1</v>
      </c>
      <c r="AB1581" s="300">
        <f t="shared" si="143"/>
        <v>33.224666666666664</v>
      </c>
      <c r="AC1581" s="300">
        <f t="shared" si="144"/>
        <v>0.20014859437751004</v>
      </c>
      <c r="AD1581" s="197">
        <v>0</v>
      </c>
      <c r="AE1581" s="197" t="s">
        <v>109</v>
      </c>
      <c r="AF1581" s="197" t="s">
        <v>317</v>
      </c>
      <c r="AG1581" s="197" t="s">
        <v>317</v>
      </c>
      <c r="AH1581" s="37">
        <v>0</v>
      </c>
      <c r="AI1581" s="309"/>
      <c r="AJ1581" s="309"/>
      <c r="AK1581" s="197" t="s">
        <v>41</v>
      </c>
      <c r="AL1581" s="197" t="s">
        <v>39</v>
      </c>
      <c r="AM1581" s="299">
        <f t="shared" ca="1" si="140"/>
        <v>1.9652777777810115</v>
      </c>
      <c r="AN1581" s="51"/>
      <c r="AO1581" s="189" t="s">
        <v>196</v>
      </c>
      <c r="AP1581" s="190" t="s">
        <v>4062</v>
      </c>
      <c r="AQ1581" s="189" t="s">
        <v>4245</v>
      </c>
      <c r="AR1581" s="192">
        <v>44918.715277777781</v>
      </c>
      <c r="AS1581" s="186" t="s">
        <v>483</v>
      </c>
      <c r="AT1581" s="189" t="s">
        <v>225</v>
      </c>
      <c r="AU1581" s="191">
        <v>0.71527777777777779</v>
      </c>
      <c r="AV1581" s="189">
        <v>4</v>
      </c>
      <c r="AW1581" s="189" t="s">
        <v>66</v>
      </c>
      <c r="AX1581" s="52"/>
      <c r="AY1581" s="52"/>
      <c r="AZ1581" s="52"/>
      <c r="BA1581" s="52"/>
    </row>
    <row r="1582" spans="1:53" ht="15.75" thickBot="1" x14ac:dyDescent="0.3">
      <c r="A1582" s="48">
        <v>404</v>
      </c>
      <c r="B1582" s="202">
        <v>44917.381944444445</v>
      </c>
      <c r="C1582" s="196">
        <v>0.38194444444444442</v>
      </c>
      <c r="D1582" s="196">
        <v>0.3923611111111111</v>
      </c>
      <c r="E1582" s="196">
        <v>0.4201388888888889</v>
      </c>
      <c r="F1582" s="197" t="s">
        <v>171</v>
      </c>
      <c r="G1582" s="197" t="s">
        <v>3968</v>
      </c>
      <c r="H1582" s="195" t="s">
        <v>342</v>
      </c>
      <c r="I1582" s="195" t="s">
        <v>342</v>
      </c>
      <c r="J1582" s="195" t="s">
        <v>37</v>
      </c>
      <c r="K1582" s="197" t="s">
        <v>180</v>
      </c>
      <c r="L1582" s="197">
        <v>0</v>
      </c>
      <c r="M1582" s="197" t="s">
        <v>4078</v>
      </c>
      <c r="N1582" s="197" t="s">
        <v>42</v>
      </c>
      <c r="O1582" s="197" t="s">
        <v>4079</v>
      </c>
      <c r="P1582" s="197" t="s">
        <v>4080</v>
      </c>
      <c r="Q1582" s="303">
        <f t="shared" si="141"/>
        <v>10</v>
      </c>
      <c r="R1582" s="303">
        <f t="shared" si="142"/>
        <v>5271</v>
      </c>
      <c r="S1582" s="197">
        <v>0</v>
      </c>
      <c r="T1582" s="197">
        <v>0</v>
      </c>
      <c r="U1582" s="197">
        <v>10</v>
      </c>
      <c r="V1582" s="197">
        <v>5271</v>
      </c>
      <c r="W1582" s="197">
        <v>5760</v>
      </c>
      <c r="X1582" s="197">
        <v>99</v>
      </c>
      <c r="Y1582" s="197">
        <v>99</v>
      </c>
      <c r="Z1582" s="197">
        <v>75</v>
      </c>
      <c r="AA1582" s="197">
        <v>7</v>
      </c>
      <c r="AB1582" s="300">
        <f t="shared" si="143"/>
        <v>857.58749999999998</v>
      </c>
      <c r="AC1582" s="300">
        <f t="shared" si="144"/>
        <v>5.1661897590361443</v>
      </c>
      <c r="AD1582" s="197" t="s">
        <v>4081</v>
      </c>
      <c r="AE1582" s="197" t="s">
        <v>109</v>
      </c>
      <c r="AF1582" s="197" t="s">
        <v>4082</v>
      </c>
      <c r="AG1582" s="197" t="s">
        <v>4083</v>
      </c>
      <c r="AH1582" s="197" t="s">
        <v>4084</v>
      </c>
      <c r="AI1582" s="309"/>
      <c r="AJ1582" s="309"/>
      <c r="AK1582" s="197" t="s">
        <v>37</v>
      </c>
      <c r="AL1582" s="197" t="s">
        <v>47</v>
      </c>
      <c r="AM1582" s="299">
        <f t="shared" ca="1" si="140"/>
        <v>9.7222222218988463E-2</v>
      </c>
      <c r="AN1582" s="207"/>
      <c r="AO1582" s="191" t="s">
        <v>107</v>
      </c>
      <c r="AP1582" s="190" t="s">
        <v>4078</v>
      </c>
      <c r="AQ1582" s="189" t="s">
        <v>4173</v>
      </c>
      <c r="AR1582" s="192">
        <v>44917.479166666664</v>
      </c>
      <c r="AS1582" s="186" t="s">
        <v>483</v>
      </c>
      <c r="AT1582" s="189" t="s">
        <v>225</v>
      </c>
      <c r="AU1582" s="191">
        <v>0.47916666666666669</v>
      </c>
      <c r="AV1582" s="189">
        <v>1</v>
      </c>
      <c r="AW1582" s="189" t="s">
        <v>66</v>
      </c>
      <c r="AX1582" s="52"/>
      <c r="AY1582" s="52"/>
      <c r="AZ1582" s="52"/>
      <c r="BA1582" s="52"/>
    </row>
    <row r="1583" spans="1:53" ht="15.75" thickBot="1" x14ac:dyDescent="0.3">
      <c r="A1583" s="203">
        <v>404</v>
      </c>
      <c r="B1583" s="202">
        <v>44917.381944444445</v>
      </c>
      <c r="C1583" s="196">
        <v>0.38194444444444442</v>
      </c>
      <c r="D1583" s="196">
        <v>0.3923611111111111</v>
      </c>
      <c r="E1583" s="196">
        <v>0.4201388888888889</v>
      </c>
      <c r="F1583" s="197" t="s">
        <v>171</v>
      </c>
      <c r="G1583" s="197" t="s">
        <v>3968</v>
      </c>
      <c r="H1583" s="195" t="s">
        <v>342</v>
      </c>
      <c r="I1583" s="195" t="s">
        <v>342</v>
      </c>
      <c r="J1583" s="195" t="s">
        <v>37</v>
      </c>
      <c r="K1583" s="197" t="s">
        <v>180</v>
      </c>
      <c r="L1583" s="197">
        <v>0</v>
      </c>
      <c r="M1583" s="197" t="s">
        <v>4078</v>
      </c>
      <c r="N1583" s="197" t="s">
        <v>42</v>
      </c>
      <c r="O1583" s="197" t="s">
        <v>4079</v>
      </c>
      <c r="P1583" s="197" t="s">
        <v>4080</v>
      </c>
      <c r="Q1583" s="303">
        <f t="shared" si="141"/>
        <v>0</v>
      </c>
      <c r="R1583" s="303">
        <f t="shared" si="142"/>
        <v>0</v>
      </c>
      <c r="S1583" s="197">
        <v>0</v>
      </c>
      <c r="T1583" s="197">
        <v>0</v>
      </c>
      <c r="U1583" s="197">
        <v>0</v>
      </c>
      <c r="V1583" s="197">
        <v>0</v>
      </c>
      <c r="W1583" s="197">
        <v>0</v>
      </c>
      <c r="X1583" s="197">
        <v>119</v>
      </c>
      <c r="Y1583" s="197">
        <v>63</v>
      </c>
      <c r="Z1583" s="197">
        <v>102</v>
      </c>
      <c r="AA1583" s="197">
        <v>2</v>
      </c>
      <c r="AB1583" s="300">
        <f t="shared" si="143"/>
        <v>254.898</v>
      </c>
      <c r="AC1583" s="300">
        <f t="shared" si="144"/>
        <v>1.5355301204819276</v>
      </c>
      <c r="AD1583" s="197">
        <v>0</v>
      </c>
      <c r="AE1583" s="197">
        <v>0</v>
      </c>
      <c r="AF1583" s="197" t="s">
        <v>4082</v>
      </c>
      <c r="AG1583" s="197" t="s">
        <v>4083</v>
      </c>
      <c r="AH1583" s="197" t="s">
        <v>4084</v>
      </c>
      <c r="AI1583" s="309"/>
      <c r="AJ1583" s="309"/>
      <c r="AK1583" s="197" t="s">
        <v>37</v>
      </c>
      <c r="AL1583" s="197" t="s">
        <v>47</v>
      </c>
      <c r="AM1583" s="299">
        <f t="shared" ca="1" si="140"/>
        <v>9.7222222218988463E-2</v>
      </c>
      <c r="AN1583" s="207"/>
      <c r="AO1583" s="191" t="s">
        <v>107</v>
      </c>
      <c r="AP1583" s="190" t="s">
        <v>4078</v>
      </c>
      <c r="AQ1583" s="189" t="s">
        <v>4173</v>
      </c>
      <c r="AR1583" s="192">
        <v>44917.479166666664</v>
      </c>
      <c r="AS1583" s="186" t="s">
        <v>483</v>
      </c>
      <c r="AT1583" s="189" t="s">
        <v>225</v>
      </c>
      <c r="AU1583" s="191">
        <v>0.47916666666666669</v>
      </c>
      <c r="AV1583" s="189">
        <v>1</v>
      </c>
      <c r="AW1583" s="189" t="s">
        <v>66</v>
      </c>
      <c r="AX1583" s="52"/>
      <c r="AY1583" s="52"/>
      <c r="AZ1583" s="52"/>
      <c r="BA1583" s="52"/>
    </row>
    <row r="1584" spans="1:53" ht="15.75" thickBot="1" x14ac:dyDescent="0.3">
      <c r="A1584" s="203">
        <v>404</v>
      </c>
      <c r="B1584" s="202">
        <v>44917.381944444445</v>
      </c>
      <c r="C1584" s="196">
        <v>0.38194444444444442</v>
      </c>
      <c r="D1584" s="196">
        <v>0.3923611111111111</v>
      </c>
      <c r="E1584" s="196">
        <v>0.4201388888888889</v>
      </c>
      <c r="F1584" s="197" t="s">
        <v>171</v>
      </c>
      <c r="G1584" s="197" t="s">
        <v>3968</v>
      </c>
      <c r="H1584" s="195" t="s">
        <v>342</v>
      </c>
      <c r="I1584" s="195" t="s">
        <v>342</v>
      </c>
      <c r="J1584" s="195" t="s">
        <v>37</v>
      </c>
      <c r="K1584" s="197" t="s">
        <v>180</v>
      </c>
      <c r="L1584" s="197">
        <v>0</v>
      </c>
      <c r="M1584" s="197" t="s">
        <v>4078</v>
      </c>
      <c r="N1584" s="197" t="s">
        <v>42</v>
      </c>
      <c r="O1584" s="197" t="s">
        <v>4079</v>
      </c>
      <c r="P1584" s="197" t="s">
        <v>4080</v>
      </c>
      <c r="Q1584" s="303">
        <f t="shared" si="141"/>
        <v>0</v>
      </c>
      <c r="R1584" s="303">
        <f t="shared" si="142"/>
        <v>0</v>
      </c>
      <c r="S1584" s="197">
        <v>0</v>
      </c>
      <c r="T1584" s="197">
        <v>0</v>
      </c>
      <c r="U1584" s="197">
        <v>0</v>
      </c>
      <c r="V1584" s="197">
        <v>0</v>
      </c>
      <c r="W1584" s="197">
        <v>0</v>
      </c>
      <c r="X1584" s="197">
        <v>119</v>
      </c>
      <c r="Y1584" s="197">
        <v>63</v>
      </c>
      <c r="Z1584" s="197">
        <v>67</v>
      </c>
      <c r="AA1584" s="197">
        <v>1</v>
      </c>
      <c r="AB1584" s="300">
        <f t="shared" si="143"/>
        <v>83.716499999999996</v>
      </c>
      <c r="AC1584" s="300">
        <f t="shared" si="144"/>
        <v>0.50431626506024096</v>
      </c>
      <c r="AD1584" s="197">
        <v>0</v>
      </c>
      <c r="AE1584" s="197">
        <v>0</v>
      </c>
      <c r="AF1584" s="197" t="s">
        <v>4082</v>
      </c>
      <c r="AG1584" s="197" t="s">
        <v>4083</v>
      </c>
      <c r="AH1584" s="197" t="s">
        <v>4084</v>
      </c>
      <c r="AI1584" s="309"/>
      <c r="AJ1584" s="309"/>
      <c r="AK1584" s="197" t="s">
        <v>37</v>
      </c>
      <c r="AL1584" s="197" t="s">
        <v>47</v>
      </c>
      <c r="AM1584" s="299">
        <f t="shared" ca="1" si="140"/>
        <v>9.7222222218988463E-2</v>
      </c>
      <c r="AN1584" s="207"/>
      <c r="AO1584" s="191" t="s">
        <v>107</v>
      </c>
      <c r="AP1584" s="190" t="s">
        <v>4078</v>
      </c>
      <c r="AQ1584" s="189" t="s">
        <v>4173</v>
      </c>
      <c r="AR1584" s="192">
        <v>44917.479166666664</v>
      </c>
      <c r="AS1584" s="186" t="s">
        <v>483</v>
      </c>
      <c r="AT1584" s="189" t="s">
        <v>225</v>
      </c>
      <c r="AU1584" s="191">
        <v>0.47916666666666669</v>
      </c>
      <c r="AV1584" s="189">
        <v>1</v>
      </c>
      <c r="AW1584" s="189" t="s">
        <v>66</v>
      </c>
      <c r="AX1584" s="52"/>
      <c r="AY1584" s="52"/>
      <c r="AZ1584" s="52"/>
      <c r="BA1584" s="52"/>
    </row>
    <row r="1585" spans="1:53" x14ac:dyDescent="0.25">
      <c r="A1585" s="48">
        <v>405</v>
      </c>
      <c r="B1585" s="46">
        <v>44917.40625</v>
      </c>
      <c r="C1585" s="36">
        <v>0.40972222222222227</v>
      </c>
      <c r="D1585" s="36">
        <v>0.41319444444444442</v>
      </c>
      <c r="E1585" s="36">
        <v>0.42708333333333331</v>
      </c>
      <c r="F1585" s="197" t="s">
        <v>171</v>
      </c>
      <c r="G1585" s="37" t="s">
        <v>203</v>
      </c>
      <c r="H1585" s="195" t="s">
        <v>342</v>
      </c>
      <c r="I1585" s="195" t="s">
        <v>342</v>
      </c>
      <c r="J1585" s="195" t="s">
        <v>37</v>
      </c>
      <c r="K1585" s="197" t="s">
        <v>180</v>
      </c>
      <c r="L1585" s="197">
        <v>0</v>
      </c>
      <c r="M1585" s="37" t="s">
        <v>4085</v>
      </c>
      <c r="N1585" s="37" t="s">
        <v>44</v>
      </c>
      <c r="O1585" s="37" t="s">
        <v>4086</v>
      </c>
      <c r="P1585" s="37">
        <v>29545469</v>
      </c>
      <c r="Q1585" s="303">
        <f t="shared" si="141"/>
        <v>3</v>
      </c>
      <c r="R1585" s="303">
        <f t="shared" si="142"/>
        <v>1667</v>
      </c>
      <c r="S1585" s="37">
        <v>0</v>
      </c>
      <c r="T1585" s="37">
        <v>0</v>
      </c>
      <c r="U1585" s="37">
        <v>3</v>
      </c>
      <c r="V1585" s="37">
        <f>559+548+560</f>
        <v>1667</v>
      </c>
      <c r="W1585" s="37">
        <v>1800</v>
      </c>
      <c r="X1585" s="37">
        <v>99</v>
      </c>
      <c r="Y1585" s="37">
        <v>99</v>
      </c>
      <c r="Z1585" s="37">
        <v>75</v>
      </c>
      <c r="AA1585" s="37">
        <v>3</v>
      </c>
      <c r="AB1585" s="300">
        <f t="shared" si="143"/>
        <v>367.53750000000002</v>
      </c>
      <c r="AC1585" s="300">
        <f t="shared" si="144"/>
        <v>2.2140813253012048</v>
      </c>
      <c r="AD1585" s="37">
        <v>19874.88</v>
      </c>
      <c r="AE1585" s="37" t="s">
        <v>109</v>
      </c>
      <c r="AF1585" s="37" t="s">
        <v>4087</v>
      </c>
      <c r="AG1585" s="37" t="s">
        <v>4083</v>
      </c>
      <c r="AH1585" s="37" t="s">
        <v>4088</v>
      </c>
      <c r="AI1585" s="309"/>
      <c r="AJ1585" s="309"/>
      <c r="AK1585" s="197" t="s">
        <v>37</v>
      </c>
      <c r="AL1585" s="197" t="s">
        <v>39</v>
      </c>
      <c r="AM1585" s="299">
        <f t="shared" ca="1" si="140"/>
        <v>0.34375</v>
      </c>
      <c r="AN1585" s="51" t="s">
        <v>4089</v>
      </c>
      <c r="AO1585" s="191" t="s">
        <v>53</v>
      </c>
      <c r="AP1585" s="190" t="s">
        <v>4085</v>
      </c>
      <c r="AQ1585" s="189" t="s">
        <v>4177</v>
      </c>
      <c r="AR1585" s="192">
        <v>44917.75</v>
      </c>
      <c r="AS1585" s="186" t="s">
        <v>173</v>
      </c>
      <c r="AT1585" s="189" t="s">
        <v>225</v>
      </c>
      <c r="AU1585" s="191">
        <v>0.75</v>
      </c>
      <c r="AV1585" s="189">
        <v>2</v>
      </c>
      <c r="AW1585" s="189" t="s">
        <v>66</v>
      </c>
      <c r="AX1585" s="52"/>
      <c r="AY1585" s="52"/>
      <c r="AZ1585" s="52"/>
      <c r="BA1585" s="52"/>
    </row>
    <row r="1586" spans="1:53" x14ac:dyDescent="0.25">
      <c r="A1586" s="48">
        <v>406</v>
      </c>
      <c r="B1586" s="46">
        <v>44917.434027777781</v>
      </c>
      <c r="C1586" s="36">
        <v>0.4375</v>
      </c>
      <c r="D1586" s="36">
        <v>0.44097222222222227</v>
      </c>
      <c r="E1586" s="36">
        <v>0.44444444444444442</v>
      </c>
      <c r="F1586" s="197" t="s">
        <v>171</v>
      </c>
      <c r="G1586" s="37" t="s">
        <v>4090</v>
      </c>
      <c r="H1586" s="26" t="s">
        <v>85</v>
      </c>
      <c r="I1586" s="26" t="s">
        <v>86</v>
      </c>
      <c r="J1586" s="195" t="s">
        <v>37</v>
      </c>
      <c r="K1586" s="201" t="s">
        <v>180</v>
      </c>
      <c r="L1586" s="201" t="s">
        <v>207</v>
      </c>
      <c r="M1586" s="37" t="s">
        <v>4091</v>
      </c>
      <c r="N1586" s="37" t="s">
        <v>42</v>
      </c>
      <c r="O1586" s="37" t="s">
        <v>4092</v>
      </c>
      <c r="P1586" s="37" t="s">
        <v>4093</v>
      </c>
      <c r="Q1586" s="303">
        <f t="shared" si="141"/>
        <v>2</v>
      </c>
      <c r="R1586" s="303">
        <f t="shared" si="142"/>
        <v>587</v>
      </c>
      <c r="S1586" s="37">
        <v>0</v>
      </c>
      <c r="T1586" s="37">
        <v>0</v>
      </c>
      <c r="U1586" s="37">
        <v>2</v>
      </c>
      <c r="V1586" s="37">
        <f>289+298</f>
        <v>587</v>
      </c>
      <c r="W1586" s="37">
        <v>576</v>
      </c>
      <c r="X1586" s="37">
        <v>120</v>
      </c>
      <c r="Y1586" s="37">
        <v>80</v>
      </c>
      <c r="Z1586" s="37">
        <v>108</v>
      </c>
      <c r="AA1586" s="37">
        <v>1</v>
      </c>
      <c r="AB1586" s="300">
        <f t="shared" si="143"/>
        <v>172.8</v>
      </c>
      <c r="AC1586" s="300">
        <f t="shared" si="144"/>
        <v>1.0409638554216869</v>
      </c>
      <c r="AD1586" s="37">
        <v>7499.64</v>
      </c>
      <c r="AE1586" s="197" t="s">
        <v>109</v>
      </c>
      <c r="AF1586" s="197" t="s">
        <v>1566</v>
      </c>
      <c r="AG1586" s="197" t="s">
        <v>1566</v>
      </c>
      <c r="AH1586" s="37" t="s">
        <v>4094</v>
      </c>
      <c r="AI1586" s="309"/>
      <c r="AJ1586" s="309"/>
      <c r="AK1586" s="197" t="s">
        <v>37</v>
      </c>
      <c r="AL1586" s="197" t="s">
        <v>49</v>
      </c>
      <c r="AM1586" s="299">
        <f t="shared" ca="1" si="140"/>
        <v>1.2534722222189885</v>
      </c>
      <c r="AN1586" s="51"/>
      <c r="AO1586" s="189" t="s">
        <v>87</v>
      </c>
      <c r="AP1586" s="190" t="s">
        <v>4091</v>
      </c>
      <c r="AQ1586" s="189" t="s">
        <v>4239</v>
      </c>
      <c r="AR1586" s="192">
        <v>44918.6875</v>
      </c>
      <c r="AS1586" s="186" t="s">
        <v>173</v>
      </c>
      <c r="AT1586" s="189" t="s">
        <v>225</v>
      </c>
      <c r="AU1586" s="191">
        <v>0.6875</v>
      </c>
      <c r="AV1586" s="189">
        <v>2</v>
      </c>
      <c r="AW1586" s="189" t="s">
        <v>66</v>
      </c>
      <c r="AX1586" s="52"/>
      <c r="AY1586" s="52"/>
      <c r="AZ1586" s="52"/>
      <c r="BA1586" s="52"/>
    </row>
    <row r="1587" spans="1:53" x14ac:dyDescent="0.25">
      <c r="A1587" s="203">
        <v>406</v>
      </c>
      <c r="B1587" s="202">
        <v>44917.434027777781</v>
      </c>
      <c r="C1587" s="196">
        <v>0.4375</v>
      </c>
      <c r="D1587" s="196">
        <v>0.44097222222222227</v>
      </c>
      <c r="E1587" s="196">
        <v>0.44444444444444442</v>
      </c>
      <c r="F1587" s="197" t="s">
        <v>171</v>
      </c>
      <c r="G1587" s="197" t="s">
        <v>4090</v>
      </c>
      <c r="H1587" s="188" t="s">
        <v>85</v>
      </c>
      <c r="I1587" s="188" t="s">
        <v>86</v>
      </c>
      <c r="J1587" s="195" t="s">
        <v>37</v>
      </c>
      <c r="K1587" s="201" t="s">
        <v>180</v>
      </c>
      <c r="L1587" s="201" t="s">
        <v>207</v>
      </c>
      <c r="M1587" s="197" t="s">
        <v>4091</v>
      </c>
      <c r="N1587" s="197" t="s">
        <v>42</v>
      </c>
      <c r="O1587" s="197" t="s">
        <v>4092</v>
      </c>
      <c r="P1587" s="197" t="s">
        <v>4093</v>
      </c>
      <c r="Q1587" s="303">
        <f t="shared" si="141"/>
        <v>0</v>
      </c>
      <c r="R1587" s="303">
        <f t="shared" si="142"/>
        <v>0</v>
      </c>
      <c r="S1587" s="197">
        <v>0</v>
      </c>
      <c r="T1587" s="197">
        <v>0</v>
      </c>
      <c r="U1587" s="197">
        <v>0</v>
      </c>
      <c r="V1587" s="197">
        <v>0</v>
      </c>
      <c r="W1587" s="197">
        <v>0</v>
      </c>
      <c r="X1587" s="37">
        <v>120</v>
      </c>
      <c r="Y1587" s="37">
        <v>80</v>
      </c>
      <c r="Z1587" s="37">
        <v>52</v>
      </c>
      <c r="AA1587" s="37">
        <v>1</v>
      </c>
      <c r="AB1587" s="300">
        <f t="shared" si="143"/>
        <v>83.2</v>
      </c>
      <c r="AC1587" s="300">
        <f t="shared" si="144"/>
        <v>0.50120481927710847</v>
      </c>
      <c r="AD1587" s="37">
        <v>0</v>
      </c>
      <c r="AE1587" s="197">
        <v>0</v>
      </c>
      <c r="AF1587" s="197" t="s">
        <v>1566</v>
      </c>
      <c r="AG1587" s="197" t="s">
        <v>1566</v>
      </c>
      <c r="AH1587" s="197" t="s">
        <v>4094</v>
      </c>
      <c r="AI1587" s="309"/>
      <c r="AJ1587" s="309"/>
      <c r="AK1587" s="197" t="s">
        <v>37</v>
      </c>
      <c r="AL1587" s="197" t="s">
        <v>49</v>
      </c>
      <c r="AM1587" s="299">
        <f t="shared" ca="1" si="140"/>
        <v>1.2534722222189885</v>
      </c>
      <c r="AN1587" s="51"/>
      <c r="AO1587" s="189" t="s">
        <v>87</v>
      </c>
      <c r="AP1587" s="190" t="s">
        <v>4091</v>
      </c>
      <c r="AQ1587" s="189" t="s">
        <v>4239</v>
      </c>
      <c r="AR1587" s="192">
        <v>44918.6875</v>
      </c>
      <c r="AS1587" s="186" t="s">
        <v>173</v>
      </c>
      <c r="AT1587" s="189" t="s">
        <v>225</v>
      </c>
      <c r="AU1587" s="191">
        <v>0.6875</v>
      </c>
      <c r="AV1587" s="189">
        <v>2</v>
      </c>
      <c r="AW1587" s="189" t="s">
        <v>66</v>
      </c>
      <c r="AX1587" s="52"/>
      <c r="AY1587" s="52"/>
      <c r="AZ1587" s="52"/>
      <c r="BA1587" s="52"/>
    </row>
    <row r="1588" spans="1:53" x14ac:dyDescent="0.25">
      <c r="A1588" s="48">
        <v>407</v>
      </c>
      <c r="B1588" s="46">
        <v>44917.645833333336</v>
      </c>
      <c r="C1588" s="36">
        <v>0.64930555555555558</v>
      </c>
      <c r="D1588" s="36">
        <v>0.65972222222222221</v>
      </c>
      <c r="E1588" s="196">
        <v>0.69791666666666663</v>
      </c>
      <c r="F1588" s="37" t="s">
        <v>170</v>
      </c>
      <c r="G1588" s="37" t="s">
        <v>1599</v>
      </c>
      <c r="H1588" s="26" t="s">
        <v>46</v>
      </c>
      <c r="I1588" s="26" t="s">
        <v>71</v>
      </c>
      <c r="J1588" s="26" t="s">
        <v>41</v>
      </c>
      <c r="K1588" s="195" t="s">
        <v>63</v>
      </c>
      <c r="L1588" s="195" t="s">
        <v>214</v>
      </c>
      <c r="M1588" s="37" t="s">
        <v>4095</v>
      </c>
      <c r="N1588" s="37" t="s">
        <v>139</v>
      </c>
      <c r="O1588" s="37" t="s">
        <v>4096</v>
      </c>
      <c r="P1588" s="37">
        <v>6208</v>
      </c>
      <c r="Q1588" s="303">
        <f t="shared" si="141"/>
        <v>1</v>
      </c>
      <c r="R1588" s="303">
        <f t="shared" si="142"/>
        <v>139</v>
      </c>
      <c r="S1588" s="37">
        <v>0</v>
      </c>
      <c r="T1588" s="37">
        <v>0</v>
      </c>
      <c r="U1588" s="37">
        <v>1</v>
      </c>
      <c r="V1588" s="37">
        <v>139</v>
      </c>
      <c r="W1588" s="37">
        <v>138.19999999999999</v>
      </c>
      <c r="X1588" s="37">
        <v>59</v>
      </c>
      <c r="Y1588" s="37">
        <v>59</v>
      </c>
      <c r="Z1588" s="37">
        <v>58</v>
      </c>
      <c r="AA1588" s="37">
        <v>1</v>
      </c>
      <c r="AB1588" s="300">
        <f t="shared" si="143"/>
        <v>33.649666666666668</v>
      </c>
      <c r="AC1588" s="300">
        <f t="shared" si="144"/>
        <v>0.20270883534136547</v>
      </c>
      <c r="AD1588" s="37" t="s">
        <v>48</v>
      </c>
      <c r="AE1588" s="197" t="s">
        <v>48</v>
      </c>
      <c r="AF1588" s="37" t="s">
        <v>317</v>
      </c>
      <c r="AG1588" s="197" t="s">
        <v>317</v>
      </c>
      <c r="AH1588" s="37" t="s">
        <v>4097</v>
      </c>
      <c r="AI1588" s="309"/>
      <c r="AJ1588" s="309"/>
      <c r="AK1588" s="37" t="s">
        <v>41</v>
      </c>
      <c r="AL1588" s="37" t="s">
        <v>39</v>
      </c>
      <c r="AM1588" s="299">
        <f t="shared" ca="1" si="140"/>
        <v>1.8506944444452529</v>
      </c>
      <c r="AN1588" s="51"/>
      <c r="AO1588" s="210" t="s">
        <v>72</v>
      </c>
      <c r="AP1588" s="211" t="s">
        <v>4095</v>
      </c>
      <c r="AQ1588" s="210" t="s">
        <v>4304</v>
      </c>
      <c r="AR1588" s="213">
        <v>44919.496527777781</v>
      </c>
      <c r="AS1588" s="210" t="s">
        <v>136</v>
      </c>
      <c r="AT1588" s="210" t="s">
        <v>225</v>
      </c>
      <c r="AU1588" s="212">
        <v>0.49652777777777773</v>
      </c>
      <c r="AV1588" s="210">
        <v>1</v>
      </c>
      <c r="AW1588" s="210" t="s">
        <v>66</v>
      </c>
      <c r="AX1588" s="52"/>
      <c r="AY1588" s="52"/>
      <c r="AZ1588" s="52"/>
      <c r="BA1588" s="52"/>
    </row>
    <row r="1589" spans="1:53" x14ac:dyDescent="0.25">
      <c r="A1589" s="48">
        <v>408</v>
      </c>
      <c r="B1589" s="202">
        <v>44917.645833333336</v>
      </c>
      <c r="C1589" s="196">
        <v>0.64930555555555558</v>
      </c>
      <c r="D1589" s="196">
        <v>0.65972222222222221</v>
      </c>
      <c r="E1589" s="196">
        <v>0.68402777777777779</v>
      </c>
      <c r="F1589" s="197" t="s">
        <v>170</v>
      </c>
      <c r="G1589" s="197" t="s">
        <v>1599</v>
      </c>
      <c r="H1589" s="26" t="s">
        <v>227</v>
      </c>
      <c r="I1589" s="26" t="s">
        <v>189</v>
      </c>
      <c r="J1589" s="26" t="s">
        <v>37</v>
      </c>
      <c r="K1589" s="195" t="s">
        <v>63</v>
      </c>
      <c r="L1589" s="200" t="s">
        <v>206</v>
      </c>
      <c r="M1589" s="37" t="s">
        <v>4098</v>
      </c>
      <c r="N1589" s="37" t="s">
        <v>42</v>
      </c>
      <c r="O1589" s="37">
        <v>1138</v>
      </c>
      <c r="P1589" s="37">
        <v>3720</v>
      </c>
      <c r="Q1589" s="303">
        <f t="shared" si="141"/>
        <v>1</v>
      </c>
      <c r="R1589" s="303">
        <f t="shared" si="142"/>
        <v>163</v>
      </c>
      <c r="S1589" s="37">
        <v>0</v>
      </c>
      <c r="T1589" s="37">
        <v>0</v>
      </c>
      <c r="U1589" s="37">
        <v>1</v>
      </c>
      <c r="V1589" s="37">
        <v>163</v>
      </c>
      <c r="W1589" s="37">
        <v>148.4</v>
      </c>
      <c r="X1589" s="37">
        <v>160</v>
      </c>
      <c r="Y1589" s="37">
        <v>73</v>
      </c>
      <c r="Z1589" s="37">
        <v>79</v>
      </c>
      <c r="AA1589" s="37">
        <v>1</v>
      </c>
      <c r="AB1589" s="300">
        <f t="shared" si="143"/>
        <v>153.78666666666666</v>
      </c>
      <c r="AC1589" s="300">
        <f t="shared" si="144"/>
        <v>0.92642570281124492</v>
      </c>
      <c r="AD1589" s="197" t="s">
        <v>48</v>
      </c>
      <c r="AE1589" s="197" t="s">
        <v>48</v>
      </c>
      <c r="AF1589" s="197" t="s">
        <v>317</v>
      </c>
      <c r="AG1589" s="197" t="s">
        <v>317</v>
      </c>
      <c r="AH1589" s="37" t="s">
        <v>4099</v>
      </c>
      <c r="AI1589" s="309"/>
      <c r="AJ1589" s="309"/>
      <c r="AK1589" s="37" t="s">
        <v>37</v>
      </c>
      <c r="AL1589" s="197" t="s">
        <v>39</v>
      </c>
      <c r="AM1589" s="299">
        <f t="shared" ca="1" si="140"/>
        <v>0.10416666666424135</v>
      </c>
      <c r="AN1589" s="51"/>
      <c r="AO1589" s="191" t="s">
        <v>89</v>
      </c>
      <c r="AP1589" s="190" t="s">
        <v>4098</v>
      </c>
      <c r="AQ1589" s="189" t="s">
        <v>4178</v>
      </c>
      <c r="AR1589" s="192">
        <v>44917.75</v>
      </c>
      <c r="AS1589" s="186" t="s">
        <v>173</v>
      </c>
      <c r="AT1589" s="189" t="s">
        <v>225</v>
      </c>
      <c r="AU1589" s="191">
        <v>0.75</v>
      </c>
      <c r="AV1589" s="189">
        <v>2</v>
      </c>
      <c r="AW1589" s="189" t="s">
        <v>66</v>
      </c>
      <c r="AX1589" s="52"/>
      <c r="AY1589" s="52"/>
      <c r="AZ1589" s="52"/>
      <c r="BA1589" s="52"/>
    </row>
    <row r="1590" spans="1:53" x14ac:dyDescent="0.25">
      <c r="A1590" s="48">
        <v>409</v>
      </c>
      <c r="B1590" s="202">
        <v>44917.645833333336</v>
      </c>
      <c r="C1590" s="196">
        <v>0.64930555555555558</v>
      </c>
      <c r="D1590" s="196">
        <v>0.65972222222222221</v>
      </c>
      <c r="E1590" s="196">
        <v>0.68402777777777779</v>
      </c>
      <c r="F1590" s="197" t="s">
        <v>170</v>
      </c>
      <c r="G1590" s="197" t="s">
        <v>1599</v>
      </c>
      <c r="H1590" s="188" t="s">
        <v>227</v>
      </c>
      <c r="I1590" s="188" t="s">
        <v>189</v>
      </c>
      <c r="J1590" s="188" t="s">
        <v>37</v>
      </c>
      <c r="K1590" s="195" t="s">
        <v>63</v>
      </c>
      <c r="L1590" s="200" t="s">
        <v>206</v>
      </c>
      <c r="M1590" s="37" t="s">
        <v>4100</v>
      </c>
      <c r="N1590" s="37" t="s">
        <v>43</v>
      </c>
      <c r="O1590" s="37" t="s">
        <v>4101</v>
      </c>
      <c r="P1590" s="37">
        <v>28955</v>
      </c>
      <c r="Q1590" s="303">
        <f t="shared" si="141"/>
        <v>1</v>
      </c>
      <c r="R1590" s="303">
        <f t="shared" si="142"/>
        <v>402</v>
      </c>
      <c r="S1590" s="37">
        <v>0</v>
      </c>
      <c r="T1590" s="37">
        <v>0</v>
      </c>
      <c r="U1590" s="37">
        <v>1</v>
      </c>
      <c r="V1590" s="37">
        <v>402</v>
      </c>
      <c r="W1590" s="37">
        <v>404</v>
      </c>
      <c r="X1590" s="37">
        <v>170</v>
      </c>
      <c r="Y1590" s="37">
        <v>84</v>
      </c>
      <c r="Z1590" s="37">
        <v>81</v>
      </c>
      <c r="AA1590" s="37">
        <v>1</v>
      </c>
      <c r="AB1590" s="300">
        <f t="shared" si="143"/>
        <v>192.78</v>
      </c>
      <c r="AC1590" s="300">
        <f t="shared" si="144"/>
        <v>1.1613253012048192</v>
      </c>
      <c r="AD1590" s="197" t="s">
        <v>48</v>
      </c>
      <c r="AE1590" s="197" t="s">
        <v>48</v>
      </c>
      <c r="AF1590" s="197" t="s">
        <v>317</v>
      </c>
      <c r="AG1590" s="197" t="s">
        <v>317</v>
      </c>
      <c r="AH1590" s="37" t="s">
        <v>4102</v>
      </c>
      <c r="AI1590" s="309"/>
      <c r="AJ1590" s="309"/>
      <c r="AK1590" s="197" t="s">
        <v>37</v>
      </c>
      <c r="AL1590" s="197" t="s">
        <v>39</v>
      </c>
      <c r="AM1590" s="299">
        <f t="shared" ca="1" si="140"/>
        <v>1.9236111111094942</v>
      </c>
      <c r="AN1590" s="51"/>
      <c r="AO1590" s="210" t="s">
        <v>179</v>
      </c>
      <c r="AP1590" s="211" t="s">
        <v>4306</v>
      </c>
      <c r="AQ1590" s="210" t="s">
        <v>4307</v>
      </c>
      <c r="AR1590" s="213">
        <v>44919.569444444445</v>
      </c>
      <c r="AS1590" s="208" t="s">
        <v>293</v>
      </c>
      <c r="AT1590" s="210" t="s">
        <v>65</v>
      </c>
      <c r="AU1590" s="212">
        <v>0.56944444444444442</v>
      </c>
      <c r="AV1590" s="210">
        <v>1</v>
      </c>
      <c r="AW1590" s="210" t="s">
        <v>66</v>
      </c>
      <c r="AX1590" s="52"/>
      <c r="AY1590" s="52"/>
      <c r="AZ1590" s="52"/>
      <c r="BA1590" s="52"/>
    </row>
    <row r="1591" spans="1:53" x14ac:dyDescent="0.25">
      <c r="A1591" s="48">
        <v>410</v>
      </c>
      <c r="B1591" s="202">
        <v>44917.645833333336</v>
      </c>
      <c r="C1591" s="196">
        <v>0.64930555555555558</v>
      </c>
      <c r="D1591" s="196">
        <v>0.65972222222222221</v>
      </c>
      <c r="E1591" s="196">
        <v>0.69791666666666663</v>
      </c>
      <c r="F1591" s="197" t="s">
        <v>170</v>
      </c>
      <c r="G1591" s="197" t="s">
        <v>1599</v>
      </c>
      <c r="H1591" s="26" t="s">
        <v>138</v>
      </c>
      <c r="I1591" s="26" t="s">
        <v>4103</v>
      </c>
      <c r="J1591" s="188" t="s">
        <v>37</v>
      </c>
      <c r="K1591" s="195" t="s">
        <v>63</v>
      </c>
      <c r="L1591" s="195" t="s">
        <v>219</v>
      </c>
      <c r="M1591" s="37" t="s">
        <v>4104</v>
      </c>
      <c r="N1591" s="37" t="s">
        <v>139</v>
      </c>
      <c r="O1591" s="37" t="s">
        <v>4105</v>
      </c>
      <c r="P1591" s="37">
        <v>5370</v>
      </c>
      <c r="Q1591" s="303">
        <f t="shared" si="141"/>
        <v>1</v>
      </c>
      <c r="R1591" s="303">
        <f t="shared" si="142"/>
        <v>139</v>
      </c>
      <c r="S1591" s="37">
        <v>0</v>
      </c>
      <c r="T1591" s="37">
        <v>0</v>
      </c>
      <c r="U1591" s="37">
        <v>1</v>
      </c>
      <c r="V1591" s="37">
        <v>139</v>
      </c>
      <c r="W1591" s="37">
        <v>142</v>
      </c>
      <c r="X1591" s="37">
        <v>134</v>
      </c>
      <c r="Y1591" s="37">
        <v>50</v>
      </c>
      <c r="Z1591" s="37">
        <v>55</v>
      </c>
      <c r="AA1591" s="37">
        <v>1</v>
      </c>
      <c r="AB1591" s="300">
        <f t="shared" si="143"/>
        <v>61.416666666666664</v>
      </c>
      <c r="AC1591" s="300">
        <f t="shared" si="144"/>
        <v>0.36997991967871485</v>
      </c>
      <c r="AD1591" s="37">
        <v>624</v>
      </c>
      <c r="AE1591" s="37" t="s">
        <v>111</v>
      </c>
      <c r="AF1591" s="197" t="s">
        <v>317</v>
      </c>
      <c r="AG1591" s="197" t="s">
        <v>317</v>
      </c>
      <c r="AH1591" s="37" t="s">
        <v>4106</v>
      </c>
      <c r="AI1591" s="309"/>
      <c r="AJ1591" s="309"/>
      <c r="AK1591" s="37" t="s">
        <v>41</v>
      </c>
      <c r="AL1591" s="197" t="s">
        <v>39</v>
      </c>
      <c r="AM1591" s="299">
        <f t="shared" ca="1" si="140"/>
        <v>1.8506944444452529</v>
      </c>
      <c r="AN1591" s="51"/>
      <c r="AO1591" s="210" t="s">
        <v>72</v>
      </c>
      <c r="AP1591" s="211" t="s">
        <v>4104</v>
      </c>
      <c r="AQ1591" s="210" t="s">
        <v>4304</v>
      </c>
      <c r="AR1591" s="213">
        <v>44919.496527777781</v>
      </c>
      <c r="AS1591" s="210" t="s">
        <v>136</v>
      </c>
      <c r="AT1591" s="210" t="s">
        <v>225</v>
      </c>
      <c r="AU1591" s="212">
        <v>0.49652777777777773</v>
      </c>
      <c r="AV1591" s="210">
        <v>1</v>
      </c>
      <c r="AW1591" s="210" t="s">
        <v>66</v>
      </c>
      <c r="AX1591" s="52"/>
      <c r="AY1591" s="52"/>
      <c r="AZ1591" s="52"/>
      <c r="BA1591" s="52"/>
    </row>
    <row r="1592" spans="1:53" x14ac:dyDescent="0.25">
      <c r="A1592" s="48">
        <v>411</v>
      </c>
      <c r="B1592" s="202">
        <v>44917.645833333336</v>
      </c>
      <c r="C1592" s="196">
        <v>0.64930555555555558</v>
      </c>
      <c r="D1592" s="196">
        <v>0.65972222222222221</v>
      </c>
      <c r="E1592" s="196">
        <v>0.69791666666666663</v>
      </c>
      <c r="F1592" s="197" t="s">
        <v>170</v>
      </c>
      <c r="G1592" s="197" t="s">
        <v>1599</v>
      </c>
      <c r="H1592" s="26" t="s">
        <v>187</v>
      </c>
      <c r="I1592" s="26" t="s">
        <v>110</v>
      </c>
      <c r="J1592" s="188" t="s">
        <v>37</v>
      </c>
      <c r="K1592" s="197" t="s">
        <v>63</v>
      </c>
      <c r="L1592" s="197" t="s">
        <v>212</v>
      </c>
      <c r="M1592" s="37" t="s">
        <v>4107</v>
      </c>
      <c r="N1592" s="37" t="s">
        <v>186</v>
      </c>
      <c r="O1592" s="37">
        <v>21222231750</v>
      </c>
      <c r="P1592" s="37">
        <v>5052017861</v>
      </c>
      <c r="Q1592" s="303">
        <f t="shared" si="141"/>
        <v>1</v>
      </c>
      <c r="R1592" s="303">
        <f t="shared" si="142"/>
        <v>48</v>
      </c>
      <c r="S1592" s="37">
        <v>0</v>
      </c>
      <c r="T1592" s="37">
        <v>0</v>
      </c>
      <c r="U1592" s="37">
        <v>1</v>
      </c>
      <c r="V1592" s="37">
        <v>48</v>
      </c>
      <c r="W1592" s="37">
        <v>42.5</v>
      </c>
      <c r="X1592" s="37">
        <v>80</v>
      </c>
      <c r="Y1592" s="37">
        <v>60</v>
      </c>
      <c r="Z1592" s="37">
        <v>74</v>
      </c>
      <c r="AA1592" s="37">
        <v>1</v>
      </c>
      <c r="AB1592" s="300">
        <f t="shared" si="143"/>
        <v>59.2</v>
      </c>
      <c r="AC1592" s="300">
        <f t="shared" si="144"/>
        <v>0.3566265060240964</v>
      </c>
      <c r="AD1592" s="37">
        <v>1044.4100000000001</v>
      </c>
      <c r="AE1592" s="37" t="s">
        <v>109</v>
      </c>
      <c r="AF1592" s="197" t="s">
        <v>317</v>
      </c>
      <c r="AG1592" s="197" t="s">
        <v>317</v>
      </c>
      <c r="AH1592" s="37" t="s">
        <v>4108</v>
      </c>
      <c r="AI1592" s="309"/>
      <c r="AJ1592" s="309"/>
      <c r="AK1592" s="197" t="s">
        <v>41</v>
      </c>
      <c r="AL1592" s="197" t="s">
        <v>39</v>
      </c>
      <c r="AM1592" s="299">
        <f t="shared" ca="1" si="140"/>
        <v>1.8506944444452529</v>
      </c>
      <c r="AN1592" s="51"/>
      <c r="AO1592" s="210" t="s">
        <v>131</v>
      </c>
      <c r="AP1592" s="211" t="s">
        <v>4107</v>
      </c>
      <c r="AQ1592" s="210" t="s">
        <v>4301</v>
      </c>
      <c r="AR1592" s="213">
        <v>44919.496527777781</v>
      </c>
      <c r="AS1592" s="210" t="s">
        <v>136</v>
      </c>
      <c r="AT1592" s="210" t="s">
        <v>225</v>
      </c>
      <c r="AU1592" s="212">
        <v>0.49652777777777773</v>
      </c>
      <c r="AV1592" s="210">
        <v>1</v>
      </c>
      <c r="AW1592" s="210" t="s">
        <v>66</v>
      </c>
      <c r="AX1592" s="52"/>
      <c r="AY1592" s="52"/>
      <c r="AZ1592" s="52"/>
      <c r="BA1592" s="52"/>
    </row>
    <row r="1593" spans="1:53" x14ac:dyDescent="0.25">
      <c r="A1593" s="48">
        <v>412</v>
      </c>
      <c r="B1593" s="202">
        <v>44917.645833333336</v>
      </c>
      <c r="C1593" s="196">
        <v>0.64930555555555558</v>
      </c>
      <c r="D1593" s="196">
        <v>0.65972222222222221</v>
      </c>
      <c r="E1593" s="196">
        <v>0.69791666666666663</v>
      </c>
      <c r="F1593" s="197" t="s">
        <v>170</v>
      </c>
      <c r="G1593" s="197" t="s">
        <v>1599</v>
      </c>
      <c r="H1593" s="26" t="s">
        <v>187</v>
      </c>
      <c r="I1593" s="26" t="s">
        <v>110</v>
      </c>
      <c r="J1593" s="188" t="s">
        <v>37</v>
      </c>
      <c r="K1593" s="197" t="s">
        <v>63</v>
      </c>
      <c r="L1593" s="197" t="s">
        <v>212</v>
      </c>
      <c r="M1593" s="37" t="s">
        <v>4107</v>
      </c>
      <c r="N1593" s="197" t="s">
        <v>186</v>
      </c>
      <c r="O1593" s="197">
        <v>21222231738</v>
      </c>
      <c r="P1593" s="37">
        <v>5052018292</v>
      </c>
      <c r="Q1593" s="303">
        <f t="shared" si="141"/>
        <v>1</v>
      </c>
      <c r="R1593" s="303">
        <f t="shared" si="142"/>
        <v>1</v>
      </c>
      <c r="S1593" s="37">
        <v>1</v>
      </c>
      <c r="T1593" s="37">
        <v>1</v>
      </c>
      <c r="U1593" s="37">
        <v>0</v>
      </c>
      <c r="V1593" s="37">
        <v>0</v>
      </c>
      <c r="W1593" s="37">
        <v>1.054</v>
      </c>
      <c r="X1593" s="37">
        <v>27</v>
      </c>
      <c r="Y1593" s="37">
        <v>20</v>
      </c>
      <c r="Z1593" s="37">
        <v>17</v>
      </c>
      <c r="AA1593" s="37">
        <v>1</v>
      </c>
      <c r="AB1593" s="300">
        <f t="shared" si="143"/>
        <v>1.53</v>
      </c>
      <c r="AC1593" s="300">
        <f t="shared" si="144"/>
        <v>9.2168674698795191E-3</v>
      </c>
      <c r="AD1593" s="37">
        <v>196.65</v>
      </c>
      <c r="AE1593" s="197" t="s">
        <v>109</v>
      </c>
      <c r="AF1593" s="197" t="s">
        <v>317</v>
      </c>
      <c r="AG1593" s="197" t="s">
        <v>317</v>
      </c>
      <c r="AH1593" s="37" t="s">
        <v>4109</v>
      </c>
      <c r="AI1593" s="309"/>
      <c r="AJ1593" s="309"/>
      <c r="AK1593" s="37" t="s">
        <v>48</v>
      </c>
      <c r="AL1593" s="197" t="s">
        <v>39</v>
      </c>
      <c r="AM1593" s="299">
        <f t="shared" ca="1" si="140"/>
        <v>1.8506944444452529</v>
      </c>
      <c r="AN1593" s="51"/>
      <c r="AO1593" s="210" t="s">
        <v>131</v>
      </c>
      <c r="AP1593" s="211" t="s">
        <v>4107</v>
      </c>
      <c r="AQ1593" s="210" t="s">
        <v>4301</v>
      </c>
      <c r="AR1593" s="213">
        <v>44919.496527777781</v>
      </c>
      <c r="AS1593" s="210" t="s">
        <v>136</v>
      </c>
      <c r="AT1593" s="210" t="s">
        <v>225</v>
      </c>
      <c r="AU1593" s="212">
        <v>0.49652777777777773</v>
      </c>
      <c r="AV1593" s="210">
        <v>1</v>
      </c>
      <c r="AW1593" s="210" t="s">
        <v>66</v>
      </c>
      <c r="AX1593" s="52"/>
      <c r="AY1593" s="52"/>
      <c r="AZ1593" s="52"/>
      <c r="BA1593" s="52"/>
    </row>
    <row r="1594" spans="1:53" x14ac:dyDescent="0.25">
      <c r="A1594" s="48">
        <v>413</v>
      </c>
      <c r="B1594" s="202">
        <v>44917.645833333336</v>
      </c>
      <c r="C1594" s="196">
        <v>0.64930555555555558</v>
      </c>
      <c r="D1594" s="196">
        <v>0.65972222222222221</v>
      </c>
      <c r="E1594" s="196">
        <v>0.69791666666666663</v>
      </c>
      <c r="F1594" s="197" t="s">
        <v>170</v>
      </c>
      <c r="G1594" s="197" t="s">
        <v>1599</v>
      </c>
      <c r="H1594" s="188" t="s">
        <v>187</v>
      </c>
      <c r="I1594" s="188" t="s">
        <v>110</v>
      </c>
      <c r="J1594" s="188" t="s">
        <v>37</v>
      </c>
      <c r="K1594" s="197" t="s">
        <v>63</v>
      </c>
      <c r="L1594" s="197" t="s">
        <v>212</v>
      </c>
      <c r="M1594" s="197" t="s">
        <v>4107</v>
      </c>
      <c r="N1594" s="197" t="s">
        <v>186</v>
      </c>
      <c r="O1594" s="197">
        <v>21222231731</v>
      </c>
      <c r="P1594" s="37">
        <v>5052015720</v>
      </c>
      <c r="Q1594" s="303">
        <f t="shared" si="141"/>
        <v>1</v>
      </c>
      <c r="R1594" s="303">
        <f t="shared" si="142"/>
        <v>50</v>
      </c>
      <c r="S1594" s="37">
        <v>0</v>
      </c>
      <c r="T1594" s="37">
        <v>0</v>
      </c>
      <c r="U1594" s="37">
        <v>1</v>
      </c>
      <c r="V1594" s="37">
        <v>50</v>
      </c>
      <c r="W1594" s="37">
        <v>50</v>
      </c>
      <c r="X1594" s="37">
        <v>80</v>
      </c>
      <c r="Y1594" s="37">
        <v>60</v>
      </c>
      <c r="Z1594" s="37">
        <v>44</v>
      </c>
      <c r="AA1594" s="37">
        <v>1</v>
      </c>
      <c r="AB1594" s="300">
        <f t="shared" si="143"/>
        <v>35.200000000000003</v>
      </c>
      <c r="AC1594" s="300">
        <f t="shared" si="144"/>
        <v>0.21204819277108436</v>
      </c>
      <c r="AD1594" s="37">
        <v>1188.8800000000001</v>
      </c>
      <c r="AE1594" s="197" t="s">
        <v>109</v>
      </c>
      <c r="AF1594" s="197" t="s">
        <v>317</v>
      </c>
      <c r="AG1594" s="197" t="s">
        <v>317</v>
      </c>
      <c r="AH1594" s="37" t="s">
        <v>4110</v>
      </c>
      <c r="AI1594" s="309"/>
      <c r="AJ1594" s="309"/>
      <c r="AK1594" s="37" t="s">
        <v>41</v>
      </c>
      <c r="AL1594" s="197" t="s">
        <v>39</v>
      </c>
      <c r="AM1594" s="299">
        <f t="shared" ca="1" si="140"/>
        <v>1.8506944444452529</v>
      </c>
      <c r="AN1594" s="51"/>
      <c r="AO1594" s="210" t="s">
        <v>131</v>
      </c>
      <c r="AP1594" s="211" t="s">
        <v>4107</v>
      </c>
      <c r="AQ1594" s="210" t="s">
        <v>4301</v>
      </c>
      <c r="AR1594" s="213">
        <v>44919.496527777781</v>
      </c>
      <c r="AS1594" s="210" t="s">
        <v>136</v>
      </c>
      <c r="AT1594" s="210" t="s">
        <v>225</v>
      </c>
      <c r="AU1594" s="212">
        <v>0.49652777777777773</v>
      </c>
      <c r="AV1594" s="210">
        <v>1</v>
      </c>
      <c r="AW1594" s="210" t="s">
        <v>66</v>
      </c>
      <c r="AX1594" s="52"/>
      <c r="AY1594" s="52"/>
      <c r="AZ1594" s="52"/>
      <c r="BA1594" s="52"/>
    </row>
    <row r="1595" spans="1:53" x14ac:dyDescent="0.25">
      <c r="A1595" s="48">
        <v>414</v>
      </c>
      <c r="B1595" s="202">
        <v>44917.645833333336</v>
      </c>
      <c r="C1595" s="196">
        <v>0.64930555555555558</v>
      </c>
      <c r="D1595" s="196">
        <v>0.65972222222222221</v>
      </c>
      <c r="E1595" s="196">
        <v>0.69791666666666663</v>
      </c>
      <c r="F1595" s="197" t="s">
        <v>170</v>
      </c>
      <c r="G1595" s="197" t="s">
        <v>1599</v>
      </c>
      <c r="H1595" s="26" t="s">
        <v>45</v>
      </c>
      <c r="I1595" s="26" t="s">
        <v>92</v>
      </c>
      <c r="J1595" s="188" t="s">
        <v>37</v>
      </c>
      <c r="K1595" s="195" t="s">
        <v>63</v>
      </c>
      <c r="L1595" s="195" t="s">
        <v>215</v>
      </c>
      <c r="M1595" s="37" t="s">
        <v>4111</v>
      </c>
      <c r="N1595" s="37" t="s">
        <v>42</v>
      </c>
      <c r="O1595" s="37">
        <v>3500791</v>
      </c>
      <c r="P1595" s="37">
        <v>5052024062</v>
      </c>
      <c r="Q1595" s="303">
        <f t="shared" si="141"/>
        <v>1</v>
      </c>
      <c r="R1595" s="303">
        <f t="shared" si="142"/>
        <v>137</v>
      </c>
      <c r="S1595" s="37">
        <v>0</v>
      </c>
      <c r="T1595" s="37">
        <v>0</v>
      </c>
      <c r="U1595" s="37">
        <v>1</v>
      </c>
      <c r="V1595" s="37">
        <v>137</v>
      </c>
      <c r="W1595" s="37">
        <v>138.96700000000001</v>
      </c>
      <c r="X1595" s="37">
        <v>92</v>
      </c>
      <c r="Y1595" s="37">
        <v>80</v>
      </c>
      <c r="Z1595" s="37">
        <v>49</v>
      </c>
      <c r="AA1595" s="37">
        <v>1</v>
      </c>
      <c r="AB1595" s="300">
        <f t="shared" si="143"/>
        <v>60.106666666666669</v>
      </c>
      <c r="AC1595" s="300">
        <f t="shared" si="144"/>
        <v>0.36208835341365464</v>
      </c>
      <c r="AD1595" s="37">
        <v>5578.4</v>
      </c>
      <c r="AE1595" s="197" t="s">
        <v>109</v>
      </c>
      <c r="AF1595" s="197" t="s">
        <v>317</v>
      </c>
      <c r="AG1595" s="197" t="s">
        <v>317</v>
      </c>
      <c r="AH1595" s="37" t="s">
        <v>4112</v>
      </c>
      <c r="AI1595" s="309"/>
      <c r="AJ1595" s="309"/>
      <c r="AK1595" s="37" t="s">
        <v>37</v>
      </c>
      <c r="AL1595" s="197" t="s">
        <v>39</v>
      </c>
      <c r="AM1595" s="299">
        <f t="shared" ca="1" si="140"/>
        <v>1.0694444444452529</v>
      </c>
      <c r="AN1595" s="51"/>
      <c r="AO1595" s="189" t="s">
        <v>120</v>
      </c>
      <c r="AP1595" s="190" t="s">
        <v>4111</v>
      </c>
      <c r="AQ1595" s="189" t="s">
        <v>4242</v>
      </c>
      <c r="AR1595" s="192">
        <v>44918.715277777781</v>
      </c>
      <c r="AS1595" s="186" t="s">
        <v>483</v>
      </c>
      <c r="AT1595" s="189" t="s">
        <v>225</v>
      </c>
      <c r="AU1595" s="191">
        <v>0.71527777777777779</v>
      </c>
      <c r="AV1595" s="189">
        <v>1</v>
      </c>
      <c r="AW1595" s="189" t="s">
        <v>66</v>
      </c>
      <c r="AX1595" s="52"/>
      <c r="AY1595" s="52"/>
      <c r="AZ1595" s="52"/>
      <c r="BA1595" s="52"/>
    </row>
    <row r="1596" spans="1:53" x14ac:dyDescent="0.25">
      <c r="A1596" s="48">
        <v>415</v>
      </c>
      <c r="B1596" s="202">
        <v>44917.645833333336</v>
      </c>
      <c r="C1596" s="196">
        <v>0.64930555555555558</v>
      </c>
      <c r="D1596" s="196">
        <v>0.65972222222222221</v>
      </c>
      <c r="E1596" s="196">
        <v>0.69791666666666663</v>
      </c>
      <c r="F1596" s="197" t="s">
        <v>170</v>
      </c>
      <c r="G1596" s="197" t="s">
        <v>1599</v>
      </c>
      <c r="H1596" s="188" t="s">
        <v>45</v>
      </c>
      <c r="I1596" s="26" t="s">
        <v>110</v>
      </c>
      <c r="J1596" s="188" t="s">
        <v>37</v>
      </c>
      <c r="K1596" s="195" t="s">
        <v>63</v>
      </c>
      <c r="L1596" s="195" t="s">
        <v>215</v>
      </c>
      <c r="M1596" s="37" t="s">
        <v>4113</v>
      </c>
      <c r="N1596" s="37" t="s">
        <v>186</v>
      </c>
      <c r="O1596" s="37">
        <v>3500792</v>
      </c>
      <c r="P1596" s="37">
        <v>5052025780</v>
      </c>
      <c r="Q1596" s="303">
        <f t="shared" si="141"/>
        <v>1</v>
      </c>
      <c r="R1596" s="303">
        <f t="shared" si="142"/>
        <v>111</v>
      </c>
      <c r="S1596" s="37">
        <v>0</v>
      </c>
      <c r="T1596" s="37">
        <v>0</v>
      </c>
      <c r="U1596" s="37">
        <v>1</v>
      </c>
      <c r="V1596" s="37">
        <v>111</v>
      </c>
      <c r="W1596" s="37">
        <v>112.21899999999999</v>
      </c>
      <c r="X1596" s="37">
        <v>80</v>
      </c>
      <c r="Y1596" s="37">
        <v>68</v>
      </c>
      <c r="Z1596" s="37">
        <v>50</v>
      </c>
      <c r="AA1596" s="37">
        <v>1</v>
      </c>
      <c r="AB1596" s="300">
        <f t="shared" si="143"/>
        <v>45.333333333333336</v>
      </c>
      <c r="AC1596" s="300">
        <f t="shared" si="144"/>
        <v>0.27309236947791166</v>
      </c>
      <c r="AD1596" s="37">
        <v>18213.400000000001</v>
      </c>
      <c r="AE1596" s="197" t="s">
        <v>109</v>
      </c>
      <c r="AF1596" s="197" t="s">
        <v>317</v>
      </c>
      <c r="AG1596" s="197" t="s">
        <v>317</v>
      </c>
      <c r="AH1596" s="37" t="s">
        <v>4114</v>
      </c>
      <c r="AI1596" s="309"/>
      <c r="AJ1596" s="309"/>
      <c r="AK1596" s="197" t="s">
        <v>37</v>
      </c>
      <c r="AL1596" s="197" t="s">
        <v>39</v>
      </c>
      <c r="AM1596" s="299">
        <f t="shared" ca="1" si="140"/>
        <v>1.8506944444452529</v>
      </c>
      <c r="AN1596" s="51"/>
      <c r="AO1596" s="210" t="s">
        <v>131</v>
      </c>
      <c r="AP1596" s="211" t="s">
        <v>4113</v>
      </c>
      <c r="AQ1596" s="210" t="s">
        <v>4301</v>
      </c>
      <c r="AR1596" s="213">
        <v>44919.496527777781</v>
      </c>
      <c r="AS1596" s="210" t="s">
        <v>136</v>
      </c>
      <c r="AT1596" s="210" t="s">
        <v>225</v>
      </c>
      <c r="AU1596" s="212">
        <v>0.49652777777777773</v>
      </c>
      <c r="AV1596" s="210">
        <v>1</v>
      </c>
      <c r="AW1596" s="210" t="s">
        <v>66</v>
      </c>
      <c r="AX1596" s="52"/>
      <c r="AY1596" s="52"/>
      <c r="AZ1596" s="52"/>
      <c r="BA1596" s="52"/>
    </row>
    <row r="1597" spans="1:53" x14ac:dyDescent="0.25">
      <c r="A1597" s="48">
        <v>416</v>
      </c>
      <c r="B1597" s="202">
        <v>44917.645833333336</v>
      </c>
      <c r="C1597" s="196">
        <v>0.64930555555555558</v>
      </c>
      <c r="D1597" s="196">
        <v>0.65972222222222221</v>
      </c>
      <c r="E1597" s="196">
        <v>0.69791666666666663</v>
      </c>
      <c r="F1597" s="197" t="s">
        <v>170</v>
      </c>
      <c r="G1597" s="197" t="s">
        <v>1599</v>
      </c>
      <c r="H1597" s="188" t="s">
        <v>45</v>
      </c>
      <c r="I1597" s="26" t="s">
        <v>71</v>
      </c>
      <c r="J1597" s="188" t="s">
        <v>37</v>
      </c>
      <c r="K1597" s="195" t="s">
        <v>63</v>
      </c>
      <c r="L1597" s="195" t="s">
        <v>215</v>
      </c>
      <c r="M1597" s="37" t="s">
        <v>4115</v>
      </c>
      <c r="N1597" s="37" t="s">
        <v>139</v>
      </c>
      <c r="O1597" s="37">
        <v>3500797</v>
      </c>
      <c r="P1597" s="37">
        <v>5052023391</v>
      </c>
      <c r="Q1597" s="303">
        <f t="shared" si="141"/>
        <v>1</v>
      </c>
      <c r="R1597" s="303">
        <f t="shared" si="142"/>
        <v>95</v>
      </c>
      <c r="S1597" s="37">
        <v>0</v>
      </c>
      <c r="T1597" s="37">
        <v>0</v>
      </c>
      <c r="U1597" s="37">
        <v>1</v>
      </c>
      <c r="V1597" s="37">
        <v>95</v>
      </c>
      <c r="W1597" s="37">
        <v>96.52</v>
      </c>
      <c r="X1597" s="37">
        <v>80</v>
      </c>
      <c r="Y1597" s="37">
        <v>49</v>
      </c>
      <c r="Z1597" s="37">
        <v>50</v>
      </c>
      <c r="AA1597" s="37">
        <v>1</v>
      </c>
      <c r="AB1597" s="300">
        <f t="shared" si="143"/>
        <v>32.666666666666664</v>
      </c>
      <c r="AC1597" s="300">
        <f t="shared" si="144"/>
        <v>0.19678714859437749</v>
      </c>
      <c r="AD1597" s="37">
        <v>3390.2</v>
      </c>
      <c r="AE1597" s="197" t="s">
        <v>109</v>
      </c>
      <c r="AF1597" s="197" t="s">
        <v>317</v>
      </c>
      <c r="AG1597" s="197" t="s">
        <v>317</v>
      </c>
      <c r="AH1597" s="37" t="s">
        <v>4116</v>
      </c>
      <c r="AI1597" s="309"/>
      <c r="AJ1597" s="309"/>
      <c r="AK1597" s="197" t="s">
        <v>37</v>
      </c>
      <c r="AL1597" s="197" t="s">
        <v>39</v>
      </c>
      <c r="AM1597" s="299">
        <f t="shared" ca="1" si="140"/>
        <v>1.8506944444452529</v>
      </c>
      <c r="AN1597" s="51"/>
      <c r="AO1597" s="210" t="s">
        <v>72</v>
      </c>
      <c r="AP1597" s="211" t="s">
        <v>4115</v>
      </c>
      <c r="AQ1597" s="210" t="s">
        <v>4304</v>
      </c>
      <c r="AR1597" s="213">
        <v>44919.496527777781</v>
      </c>
      <c r="AS1597" s="210" t="s">
        <v>136</v>
      </c>
      <c r="AT1597" s="210" t="s">
        <v>225</v>
      </c>
      <c r="AU1597" s="212">
        <v>0.49652777777777773</v>
      </c>
      <c r="AV1597" s="210">
        <v>1</v>
      </c>
      <c r="AW1597" s="210" t="s">
        <v>66</v>
      </c>
      <c r="AX1597" s="52"/>
      <c r="AY1597" s="52"/>
      <c r="AZ1597" s="52"/>
      <c r="BA1597" s="52"/>
    </row>
    <row r="1598" spans="1:53" x14ac:dyDescent="0.25">
      <c r="A1598" s="48">
        <v>417</v>
      </c>
      <c r="B1598" s="202">
        <v>44917.645833333336</v>
      </c>
      <c r="C1598" s="196">
        <v>0.64930555555555558</v>
      </c>
      <c r="D1598" s="196">
        <v>0.65972222222222221</v>
      </c>
      <c r="E1598" s="196">
        <v>0.69791666666666663</v>
      </c>
      <c r="F1598" s="197" t="s">
        <v>170</v>
      </c>
      <c r="G1598" s="197" t="s">
        <v>1599</v>
      </c>
      <c r="H1598" s="26" t="s">
        <v>156</v>
      </c>
      <c r="I1598" s="26" t="s">
        <v>110</v>
      </c>
      <c r="J1598" s="188" t="s">
        <v>37</v>
      </c>
      <c r="K1598" s="195" t="s">
        <v>63</v>
      </c>
      <c r="L1598" s="195" t="s">
        <v>212</v>
      </c>
      <c r="M1598" s="37" t="s">
        <v>4117</v>
      </c>
      <c r="N1598" s="37" t="s">
        <v>186</v>
      </c>
      <c r="O1598" s="37" t="s">
        <v>4118</v>
      </c>
      <c r="P1598" s="37">
        <v>551983231</v>
      </c>
      <c r="Q1598" s="303">
        <f t="shared" si="141"/>
        <v>9</v>
      </c>
      <c r="R1598" s="303">
        <f t="shared" si="142"/>
        <v>425</v>
      </c>
      <c r="S1598" s="37">
        <v>0</v>
      </c>
      <c r="T1598" s="37">
        <v>0</v>
      </c>
      <c r="U1598" s="37">
        <v>9</v>
      </c>
      <c r="V1598" s="37">
        <f>439-14</f>
        <v>425</v>
      </c>
      <c r="W1598" s="37">
        <v>476.3</v>
      </c>
      <c r="X1598" s="37">
        <v>41</v>
      </c>
      <c r="Y1598" s="37">
        <v>39</v>
      </c>
      <c r="Z1598" s="37">
        <v>49</v>
      </c>
      <c r="AA1598" s="37">
        <v>4</v>
      </c>
      <c r="AB1598" s="300">
        <f t="shared" si="143"/>
        <v>52.234000000000002</v>
      </c>
      <c r="AC1598" s="300">
        <f t="shared" si="144"/>
        <v>0.31466265060240967</v>
      </c>
      <c r="AD1598" s="37">
        <v>7321.78</v>
      </c>
      <c r="AE1598" s="197" t="s">
        <v>109</v>
      </c>
      <c r="AF1598" s="197" t="s">
        <v>317</v>
      </c>
      <c r="AG1598" s="197" t="s">
        <v>317</v>
      </c>
      <c r="AH1598" s="37" t="s">
        <v>4119</v>
      </c>
      <c r="AI1598" s="309"/>
      <c r="AJ1598" s="309"/>
      <c r="AK1598" s="197" t="s">
        <v>37</v>
      </c>
      <c r="AL1598" s="197" t="s">
        <v>39</v>
      </c>
      <c r="AM1598" s="299">
        <f t="shared" ca="1" si="140"/>
        <v>1.8506944444452529</v>
      </c>
      <c r="AN1598" s="51"/>
      <c r="AO1598" s="210" t="s">
        <v>131</v>
      </c>
      <c r="AP1598" s="211" t="s">
        <v>4302</v>
      </c>
      <c r="AQ1598" s="210" t="s">
        <v>4301</v>
      </c>
      <c r="AR1598" s="213">
        <v>44919.496527777781</v>
      </c>
      <c r="AS1598" s="210" t="s">
        <v>136</v>
      </c>
      <c r="AT1598" s="210" t="s">
        <v>225</v>
      </c>
      <c r="AU1598" s="212">
        <v>0.49652777777777773</v>
      </c>
      <c r="AV1598" s="210">
        <v>1</v>
      </c>
      <c r="AW1598" s="210" t="s">
        <v>66</v>
      </c>
      <c r="AX1598" s="52"/>
      <c r="AY1598" s="52"/>
      <c r="AZ1598" s="52"/>
      <c r="BA1598" s="52"/>
    </row>
    <row r="1599" spans="1:53" x14ac:dyDescent="0.25">
      <c r="A1599" s="203">
        <v>417</v>
      </c>
      <c r="B1599" s="202">
        <v>44917.645833333336</v>
      </c>
      <c r="C1599" s="196">
        <v>0.64930555555555558</v>
      </c>
      <c r="D1599" s="196">
        <v>0.65972222222222221</v>
      </c>
      <c r="E1599" s="196">
        <v>0.69791666666666663</v>
      </c>
      <c r="F1599" s="197" t="s">
        <v>170</v>
      </c>
      <c r="G1599" s="197" t="s">
        <v>1599</v>
      </c>
      <c r="H1599" s="188" t="s">
        <v>156</v>
      </c>
      <c r="I1599" s="188" t="s">
        <v>110</v>
      </c>
      <c r="J1599" s="188" t="s">
        <v>37</v>
      </c>
      <c r="K1599" s="195" t="s">
        <v>63</v>
      </c>
      <c r="L1599" s="195" t="s">
        <v>212</v>
      </c>
      <c r="M1599" s="197" t="s">
        <v>4117</v>
      </c>
      <c r="N1599" s="197" t="s">
        <v>186</v>
      </c>
      <c r="O1599" s="197" t="s">
        <v>4118</v>
      </c>
      <c r="P1599" s="197">
        <v>551983231</v>
      </c>
      <c r="Q1599" s="303">
        <f t="shared" si="141"/>
        <v>0</v>
      </c>
      <c r="R1599" s="303">
        <f t="shared" si="142"/>
        <v>0</v>
      </c>
      <c r="S1599" s="197">
        <v>0</v>
      </c>
      <c r="T1599" s="197">
        <v>0</v>
      </c>
      <c r="U1599" s="197">
        <v>0</v>
      </c>
      <c r="V1599" s="197">
        <v>0</v>
      </c>
      <c r="W1599" s="197">
        <v>0</v>
      </c>
      <c r="X1599" s="37">
        <v>54</v>
      </c>
      <c r="Y1599" s="37">
        <v>29</v>
      </c>
      <c r="Z1599" s="37">
        <v>34</v>
      </c>
      <c r="AA1599" s="37">
        <v>3</v>
      </c>
      <c r="AB1599" s="300">
        <f t="shared" si="143"/>
        <v>26.622</v>
      </c>
      <c r="AC1599" s="300">
        <f t="shared" si="144"/>
        <v>0.16037349397590361</v>
      </c>
      <c r="AD1599" s="37">
        <v>0</v>
      </c>
      <c r="AE1599" s="37">
        <v>0</v>
      </c>
      <c r="AF1599" s="197" t="s">
        <v>317</v>
      </c>
      <c r="AG1599" s="197" t="s">
        <v>317</v>
      </c>
      <c r="AH1599" s="197" t="s">
        <v>4119</v>
      </c>
      <c r="AI1599" s="309"/>
      <c r="AJ1599" s="309"/>
      <c r="AK1599" s="197" t="s">
        <v>37</v>
      </c>
      <c r="AL1599" s="197" t="s">
        <v>39</v>
      </c>
      <c r="AM1599" s="299">
        <f t="shared" ca="1" si="140"/>
        <v>1.8506944444452529</v>
      </c>
      <c r="AN1599" s="51"/>
      <c r="AO1599" s="210" t="s">
        <v>131</v>
      </c>
      <c r="AP1599" s="211" t="s">
        <v>4302</v>
      </c>
      <c r="AQ1599" s="210" t="s">
        <v>4301</v>
      </c>
      <c r="AR1599" s="213">
        <v>44919.496527777781</v>
      </c>
      <c r="AS1599" s="210" t="s">
        <v>136</v>
      </c>
      <c r="AT1599" s="210" t="s">
        <v>225</v>
      </c>
      <c r="AU1599" s="212">
        <v>0.49652777777777773</v>
      </c>
      <c r="AV1599" s="210">
        <v>1</v>
      </c>
      <c r="AW1599" s="210" t="s">
        <v>66</v>
      </c>
      <c r="AX1599" s="52"/>
      <c r="AY1599" s="52"/>
      <c r="AZ1599" s="52"/>
      <c r="BA1599" s="52"/>
    </row>
    <row r="1600" spans="1:53" x14ac:dyDescent="0.25">
      <c r="A1600" s="203">
        <v>417</v>
      </c>
      <c r="B1600" s="202">
        <v>44917.645833333336</v>
      </c>
      <c r="C1600" s="196">
        <v>0.64930555555555558</v>
      </c>
      <c r="D1600" s="196">
        <v>0.65972222222222221</v>
      </c>
      <c r="E1600" s="196">
        <v>0.69791666666666663</v>
      </c>
      <c r="F1600" s="197" t="s">
        <v>170</v>
      </c>
      <c r="G1600" s="197" t="s">
        <v>1599</v>
      </c>
      <c r="H1600" s="188" t="s">
        <v>156</v>
      </c>
      <c r="I1600" s="188" t="s">
        <v>110</v>
      </c>
      <c r="J1600" s="188" t="s">
        <v>37</v>
      </c>
      <c r="K1600" s="195" t="s">
        <v>63</v>
      </c>
      <c r="L1600" s="195" t="s">
        <v>212</v>
      </c>
      <c r="M1600" s="197" t="s">
        <v>4117</v>
      </c>
      <c r="N1600" s="197" t="s">
        <v>186</v>
      </c>
      <c r="O1600" s="197" t="s">
        <v>4118</v>
      </c>
      <c r="P1600" s="197">
        <v>551983231</v>
      </c>
      <c r="Q1600" s="303">
        <f t="shared" si="141"/>
        <v>0</v>
      </c>
      <c r="R1600" s="303">
        <f t="shared" si="142"/>
        <v>0</v>
      </c>
      <c r="S1600" s="197">
        <v>0</v>
      </c>
      <c r="T1600" s="197">
        <v>0</v>
      </c>
      <c r="U1600" s="197">
        <v>0</v>
      </c>
      <c r="V1600" s="197">
        <v>0</v>
      </c>
      <c r="W1600" s="197">
        <v>0</v>
      </c>
      <c r="X1600" s="37">
        <v>31</v>
      </c>
      <c r="Y1600" s="37">
        <v>26</v>
      </c>
      <c r="Z1600" s="37">
        <v>31</v>
      </c>
      <c r="AA1600" s="37">
        <v>1</v>
      </c>
      <c r="AB1600" s="300">
        <f t="shared" si="143"/>
        <v>4.1643333333333334</v>
      </c>
      <c r="AC1600" s="300">
        <f t="shared" si="144"/>
        <v>2.5086345381526105E-2</v>
      </c>
      <c r="AD1600" s="37">
        <v>0</v>
      </c>
      <c r="AE1600" s="37">
        <v>0</v>
      </c>
      <c r="AF1600" s="197" t="s">
        <v>317</v>
      </c>
      <c r="AG1600" s="197" t="s">
        <v>317</v>
      </c>
      <c r="AH1600" s="197" t="s">
        <v>4119</v>
      </c>
      <c r="AI1600" s="309"/>
      <c r="AJ1600" s="309"/>
      <c r="AK1600" s="197" t="s">
        <v>37</v>
      </c>
      <c r="AL1600" s="197" t="s">
        <v>39</v>
      </c>
      <c r="AM1600" s="299">
        <f t="shared" ca="1" si="140"/>
        <v>1.8506944444452529</v>
      </c>
      <c r="AN1600" s="51"/>
      <c r="AO1600" s="210" t="s">
        <v>131</v>
      </c>
      <c r="AP1600" s="211" t="s">
        <v>4302</v>
      </c>
      <c r="AQ1600" s="210" t="s">
        <v>4301</v>
      </c>
      <c r="AR1600" s="213">
        <v>44919.496527777781</v>
      </c>
      <c r="AS1600" s="210" t="s">
        <v>136</v>
      </c>
      <c r="AT1600" s="210" t="s">
        <v>225</v>
      </c>
      <c r="AU1600" s="212">
        <v>0.49652777777777773</v>
      </c>
      <c r="AV1600" s="210">
        <v>1</v>
      </c>
      <c r="AW1600" s="210" t="s">
        <v>66</v>
      </c>
      <c r="AX1600" s="52"/>
      <c r="AY1600" s="52"/>
      <c r="AZ1600" s="52"/>
      <c r="BA1600" s="52"/>
    </row>
    <row r="1601" spans="1:53" x14ac:dyDescent="0.25">
      <c r="A1601" s="203">
        <v>417</v>
      </c>
      <c r="B1601" s="202">
        <v>44917.645833333336</v>
      </c>
      <c r="C1601" s="196">
        <v>0.64930555555555558</v>
      </c>
      <c r="D1601" s="196">
        <v>0.65972222222222221</v>
      </c>
      <c r="E1601" s="196">
        <v>0.69791666666666663</v>
      </c>
      <c r="F1601" s="197" t="s">
        <v>170</v>
      </c>
      <c r="G1601" s="197" t="s">
        <v>1599</v>
      </c>
      <c r="H1601" s="188" t="s">
        <v>156</v>
      </c>
      <c r="I1601" s="188" t="s">
        <v>110</v>
      </c>
      <c r="J1601" s="188" t="s">
        <v>37</v>
      </c>
      <c r="K1601" s="195" t="s">
        <v>63</v>
      </c>
      <c r="L1601" s="195" t="s">
        <v>212</v>
      </c>
      <c r="M1601" s="197" t="s">
        <v>4117</v>
      </c>
      <c r="N1601" s="197" t="s">
        <v>186</v>
      </c>
      <c r="O1601" s="197" t="s">
        <v>4118</v>
      </c>
      <c r="P1601" s="197">
        <v>551983231</v>
      </c>
      <c r="Q1601" s="303">
        <f t="shared" si="141"/>
        <v>0</v>
      </c>
      <c r="R1601" s="303">
        <f t="shared" si="142"/>
        <v>0</v>
      </c>
      <c r="S1601" s="197">
        <v>0</v>
      </c>
      <c r="T1601" s="197">
        <v>0</v>
      </c>
      <c r="U1601" s="197">
        <v>0</v>
      </c>
      <c r="V1601" s="197">
        <v>0</v>
      </c>
      <c r="W1601" s="197">
        <v>0</v>
      </c>
      <c r="X1601" s="37">
        <v>27</v>
      </c>
      <c r="Y1601" s="37">
        <v>23</v>
      </c>
      <c r="Z1601" s="37">
        <v>29</v>
      </c>
      <c r="AA1601" s="37">
        <v>1</v>
      </c>
      <c r="AB1601" s="300">
        <f t="shared" si="143"/>
        <v>3.0015000000000001</v>
      </c>
      <c r="AC1601" s="300">
        <f t="shared" si="144"/>
        <v>1.808132530120482E-2</v>
      </c>
      <c r="AD1601" s="37">
        <v>0</v>
      </c>
      <c r="AE1601" s="37">
        <v>0</v>
      </c>
      <c r="AF1601" s="197" t="s">
        <v>317</v>
      </c>
      <c r="AG1601" s="197" t="s">
        <v>317</v>
      </c>
      <c r="AH1601" s="197" t="s">
        <v>4119</v>
      </c>
      <c r="AI1601" s="309"/>
      <c r="AJ1601" s="309"/>
      <c r="AK1601" s="197" t="s">
        <v>37</v>
      </c>
      <c r="AL1601" s="197" t="s">
        <v>39</v>
      </c>
      <c r="AM1601" s="299">
        <f t="shared" ca="1" si="140"/>
        <v>1.8506944444452529</v>
      </c>
      <c r="AN1601" s="51"/>
      <c r="AO1601" s="210" t="s">
        <v>131</v>
      </c>
      <c r="AP1601" s="211" t="s">
        <v>4302</v>
      </c>
      <c r="AQ1601" s="210" t="s">
        <v>4301</v>
      </c>
      <c r="AR1601" s="213">
        <v>44919.496527777781</v>
      </c>
      <c r="AS1601" s="210" t="s">
        <v>136</v>
      </c>
      <c r="AT1601" s="210" t="s">
        <v>225</v>
      </c>
      <c r="AU1601" s="212">
        <v>0.49652777777777773</v>
      </c>
      <c r="AV1601" s="210">
        <v>1</v>
      </c>
      <c r="AW1601" s="210" t="s">
        <v>66</v>
      </c>
      <c r="AX1601" s="52"/>
      <c r="AY1601" s="52"/>
      <c r="AZ1601" s="52"/>
      <c r="BA1601" s="52"/>
    </row>
    <row r="1602" spans="1:53" x14ac:dyDescent="0.25">
      <c r="A1602" s="48">
        <v>418</v>
      </c>
      <c r="B1602" s="202">
        <v>44917.645833333336</v>
      </c>
      <c r="C1602" s="196">
        <v>0.64930555555555558</v>
      </c>
      <c r="D1602" s="196">
        <v>0.65972222222222221</v>
      </c>
      <c r="E1602" s="196">
        <v>0.69791666666666663</v>
      </c>
      <c r="F1602" s="197" t="s">
        <v>170</v>
      </c>
      <c r="G1602" s="197" t="s">
        <v>1599</v>
      </c>
      <c r="H1602" s="26" t="s">
        <v>228</v>
      </c>
      <c r="I1602" s="26" t="s">
        <v>4120</v>
      </c>
      <c r="J1602" s="188" t="s">
        <v>37</v>
      </c>
      <c r="K1602" s="195" t="s">
        <v>63</v>
      </c>
      <c r="L1602" s="195" t="s">
        <v>212</v>
      </c>
      <c r="M1602" s="37" t="s">
        <v>4121</v>
      </c>
      <c r="N1602" s="37" t="s">
        <v>139</v>
      </c>
      <c r="O1602" s="37" t="s">
        <v>4122</v>
      </c>
      <c r="P1602" s="37">
        <v>5051955190</v>
      </c>
      <c r="Q1602" s="303">
        <f t="shared" si="141"/>
        <v>1</v>
      </c>
      <c r="R1602" s="303">
        <f t="shared" si="142"/>
        <v>93</v>
      </c>
      <c r="S1602" s="37">
        <v>0</v>
      </c>
      <c r="T1602" s="37">
        <v>0</v>
      </c>
      <c r="U1602" s="37">
        <v>1</v>
      </c>
      <c r="V1602" s="37">
        <v>93</v>
      </c>
      <c r="W1602" s="37">
        <v>92</v>
      </c>
      <c r="X1602" s="37">
        <v>60</v>
      </c>
      <c r="Y1602" s="37">
        <v>50</v>
      </c>
      <c r="Z1602" s="37">
        <v>43</v>
      </c>
      <c r="AA1602" s="37">
        <v>1</v>
      </c>
      <c r="AB1602" s="300">
        <f t="shared" si="143"/>
        <v>21.5</v>
      </c>
      <c r="AC1602" s="300">
        <f t="shared" si="144"/>
        <v>0.12951807228915663</v>
      </c>
      <c r="AD1602" s="37">
        <v>594.74</v>
      </c>
      <c r="AE1602" s="37" t="s">
        <v>109</v>
      </c>
      <c r="AF1602" s="197" t="s">
        <v>317</v>
      </c>
      <c r="AG1602" s="197" t="s">
        <v>317</v>
      </c>
      <c r="AH1602" s="37" t="s">
        <v>4123</v>
      </c>
      <c r="AI1602" s="309"/>
      <c r="AJ1602" s="309"/>
      <c r="AK1602" s="197" t="s">
        <v>37</v>
      </c>
      <c r="AL1602" s="197" t="s">
        <v>39</v>
      </c>
      <c r="AM1602" s="299">
        <f t="shared" ca="1" si="140"/>
        <v>1.8506944444452529</v>
      </c>
      <c r="AN1602" s="51"/>
      <c r="AO1602" s="210" t="s">
        <v>72</v>
      </c>
      <c r="AP1602" s="211" t="s">
        <v>4121</v>
      </c>
      <c r="AQ1602" s="210" t="s">
        <v>4304</v>
      </c>
      <c r="AR1602" s="213">
        <v>44919.496527777781</v>
      </c>
      <c r="AS1602" s="210" t="s">
        <v>136</v>
      </c>
      <c r="AT1602" s="210" t="s">
        <v>225</v>
      </c>
      <c r="AU1602" s="212">
        <v>0.49652777777777773</v>
      </c>
      <c r="AV1602" s="210">
        <v>1</v>
      </c>
      <c r="AW1602" s="210" t="s">
        <v>66</v>
      </c>
      <c r="AX1602" s="52"/>
      <c r="AY1602" s="52"/>
      <c r="AZ1602" s="52"/>
      <c r="BA1602" s="52"/>
    </row>
    <row r="1603" spans="1:53" x14ac:dyDescent="0.25">
      <c r="A1603" s="48">
        <v>419</v>
      </c>
      <c r="B1603" s="46">
        <v>44917.670138888891</v>
      </c>
      <c r="C1603" s="36">
        <v>0.67013888888888884</v>
      </c>
      <c r="D1603" s="36">
        <v>0.67708333333333337</v>
      </c>
      <c r="E1603" s="36">
        <v>0.70138888888888884</v>
      </c>
      <c r="F1603" s="197" t="s">
        <v>170</v>
      </c>
      <c r="G1603" s="37" t="s">
        <v>4124</v>
      </c>
      <c r="H1603" s="26" t="s">
        <v>204</v>
      </c>
      <c r="I1603" s="26" t="s">
        <v>162</v>
      </c>
      <c r="J1603" s="188" t="s">
        <v>37</v>
      </c>
      <c r="K1603" s="195" t="s">
        <v>63</v>
      </c>
      <c r="L1603" s="195" t="s">
        <v>212</v>
      </c>
      <c r="M1603" s="37" t="s">
        <v>4125</v>
      </c>
      <c r="N1603" s="37" t="s">
        <v>158</v>
      </c>
      <c r="O1603" s="37" t="s">
        <v>4126</v>
      </c>
      <c r="P1603" s="37">
        <v>5052000805</v>
      </c>
      <c r="Q1603" s="303">
        <f t="shared" si="141"/>
        <v>2</v>
      </c>
      <c r="R1603" s="303">
        <f t="shared" si="142"/>
        <v>204</v>
      </c>
      <c r="S1603" s="37">
        <v>0</v>
      </c>
      <c r="T1603" s="37">
        <v>0</v>
      </c>
      <c r="U1603" s="37">
        <v>2</v>
      </c>
      <c r="V1603" s="37">
        <f>114+90</f>
        <v>204</v>
      </c>
      <c r="W1603" s="37">
        <v>225.3</v>
      </c>
      <c r="X1603" s="37">
        <v>49</v>
      </c>
      <c r="Y1603" s="37">
        <v>47</v>
      </c>
      <c r="Z1603" s="37">
        <v>45</v>
      </c>
      <c r="AA1603" s="37">
        <v>1</v>
      </c>
      <c r="AB1603" s="300">
        <f t="shared" si="143"/>
        <v>17.272500000000001</v>
      </c>
      <c r="AC1603" s="300">
        <f t="shared" si="144"/>
        <v>0.10405120481927711</v>
      </c>
      <c r="AD1603" s="37">
        <v>1606.4</v>
      </c>
      <c r="AE1603" s="197" t="s">
        <v>109</v>
      </c>
      <c r="AF1603" s="197" t="s">
        <v>317</v>
      </c>
      <c r="AG1603" s="197" t="s">
        <v>317</v>
      </c>
      <c r="AH1603" s="37" t="s">
        <v>4127</v>
      </c>
      <c r="AI1603" s="309"/>
      <c r="AJ1603" s="309"/>
      <c r="AK1603" s="37" t="s">
        <v>41</v>
      </c>
      <c r="AL1603" s="37" t="s">
        <v>94</v>
      </c>
      <c r="AM1603" s="299">
        <f t="shared" ca="1" si="140"/>
        <v>1.8263888888905058</v>
      </c>
      <c r="AN1603" s="51"/>
      <c r="AO1603" s="210" t="s">
        <v>159</v>
      </c>
      <c r="AP1603" s="211" t="s">
        <v>4299</v>
      </c>
      <c r="AQ1603" s="210" t="s">
        <v>4300</v>
      </c>
      <c r="AR1603" s="213">
        <v>44919.496527777781</v>
      </c>
      <c r="AS1603" s="210" t="s">
        <v>136</v>
      </c>
      <c r="AT1603" s="210" t="s">
        <v>225</v>
      </c>
      <c r="AU1603" s="212">
        <v>0.49652777777777773</v>
      </c>
      <c r="AV1603" s="210">
        <v>1</v>
      </c>
      <c r="AW1603" s="210" t="s">
        <v>66</v>
      </c>
      <c r="AX1603" s="52"/>
      <c r="AY1603" s="52"/>
      <c r="AZ1603" s="52"/>
      <c r="BA1603" s="52"/>
    </row>
    <row r="1604" spans="1:53" x14ac:dyDescent="0.25">
      <c r="A1604" s="203">
        <v>419</v>
      </c>
      <c r="B1604" s="202">
        <v>44917.670138888891</v>
      </c>
      <c r="C1604" s="196">
        <v>0.67013888888888884</v>
      </c>
      <c r="D1604" s="196">
        <v>0.67708333333333337</v>
      </c>
      <c r="E1604" s="196">
        <v>0.70138888888888884</v>
      </c>
      <c r="F1604" s="197" t="s">
        <v>170</v>
      </c>
      <c r="G1604" s="197" t="s">
        <v>4124</v>
      </c>
      <c r="H1604" s="188" t="s">
        <v>204</v>
      </c>
      <c r="I1604" s="188" t="s">
        <v>162</v>
      </c>
      <c r="J1604" s="188" t="s">
        <v>37</v>
      </c>
      <c r="K1604" s="195" t="s">
        <v>63</v>
      </c>
      <c r="L1604" s="195" t="s">
        <v>212</v>
      </c>
      <c r="M1604" s="197" t="s">
        <v>4125</v>
      </c>
      <c r="N1604" s="197" t="s">
        <v>158</v>
      </c>
      <c r="O1604" s="197" t="s">
        <v>4126</v>
      </c>
      <c r="P1604" s="197">
        <v>5052000805</v>
      </c>
      <c r="Q1604" s="303">
        <f t="shared" si="141"/>
        <v>0</v>
      </c>
      <c r="R1604" s="303">
        <f t="shared" si="142"/>
        <v>0</v>
      </c>
      <c r="S1604" s="197">
        <v>0</v>
      </c>
      <c r="T1604" s="197">
        <v>0</v>
      </c>
      <c r="U1604" s="197">
        <v>0</v>
      </c>
      <c r="V1604" s="197">
        <v>0</v>
      </c>
      <c r="W1604" s="197">
        <v>0</v>
      </c>
      <c r="X1604" s="37">
        <v>52</v>
      </c>
      <c r="Y1604" s="37">
        <v>45</v>
      </c>
      <c r="Z1604" s="37">
        <v>38</v>
      </c>
      <c r="AA1604" s="37">
        <v>1</v>
      </c>
      <c r="AB1604" s="300">
        <f t="shared" si="143"/>
        <v>14.82</v>
      </c>
      <c r="AC1604" s="300">
        <f t="shared" si="144"/>
        <v>8.9277108433734945E-2</v>
      </c>
      <c r="AD1604" s="37">
        <v>0</v>
      </c>
      <c r="AE1604" s="197">
        <v>0</v>
      </c>
      <c r="AF1604" s="197" t="s">
        <v>317</v>
      </c>
      <c r="AG1604" s="197" t="s">
        <v>317</v>
      </c>
      <c r="AH1604" s="197" t="s">
        <v>4127</v>
      </c>
      <c r="AI1604" s="309"/>
      <c r="AJ1604" s="309"/>
      <c r="AK1604" s="197" t="s">
        <v>41</v>
      </c>
      <c r="AL1604" s="197" t="s">
        <v>94</v>
      </c>
      <c r="AM1604" s="299">
        <f t="shared" ca="1" si="140"/>
        <v>1.8263888888905058</v>
      </c>
      <c r="AN1604" s="51"/>
      <c r="AO1604" s="210" t="s">
        <v>159</v>
      </c>
      <c r="AP1604" s="211" t="s">
        <v>4299</v>
      </c>
      <c r="AQ1604" s="210" t="s">
        <v>4300</v>
      </c>
      <c r="AR1604" s="213">
        <v>44919.496527777781</v>
      </c>
      <c r="AS1604" s="210" t="s">
        <v>136</v>
      </c>
      <c r="AT1604" s="210" t="s">
        <v>225</v>
      </c>
      <c r="AU1604" s="212">
        <v>0.49652777777777773</v>
      </c>
      <c r="AV1604" s="210">
        <v>1</v>
      </c>
      <c r="AW1604" s="210" t="s">
        <v>66</v>
      </c>
      <c r="AX1604" s="52"/>
      <c r="AY1604" s="52"/>
      <c r="AZ1604" s="52"/>
      <c r="BA1604" s="52"/>
    </row>
    <row r="1605" spans="1:53" x14ac:dyDescent="0.25">
      <c r="A1605" s="48">
        <v>420</v>
      </c>
      <c r="B1605" s="202">
        <v>44917.670138888891</v>
      </c>
      <c r="C1605" s="196">
        <v>0.67013888888888884</v>
      </c>
      <c r="D1605" s="196">
        <v>0.67708333333333337</v>
      </c>
      <c r="E1605" s="196">
        <v>0.70138888888888884</v>
      </c>
      <c r="F1605" s="197" t="s">
        <v>170</v>
      </c>
      <c r="G1605" s="197" t="s">
        <v>4124</v>
      </c>
      <c r="H1605" s="188" t="s">
        <v>204</v>
      </c>
      <c r="I1605" s="26" t="s">
        <v>73</v>
      </c>
      <c r="J1605" s="188" t="s">
        <v>37</v>
      </c>
      <c r="K1605" s="195" t="s">
        <v>63</v>
      </c>
      <c r="L1605" s="195" t="s">
        <v>212</v>
      </c>
      <c r="M1605" s="37" t="s">
        <v>4128</v>
      </c>
      <c r="N1605" s="37" t="s">
        <v>59</v>
      </c>
      <c r="O1605" s="37" t="s">
        <v>4129</v>
      </c>
      <c r="P1605" s="37">
        <v>5051999934</v>
      </c>
      <c r="Q1605" s="303">
        <f t="shared" si="141"/>
        <v>1</v>
      </c>
      <c r="R1605" s="303">
        <f t="shared" si="142"/>
        <v>78</v>
      </c>
      <c r="S1605" s="37">
        <v>0</v>
      </c>
      <c r="T1605" s="37">
        <v>0</v>
      </c>
      <c r="U1605" s="37">
        <v>1</v>
      </c>
      <c r="V1605" s="37">
        <v>78</v>
      </c>
      <c r="W1605" s="37">
        <v>79</v>
      </c>
      <c r="X1605" s="37">
        <v>49</v>
      </c>
      <c r="Y1605" s="37">
        <v>47</v>
      </c>
      <c r="Z1605" s="37">
        <v>45</v>
      </c>
      <c r="AA1605" s="37">
        <v>1</v>
      </c>
      <c r="AB1605" s="300">
        <f t="shared" si="143"/>
        <v>17.272500000000001</v>
      </c>
      <c r="AC1605" s="300">
        <f t="shared" si="144"/>
        <v>0.10405120481927711</v>
      </c>
      <c r="AD1605" s="37">
        <v>466</v>
      </c>
      <c r="AE1605" s="37" t="s">
        <v>109</v>
      </c>
      <c r="AF1605" s="197" t="s">
        <v>317</v>
      </c>
      <c r="AG1605" s="197" t="s">
        <v>317</v>
      </c>
      <c r="AH1605" s="37" t="s">
        <v>4130</v>
      </c>
      <c r="AI1605" s="309"/>
      <c r="AJ1605" s="309"/>
      <c r="AK1605" s="197" t="s">
        <v>41</v>
      </c>
      <c r="AL1605" s="197" t="s">
        <v>94</v>
      </c>
      <c r="AM1605" s="299">
        <f t="shared" ca="1" si="140"/>
        <v>1.8993055555547471</v>
      </c>
      <c r="AN1605" s="51"/>
      <c r="AO1605" s="210" t="s">
        <v>70</v>
      </c>
      <c r="AP1605" s="211" t="s">
        <v>4311</v>
      </c>
      <c r="AQ1605" s="210" t="s">
        <v>4310</v>
      </c>
      <c r="AR1605" s="213">
        <v>44919.569444444445</v>
      </c>
      <c r="AS1605" s="208" t="s">
        <v>293</v>
      </c>
      <c r="AT1605" s="210" t="s">
        <v>65</v>
      </c>
      <c r="AU1605" s="212">
        <v>0.56944444444444442</v>
      </c>
      <c r="AV1605" s="210">
        <v>1</v>
      </c>
      <c r="AW1605" s="210" t="s">
        <v>66</v>
      </c>
      <c r="AX1605" s="52"/>
      <c r="AY1605" s="52"/>
      <c r="AZ1605" s="52"/>
      <c r="BA1605" s="52"/>
    </row>
    <row r="1606" spans="1:53" x14ac:dyDescent="0.25">
      <c r="A1606" s="48">
        <v>421</v>
      </c>
      <c r="B1606" s="46">
        <v>44917.708333333336</v>
      </c>
      <c r="C1606" s="36">
        <v>0.71527777777777779</v>
      </c>
      <c r="D1606" s="36">
        <v>0.74305555555555547</v>
      </c>
      <c r="E1606" s="36">
        <v>0.75694444444444453</v>
      </c>
      <c r="F1606" s="37" t="s">
        <v>169</v>
      </c>
      <c r="G1606" s="37" t="s">
        <v>948</v>
      </c>
      <c r="H1606" s="26" t="s">
        <v>197</v>
      </c>
      <c r="I1606" s="188" t="s">
        <v>418</v>
      </c>
      <c r="J1606" s="188" t="s">
        <v>37</v>
      </c>
      <c r="K1606" s="188" t="s">
        <v>233</v>
      </c>
      <c r="L1606" s="188" t="s">
        <v>419</v>
      </c>
      <c r="M1606" s="37" t="s">
        <v>4131</v>
      </c>
      <c r="N1606" s="37" t="s">
        <v>264</v>
      </c>
      <c r="O1606" s="37" t="s">
        <v>4132</v>
      </c>
      <c r="P1606" s="37" t="s">
        <v>4133</v>
      </c>
      <c r="Q1606" s="303">
        <f t="shared" si="141"/>
        <v>7</v>
      </c>
      <c r="R1606" s="303">
        <f t="shared" si="142"/>
        <v>219</v>
      </c>
      <c r="S1606" s="37">
        <v>6</v>
      </c>
      <c r="T1606" s="37">
        <f>122-24+58-15</f>
        <v>141</v>
      </c>
      <c r="U1606" s="37">
        <v>1</v>
      </c>
      <c r="V1606" s="37">
        <v>78</v>
      </c>
      <c r="W1606" s="37">
        <f>16+86+24+33+20+33</f>
        <v>212</v>
      </c>
      <c r="X1606" s="37">
        <v>60</v>
      </c>
      <c r="Y1606" s="37">
        <v>64</v>
      </c>
      <c r="Z1606" s="37">
        <v>31</v>
      </c>
      <c r="AA1606" s="37">
        <v>1</v>
      </c>
      <c r="AB1606" s="300">
        <f t="shared" si="143"/>
        <v>19.84</v>
      </c>
      <c r="AC1606" s="300">
        <f t="shared" si="144"/>
        <v>0.11951807228915663</v>
      </c>
      <c r="AD1606" s="37" t="s">
        <v>48</v>
      </c>
      <c r="AE1606" s="197" t="s">
        <v>48</v>
      </c>
      <c r="AF1606" s="37">
        <v>6343183</v>
      </c>
      <c r="AG1606" s="37" t="s">
        <v>4137</v>
      </c>
      <c r="AH1606" s="37" t="s">
        <v>4134</v>
      </c>
      <c r="AI1606" s="309"/>
      <c r="AJ1606" s="309"/>
      <c r="AK1606" s="37" t="s">
        <v>48</v>
      </c>
      <c r="AL1606" s="37" t="s">
        <v>58</v>
      </c>
      <c r="AM1606" s="299">
        <f t="shared" ca="1" si="140"/>
        <v>3.9583333333284827</v>
      </c>
      <c r="AN1606" s="51"/>
      <c r="AO1606" s="210" t="s">
        <v>347</v>
      </c>
      <c r="AP1606" s="211" t="s">
        <v>4131</v>
      </c>
      <c r="AQ1606" s="210" t="s">
        <v>4362</v>
      </c>
      <c r="AR1606" s="213">
        <v>44921.666666666664</v>
      </c>
      <c r="AS1606" s="208" t="s">
        <v>483</v>
      </c>
      <c r="AT1606" s="210" t="s">
        <v>225</v>
      </c>
      <c r="AU1606" s="212">
        <v>0.66666666666666663</v>
      </c>
      <c r="AV1606" s="210">
        <v>1</v>
      </c>
      <c r="AW1606" s="210" t="s">
        <v>66</v>
      </c>
      <c r="AX1606" s="52"/>
      <c r="AY1606" s="52"/>
      <c r="AZ1606" s="52"/>
      <c r="BA1606" s="52"/>
    </row>
    <row r="1607" spans="1:53" x14ac:dyDescent="0.25">
      <c r="A1607" s="203">
        <v>421</v>
      </c>
      <c r="B1607" s="202">
        <v>44917.708333333336</v>
      </c>
      <c r="C1607" s="196">
        <v>0.71527777777777779</v>
      </c>
      <c r="D1607" s="196">
        <v>0.74305555555555547</v>
      </c>
      <c r="E1607" s="196">
        <v>0.75694444444444453</v>
      </c>
      <c r="F1607" s="197" t="s">
        <v>169</v>
      </c>
      <c r="G1607" s="197" t="s">
        <v>948</v>
      </c>
      <c r="H1607" s="188" t="s">
        <v>197</v>
      </c>
      <c r="I1607" s="188" t="s">
        <v>418</v>
      </c>
      <c r="J1607" s="188" t="s">
        <v>37</v>
      </c>
      <c r="K1607" s="188" t="s">
        <v>233</v>
      </c>
      <c r="L1607" s="188" t="s">
        <v>419</v>
      </c>
      <c r="M1607" s="197" t="s">
        <v>4131</v>
      </c>
      <c r="N1607" s="197" t="s">
        <v>264</v>
      </c>
      <c r="O1607" s="197" t="s">
        <v>4132</v>
      </c>
      <c r="P1607" s="197" t="s">
        <v>4133</v>
      </c>
      <c r="Q1607" s="303">
        <f t="shared" si="141"/>
        <v>0</v>
      </c>
      <c r="R1607" s="303">
        <f t="shared" si="142"/>
        <v>0</v>
      </c>
      <c r="S1607" s="197">
        <v>0</v>
      </c>
      <c r="T1607" s="197">
        <v>0</v>
      </c>
      <c r="U1607" s="197">
        <v>0</v>
      </c>
      <c r="V1607" s="197">
        <v>0</v>
      </c>
      <c r="W1607" s="197">
        <v>0</v>
      </c>
      <c r="X1607" s="37">
        <v>146</v>
      </c>
      <c r="Y1607" s="37">
        <v>66</v>
      </c>
      <c r="Z1607" s="37">
        <v>20</v>
      </c>
      <c r="AA1607" s="37">
        <v>1</v>
      </c>
      <c r="AB1607" s="300">
        <f t="shared" si="143"/>
        <v>32.119999999999997</v>
      </c>
      <c r="AC1607" s="300">
        <f t="shared" si="144"/>
        <v>0.19349397590361445</v>
      </c>
      <c r="AD1607" s="37">
        <v>0</v>
      </c>
      <c r="AE1607" s="37">
        <v>0</v>
      </c>
      <c r="AF1607" s="197">
        <v>6343183</v>
      </c>
      <c r="AG1607" s="197" t="s">
        <v>4137</v>
      </c>
      <c r="AH1607" s="197" t="s">
        <v>4134</v>
      </c>
      <c r="AI1607" s="309"/>
      <c r="AJ1607" s="309"/>
      <c r="AK1607" s="197" t="s">
        <v>48</v>
      </c>
      <c r="AL1607" s="197" t="s">
        <v>58</v>
      </c>
      <c r="AM1607" s="299">
        <f t="shared" ca="1" si="140"/>
        <v>3.9583333333284827</v>
      </c>
      <c r="AN1607" s="51"/>
      <c r="AO1607" s="210" t="s">
        <v>347</v>
      </c>
      <c r="AP1607" s="211" t="s">
        <v>4131</v>
      </c>
      <c r="AQ1607" s="210" t="s">
        <v>4362</v>
      </c>
      <c r="AR1607" s="213">
        <v>44921.666666666664</v>
      </c>
      <c r="AS1607" s="208" t="s">
        <v>483</v>
      </c>
      <c r="AT1607" s="210" t="s">
        <v>225</v>
      </c>
      <c r="AU1607" s="212">
        <v>0.66666666666666663</v>
      </c>
      <c r="AV1607" s="210">
        <v>1</v>
      </c>
      <c r="AW1607" s="210" t="s">
        <v>66</v>
      </c>
      <c r="AX1607" s="52"/>
      <c r="AY1607" s="52"/>
      <c r="AZ1607" s="52"/>
      <c r="BA1607" s="52"/>
    </row>
    <row r="1608" spans="1:53" x14ac:dyDescent="0.25">
      <c r="A1608" s="203">
        <v>421</v>
      </c>
      <c r="B1608" s="202">
        <v>44917.708333333336</v>
      </c>
      <c r="C1608" s="196">
        <v>0.71527777777777779</v>
      </c>
      <c r="D1608" s="196">
        <v>0.74305555555555547</v>
      </c>
      <c r="E1608" s="196">
        <v>0.75694444444444453</v>
      </c>
      <c r="F1608" s="197" t="s">
        <v>169</v>
      </c>
      <c r="G1608" s="197" t="s">
        <v>948</v>
      </c>
      <c r="H1608" s="188" t="s">
        <v>197</v>
      </c>
      <c r="I1608" s="188" t="s">
        <v>418</v>
      </c>
      <c r="J1608" s="188" t="s">
        <v>37</v>
      </c>
      <c r="K1608" s="188" t="s">
        <v>233</v>
      </c>
      <c r="L1608" s="188" t="s">
        <v>419</v>
      </c>
      <c r="M1608" s="197" t="s">
        <v>4131</v>
      </c>
      <c r="N1608" s="197" t="s">
        <v>264</v>
      </c>
      <c r="O1608" s="197" t="s">
        <v>4132</v>
      </c>
      <c r="P1608" s="197" t="s">
        <v>4133</v>
      </c>
      <c r="Q1608" s="303">
        <f t="shared" si="141"/>
        <v>0</v>
      </c>
      <c r="R1608" s="303">
        <f t="shared" si="142"/>
        <v>0</v>
      </c>
      <c r="S1608" s="197">
        <v>0</v>
      </c>
      <c r="T1608" s="197">
        <v>0</v>
      </c>
      <c r="U1608" s="197">
        <v>0</v>
      </c>
      <c r="V1608" s="197">
        <v>0</v>
      </c>
      <c r="W1608" s="197">
        <v>0</v>
      </c>
      <c r="X1608" s="37">
        <v>74</v>
      </c>
      <c r="Y1608" s="37">
        <v>70</v>
      </c>
      <c r="Z1608" s="37">
        <v>60</v>
      </c>
      <c r="AA1608" s="37">
        <v>2</v>
      </c>
      <c r="AB1608" s="300">
        <f t="shared" si="143"/>
        <v>103.6</v>
      </c>
      <c r="AC1608" s="300">
        <f t="shared" si="144"/>
        <v>0.62409638554216862</v>
      </c>
      <c r="AD1608" s="37">
        <v>0</v>
      </c>
      <c r="AE1608" s="197">
        <v>0</v>
      </c>
      <c r="AF1608" s="197">
        <v>6343183</v>
      </c>
      <c r="AG1608" s="197" t="s">
        <v>4137</v>
      </c>
      <c r="AH1608" s="197" t="s">
        <v>4134</v>
      </c>
      <c r="AI1608" s="309"/>
      <c r="AJ1608" s="309"/>
      <c r="AK1608" s="197" t="s">
        <v>48</v>
      </c>
      <c r="AL1608" s="197" t="s">
        <v>58</v>
      </c>
      <c r="AM1608" s="299">
        <f t="shared" ca="1" si="140"/>
        <v>3.9583333333284827</v>
      </c>
      <c r="AN1608" s="51"/>
      <c r="AO1608" s="210" t="s">
        <v>347</v>
      </c>
      <c r="AP1608" s="211" t="s">
        <v>4131</v>
      </c>
      <c r="AQ1608" s="210" t="s">
        <v>4362</v>
      </c>
      <c r="AR1608" s="213">
        <v>44921.666666666664</v>
      </c>
      <c r="AS1608" s="208" t="s">
        <v>483</v>
      </c>
      <c r="AT1608" s="210" t="s">
        <v>225</v>
      </c>
      <c r="AU1608" s="212">
        <v>0.66666666666666663</v>
      </c>
      <c r="AV1608" s="210">
        <v>1</v>
      </c>
      <c r="AW1608" s="210" t="s">
        <v>66</v>
      </c>
      <c r="AX1608" s="52"/>
      <c r="AY1608" s="52"/>
      <c r="AZ1608" s="52"/>
      <c r="BA1608" s="52"/>
    </row>
    <row r="1609" spans="1:53" x14ac:dyDescent="0.25">
      <c r="A1609" s="203">
        <v>421</v>
      </c>
      <c r="B1609" s="202">
        <v>44917.708333333336</v>
      </c>
      <c r="C1609" s="196">
        <v>0.71527777777777779</v>
      </c>
      <c r="D1609" s="196">
        <v>0.74305555555555547</v>
      </c>
      <c r="E1609" s="196">
        <v>0.75694444444444453</v>
      </c>
      <c r="F1609" s="197" t="s">
        <v>169</v>
      </c>
      <c r="G1609" s="197" t="s">
        <v>948</v>
      </c>
      <c r="H1609" s="188" t="s">
        <v>197</v>
      </c>
      <c r="I1609" s="188" t="s">
        <v>418</v>
      </c>
      <c r="J1609" s="188" t="s">
        <v>37</v>
      </c>
      <c r="K1609" s="188" t="s">
        <v>233</v>
      </c>
      <c r="L1609" s="188" t="s">
        <v>419</v>
      </c>
      <c r="M1609" s="197" t="s">
        <v>4131</v>
      </c>
      <c r="N1609" s="197" t="s">
        <v>264</v>
      </c>
      <c r="O1609" s="197" t="s">
        <v>4132</v>
      </c>
      <c r="P1609" s="197" t="s">
        <v>4133</v>
      </c>
      <c r="Q1609" s="303">
        <f t="shared" si="141"/>
        <v>0</v>
      </c>
      <c r="R1609" s="303">
        <f t="shared" si="142"/>
        <v>0</v>
      </c>
      <c r="S1609" s="197">
        <v>0</v>
      </c>
      <c r="T1609" s="197">
        <v>0</v>
      </c>
      <c r="U1609" s="197">
        <v>0</v>
      </c>
      <c r="V1609" s="197">
        <v>0</v>
      </c>
      <c r="W1609" s="197">
        <v>0</v>
      </c>
      <c r="X1609" s="37">
        <v>76</v>
      </c>
      <c r="Y1609" s="37">
        <v>61</v>
      </c>
      <c r="Z1609" s="37">
        <v>61</v>
      </c>
      <c r="AA1609" s="37">
        <v>2</v>
      </c>
      <c r="AB1609" s="300">
        <f t="shared" si="143"/>
        <v>94.265333333333331</v>
      </c>
      <c r="AC1609" s="300">
        <f t="shared" si="144"/>
        <v>0.56786345381526104</v>
      </c>
      <c r="AD1609" s="37">
        <v>0</v>
      </c>
      <c r="AE1609" s="197">
        <v>0</v>
      </c>
      <c r="AF1609" s="197">
        <v>6343183</v>
      </c>
      <c r="AG1609" s="197" t="s">
        <v>4137</v>
      </c>
      <c r="AH1609" s="197" t="s">
        <v>4134</v>
      </c>
      <c r="AI1609" s="309"/>
      <c r="AJ1609" s="309"/>
      <c r="AK1609" s="197" t="s">
        <v>48</v>
      </c>
      <c r="AL1609" s="197" t="s">
        <v>58</v>
      </c>
      <c r="AM1609" s="299">
        <f t="shared" ca="1" si="140"/>
        <v>3.9583333333284827</v>
      </c>
      <c r="AN1609" s="51"/>
      <c r="AO1609" s="210" t="s">
        <v>347</v>
      </c>
      <c r="AP1609" s="211" t="s">
        <v>4131</v>
      </c>
      <c r="AQ1609" s="210" t="s">
        <v>4362</v>
      </c>
      <c r="AR1609" s="213">
        <v>44921.666666666664</v>
      </c>
      <c r="AS1609" s="208" t="s">
        <v>483</v>
      </c>
      <c r="AT1609" s="210" t="s">
        <v>225</v>
      </c>
      <c r="AU1609" s="212">
        <v>0.66666666666666663</v>
      </c>
      <c r="AV1609" s="210">
        <v>1</v>
      </c>
      <c r="AW1609" s="210" t="s">
        <v>66</v>
      </c>
      <c r="AX1609" s="52"/>
      <c r="AY1609" s="52"/>
      <c r="AZ1609" s="52"/>
      <c r="BA1609" s="52"/>
    </row>
    <row r="1610" spans="1:53" x14ac:dyDescent="0.25">
      <c r="A1610" s="203">
        <v>421</v>
      </c>
      <c r="B1610" s="202">
        <v>44917.708333333336</v>
      </c>
      <c r="C1610" s="196">
        <v>0.71527777777777779</v>
      </c>
      <c r="D1610" s="196">
        <v>0.74305555555555547</v>
      </c>
      <c r="E1610" s="196">
        <v>0.75694444444444453</v>
      </c>
      <c r="F1610" s="197" t="s">
        <v>169</v>
      </c>
      <c r="G1610" s="197" t="s">
        <v>948</v>
      </c>
      <c r="H1610" s="188" t="s">
        <v>197</v>
      </c>
      <c r="I1610" s="188" t="s">
        <v>418</v>
      </c>
      <c r="J1610" s="188" t="s">
        <v>37</v>
      </c>
      <c r="K1610" s="188" t="s">
        <v>233</v>
      </c>
      <c r="L1610" s="188" t="s">
        <v>419</v>
      </c>
      <c r="M1610" s="197" t="s">
        <v>4131</v>
      </c>
      <c r="N1610" s="197" t="s">
        <v>264</v>
      </c>
      <c r="O1610" s="197" t="s">
        <v>4132</v>
      </c>
      <c r="P1610" s="197" t="s">
        <v>4133</v>
      </c>
      <c r="Q1610" s="303">
        <f t="shared" si="141"/>
        <v>0</v>
      </c>
      <c r="R1610" s="303">
        <f t="shared" si="142"/>
        <v>0</v>
      </c>
      <c r="S1610" s="197">
        <v>0</v>
      </c>
      <c r="T1610" s="197">
        <v>0</v>
      </c>
      <c r="U1610" s="197">
        <v>0</v>
      </c>
      <c r="V1610" s="197">
        <v>0</v>
      </c>
      <c r="W1610" s="197">
        <v>0</v>
      </c>
      <c r="X1610" s="37">
        <v>77</v>
      </c>
      <c r="Y1610" s="37">
        <v>60</v>
      </c>
      <c r="Z1610" s="37">
        <v>77</v>
      </c>
      <c r="AA1610" s="37">
        <v>1</v>
      </c>
      <c r="AB1610" s="300">
        <f t="shared" si="143"/>
        <v>59.29</v>
      </c>
      <c r="AC1610" s="300">
        <f t="shared" si="144"/>
        <v>0.35716867469879515</v>
      </c>
      <c r="AD1610" s="37">
        <v>0</v>
      </c>
      <c r="AE1610" s="197">
        <v>0</v>
      </c>
      <c r="AF1610" s="197">
        <v>6343183</v>
      </c>
      <c r="AG1610" s="197" t="s">
        <v>4137</v>
      </c>
      <c r="AH1610" s="197" t="s">
        <v>4134</v>
      </c>
      <c r="AI1610" s="309"/>
      <c r="AJ1610" s="309"/>
      <c r="AK1610" s="197" t="s">
        <v>48</v>
      </c>
      <c r="AL1610" s="197" t="s">
        <v>58</v>
      </c>
      <c r="AM1610" s="299">
        <f t="shared" ca="1" si="140"/>
        <v>3.9583333333284827</v>
      </c>
      <c r="AN1610" s="51"/>
      <c r="AO1610" s="210" t="s">
        <v>347</v>
      </c>
      <c r="AP1610" s="211" t="s">
        <v>4131</v>
      </c>
      <c r="AQ1610" s="210" t="s">
        <v>4362</v>
      </c>
      <c r="AR1610" s="213">
        <v>44921.666666666664</v>
      </c>
      <c r="AS1610" s="208" t="s">
        <v>483</v>
      </c>
      <c r="AT1610" s="210" t="s">
        <v>225</v>
      </c>
      <c r="AU1610" s="212">
        <v>0.66666666666666663</v>
      </c>
      <c r="AV1610" s="210">
        <v>1</v>
      </c>
      <c r="AW1610" s="210" t="s">
        <v>66</v>
      </c>
      <c r="AX1610" s="52"/>
      <c r="AY1610" s="52"/>
      <c r="AZ1610" s="52"/>
      <c r="BA1610" s="52"/>
    </row>
    <row r="1611" spans="1:53" x14ac:dyDescent="0.25">
      <c r="A1611" s="48">
        <v>422</v>
      </c>
      <c r="B1611" s="202">
        <v>44917.708333333336</v>
      </c>
      <c r="C1611" s="196">
        <v>0.71527777777777779</v>
      </c>
      <c r="D1611" s="196">
        <v>0.74305555555555547</v>
      </c>
      <c r="E1611" s="196">
        <v>0.75694444444444453</v>
      </c>
      <c r="F1611" s="197" t="s">
        <v>169</v>
      </c>
      <c r="G1611" s="197" t="s">
        <v>948</v>
      </c>
      <c r="H1611" s="188" t="s">
        <v>197</v>
      </c>
      <c r="I1611" s="188" t="s">
        <v>418</v>
      </c>
      <c r="J1611" s="188" t="s">
        <v>37</v>
      </c>
      <c r="K1611" s="188" t="s">
        <v>233</v>
      </c>
      <c r="L1611" s="188" t="s">
        <v>419</v>
      </c>
      <c r="M1611" s="197" t="s">
        <v>4131</v>
      </c>
      <c r="N1611" s="197" t="s">
        <v>264</v>
      </c>
      <c r="O1611" s="37" t="s">
        <v>4135</v>
      </c>
      <c r="P1611" s="37" t="s">
        <v>4136</v>
      </c>
      <c r="Q1611" s="303">
        <f t="shared" si="141"/>
        <v>5</v>
      </c>
      <c r="R1611" s="303">
        <f t="shared" si="142"/>
        <v>321</v>
      </c>
      <c r="S1611" s="37">
        <v>1</v>
      </c>
      <c r="T1611" s="37">
        <v>23</v>
      </c>
      <c r="U1611" s="37">
        <v>4</v>
      </c>
      <c r="V1611" s="37">
        <f>134+164</f>
        <v>298</v>
      </c>
      <c r="W1611" s="37">
        <f>125+120+24+48+20</f>
        <v>337</v>
      </c>
      <c r="X1611" s="37">
        <v>82</v>
      </c>
      <c r="Y1611" s="37">
        <v>64</v>
      </c>
      <c r="Z1611" s="37">
        <v>32</v>
      </c>
      <c r="AA1611" s="37">
        <v>1</v>
      </c>
      <c r="AB1611" s="300">
        <f t="shared" si="143"/>
        <v>27.989333333333335</v>
      </c>
      <c r="AC1611" s="300">
        <f t="shared" si="144"/>
        <v>0.16861044176706827</v>
      </c>
      <c r="AD1611" s="197" t="s">
        <v>48</v>
      </c>
      <c r="AE1611" s="197" t="s">
        <v>48</v>
      </c>
      <c r="AF1611" s="37">
        <v>6343196</v>
      </c>
      <c r="AG1611" s="197" t="s">
        <v>4137</v>
      </c>
      <c r="AH1611" s="197" t="s">
        <v>4138</v>
      </c>
      <c r="AI1611" s="309"/>
      <c r="AJ1611" s="309"/>
      <c r="AK1611" s="197" t="s">
        <v>48</v>
      </c>
      <c r="AL1611" s="197" t="s">
        <v>58</v>
      </c>
      <c r="AM1611" s="299">
        <f t="shared" ca="1" si="140"/>
        <v>3.9583333333284827</v>
      </c>
      <c r="AN1611" s="51"/>
      <c r="AO1611" s="210" t="s">
        <v>347</v>
      </c>
      <c r="AP1611" s="211" t="s">
        <v>4131</v>
      </c>
      <c r="AQ1611" s="210" t="s">
        <v>4362</v>
      </c>
      <c r="AR1611" s="213">
        <v>44921.666666666664</v>
      </c>
      <c r="AS1611" s="208" t="s">
        <v>483</v>
      </c>
      <c r="AT1611" s="210" t="s">
        <v>225</v>
      </c>
      <c r="AU1611" s="212">
        <v>0.66666666666666663</v>
      </c>
      <c r="AV1611" s="210">
        <v>1</v>
      </c>
      <c r="AW1611" s="210" t="s">
        <v>66</v>
      </c>
      <c r="AX1611" s="52"/>
      <c r="AY1611" s="52"/>
      <c r="AZ1611" s="52"/>
      <c r="BA1611" s="52"/>
    </row>
    <row r="1612" spans="1:53" x14ac:dyDescent="0.25">
      <c r="A1612" s="203">
        <v>422</v>
      </c>
      <c r="B1612" s="202">
        <v>44917.708333333336</v>
      </c>
      <c r="C1612" s="196">
        <v>0.71527777777777779</v>
      </c>
      <c r="D1612" s="196">
        <v>0.74305555555555547</v>
      </c>
      <c r="E1612" s="196">
        <v>0.75694444444444453</v>
      </c>
      <c r="F1612" s="197" t="s">
        <v>169</v>
      </c>
      <c r="G1612" s="197" t="s">
        <v>948</v>
      </c>
      <c r="H1612" s="188" t="s">
        <v>197</v>
      </c>
      <c r="I1612" s="188" t="s">
        <v>418</v>
      </c>
      <c r="J1612" s="188" t="s">
        <v>37</v>
      </c>
      <c r="K1612" s="188" t="s">
        <v>233</v>
      </c>
      <c r="L1612" s="188" t="s">
        <v>419</v>
      </c>
      <c r="M1612" s="197" t="s">
        <v>4131</v>
      </c>
      <c r="N1612" s="197" t="s">
        <v>264</v>
      </c>
      <c r="O1612" s="197" t="s">
        <v>4135</v>
      </c>
      <c r="P1612" s="197" t="s">
        <v>4136</v>
      </c>
      <c r="Q1612" s="303">
        <f t="shared" si="141"/>
        <v>0</v>
      </c>
      <c r="R1612" s="303">
        <f t="shared" si="142"/>
        <v>0</v>
      </c>
      <c r="S1612" s="197">
        <v>0</v>
      </c>
      <c r="T1612" s="197">
        <v>0</v>
      </c>
      <c r="U1612" s="197">
        <v>0</v>
      </c>
      <c r="V1612" s="197">
        <v>0</v>
      </c>
      <c r="W1612" s="197">
        <v>0</v>
      </c>
      <c r="X1612" s="37">
        <v>75</v>
      </c>
      <c r="Y1612" s="37">
        <v>64</v>
      </c>
      <c r="Z1612" s="37">
        <v>60</v>
      </c>
      <c r="AA1612" s="37">
        <v>1</v>
      </c>
      <c r="AB1612" s="300">
        <f t="shared" si="143"/>
        <v>48</v>
      </c>
      <c r="AC1612" s="300">
        <f t="shared" si="144"/>
        <v>0.28915662650602408</v>
      </c>
      <c r="AD1612" s="197">
        <v>0</v>
      </c>
      <c r="AE1612" s="197">
        <v>0</v>
      </c>
      <c r="AF1612" s="197">
        <v>6343196</v>
      </c>
      <c r="AG1612" s="197" t="s">
        <v>4137</v>
      </c>
      <c r="AH1612" s="197" t="s">
        <v>4138</v>
      </c>
      <c r="AI1612" s="309"/>
      <c r="AJ1612" s="309"/>
      <c r="AK1612" s="197" t="s">
        <v>48</v>
      </c>
      <c r="AL1612" s="197" t="s">
        <v>58</v>
      </c>
      <c r="AM1612" s="299">
        <f t="shared" ca="1" si="140"/>
        <v>3.9583333333284827</v>
      </c>
      <c r="AN1612" s="51"/>
      <c r="AO1612" s="210" t="s">
        <v>347</v>
      </c>
      <c r="AP1612" s="211" t="s">
        <v>4131</v>
      </c>
      <c r="AQ1612" s="210" t="s">
        <v>4362</v>
      </c>
      <c r="AR1612" s="213">
        <v>44921.666666666664</v>
      </c>
      <c r="AS1612" s="208" t="s">
        <v>483</v>
      </c>
      <c r="AT1612" s="210" t="s">
        <v>225</v>
      </c>
      <c r="AU1612" s="212">
        <v>0.66666666666666663</v>
      </c>
      <c r="AV1612" s="210">
        <v>1</v>
      </c>
      <c r="AW1612" s="210" t="s">
        <v>66</v>
      </c>
      <c r="AX1612" s="52"/>
      <c r="AY1612" s="52"/>
      <c r="AZ1612" s="52"/>
      <c r="BA1612" s="52"/>
    </row>
    <row r="1613" spans="1:53" x14ac:dyDescent="0.25">
      <c r="A1613" s="203">
        <v>422</v>
      </c>
      <c r="B1613" s="202">
        <v>44917.708333333336</v>
      </c>
      <c r="C1613" s="196">
        <v>0.71527777777777779</v>
      </c>
      <c r="D1613" s="196">
        <v>0.74305555555555547</v>
      </c>
      <c r="E1613" s="196">
        <v>0.75694444444444453</v>
      </c>
      <c r="F1613" s="197" t="s">
        <v>169</v>
      </c>
      <c r="G1613" s="197" t="s">
        <v>948</v>
      </c>
      <c r="H1613" s="188" t="s">
        <v>197</v>
      </c>
      <c r="I1613" s="188" t="s">
        <v>418</v>
      </c>
      <c r="J1613" s="188" t="s">
        <v>37</v>
      </c>
      <c r="K1613" s="188" t="s">
        <v>233</v>
      </c>
      <c r="L1613" s="188" t="s">
        <v>419</v>
      </c>
      <c r="M1613" s="197" t="s">
        <v>4131</v>
      </c>
      <c r="N1613" s="197" t="s">
        <v>264</v>
      </c>
      <c r="O1613" s="197" t="s">
        <v>4135</v>
      </c>
      <c r="P1613" s="197" t="s">
        <v>4136</v>
      </c>
      <c r="Q1613" s="303">
        <f t="shared" si="141"/>
        <v>0</v>
      </c>
      <c r="R1613" s="303">
        <f t="shared" si="142"/>
        <v>0</v>
      </c>
      <c r="S1613" s="197">
        <v>0</v>
      </c>
      <c r="T1613" s="197">
        <v>0</v>
      </c>
      <c r="U1613" s="197">
        <v>0</v>
      </c>
      <c r="V1613" s="197">
        <v>0</v>
      </c>
      <c r="W1613" s="197">
        <v>0</v>
      </c>
      <c r="X1613" s="37">
        <v>84</v>
      </c>
      <c r="Y1613" s="37">
        <v>62</v>
      </c>
      <c r="Z1613" s="37">
        <v>85</v>
      </c>
      <c r="AA1613" s="37">
        <v>1</v>
      </c>
      <c r="AB1613" s="300">
        <f t="shared" si="143"/>
        <v>73.78</v>
      </c>
      <c r="AC1613" s="300">
        <f t="shared" si="144"/>
        <v>0.4444578313253012</v>
      </c>
      <c r="AD1613" s="197">
        <v>0</v>
      </c>
      <c r="AE1613" s="197">
        <v>0</v>
      </c>
      <c r="AF1613" s="197">
        <v>6343196</v>
      </c>
      <c r="AG1613" s="197" t="s">
        <v>4137</v>
      </c>
      <c r="AH1613" s="197" t="s">
        <v>4138</v>
      </c>
      <c r="AI1613" s="309"/>
      <c r="AJ1613" s="309"/>
      <c r="AK1613" s="197" t="s">
        <v>48</v>
      </c>
      <c r="AL1613" s="197" t="s">
        <v>58</v>
      </c>
      <c r="AM1613" s="299">
        <f t="shared" ca="1" si="140"/>
        <v>3.9583333333284827</v>
      </c>
      <c r="AN1613" s="51"/>
      <c r="AO1613" s="210" t="s">
        <v>347</v>
      </c>
      <c r="AP1613" s="211" t="s">
        <v>4131</v>
      </c>
      <c r="AQ1613" s="210" t="s">
        <v>4362</v>
      </c>
      <c r="AR1613" s="213">
        <v>44921.666666666664</v>
      </c>
      <c r="AS1613" s="208" t="s">
        <v>483</v>
      </c>
      <c r="AT1613" s="210" t="s">
        <v>225</v>
      </c>
      <c r="AU1613" s="212">
        <v>0.66666666666666663</v>
      </c>
      <c r="AV1613" s="210">
        <v>1</v>
      </c>
      <c r="AW1613" s="210" t="s">
        <v>66</v>
      </c>
      <c r="AX1613" s="52"/>
      <c r="AY1613" s="52"/>
      <c r="AZ1613" s="52"/>
      <c r="BA1613" s="52"/>
    </row>
    <row r="1614" spans="1:53" x14ac:dyDescent="0.25">
      <c r="A1614" s="203">
        <v>422</v>
      </c>
      <c r="B1614" s="202">
        <v>44917.708333333336</v>
      </c>
      <c r="C1614" s="196">
        <v>0.71527777777777779</v>
      </c>
      <c r="D1614" s="196">
        <v>0.74305555555555547</v>
      </c>
      <c r="E1614" s="196">
        <v>0.75694444444444453</v>
      </c>
      <c r="F1614" s="197" t="s">
        <v>169</v>
      </c>
      <c r="G1614" s="197" t="s">
        <v>948</v>
      </c>
      <c r="H1614" s="188" t="s">
        <v>197</v>
      </c>
      <c r="I1614" s="188" t="s">
        <v>418</v>
      </c>
      <c r="J1614" s="188" t="s">
        <v>37</v>
      </c>
      <c r="K1614" s="188" t="s">
        <v>233</v>
      </c>
      <c r="L1614" s="188" t="s">
        <v>419</v>
      </c>
      <c r="M1614" s="197" t="s">
        <v>4131</v>
      </c>
      <c r="N1614" s="197" t="s">
        <v>264</v>
      </c>
      <c r="O1614" s="197" t="s">
        <v>4135</v>
      </c>
      <c r="P1614" s="197" t="s">
        <v>4136</v>
      </c>
      <c r="Q1614" s="303">
        <f t="shared" si="141"/>
        <v>0</v>
      </c>
      <c r="R1614" s="303">
        <f t="shared" si="142"/>
        <v>0</v>
      </c>
      <c r="S1614" s="197">
        <v>0</v>
      </c>
      <c r="T1614" s="197">
        <v>0</v>
      </c>
      <c r="U1614" s="197">
        <v>0</v>
      </c>
      <c r="V1614" s="197">
        <v>0</v>
      </c>
      <c r="W1614" s="197">
        <v>0</v>
      </c>
      <c r="X1614" s="37">
        <v>70</v>
      </c>
      <c r="Y1614" s="37">
        <v>68</v>
      </c>
      <c r="Z1614" s="37">
        <v>31</v>
      </c>
      <c r="AA1614" s="37">
        <v>1</v>
      </c>
      <c r="AB1614" s="300">
        <f t="shared" si="143"/>
        <v>24.593333333333334</v>
      </c>
      <c r="AC1614" s="300">
        <f t="shared" si="144"/>
        <v>0.14815261044176706</v>
      </c>
      <c r="AD1614" s="197">
        <v>0</v>
      </c>
      <c r="AE1614" s="197">
        <v>0</v>
      </c>
      <c r="AF1614" s="197">
        <v>6343196</v>
      </c>
      <c r="AG1614" s="197" t="s">
        <v>4137</v>
      </c>
      <c r="AH1614" s="197" t="s">
        <v>4138</v>
      </c>
      <c r="AI1614" s="309"/>
      <c r="AJ1614" s="309"/>
      <c r="AK1614" s="197" t="s">
        <v>48</v>
      </c>
      <c r="AL1614" s="197" t="s">
        <v>58</v>
      </c>
      <c r="AM1614" s="299">
        <f t="shared" ca="1" si="140"/>
        <v>3.9583333333284827</v>
      </c>
      <c r="AN1614" s="51"/>
      <c r="AO1614" s="210" t="s">
        <v>347</v>
      </c>
      <c r="AP1614" s="211" t="s">
        <v>4131</v>
      </c>
      <c r="AQ1614" s="210" t="s">
        <v>4362</v>
      </c>
      <c r="AR1614" s="213">
        <v>44921.666666666664</v>
      </c>
      <c r="AS1614" s="208" t="s">
        <v>483</v>
      </c>
      <c r="AT1614" s="210" t="s">
        <v>225</v>
      </c>
      <c r="AU1614" s="212">
        <v>0.66666666666666663</v>
      </c>
      <c r="AV1614" s="210">
        <v>1</v>
      </c>
      <c r="AW1614" s="210" t="s">
        <v>66</v>
      </c>
      <c r="AX1614" s="52"/>
      <c r="AY1614" s="52"/>
      <c r="AZ1614" s="52"/>
      <c r="BA1614" s="52"/>
    </row>
    <row r="1615" spans="1:53" x14ac:dyDescent="0.25">
      <c r="A1615" s="203">
        <v>422</v>
      </c>
      <c r="B1615" s="202">
        <v>44917.708333333336</v>
      </c>
      <c r="C1615" s="196">
        <v>0.71527777777777779</v>
      </c>
      <c r="D1615" s="196">
        <v>0.74305555555555547</v>
      </c>
      <c r="E1615" s="196">
        <v>0.75694444444444453</v>
      </c>
      <c r="F1615" s="197" t="s">
        <v>169</v>
      </c>
      <c r="G1615" s="197" t="s">
        <v>948</v>
      </c>
      <c r="H1615" s="188" t="s">
        <v>197</v>
      </c>
      <c r="I1615" s="188" t="s">
        <v>418</v>
      </c>
      <c r="J1615" s="188" t="s">
        <v>37</v>
      </c>
      <c r="K1615" s="188" t="s">
        <v>233</v>
      </c>
      <c r="L1615" s="188" t="s">
        <v>419</v>
      </c>
      <c r="M1615" s="197" t="s">
        <v>4131</v>
      </c>
      <c r="N1615" s="197" t="s">
        <v>264</v>
      </c>
      <c r="O1615" s="197" t="s">
        <v>4135</v>
      </c>
      <c r="P1615" s="197" t="s">
        <v>4136</v>
      </c>
      <c r="Q1615" s="303">
        <f t="shared" si="141"/>
        <v>0</v>
      </c>
      <c r="R1615" s="303">
        <f t="shared" si="142"/>
        <v>0</v>
      </c>
      <c r="S1615" s="197">
        <v>0</v>
      </c>
      <c r="T1615" s="197">
        <v>0</v>
      </c>
      <c r="U1615" s="197">
        <v>0</v>
      </c>
      <c r="V1615" s="197">
        <v>0</v>
      </c>
      <c r="W1615" s="197">
        <v>0</v>
      </c>
      <c r="X1615" s="37">
        <v>89</v>
      </c>
      <c r="Y1615" s="37">
        <v>66</v>
      </c>
      <c r="Z1615" s="37">
        <v>92</v>
      </c>
      <c r="AA1615" s="37">
        <v>1</v>
      </c>
      <c r="AB1615" s="300">
        <f t="shared" si="143"/>
        <v>90.067999999999998</v>
      </c>
      <c r="AC1615" s="300">
        <f t="shared" si="144"/>
        <v>0.54257831325301209</v>
      </c>
      <c r="AD1615" s="197">
        <v>0</v>
      </c>
      <c r="AE1615" s="197">
        <v>0</v>
      </c>
      <c r="AF1615" s="197">
        <v>6343196</v>
      </c>
      <c r="AG1615" s="197" t="s">
        <v>4137</v>
      </c>
      <c r="AH1615" s="197" t="s">
        <v>4138</v>
      </c>
      <c r="AI1615" s="309"/>
      <c r="AJ1615" s="309"/>
      <c r="AK1615" s="37" t="s">
        <v>37</v>
      </c>
      <c r="AL1615" s="197" t="s">
        <v>58</v>
      </c>
      <c r="AM1615" s="299">
        <f t="shared" ca="1" si="140"/>
        <v>3.9583333333284827</v>
      </c>
      <c r="AN1615" s="51"/>
      <c r="AO1615" s="210" t="s">
        <v>347</v>
      </c>
      <c r="AP1615" s="211" t="s">
        <v>4131</v>
      </c>
      <c r="AQ1615" s="210" t="s">
        <v>4362</v>
      </c>
      <c r="AR1615" s="213">
        <v>44921.666666666664</v>
      </c>
      <c r="AS1615" s="208" t="s">
        <v>483</v>
      </c>
      <c r="AT1615" s="210" t="s">
        <v>225</v>
      </c>
      <c r="AU1615" s="212">
        <v>0.66666666666666663</v>
      </c>
      <c r="AV1615" s="210">
        <v>1</v>
      </c>
      <c r="AW1615" s="210" t="s">
        <v>66</v>
      </c>
      <c r="AX1615" s="52"/>
      <c r="AY1615" s="52"/>
      <c r="AZ1615" s="52"/>
      <c r="BA1615" s="52"/>
    </row>
    <row r="1616" spans="1:53" x14ac:dyDescent="0.25">
      <c r="A1616" s="48">
        <v>423</v>
      </c>
      <c r="B1616" s="202">
        <v>44917.708333333336</v>
      </c>
      <c r="C1616" s="196">
        <v>0.71527777777777779</v>
      </c>
      <c r="D1616" s="196">
        <v>0.74305555555555547</v>
      </c>
      <c r="E1616" s="196">
        <v>0.75694444444444453</v>
      </c>
      <c r="F1616" s="197" t="s">
        <v>169</v>
      </c>
      <c r="G1616" s="197" t="s">
        <v>948</v>
      </c>
      <c r="H1616" s="188" t="s">
        <v>197</v>
      </c>
      <c r="I1616" s="188" t="s">
        <v>418</v>
      </c>
      <c r="J1616" s="188" t="s">
        <v>37</v>
      </c>
      <c r="K1616" s="188" t="s">
        <v>233</v>
      </c>
      <c r="L1616" s="188" t="s">
        <v>419</v>
      </c>
      <c r="M1616" s="197" t="s">
        <v>4131</v>
      </c>
      <c r="N1616" s="197" t="s">
        <v>264</v>
      </c>
      <c r="O1616" s="37" t="s">
        <v>4139</v>
      </c>
      <c r="P1616" s="37" t="s">
        <v>4140</v>
      </c>
      <c r="Q1616" s="303">
        <f t="shared" si="141"/>
        <v>2</v>
      </c>
      <c r="R1616" s="303">
        <f t="shared" si="142"/>
        <v>43</v>
      </c>
      <c r="S1616" s="37">
        <v>0</v>
      </c>
      <c r="T1616" s="37">
        <v>0</v>
      </c>
      <c r="U1616" s="37">
        <v>2</v>
      </c>
      <c r="V1616" s="37">
        <f>64-21</f>
        <v>43</v>
      </c>
      <c r="W1616" s="37">
        <f>28+15</f>
        <v>43</v>
      </c>
      <c r="X1616" s="37">
        <v>68</v>
      </c>
      <c r="Y1616" s="37">
        <v>41</v>
      </c>
      <c r="Z1616" s="37">
        <v>48</v>
      </c>
      <c r="AA1616" s="37">
        <v>1</v>
      </c>
      <c r="AB1616" s="300">
        <f t="shared" si="143"/>
        <v>22.303999999999998</v>
      </c>
      <c r="AC1616" s="300">
        <f t="shared" si="144"/>
        <v>0.13436144578313253</v>
      </c>
      <c r="AD1616" s="197" t="s">
        <v>48</v>
      </c>
      <c r="AE1616" s="197" t="s">
        <v>48</v>
      </c>
      <c r="AF1616" s="37" t="s">
        <v>317</v>
      </c>
      <c r="AG1616" s="197" t="s">
        <v>317</v>
      </c>
      <c r="AH1616" s="37">
        <v>0</v>
      </c>
      <c r="AI1616" s="309"/>
      <c r="AJ1616" s="309"/>
      <c r="AK1616" s="37" t="s">
        <v>37</v>
      </c>
      <c r="AL1616" s="197" t="s">
        <v>58</v>
      </c>
      <c r="AM1616" s="299">
        <f t="shared" ca="1" si="140"/>
        <v>3.9583333333284827</v>
      </c>
      <c r="AN1616" s="51"/>
      <c r="AO1616" s="210" t="s">
        <v>347</v>
      </c>
      <c r="AP1616" s="211" t="s">
        <v>4131</v>
      </c>
      <c r="AQ1616" s="210" t="s">
        <v>4362</v>
      </c>
      <c r="AR1616" s="213">
        <v>44921.666666666664</v>
      </c>
      <c r="AS1616" s="208" t="s">
        <v>483</v>
      </c>
      <c r="AT1616" s="210" t="s">
        <v>225</v>
      </c>
      <c r="AU1616" s="212">
        <v>0.66666666666666663</v>
      </c>
      <c r="AV1616" s="210">
        <v>1</v>
      </c>
      <c r="AW1616" s="210" t="s">
        <v>66</v>
      </c>
      <c r="AX1616" s="52"/>
      <c r="AY1616" s="52"/>
      <c r="AZ1616" s="52"/>
      <c r="BA1616" s="52"/>
    </row>
    <row r="1617" spans="1:53" x14ac:dyDescent="0.25">
      <c r="A1617" s="203">
        <v>423</v>
      </c>
      <c r="B1617" s="202">
        <v>44917.708333333336</v>
      </c>
      <c r="C1617" s="196">
        <v>0.71527777777777779</v>
      </c>
      <c r="D1617" s="196">
        <v>0.74305555555555547</v>
      </c>
      <c r="E1617" s="196">
        <v>0.75694444444444453</v>
      </c>
      <c r="F1617" s="197" t="s">
        <v>169</v>
      </c>
      <c r="G1617" s="197" t="s">
        <v>948</v>
      </c>
      <c r="H1617" s="188" t="s">
        <v>197</v>
      </c>
      <c r="I1617" s="188" t="s">
        <v>418</v>
      </c>
      <c r="J1617" s="188" t="s">
        <v>37</v>
      </c>
      <c r="K1617" s="188" t="s">
        <v>233</v>
      </c>
      <c r="L1617" s="188" t="s">
        <v>419</v>
      </c>
      <c r="M1617" s="197" t="s">
        <v>4131</v>
      </c>
      <c r="N1617" s="197" t="s">
        <v>264</v>
      </c>
      <c r="O1617" s="197" t="s">
        <v>4139</v>
      </c>
      <c r="P1617" s="197" t="s">
        <v>4140</v>
      </c>
      <c r="Q1617" s="303">
        <f t="shared" si="141"/>
        <v>0</v>
      </c>
      <c r="R1617" s="303">
        <f t="shared" si="142"/>
        <v>0</v>
      </c>
      <c r="S1617" s="197">
        <v>0</v>
      </c>
      <c r="T1617" s="197">
        <v>0</v>
      </c>
      <c r="U1617" s="197">
        <v>0</v>
      </c>
      <c r="V1617" s="197">
        <v>0</v>
      </c>
      <c r="W1617" s="197">
        <v>0</v>
      </c>
      <c r="X1617" s="37">
        <v>79</v>
      </c>
      <c r="Y1617" s="37">
        <v>61</v>
      </c>
      <c r="Z1617" s="37">
        <v>61</v>
      </c>
      <c r="AA1617" s="37">
        <v>1</v>
      </c>
      <c r="AB1617" s="300">
        <f t="shared" si="143"/>
        <v>48.993166666666667</v>
      </c>
      <c r="AC1617" s="300">
        <f t="shared" si="144"/>
        <v>0.29513955823293175</v>
      </c>
      <c r="AD1617" s="37">
        <v>0</v>
      </c>
      <c r="AE1617" s="197">
        <v>0</v>
      </c>
      <c r="AF1617" s="197" t="s">
        <v>317</v>
      </c>
      <c r="AG1617" s="197" t="s">
        <v>317</v>
      </c>
      <c r="AH1617" s="197">
        <v>0</v>
      </c>
      <c r="AI1617" s="309"/>
      <c r="AJ1617" s="309"/>
      <c r="AK1617" s="37" t="s">
        <v>48</v>
      </c>
      <c r="AL1617" s="197" t="s">
        <v>58</v>
      </c>
      <c r="AM1617" s="299">
        <f t="shared" ca="1" si="140"/>
        <v>3.9583333333284827</v>
      </c>
      <c r="AN1617" s="51"/>
      <c r="AO1617" s="210" t="s">
        <v>347</v>
      </c>
      <c r="AP1617" s="211" t="s">
        <v>4131</v>
      </c>
      <c r="AQ1617" s="210" t="s">
        <v>4362</v>
      </c>
      <c r="AR1617" s="213">
        <v>44921.666666666664</v>
      </c>
      <c r="AS1617" s="208" t="s">
        <v>483</v>
      </c>
      <c r="AT1617" s="210" t="s">
        <v>225</v>
      </c>
      <c r="AU1617" s="212">
        <v>0.66666666666666663</v>
      </c>
      <c r="AV1617" s="210">
        <v>1</v>
      </c>
      <c r="AW1617" s="210" t="s">
        <v>66</v>
      </c>
      <c r="AX1617" s="52"/>
      <c r="AY1617" s="52"/>
      <c r="AZ1617" s="52"/>
      <c r="BA1617" s="52"/>
    </row>
    <row r="1618" spans="1:53" x14ac:dyDescent="0.25">
      <c r="A1618" s="48">
        <v>424</v>
      </c>
      <c r="B1618" s="202">
        <v>44917.708333333336</v>
      </c>
      <c r="C1618" s="196">
        <v>0.71527777777777779</v>
      </c>
      <c r="D1618" s="196">
        <v>0.74305555555555547</v>
      </c>
      <c r="E1618" s="196">
        <v>0.75694444444444453</v>
      </c>
      <c r="F1618" s="197" t="s">
        <v>169</v>
      </c>
      <c r="G1618" s="197" t="s">
        <v>948</v>
      </c>
      <c r="H1618" s="188" t="s">
        <v>197</v>
      </c>
      <c r="I1618" s="188" t="s">
        <v>418</v>
      </c>
      <c r="J1618" s="188" t="s">
        <v>37</v>
      </c>
      <c r="K1618" s="188" t="s">
        <v>233</v>
      </c>
      <c r="L1618" s="188" t="s">
        <v>419</v>
      </c>
      <c r="M1618" s="197" t="s">
        <v>4131</v>
      </c>
      <c r="N1618" s="197" t="s">
        <v>264</v>
      </c>
      <c r="O1618" s="37" t="s">
        <v>4141</v>
      </c>
      <c r="P1618" s="37" t="s">
        <v>4142</v>
      </c>
      <c r="Q1618" s="303">
        <f t="shared" si="141"/>
        <v>7</v>
      </c>
      <c r="R1618" s="303">
        <f t="shared" si="142"/>
        <v>198</v>
      </c>
      <c r="S1618" s="37">
        <v>6</v>
      </c>
      <c r="T1618" s="37">
        <f>170-22</f>
        <v>148</v>
      </c>
      <c r="U1618" s="37">
        <v>1</v>
      </c>
      <c r="V1618" s="37">
        <v>50</v>
      </c>
      <c r="W1618" s="37">
        <f>14+39+20+20+24+33+50</f>
        <v>200</v>
      </c>
      <c r="X1618" s="37">
        <v>76</v>
      </c>
      <c r="Y1618" s="37">
        <v>61</v>
      </c>
      <c r="Z1618" s="37">
        <v>61</v>
      </c>
      <c r="AA1618" s="37">
        <v>2</v>
      </c>
      <c r="AB1618" s="300">
        <f t="shared" si="143"/>
        <v>94.265333333333331</v>
      </c>
      <c r="AC1618" s="300">
        <f t="shared" si="144"/>
        <v>0.56786345381526104</v>
      </c>
      <c r="AD1618" s="197" t="s">
        <v>48</v>
      </c>
      <c r="AE1618" s="197" t="s">
        <v>48</v>
      </c>
      <c r="AF1618" s="37">
        <v>6343198</v>
      </c>
      <c r="AG1618" s="197" t="s">
        <v>4137</v>
      </c>
      <c r="AH1618" s="37" t="s">
        <v>4143</v>
      </c>
      <c r="AI1618" s="309"/>
      <c r="AJ1618" s="309"/>
      <c r="AK1618" s="197" t="s">
        <v>48</v>
      </c>
      <c r="AL1618" s="197" t="s">
        <v>58</v>
      </c>
      <c r="AM1618" s="299">
        <f t="shared" ca="1" si="140"/>
        <v>3.9583333333284827</v>
      </c>
      <c r="AN1618" s="51"/>
      <c r="AO1618" s="210" t="s">
        <v>347</v>
      </c>
      <c r="AP1618" s="211" t="s">
        <v>4131</v>
      </c>
      <c r="AQ1618" s="210" t="s">
        <v>4362</v>
      </c>
      <c r="AR1618" s="213">
        <v>44921.666666666664</v>
      </c>
      <c r="AS1618" s="208" t="s">
        <v>483</v>
      </c>
      <c r="AT1618" s="210" t="s">
        <v>225</v>
      </c>
      <c r="AU1618" s="212">
        <v>0.66666666666666663</v>
      </c>
      <c r="AV1618" s="210">
        <v>1</v>
      </c>
      <c r="AW1618" s="210" t="s">
        <v>66</v>
      </c>
      <c r="AX1618" s="52"/>
      <c r="AY1618" s="52"/>
      <c r="AZ1618" s="52"/>
      <c r="BA1618" s="52"/>
    </row>
    <row r="1619" spans="1:53" x14ac:dyDescent="0.25">
      <c r="A1619" s="203">
        <v>424</v>
      </c>
      <c r="B1619" s="202">
        <v>44917.708333333336</v>
      </c>
      <c r="C1619" s="196">
        <v>0.71527777777777779</v>
      </c>
      <c r="D1619" s="196">
        <v>0.74305555555555547</v>
      </c>
      <c r="E1619" s="196">
        <v>0.75694444444444453</v>
      </c>
      <c r="F1619" s="197" t="s">
        <v>169</v>
      </c>
      <c r="G1619" s="197" t="s">
        <v>948</v>
      </c>
      <c r="H1619" s="188" t="s">
        <v>197</v>
      </c>
      <c r="I1619" s="188" t="s">
        <v>418</v>
      </c>
      <c r="J1619" s="188" t="s">
        <v>37</v>
      </c>
      <c r="K1619" s="188" t="s">
        <v>233</v>
      </c>
      <c r="L1619" s="188" t="s">
        <v>419</v>
      </c>
      <c r="M1619" s="197" t="s">
        <v>4131</v>
      </c>
      <c r="N1619" s="197" t="s">
        <v>264</v>
      </c>
      <c r="O1619" s="197" t="s">
        <v>4141</v>
      </c>
      <c r="P1619" s="197" t="s">
        <v>4142</v>
      </c>
      <c r="Q1619" s="303">
        <f t="shared" si="141"/>
        <v>0</v>
      </c>
      <c r="R1619" s="303">
        <f t="shared" si="142"/>
        <v>0</v>
      </c>
      <c r="S1619" s="197">
        <v>0</v>
      </c>
      <c r="T1619" s="197">
        <v>0</v>
      </c>
      <c r="U1619" s="197">
        <v>0</v>
      </c>
      <c r="V1619" s="197">
        <v>0</v>
      </c>
      <c r="W1619" s="197">
        <v>0</v>
      </c>
      <c r="X1619" s="37">
        <v>73</v>
      </c>
      <c r="Y1619" s="37">
        <v>72</v>
      </c>
      <c r="Z1619" s="37">
        <v>53</v>
      </c>
      <c r="AA1619" s="37">
        <v>1</v>
      </c>
      <c r="AB1619" s="300">
        <f t="shared" si="143"/>
        <v>46.427999999999997</v>
      </c>
      <c r="AC1619" s="300">
        <f t="shared" si="144"/>
        <v>0.27968674698795182</v>
      </c>
      <c r="AD1619" s="37">
        <v>0</v>
      </c>
      <c r="AE1619" s="197">
        <v>0</v>
      </c>
      <c r="AF1619" s="197">
        <v>6343198</v>
      </c>
      <c r="AG1619" s="197" t="s">
        <v>4137</v>
      </c>
      <c r="AH1619" s="197" t="s">
        <v>4143</v>
      </c>
      <c r="AI1619" s="309"/>
      <c r="AJ1619" s="309"/>
      <c r="AK1619" s="197" t="s">
        <v>48</v>
      </c>
      <c r="AL1619" s="197" t="s">
        <v>58</v>
      </c>
      <c r="AM1619" s="299">
        <f t="shared" ca="1" si="140"/>
        <v>3.9583333333284827</v>
      </c>
      <c r="AN1619" s="51"/>
      <c r="AO1619" s="210" t="s">
        <v>347</v>
      </c>
      <c r="AP1619" s="211" t="s">
        <v>4131</v>
      </c>
      <c r="AQ1619" s="210" t="s">
        <v>4362</v>
      </c>
      <c r="AR1619" s="213">
        <v>44921.666666666664</v>
      </c>
      <c r="AS1619" s="208" t="s">
        <v>483</v>
      </c>
      <c r="AT1619" s="210" t="s">
        <v>225</v>
      </c>
      <c r="AU1619" s="212">
        <v>0.66666666666666663</v>
      </c>
      <c r="AV1619" s="210">
        <v>1</v>
      </c>
      <c r="AW1619" s="210" t="s">
        <v>66</v>
      </c>
      <c r="AX1619" s="52"/>
      <c r="AY1619" s="52"/>
      <c r="AZ1619" s="52"/>
      <c r="BA1619" s="52"/>
    </row>
    <row r="1620" spans="1:53" x14ac:dyDescent="0.25">
      <c r="A1620" s="203">
        <v>424</v>
      </c>
      <c r="B1620" s="202">
        <v>44917.708333333336</v>
      </c>
      <c r="C1620" s="196">
        <v>0.71527777777777779</v>
      </c>
      <c r="D1620" s="196">
        <v>0.74305555555555547</v>
      </c>
      <c r="E1620" s="196">
        <v>0.75694444444444453</v>
      </c>
      <c r="F1620" s="197" t="s">
        <v>169</v>
      </c>
      <c r="G1620" s="197" t="s">
        <v>948</v>
      </c>
      <c r="H1620" s="188" t="s">
        <v>197</v>
      </c>
      <c r="I1620" s="188" t="s">
        <v>418</v>
      </c>
      <c r="J1620" s="188" t="s">
        <v>37</v>
      </c>
      <c r="K1620" s="188" t="s">
        <v>233</v>
      </c>
      <c r="L1620" s="188" t="s">
        <v>419</v>
      </c>
      <c r="M1620" s="197" t="s">
        <v>4131</v>
      </c>
      <c r="N1620" s="197" t="s">
        <v>264</v>
      </c>
      <c r="O1620" s="197" t="s">
        <v>4141</v>
      </c>
      <c r="P1620" s="197" t="s">
        <v>4142</v>
      </c>
      <c r="Q1620" s="303">
        <f t="shared" si="141"/>
        <v>0</v>
      </c>
      <c r="R1620" s="303">
        <f t="shared" si="142"/>
        <v>0</v>
      </c>
      <c r="S1620" s="197">
        <v>0</v>
      </c>
      <c r="T1620" s="197">
        <v>0</v>
      </c>
      <c r="U1620" s="197">
        <v>0</v>
      </c>
      <c r="V1620" s="197">
        <v>0</v>
      </c>
      <c r="W1620" s="197">
        <v>0</v>
      </c>
      <c r="X1620" s="37">
        <v>79</v>
      </c>
      <c r="Y1620" s="37">
        <v>62</v>
      </c>
      <c r="Z1620" s="37">
        <v>32</v>
      </c>
      <c r="AA1620" s="37">
        <v>1</v>
      </c>
      <c r="AB1620" s="300">
        <f t="shared" si="143"/>
        <v>26.122666666666667</v>
      </c>
      <c r="AC1620" s="300">
        <f t="shared" si="144"/>
        <v>0.15736546184738956</v>
      </c>
      <c r="AD1620" s="37">
        <v>0</v>
      </c>
      <c r="AE1620" s="197">
        <v>0</v>
      </c>
      <c r="AF1620" s="197">
        <v>6343198</v>
      </c>
      <c r="AG1620" s="197" t="s">
        <v>4137</v>
      </c>
      <c r="AH1620" s="197" t="s">
        <v>4143</v>
      </c>
      <c r="AI1620" s="309"/>
      <c r="AJ1620" s="309"/>
      <c r="AK1620" s="197" t="s">
        <v>48</v>
      </c>
      <c r="AL1620" s="197" t="s">
        <v>58</v>
      </c>
      <c r="AM1620" s="299">
        <f t="shared" ca="1" si="140"/>
        <v>3.9583333333284827</v>
      </c>
      <c r="AN1620" s="51"/>
      <c r="AO1620" s="210" t="s">
        <v>347</v>
      </c>
      <c r="AP1620" s="211" t="s">
        <v>4131</v>
      </c>
      <c r="AQ1620" s="210" t="s">
        <v>4362</v>
      </c>
      <c r="AR1620" s="213">
        <v>44921.666666666664</v>
      </c>
      <c r="AS1620" s="208" t="s">
        <v>483</v>
      </c>
      <c r="AT1620" s="210" t="s">
        <v>225</v>
      </c>
      <c r="AU1620" s="212">
        <v>0.66666666666666663</v>
      </c>
      <c r="AV1620" s="210">
        <v>1</v>
      </c>
      <c r="AW1620" s="210" t="s">
        <v>66</v>
      </c>
      <c r="AX1620" s="52"/>
      <c r="AY1620" s="52"/>
      <c r="AZ1620" s="52"/>
      <c r="BA1620" s="52"/>
    </row>
    <row r="1621" spans="1:53" x14ac:dyDescent="0.25">
      <c r="A1621" s="203">
        <v>424</v>
      </c>
      <c r="B1621" s="202">
        <v>44917.708333333336</v>
      </c>
      <c r="C1621" s="196">
        <v>0.71527777777777779</v>
      </c>
      <c r="D1621" s="196">
        <v>0.74305555555555547</v>
      </c>
      <c r="E1621" s="196">
        <v>0.75694444444444453</v>
      </c>
      <c r="F1621" s="197" t="s">
        <v>169</v>
      </c>
      <c r="G1621" s="197" t="s">
        <v>948</v>
      </c>
      <c r="H1621" s="188" t="s">
        <v>197</v>
      </c>
      <c r="I1621" s="188" t="s">
        <v>418</v>
      </c>
      <c r="J1621" s="188" t="s">
        <v>37</v>
      </c>
      <c r="K1621" s="188" t="s">
        <v>233</v>
      </c>
      <c r="L1621" s="188" t="s">
        <v>419</v>
      </c>
      <c r="M1621" s="197" t="s">
        <v>4131</v>
      </c>
      <c r="N1621" s="197" t="s">
        <v>264</v>
      </c>
      <c r="O1621" s="197" t="s">
        <v>4141</v>
      </c>
      <c r="P1621" s="197" t="s">
        <v>4142</v>
      </c>
      <c r="Q1621" s="303">
        <f t="shared" si="141"/>
        <v>0</v>
      </c>
      <c r="R1621" s="303">
        <f t="shared" si="142"/>
        <v>0</v>
      </c>
      <c r="S1621" s="197">
        <v>0</v>
      </c>
      <c r="T1621" s="197">
        <v>0</v>
      </c>
      <c r="U1621" s="197">
        <v>0</v>
      </c>
      <c r="V1621" s="197">
        <v>0</v>
      </c>
      <c r="W1621" s="197">
        <v>0</v>
      </c>
      <c r="X1621" s="37">
        <v>143</v>
      </c>
      <c r="Y1621" s="37">
        <v>19</v>
      </c>
      <c r="Z1621" s="37">
        <v>64</v>
      </c>
      <c r="AA1621" s="37">
        <v>2</v>
      </c>
      <c r="AB1621" s="300">
        <f t="shared" si="143"/>
        <v>57.962666666666664</v>
      </c>
      <c r="AC1621" s="300">
        <f t="shared" si="144"/>
        <v>0.34917269076305218</v>
      </c>
      <c r="AD1621" s="37">
        <v>0</v>
      </c>
      <c r="AE1621" s="197">
        <v>0</v>
      </c>
      <c r="AF1621" s="197">
        <v>6343198</v>
      </c>
      <c r="AG1621" s="197" t="s">
        <v>4137</v>
      </c>
      <c r="AH1621" s="197" t="s">
        <v>4143</v>
      </c>
      <c r="AI1621" s="309"/>
      <c r="AJ1621" s="309"/>
      <c r="AK1621" s="197" t="s">
        <v>48</v>
      </c>
      <c r="AL1621" s="197" t="s">
        <v>58</v>
      </c>
      <c r="AM1621" s="299">
        <f t="shared" ca="1" si="140"/>
        <v>3.9583333333284827</v>
      </c>
      <c r="AN1621" s="51"/>
      <c r="AO1621" s="210" t="s">
        <v>347</v>
      </c>
      <c r="AP1621" s="211" t="s">
        <v>4131</v>
      </c>
      <c r="AQ1621" s="210" t="s">
        <v>4362</v>
      </c>
      <c r="AR1621" s="213">
        <v>44921.666666666664</v>
      </c>
      <c r="AS1621" s="208" t="s">
        <v>483</v>
      </c>
      <c r="AT1621" s="210" t="s">
        <v>225</v>
      </c>
      <c r="AU1621" s="212">
        <v>0.66666666666666663</v>
      </c>
      <c r="AV1621" s="210">
        <v>1</v>
      </c>
      <c r="AW1621" s="210" t="s">
        <v>66</v>
      </c>
      <c r="AX1621" s="52"/>
      <c r="AY1621" s="52"/>
      <c r="AZ1621" s="52"/>
      <c r="BA1621" s="52"/>
    </row>
    <row r="1622" spans="1:53" x14ac:dyDescent="0.25">
      <c r="A1622" s="203">
        <v>424</v>
      </c>
      <c r="B1622" s="202">
        <v>44917.708333333336</v>
      </c>
      <c r="C1622" s="196">
        <v>0.71527777777777779</v>
      </c>
      <c r="D1622" s="196">
        <v>0.74305555555555547</v>
      </c>
      <c r="E1622" s="196">
        <v>0.75694444444444453</v>
      </c>
      <c r="F1622" s="197" t="s">
        <v>169</v>
      </c>
      <c r="G1622" s="197" t="s">
        <v>948</v>
      </c>
      <c r="H1622" s="188" t="s">
        <v>197</v>
      </c>
      <c r="I1622" s="188" t="s">
        <v>418</v>
      </c>
      <c r="J1622" s="188" t="s">
        <v>37</v>
      </c>
      <c r="K1622" s="188" t="s">
        <v>233</v>
      </c>
      <c r="L1622" s="188" t="s">
        <v>419</v>
      </c>
      <c r="M1622" s="197" t="s">
        <v>4131</v>
      </c>
      <c r="N1622" s="197" t="s">
        <v>264</v>
      </c>
      <c r="O1622" s="197" t="s">
        <v>4141</v>
      </c>
      <c r="P1622" s="197" t="s">
        <v>4142</v>
      </c>
      <c r="Q1622" s="303">
        <f t="shared" si="141"/>
        <v>0</v>
      </c>
      <c r="R1622" s="303">
        <f t="shared" si="142"/>
        <v>0</v>
      </c>
      <c r="S1622" s="197">
        <v>0</v>
      </c>
      <c r="T1622" s="197">
        <v>0</v>
      </c>
      <c r="U1622" s="197">
        <v>0</v>
      </c>
      <c r="V1622" s="197">
        <v>0</v>
      </c>
      <c r="W1622" s="197">
        <v>0</v>
      </c>
      <c r="X1622" s="37">
        <v>80</v>
      </c>
      <c r="Y1622" s="37">
        <v>53</v>
      </c>
      <c r="Z1622" s="37">
        <v>48</v>
      </c>
      <c r="AA1622" s="37">
        <v>1</v>
      </c>
      <c r="AB1622" s="300">
        <f t="shared" si="143"/>
        <v>33.92</v>
      </c>
      <c r="AC1622" s="300">
        <f t="shared" si="144"/>
        <v>0.20433734939759038</v>
      </c>
      <c r="AD1622" s="37">
        <v>0</v>
      </c>
      <c r="AE1622" s="197">
        <v>0</v>
      </c>
      <c r="AF1622" s="197">
        <v>6343198</v>
      </c>
      <c r="AG1622" s="197" t="s">
        <v>4137</v>
      </c>
      <c r="AH1622" s="197" t="s">
        <v>4143</v>
      </c>
      <c r="AI1622" s="309"/>
      <c r="AJ1622" s="309"/>
      <c r="AK1622" s="197" t="s">
        <v>37</v>
      </c>
      <c r="AL1622" s="197" t="s">
        <v>58</v>
      </c>
      <c r="AM1622" s="299">
        <f t="shared" ca="1" si="140"/>
        <v>3.9583333333284827</v>
      </c>
      <c r="AN1622" s="51"/>
      <c r="AO1622" s="210" t="s">
        <v>347</v>
      </c>
      <c r="AP1622" s="211" t="s">
        <v>4131</v>
      </c>
      <c r="AQ1622" s="210" t="s">
        <v>4362</v>
      </c>
      <c r="AR1622" s="213">
        <v>44921.666666666664</v>
      </c>
      <c r="AS1622" s="208" t="s">
        <v>483</v>
      </c>
      <c r="AT1622" s="210" t="s">
        <v>225</v>
      </c>
      <c r="AU1622" s="212">
        <v>0.66666666666666663</v>
      </c>
      <c r="AV1622" s="210">
        <v>1</v>
      </c>
      <c r="AW1622" s="210" t="s">
        <v>66</v>
      </c>
      <c r="AX1622" s="52"/>
      <c r="AY1622" s="52"/>
      <c r="AZ1622" s="52"/>
      <c r="BA1622" s="52"/>
    </row>
    <row r="1623" spans="1:53" x14ac:dyDescent="0.25">
      <c r="A1623" s="48">
        <v>425</v>
      </c>
      <c r="B1623" s="202">
        <v>44917.708333333336</v>
      </c>
      <c r="C1623" s="196">
        <v>0.71527777777777779</v>
      </c>
      <c r="D1623" s="196">
        <v>0.74305555555555547</v>
      </c>
      <c r="E1623" s="196">
        <v>0.75694444444444453</v>
      </c>
      <c r="F1623" s="197" t="s">
        <v>169</v>
      </c>
      <c r="G1623" s="197" t="s">
        <v>948</v>
      </c>
      <c r="H1623" s="188" t="s">
        <v>197</v>
      </c>
      <c r="I1623" s="188" t="s">
        <v>418</v>
      </c>
      <c r="J1623" s="188" t="s">
        <v>37</v>
      </c>
      <c r="K1623" s="188" t="s">
        <v>233</v>
      </c>
      <c r="L1623" s="188" t="s">
        <v>419</v>
      </c>
      <c r="M1623" s="197" t="s">
        <v>4131</v>
      </c>
      <c r="N1623" s="197" t="s">
        <v>264</v>
      </c>
      <c r="O1623" s="37" t="s">
        <v>4144</v>
      </c>
      <c r="P1623" s="37" t="s">
        <v>4145</v>
      </c>
      <c r="Q1623" s="303">
        <f t="shared" si="141"/>
        <v>6</v>
      </c>
      <c r="R1623" s="303">
        <f t="shared" si="142"/>
        <v>401</v>
      </c>
      <c r="S1623" s="37">
        <v>1</v>
      </c>
      <c r="T1623" s="37">
        <v>7</v>
      </c>
      <c r="U1623" s="37">
        <v>5</v>
      </c>
      <c r="V1623" s="37">
        <f>37+44+26+165+122</f>
        <v>394</v>
      </c>
      <c r="W1623" s="37">
        <f>7+125+25+44+164+38</f>
        <v>403</v>
      </c>
      <c r="X1623" s="37">
        <v>67</v>
      </c>
      <c r="Y1623" s="37">
        <v>62</v>
      </c>
      <c r="Z1623" s="37">
        <v>50</v>
      </c>
      <c r="AA1623" s="37">
        <v>1</v>
      </c>
      <c r="AB1623" s="300">
        <f t="shared" si="143"/>
        <v>34.616666666666667</v>
      </c>
      <c r="AC1623" s="300">
        <f t="shared" si="144"/>
        <v>0.20853413654618475</v>
      </c>
      <c r="AD1623" s="37" t="s">
        <v>48</v>
      </c>
      <c r="AE1623" s="197" t="s">
        <v>48</v>
      </c>
      <c r="AF1623" s="37">
        <v>6343188</v>
      </c>
      <c r="AG1623" s="197" t="s">
        <v>4137</v>
      </c>
      <c r="AH1623" s="37" t="s">
        <v>4146</v>
      </c>
      <c r="AI1623" s="309"/>
      <c r="AJ1623" s="309"/>
      <c r="AK1623" s="197" t="s">
        <v>37</v>
      </c>
      <c r="AL1623" s="197" t="s">
        <v>58</v>
      </c>
      <c r="AM1623" s="299">
        <f t="shared" ca="1" si="140"/>
        <v>3.9583333333284827</v>
      </c>
      <c r="AN1623" s="51"/>
      <c r="AO1623" s="210" t="s">
        <v>347</v>
      </c>
      <c r="AP1623" s="211" t="s">
        <v>4131</v>
      </c>
      <c r="AQ1623" s="210" t="s">
        <v>4362</v>
      </c>
      <c r="AR1623" s="213">
        <v>44921.666666666664</v>
      </c>
      <c r="AS1623" s="208" t="s">
        <v>483</v>
      </c>
      <c r="AT1623" s="210" t="s">
        <v>225</v>
      </c>
      <c r="AU1623" s="212">
        <v>0.66666666666666663</v>
      </c>
      <c r="AV1623" s="210">
        <v>1</v>
      </c>
      <c r="AW1623" s="210" t="s">
        <v>66</v>
      </c>
      <c r="AX1623" s="52"/>
      <c r="AY1623" s="52"/>
      <c r="AZ1623" s="52"/>
      <c r="BA1623" s="52"/>
    </row>
    <row r="1624" spans="1:53" x14ac:dyDescent="0.25">
      <c r="A1624" s="203">
        <v>425</v>
      </c>
      <c r="B1624" s="202">
        <v>44917.708333333336</v>
      </c>
      <c r="C1624" s="196">
        <v>0.71527777777777779</v>
      </c>
      <c r="D1624" s="196">
        <v>0.74305555555555547</v>
      </c>
      <c r="E1624" s="196">
        <v>0.75694444444444453</v>
      </c>
      <c r="F1624" s="197" t="s">
        <v>169</v>
      </c>
      <c r="G1624" s="197" t="s">
        <v>948</v>
      </c>
      <c r="H1624" s="188" t="s">
        <v>197</v>
      </c>
      <c r="I1624" s="188" t="s">
        <v>418</v>
      </c>
      <c r="J1624" s="188" t="s">
        <v>37</v>
      </c>
      <c r="K1624" s="188" t="s">
        <v>233</v>
      </c>
      <c r="L1624" s="188" t="s">
        <v>419</v>
      </c>
      <c r="M1624" s="197" t="s">
        <v>4131</v>
      </c>
      <c r="N1624" s="197" t="s">
        <v>264</v>
      </c>
      <c r="O1624" s="197" t="s">
        <v>4144</v>
      </c>
      <c r="P1624" s="197" t="s">
        <v>4145</v>
      </c>
      <c r="Q1624" s="303">
        <f t="shared" si="141"/>
        <v>0</v>
      </c>
      <c r="R1624" s="303">
        <f t="shared" si="142"/>
        <v>0</v>
      </c>
      <c r="S1624" s="197">
        <v>0</v>
      </c>
      <c r="T1624" s="197">
        <v>0</v>
      </c>
      <c r="U1624" s="197">
        <v>0</v>
      </c>
      <c r="V1624" s="197">
        <v>0</v>
      </c>
      <c r="W1624" s="197">
        <v>0</v>
      </c>
      <c r="X1624" s="37">
        <v>52</v>
      </c>
      <c r="Y1624" s="37">
        <v>46</v>
      </c>
      <c r="Z1624" s="37">
        <v>49</v>
      </c>
      <c r="AA1624" s="37">
        <v>1</v>
      </c>
      <c r="AB1624" s="300">
        <f t="shared" si="143"/>
        <v>19.534666666666666</v>
      </c>
      <c r="AC1624" s="300">
        <f t="shared" si="144"/>
        <v>0.11767871485943775</v>
      </c>
      <c r="AD1624" s="37">
        <v>0</v>
      </c>
      <c r="AE1624" s="197">
        <v>0</v>
      </c>
      <c r="AF1624" s="197">
        <v>6343188</v>
      </c>
      <c r="AG1624" s="197" t="s">
        <v>4137</v>
      </c>
      <c r="AH1624" s="197" t="s">
        <v>4146</v>
      </c>
      <c r="AI1624" s="309"/>
      <c r="AJ1624" s="309"/>
      <c r="AK1624" s="197" t="s">
        <v>37</v>
      </c>
      <c r="AL1624" s="197" t="s">
        <v>58</v>
      </c>
      <c r="AM1624" s="299">
        <f t="shared" ca="1" si="140"/>
        <v>3.9583333333284827</v>
      </c>
      <c r="AN1624" s="51"/>
      <c r="AO1624" s="210" t="s">
        <v>347</v>
      </c>
      <c r="AP1624" s="211" t="s">
        <v>4131</v>
      </c>
      <c r="AQ1624" s="210" t="s">
        <v>4362</v>
      </c>
      <c r="AR1624" s="213">
        <v>44921.666666666664</v>
      </c>
      <c r="AS1624" s="208" t="s">
        <v>483</v>
      </c>
      <c r="AT1624" s="210" t="s">
        <v>225</v>
      </c>
      <c r="AU1624" s="212">
        <v>0.66666666666666663</v>
      </c>
      <c r="AV1624" s="210">
        <v>1</v>
      </c>
      <c r="AW1624" s="210" t="s">
        <v>66</v>
      </c>
      <c r="AX1624" s="52"/>
      <c r="AY1624" s="52"/>
      <c r="AZ1624" s="52"/>
      <c r="BA1624" s="52"/>
    </row>
    <row r="1625" spans="1:53" x14ac:dyDescent="0.25">
      <c r="A1625" s="203">
        <v>425</v>
      </c>
      <c r="B1625" s="202">
        <v>44917.708333333336</v>
      </c>
      <c r="C1625" s="196">
        <v>0.71527777777777779</v>
      </c>
      <c r="D1625" s="196">
        <v>0.74305555555555547</v>
      </c>
      <c r="E1625" s="196">
        <v>0.75694444444444453</v>
      </c>
      <c r="F1625" s="197" t="s">
        <v>169</v>
      </c>
      <c r="G1625" s="197" t="s">
        <v>948</v>
      </c>
      <c r="H1625" s="188" t="s">
        <v>197</v>
      </c>
      <c r="I1625" s="188" t="s">
        <v>418</v>
      </c>
      <c r="J1625" s="188" t="s">
        <v>37</v>
      </c>
      <c r="K1625" s="188" t="s">
        <v>233</v>
      </c>
      <c r="L1625" s="188" t="s">
        <v>419</v>
      </c>
      <c r="M1625" s="197" t="s">
        <v>4131</v>
      </c>
      <c r="N1625" s="197" t="s">
        <v>264</v>
      </c>
      <c r="O1625" s="197" t="s">
        <v>4144</v>
      </c>
      <c r="P1625" s="197" t="s">
        <v>4145</v>
      </c>
      <c r="Q1625" s="303">
        <f t="shared" si="141"/>
        <v>0</v>
      </c>
      <c r="R1625" s="303">
        <f t="shared" si="142"/>
        <v>0</v>
      </c>
      <c r="S1625" s="197">
        <v>0</v>
      </c>
      <c r="T1625" s="197">
        <v>0</v>
      </c>
      <c r="U1625" s="197">
        <v>0</v>
      </c>
      <c r="V1625" s="197">
        <v>0</v>
      </c>
      <c r="W1625" s="197">
        <v>0</v>
      </c>
      <c r="X1625" s="37">
        <v>73</v>
      </c>
      <c r="Y1625" s="37">
        <v>64</v>
      </c>
      <c r="Z1625" s="37">
        <v>47</v>
      </c>
      <c r="AA1625" s="37">
        <v>1</v>
      </c>
      <c r="AB1625" s="300">
        <f t="shared" si="143"/>
        <v>36.597333333333331</v>
      </c>
      <c r="AC1625" s="300">
        <f t="shared" si="144"/>
        <v>0.22046586345381525</v>
      </c>
      <c r="AD1625" s="37">
        <v>0</v>
      </c>
      <c r="AE1625" s="197">
        <v>0</v>
      </c>
      <c r="AF1625" s="197">
        <v>6343188</v>
      </c>
      <c r="AG1625" s="197" t="s">
        <v>4137</v>
      </c>
      <c r="AH1625" s="197" t="s">
        <v>4146</v>
      </c>
      <c r="AI1625" s="309"/>
      <c r="AJ1625" s="309"/>
      <c r="AK1625" s="197" t="s">
        <v>37</v>
      </c>
      <c r="AL1625" s="197" t="s">
        <v>58</v>
      </c>
      <c r="AM1625" s="299">
        <f t="shared" ca="1" si="140"/>
        <v>3.9583333333284827</v>
      </c>
      <c r="AN1625" s="51"/>
      <c r="AO1625" s="210" t="s">
        <v>347</v>
      </c>
      <c r="AP1625" s="211" t="s">
        <v>4131</v>
      </c>
      <c r="AQ1625" s="210" t="s">
        <v>4362</v>
      </c>
      <c r="AR1625" s="213">
        <v>44921.666666666664</v>
      </c>
      <c r="AS1625" s="208" t="s">
        <v>483</v>
      </c>
      <c r="AT1625" s="210" t="s">
        <v>225</v>
      </c>
      <c r="AU1625" s="212">
        <v>0.66666666666666663</v>
      </c>
      <c r="AV1625" s="210">
        <v>1</v>
      </c>
      <c r="AW1625" s="210" t="s">
        <v>66</v>
      </c>
      <c r="AX1625" s="52"/>
      <c r="AY1625" s="52"/>
      <c r="AZ1625" s="52"/>
      <c r="BA1625" s="52"/>
    </row>
    <row r="1626" spans="1:53" x14ac:dyDescent="0.25">
      <c r="A1626" s="203">
        <v>425</v>
      </c>
      <c r="B1626" s="202">
        <v>44917.708333333336</v>
      </c>
      <c r="C1626" s="196">
        <v>0.71527777777777779</v>
      </c>
      <c r="D1626" s="196">
        <v>0.74305555555555547</v>
      </c>
      <c r="E1626" s="196">
        <v>0.75694444444444453</v>
      </c>
      <c r="F1626" s="197" t="s">
        <v>169</v>
      </c>
      <c r="G1626" s="197" t="s">
        <v>948</v>
      </c>
      <c r="H1626" s="188" t="s">
        <v>197</v>
      </c>
      <c r="I1626" s="188" t="s">
        <v>418</v>
      </c>
      <c r="J1626" s="188" t="s">
        <v>37</v>
      </c>
      <c r="K1626" s="188" t="s">
        <v>233</v>
      </c>
      <c r="L1626" s="188" t="s">
        <v>419</v>
      </c>
      <c r="M1626" s="197" t="s">
        <v>4131</v>
      </c>
      <c r="N1626" s="197" t="s">
        <v>264</v>
      </c>
      <c r="O1626" s="197" t="s">
        <v>4144</v>
      </c>
      <c r="P1626" s="197" t="s">
        <v>4145</v>
      </c>
      <c r="Q1626" s="303">
        <f t="shared" si="141"/>
        <v>0</v>
      </c>
      <c r="R1626" s="303">
        <f t="shared" si="142"/>
        <v>0</v>
      </c>
      <c r="S1626" s="197">
        <v>0</v>
      </c>
      <c r="T1626" s="197">
        <v>0</v>
      </c>
      <c r="U1626" s="197">
        <v>0</v>
      </c>
      <c r="V1626" s="197">
        <v>0</v>
      </c>
      <c r="W1626" s="197">
        <v>0</v>
      </c>
      <c r="X1626" s="37">
        <v>99</v>
      </c>
      <c r="Y1626" s="37">
        <v>71</v>
      </c>
      <c r="Z1626" s="37">
        <v>81</v>
      </c>
      <c r="AA1626" s="37">
        <v>1</v>
      </c>
      <c r="AB1626" s="300">
        <f t="shared" si="143"/>
        <v>94.891499999999994</v>
      </c>
      <c r="AC1626" s="300">
        <f t="shared" si="144"/>
        <v>0.57163554216867463</v>
      </c>
      <c r="AD1626" s="37">
        <v>0</v>
      </c>
      <c r="AE1626" s="197">
        <v>0</v>
      </c>
      <c r="AF1626" s="197">
        <v>6343188</v>
      </c>
      <c r="AG1626" s="197" t="s">
        <v>4137</v>
      </c>
      <c r="AH1626" s="197" t="s">
        <v>4146</v>
      </c>
      <c r="AI1626" s="309"/>
      <c r="AJ1626" s="309"/>
      <c r="AK1626" s="197" t="s">
        <v>37</v>
      </c>
      <c r="AL1626" s="197" t="s">
        <v>58</v>
      </c>
      <c r="AM1626" s="299">
        <f t="shared" ca="1" si="140"/>
        <v>3.9583333333284827</v>
      </c>
      <c r="AN1626" s="51"/>
      <c r="AO1626" s="210" t="s">
        <v>347</v>
      </c>
      <c r="AP1626" s="211" t="s">
        <v>4131</v>
      </c>
      <c r="AQ1626" s="210" t="s">
        <v>4362</v>
      </c>
      <c r="AR1626" s="213">
        <v>44921.666666666664</v>
      </c>
      <c r="AS1626" s="208" t="s">
        <v>483</v>
      </c>
      <c r="AT1626" s="210" t="s">
        <v>225</v>
      </c>
      <c r="AU1626" s="212">
        <v>0.66666666666666663</v>
      </c>
      <c r="AV1626" s="210">
        <v>1</v>
      </c>
      <c r="AW1626" s="210" t="s">
        <v>66</v>
      </c>
      <c r="AX1626" s="52"/>
      <c r="AY1626" s="52"/>
      <c r="AZ1626" s="52"/>
      <c r="BA1626" s="52"/>
    </row>
    <row r="1627" spans="1:53" x14ac:dyDescent="0.25">
      <c r="A1627" s="203">
        <v>425</v>
      </c>
      <c r="B1627" s="202">
        <v>44917.708333333336</v>
      </c>
      <c r="C1627" s="196">
        <v>0.71527777777777779</v>
      </c>
      <c r="D1627" s="196">
        <v>0.74305555555555547</v>
      </c>
      <c r="E1627" s="196">
        <v>0.75694444444444453</v>
      </c>
      <c r="F1627" s="197" t="s">
        <v>169</v>
      </c>
      <c r="G1627" s="197" t="s">
        <v>948</v>
      </c>
      <c r="H1627" s="188" t="s">
        <v>197</v>
      </c>
      <c r="I1627" s="188" t="s">
        <v>418</v>
      </c>
      <c r="J1627" s="188" t="s">
        <v>37</v>
      </c>
      <c r="K1627" s="188" t="s">
        <v>233</v>
      </c>
      <c r="L1627" s="188" t="s">
        <v>419</v>
      </c>
      <c r="M1627" s="197" t="s">
        <v>4131</v>
      </c>
      <c r="N1627" s="197" t="s">
        <v>264</v>
      </c>
      <c r="O1627" s="197" t="s">
        <v>4144</v>
      </c>
      <c r="P1627" s="197" t="s">
        <v>4145</v>
      </c>
      <c r="Q1627" s="303">
        <f t="shared" si="141"/>
        <v>0</v>
      </c>
      <c r="R1627" s="303">
        <f t="shared" si="142"/>
        <v>0</v>
      </c>
      <c r="S1627" s="197">
        <v>0</v>
      </c>
      <c r="T1627" s="197">
        <v>0</v>
      </c>
      <c r="U1627" s="197">
        <v>0</v>
      </c>
      <c r="V1627" s="197">
        <v>0</v>
      </c>
      <c r="W1627" s="197">
        <v>0</v>
      </c>
      <c r="X1627" s="37">
        <v>76</v>
      </c>
      <c r="Y1627" s="37">
        <v>61</v>
      </c>
      <c r="Z1627" s="37">
        <v>62</v>
      </c>
      <c r="AA1627" s="37">
        <v>1</v>
      </c>
      <c r="AB1627" s="300">
        <f t="shared" si="143"/>
        <v>47.905333333333331</v>
      </c>
      <c r="AC1627" s="300">
        <f t="shared" si="144"/>
        <v>0.28858634538152611</v>
      </c>
      <c r="AD1627" s="37">
        <v>0</v>
      </c>
      <c r="AE1627" s="197">
        <v>0</v>
      </c>
      <c r="AF1627" s="197">
        <v>6343188</v>
      </c>
      <c r="AG1627" s="197" t="s">
        <v>4137</v>
      </c>
      <c r="AH1627" s="197" t="s">
        <v>4146</v>
      </c>
      <c r="AI1627" s="309"/>
      <c r="AJ1627" s="309"/>
      <c r="AK1627" s="197" t="s">
        <v>37</v>
      </c>
      <c r="AL1627" s="197" t="s">
        <v>58</v>
      </c>
      <c r="AM1627" s="299">
        <f t="shared" ca="1" si="140"/>
        <v>3.9583333333284827</v>
      </c>
      <c r="AN1627" s="51"/>
      <c r="AO1627" s="210" t="s">
        <v>347</v>
      </c>
      <c r="AP1627" s="211" t="s">
        <v>4131</v>
      </c>
      <c r="AQ1627" s="210" t="s">
        <v>4362</v>
      </c>
      <c r="AR1627" s="213">
        <v>44921.666666666664</v>
      </c>
      <c r="AS1627" s="208" t="s">
        <v>483</v>
      </c>
      <c r="AT1627" s="210" t="s">
        <v>225</v>
      </c>
      <c r="AU1627" s="212">
        <v>0.66666666666666663</v>
      </c>
      <c r="AV1627" s="210">
        <v>1</v>
      </c>
      <c r="AW1627" s="210" t="s">
        <v>66</v>
      </c>
      <c r="AX1627" s="52"/>
      <c r="AY1627" s="52"/>
      <c r="AZ1627" s="52"/>
      <c r="BA1627" s="52"/>
    </row>
    <row r="1628" spans="1:53" x14ac:dyDescent="0.25">
      <c r="A1628" s="203">
        <v>425</v>
      </c>
      <c r="B1628" s="202">
        <v>44917.708333333336</v>
      </c>
      <c r="C1628" s="196">
        <v>0.71527777777777779</v>
      </c>
      <c r="D1628" s="196">
        <v>0.74305555555555547</v>
      </c>
      <c r="E1628" s="196">
        <v>0.75694444444444453</v>
      </c>
      <c r="F1628" s="197" t="s">
        <v>169</v>
      </c>
      <c r="G1628" s="197" t="s">
        <v>948</v>
      </c>
      <c r="H1628" s="188" t="s">
        <v>197</v>
      </c>
      <c r="I1628" s="188" t="s">
        <v>418</v>
      </c>
      <c r="J1628" s="188" t="s">
        <v>37</v>
      </c>
      <c r="K1628" s="188" t="s">
        <v>233</v>
      </c>
      <c r="L1628" s="188" t="s">
        <v>419</v>
      </c>
      <c r="M1628" s="197" t="s">
        <v>4131</v>
      </c>
      <c r="N1628" s="197" t="s">
        <v>264</v>
      </c>
      <c r="O1628" s="197" t="s">
        <v>4144</v>
      </c>
      <c r="P1628" s="197" t="s">
        <v>4145</v>
      </c>
      <c r="Q1628" s="303">
        <f t="shared" si="141"/>
        <v>0</v>
      </c>
      <c r="R1628" s="303">
        <f t="shared" si="142"/>
        <v>0</v>
      </c>
      <c r="S1628" s="197">
        <v>0</v>
      </c>
      <c r="T1628" s="197">
        <v>0</v>
      </c>
      <c r="U1628" s="197">
        <v>0</v>
      </c>
      <c r="V1628" s="197">
        <v>0</v>
      </c>
      <c r="W1628" s="197">
        <v>0</v>
      </c>
      <c r="X1628" s="37">
        <v>76</v>
      </c>
      <c r="Y1628" s="37">
        <v>61</v>
      </c>
      <c r="Z1628" s="37">
        <v>62</v>
      </c>
      <c r="AA1628" s="37">
        <v>1</v>
      </c>
      <c r="AB1628" s="300">
        <f t="shared" si="143"/>
        <v>47.905333333333331</v>
      </c>
      <c r="AC1628" s="300">
        <f t="shared" si="144"/>
        <v>0.28858634538152611</v>
      </c>
      <c r="AD1628" s="37">
        <v>0</v>
      </c>
      <c r="AE1628" s="197">
        <v>0</v>
      </c>
      <c r="AF1628" s="197">
        <v>6343188</v>
      </c>
      <c r="AG1628" s="197" t="s">
        <v>4137</v>
      </c>
      <c r="AH1628" s="197" t="s">
        <v>4146</v>
      </c>
      <c r="AI1628" s="309"/>
      <c r="AJ1628" s="309"/>
      <c r="AK1628" s="37" t="s">
        <v>48</v>
      </c>
      <c r="AL1628" s="197" t="s">
        <v>58</v>
      </c>
      <c r="AM1628" s="299">
        <f t="shared" ca="1" si="140"/>
        <v>3.9583333333284827</v>
      </c>
      <c r="AN1628" s="51"/>
      <c r="AO1628" s="210" t="s">
        <v>347</v>
      </c>
      <c r="AP1628" s="211" t="s">
        <v>4131</v>
      </c>
      <c r="AQ1628" s="210" t="s">
        <v>4362</v>
      </c>
      <c r="AR1628" s="213">
        <v>44921.666666666664</v>
      </c>
      <c r="AS1628" s="208" t="s">
        <v>483</v>
      </c>
      <c r="AT1628" s="210" t="s">
        <v>225</v>
      </c>
      <c r="AU1628" s="212">
        <v>0.66666666666666663</v>
      </c>
      <c r="AV1628" s="210">
        <v>1</v>
      </c>
      <c r="AW1628" s="210" t="s">
        <v>66</v>
      </c>
      <c r="AX1628" s="52"/>
      <c r="AY1628" s="52"/>
      <c r="AZ1628" s="52"/>
      <c r="BA1628" s="52"/>
    </row>
    <row r="1629" spans="1:53" x14ac:dyDescent="0.25">
      <c r="A1629" s="48">
        <v>426</v>
      </c>
      <c r="B1629" s="202">
        <v>44917.708333333336</v>
      </c>
      <c r="C1629" s="196">
        <v>0.71527777777777779</v>
      </c>
      <c r="D1629" s="196">
        <v>0.74305555555555547</v>
      </c>
      <c r="E1629" s="196">
        <v>0.75694444444444453</v>
      </c>
      <c r="F1629" s="197" t="s">
        <v>169</v>
      </c>
      <c r="G1629" s="197" t="s">
        <v>948</v>
      </c>
      <c r="H1629" s="188" t="s">
        <v>197</v>
      </c>
      <c r="I1629" s="188" t="s">
        <v>418</v>
      </c>
      <c r="J1629" s="188" t="s">
        <v>37</v>
      </c>
      <c r="K1629" s="188" t="s">
        <v>233</v>
      </c>
      <c r="L1629" s="188" t="s">
        <v>419</v>
      </c>
      <c r="M1629" s="197" t="s">
        <v>4131</v>
      </c>
      <c r="N1629" s="197" t="s">
        <v>264</v>
      </c>
      <c r="O1629" s="37" t="s">
        <v>4147</v>
      </c>
      <c r="P1629" s="37" t="s">
        <v>4148</v>
      </c>
      <c r="Q1629" s="303">
        <f t="shared" si="141"/>
        <v>6</v>
      </c>
      <c r="R1629" s="303">
        <f t="shared" si="142"/>
        <v>379</v>
      </c>
      <c r="S1629" s="37">
        <v>2</v>
      </c>
      <c r="T1629" s="37">
        <f>45-17</f>
        <v>28</v>
      </c>
      <c r="U1629" s="37">
        <v>4</v>
      </c>
      <c r="V1629" s="37">
        <f>194+157</f>
        <v>351</v>
      </c>
      <c r="W1629" s="37">
        <f>194+157+45-17+198-68</f>
        <v>509</v>
      </c>
      <c r="X1629" s="37">
        <v>119</v>
      </c>
      <c r="Y1629" s="37">
        <v>72</v>
      </c>
      <c r="Z1629" s="37">
        <v>85</v>
      </c>
      <c r="AA1629" s="37">
        <v>1</v>
      </c>
      <c r="AB1629" s="300">
        <f t="shared" si="143"/>
        <v>121.38</v>
      </c>
      <c r="AC1629" s="300">
        <f t="shared" si="144"/>
        <v>0.73120481927710845</v>
      </c>
      <c r="AD1629" s="197" t="s">
        <v>48</v>
      </c>
      <c r="AE1629" s="197" t="s">
        <v>48</v>
      </c>
      <c r="AF1629" s="37">
        <v>6346130</v>
      </c>
      <c r="AG1629" s="197" t="s">
        <v>4137</v>
      </c>
      <c r="AH1629" s="37" t="s">
        <v>4149</v>
      </c>
      <c r="AI1629" s="309"/>
      <c r="AJ1629" s="309"/>
      <c r="AK1629" s="197" t="s">
        <v>48</v>
      </c>
      <c r="AL1629" s="197" t="s">
        <v>58</v>
      </c>
      <c r="AM1629" s="299">
        <f t="shared" ca="1" si="140"/>
        <v>3.9583333333284827</v>
      </c>
      <c r="AN1629" s="51"/>
      <c r="AO1629" s="210" t="s">
        <v>347</v>
      </c>
      <c r="AP1629" s="211" t="s">
        <v>4131</v>
      </c>
      <c r="AQ1629" s="210" t="s">
        <v>4362</v>
      </c>
      <c r="AR1629" s="213">
        <v>44921.666666666664</v>
      </c>
      <c r="AS1629" s="208" t="s">
        <v>483</v>
      </c>
      <c r="AT1629" s="210" t="s">
        <v>225</v>
      </c>
      <c r="AU1629" s="212">
        <v>0.66666666666666663</v>
      </c>
      <c r="AV1629" s="210">
        <v>1</v>
      </c>
      <c r="AW1629" s="210" t="s">
        <v>66</v>
      </c>
      <c r="AX1629" s="52"/>
      <c r="AY1629" s="52"/>
      <c r="AZ1629" s="52"/>
      <c r="BA1629" s="52"/>
    </row>
    <row r="1630" spans="1:53" x14ac:dyDescent="0.25">
      <c r="A1630" s="203">
        <v>426</v>
      </c>
      <c r="B1630" s="202">
        <v>44917.708333333336</v>
      </c>
      <c r="C1630" s="196">
        <v>0.71527777777777779</v>
      </c>
      <c r="D1630" s="196">
        <v>0.74305555555555547</v>
      </c>
      <c r="E1630" s="196">
        <v>0.75694444444444453</v>
      </c>
      <c r="F1630" s="197" t="s">
        <v>169</v>
      </c>
      <c r="G1630" s="197" t="s">
        <v>948</v>
      </c>
      <c r="H1630" s="188" t="s">
        <v>197</v>
      </c>
      <c r="I1630" s="188" t="s">
        <v>418</v>
      </c>
      <c r="J1630" s="188" t="s">
        <v>37</v>
      </c>
      <c r="K1630" s="188" t="s">
        <v>233</v>
      </c>
      <c r="L1630" s="188" t="s">
        <v>419</v>
      </c>
      <c r="M1630" s="197" t="s">
        <v>4131</v>
      </c>
      <c r="N1630" s="197" t="s">
        <v>264</v>
      </c>
      <c r="O1630" s="197" t="s">
        <v>4147</v>
      </c>
      <c r="P1630" s="197" t="s">
        <v>4148</v>
      </c>
      <c r="Q1630" s="303">
        <f t="shared" si="141"/>
        <v>0</v>
      </c>
      <c r="R1630" s="303">
        <f t="shared" si="142"/>
        <v>0</v>
      </c>
      <c r="S1630" s="197">
        <v>0</v>
      </c>
      <c r="T1630" s="197">
        <v>0</v>
      </c>
      <c r="U1630" s="197">
        <v>0</v>
      </c>
      <c r="V1630" s="197">
        <v>0</v>
      </c>
      <c r="W1630" s="197">
        <v>0</v>
      </c>
      <c r="X1630" s="37">
        <v>89</v>
      </c>
      <c r="Y1630" s="37">
        <v>66</v>
      </c>
      <c r="Z1630" s="37">
        <v>92</v>
      </c>
      <c r="AA1630" s="37">
        <v>1</v>
      </c>
      <c r="AB1630" s="300">
        <f t="shared" si="143"/>
        <v>90.067999999999998</v>
      </c>
      <c r="AC1630" s="300">
        <f t="shared" si="144"/>
        <v>0.54257831325301209</v>
      </c>
      <c r="AD1630" s="37">
        <v>0</v>
      </c>
      <c r="AE1630" s="37">
        <v>0</v>
      </c>
      <c r="AF1630" s="197">
        <v>6346130</v>
      </c>
      <c r="AG1630" s="197" t="s">
        <v>4137</v>
      </c>
      <c r="AH1630" s="197" t="s">
        <v>4149</v>
      </c>
      <c r="AI1630" s="309"/>
      <c r="AJ1630" s="309"/>
      <c r="AK1630" s="37" t="s">
        <v>37</v>
      </c>
      <c r="AL1630" s="197" t="s">
        <v>58</v>
      </c>
      <c r="AM1630" s="299">
        <f t="shared" ca="1" si="140"/>
        <v>3.9583333333284827</v>
      </c>
      <c r="AN1630" s="51"/>
      <c r="AO1630" s="210" t="s">
        <v>347</v>
      </c>
      <c r="AP1630" s="211" t="s">
        <v>4131</v>
      </c>
      <c r="AQ1630" s="210" t="s">
        <v>4362</v>
      </c>
      <c r="AR1630" s="213">
        <v>44921.666666666664</v>
      </c>
      <c r="AS1630" s="208" t="s">
        <v>483</v>
      </c>
      <c r="AT1630" s="210" t="s">
        <v>225</v>
      </c>
      <c r="AU1630" s="212">
        <v>0.66666666666666663</v>
      </c>
      <c r="AV1630" s="210">
        <v>1</v>
      </c>
      <c r="AW1630" s="210" t="s">
        <v>66</v>
      </c>
      <c r="AX1630" s="52"/>
      <c r="AY1630" s="52"/>
      <c r="AZ1630" s="52"/>
      <c r="BA1630" s="52"/>
    </row>
    <row r="1631" spans="1:53" x14ac:dyDescent="0.25">
      <c r="A1631" s="203">
        <v>426</v>
      </c>
      <c r="B1631" s="202">
        <v>44917.708333333336</v>
      </c>
      <c r="C1631" s="196">
        <v>0.71527777777777779</v>
      </c>
      <c r="D1631" s="196">
        <v>0.74305555555555547</v>
      </c>
      <c r="E1631" s="196">
        <v>0.75694444444444453</v>
      </c>
      <c r="F1631" s="197" t="s">
        <v>169</v>
      </c>
      <c r="G1631" s="197" t="s">
        <v>948</v>
      </c>
      <c r="H1631" s="188" t="s">
        <v>197</v>
      </c>
      <c r="I1631" s="188" t="s">
        <v>418</v>
      </c>
      <c r="J1631" s="188" t="s">
        <v>37</v>
      </c>
      <c r="K1631" s="188" t="s">
        <v>233</v>
      </c>
      <c r="L1631" s="188" t="s">
        <v>419</v>
      </c>
      <c r="M1631" s="197" t="s">
        <v>4131</v>
      </c>
      <c r="N1631" s="197" t="s">
        <v>264</v>
      </c>
      <c r="O1631" s="197" t="s">
        <v>4147</v>
      </c>
      <c r="P1631" s="197" t="s">
        <v>4148</v>
      </c>
      <c r="Q1631" s="303">
        <f t="shared" si="141"/>
        <v>0</v>
      </c>
      <c r="R1631" s="303">
        <f t="shared" si="142"/>
        <v>0</v>
      </c>
      <c r="S1631" s="197">
        <v>0</v>
      </c>
      <c r="T1631" s="197">
        <v>0</v>
      </c>
      <c r="U1631" s="197">
        <v>0</v>
      </c>
      <c r="V1631" s="197">
        <v>0</v>
      </c>
      <c r="W1631" s="197">
        <v>0</v>
      </c>
      <c r="X1631" s="37">
        <v>76</v>
      </c>
      <c r="Y1631" s="37">
        <v>61</v>
      </c>
      <c r="Z1631" s="37">
        <v>61</v>
      </c>
      <c r="AA1631" s="37">
        <v>2</v>
      </c>
      <c r="AB1631" s="300">
        <f t="shared" si="143"/>
        <v>94.265333333333331</v>
      </c>
      <c r="AC1631" s="300">
        <f t="shared" si="144"/>
        <v>0.56786345381526104</v>
      </c>
      <c r="AD1631" s="197">
        <v>0</v>
      </c>
      <c r="AE1631" s="197">
        <v>0</v>
      </c>
      <c r="AF1631" s="197">
        <v>6346130</v>
      </c>
      <c r="AG1631" s="197" t="s">
        <v>4137</v>
      </c>
      <c r="AH1631" s="197" t="s">
        <v>4149</v>
      </c>
      <c r="AI1631" s="309"/>
      <c r="AJ1631" s="309"/>
      <c r="AK1631" s="197" t="s">
        <v>48</v>
      </c>
      <c r="AL1631" s="197" t="s">
        <v>58</v>
      </c>
      <c r="AM1631" s="299">
        <f t="shared" ca="1" si="140"/>
        <v>3.9583333333284827</v>
      </c>
      <c r="AN1631" s="51"/>
      <c r="AO1631" s="210" t="s">
        <v>347</v>
      </c>
      <c r="AP1631" s="211" t="s">
        <v>4131</v>
      </c>
      <c r="AQ1631" s="210" t="s">
        <v>4362</v>
      </c>
      <c r="AR1631" s="213">
        <v>44921.666666666664</v>
      </c>
      <c r="AS1631" s="208" t="s">
        <v>483</v>
      </c>
      <c r="AT1631" s="210" t="s">
        <v>225</v>
      </c>
      <c r="AU1631" s="212">
        <v>0.66666666666666663</v>
      </c>
      <c r="AV1631" s="210">
        <v>1</v>
      </c>
      <c r="AW1631" s="210" t="s">
        <v>66</v>
      </c>
      <c r="AX1631" s="52"/>
      <c r="AY1631" s="52"/>
      <c r="AZ1631" s="52"/>
      <c r="BA1631" s="52"/>
    </row>
    <row r="1632" spans="1:53" x14ac:dyDescent="0.25">
      <c r="A1632" s="203">
        <v>426</v>
      </c>
      <c r="B1632" s="202">
        <v>44917.708333333336</v>
      </c>
      <c r="C1632" s="196">
        <v>0.71527777777777779</v>
      </c>
      <c r="D1632" s="196">
        <v>0.74305555555555547</v>
      </c>
      <c r="E1632" s="196">
        <v>0.75694444444444453</v>
      </c>
      <c r="F1632" s="197" t="s">
        <v>169</v>
      </c>
      <c r="G1632" s="197" t="s">
        <v>948</v>
      </c>
      <c r="H1632" s="188" t="s">
        <v>197</v>
      </c>
      <c r="I1632" s="188" t="s">
        <v>418</v>
      </c>
      <c r="J1632" s="188" t="s">
        <v>37</v>
      </c>
      <c r="K1632" s="188" t="s">
        <v>233</v>
      </c>
      <c r="L1632" s="188" t="s">
        <v>419</v>
      </c>
      <c r="M1632" s="197" t="s">
        <v>4131</v>
      </c>
      <c r="N1632" s="197" t="s">
        <v>264</v>
      </c>
      <c r="O1632" s="197" t="s">
        <v>4147</v>
      </c>
      <c r="P1632" s="197" t="s">
        <v>4148</v>
      </c>
      <c r="Q1632" s="303">
        <f t="shared" si="141"/>
        <v>0</v>
      </c>
      <c r="R1632" s="303">
        <f t="shared" si="142"/>
        <v>0</v>
      </c>
      <c r="S1632" s="197">
        <v>0</v>
      </c>
      <c r="T1632" s="197">
        <v>0</v>
      </c>
      <c r="U1632" s="197">
        <v>0</v>
      </c>
      <c r="V1632" s="197">
        <v>0</v>
      </c>
      <c r="W1632" s="197">
        <v>0</v>
      </c>
      <c r="X1632" s="37">
        <v>66</v>
      </c>
      <c r="Y1632" s="37">
        <v>66</v>
      </c>
      <c r="Z1632" s="37">
        <v>37</v>
      </c>
      <c r="AA1632" s="37">
        <v>1</v>
      </c>
      <c r="AB1632" s="300">
        <f t="shared" si="143"/>
        <v>26.861999999999998</v>
      </c>
      <c r="AC1632" s="300">
        <f t="shared" si="144"/>
        <v>0.16181927710843372</v>
      </c>
      <c r="AD1632" s="197">
        <v>0</v>
      </c>
      <c r="AE1632" s="197">
        <v>0</v>
      </c>
      <c r="AF1632" s="197">
        <v>6346130</v>
      </c>
      <c r="AG1632" s="197" t="s">
        <v>4137</v>
      </c>
      <c r="AH1632" s="197" t="s">
        <v>4149</v>
      </c>
      <c r="AI1632" s="309"/>
      <c r="AJ1632" s="309"/>
      <c r="AK1632" s="197" t="s">
        <v>48</v>
      </c>
      <c r="AL1632" s="197" t="s">
        <v>58</v>
      </c>
      <c r="AM1632" s="299">
        <f t="shared" ca="1" si="140"/>
        <v>3.9583333333284827</v>
      </c>
      <c r="AN1632" s="51"/>
      <c r="AO1632" s="210" t="s">
        <v>347</v>
      </c>
      <c r="AP1632" s="211" t="s">
        <v>4131</v>
      </c>
      <c r="AQ1632" s="210" t="s">
        <v>4362</v>
      </c>
      <c r="AR1632" s="213">
        <v>44921.666666666664</v>
      </c>
      <c r="AS1632" s="208" t="s">
        <v>483</v>
      </c>
      <c r="AT1632" s="210" t="s">
        <v>225</v>
      </c>
      <c r="AU1632" s="212">
        <v>0.66666666666666663</v>
      </c>
      <c r="AV1632" s="210">
        <v>1</v>
      </c>
      <c r="AW1632" s="210" t="s">
        <v>66</v>
      </c>
      <c r="AX1632" s="52"/>
      <c r="AY1632" s="52"/>
      <c r="AZ1632" s="52"/>
      <c r="BA1632" s="52"/>
    </row>
    <row r="1633" spans="1:53" x14ac:dyDescent="0.25">
      <c r="A1633" s="312">
        <v>426</v>
      </c>
      <c r="B1633" s="202">
        <v>44917.708333333336</v>
      </c>
      <c r="C1633" s="196">
        <v>0.71527777777777779</v>
      </c>
      <c r="D1633" s="196">
        <v>0.74305555555555547</v>
      </c>
      <c r="E1633" s="196">
        <v>0.75694444444444453</v>
      </c>
      <c r="F1633" s="197" t="s">
        <v>169</v>
      </c>
      <c r="G1633" s="197" t="s">
        <v>948</v>
      </c>
      <c r="H1633" s="188" t="s">
        <v>197</v>
      </c>
      <c r="I1633" s="188" t="s">
        <v>418</v>
      </c>
      <c r="J1633" s="188" t="s">
        <v>37</v>
      </c>
      <c r="K1633" s="188" t="s">
        <v>233</v>
      </c>
      <c r="L1633" s="188" t="s">
        <v>419</v>
      </c>
      <c r="M1633" s="197" t="s">
        <v>4131</v>
      </c>
      <c r="N1633" s="197" t="s">
        <v>264</v>
      </c>
      <c r="O1633" s="197" t="s">
        <v>4147</v>
      </c>
      <c r="P1633" s="197" t="s">
        <v>4148</v>
      </c>
      <c r="Q1633" s="303">
        <f t="shared" si="141"/>
        <v>0</v>
      </c>
      <c r="R1633" s="303">
        <f t="shared" si="142"/>
        <v>0</v>
      </c>
      <c r="S1633" s="37">
        <v>0</v>
      </c>
      <c r="T1633" s="37">
        <v>0</v>
      </c>
      <c r="U1633" s="37">
        <v>0</v>
      </c>
      <c r="V1633" s="37">
        <v>0</v>
      </c>
      <c r="W1633" s="37">
        <v>0</v>
      </c>
      <c r="X1633" s="37">
        <v>155</v>
      </c>
      <c r="Y1633" s="37">
        <v>108</v>
      </c>
      <c r="Z1633" s="37">
        <v>81</v>
      </c>
      <c r="AA1633" s="37">
        <v>1</v>
      </c>
      <c r="AB1633" s="300">
        <f t="shared" si="143"/>
        <v>225.99</v>
      </c>
      <c r="AC1633" s="300">
        <f t="shared" si="144"/>
        <v>1.3613855421686747</v>
      </c>
      <c r="AD1633" s="37">
        <v>0</v>
      </c>
      <c r="AE1633" s="37">
        <v>0</v>
      </c>
      <c r="AF1633" s="197">
        <v>6346130</v>
      </c>
      <c r="AG1633" s="197" t="s">
        <v>4137</v>
      </c>
      <c r="AH1633" s="197" t="s">
        <v>4149</v>
      </c>
      <c r="AI1633" s="309"/>
      <c r="AJ1633" s="309"/>
      <c r="AK1633" s="37" t="s">
        <v>37</v>
      </c>
      <c r="AL1633" s="197" t="s">
        <v>58</v>
      </c>
      <c r="AM1633" s="299">
        <f t="shared" ca="1" si="140"/>
        <v>3.9583333333284827</v>
      </c>
      <c r="AN1633" s="51"/>
      <c r="AO1633" s="210" t="s">
        <v>347</v>
      </c>
      <c r="AP1633" s="211" t="s">
        <v>4131</v>
      </c>
      <c r="AQ1633" s="210" t="s">
        <v>4362</v>
      </c>
      <c r="AR1633" s="213">
        <v>44921.666666666664</v>
      </c>
      <c r="AS1633" s="208" t="s">
        <v>483</v>
      </c>
      <c r="AT1633" s="210" t="s">
        <v>225</v>
      </c>
      <c r="AU1633" s="212">
        <v>0.66666666666666663</v>
      </c>
      <c r="AV1633" s="210">
        <v>1</v>
      </c>
      <c r="AW1633" s="210" t="s">
        <v>66</v>
      </c>
      <c r="AX1633" s="52"/>
      <c r="AY1633" s="52"/>
      <c r="AZ1633" s="52"/>
      <c r="BA1633" s="52"/>
    </row>
    <row r="1634" spans="1:53" x14ac:dyDescent="0.25">
      <c r="A1634" s="48">
        <v>427</v>
      </c>
      <c r="B1634" s="46">
        <v>44917.767361111109</v>
      </c>
      <c r="C1634" s="36">
        <v>0.77083333333333337</v>
      </c>
      <c r="D1634" s="36">
        <v>0.77430555555555547</v>
      </c>
      <c r="E1634" s="36">
        <v>0.77777777777777779</v>
      </c>
      <c r="F1634" s="37" t="s">
        <v>171</v>
      </c>
      <c r="G1634" s="37" t="s">
        <v>811</v>
      </c>
      <c r="H1634" s="26" t="s">
        <v>75</v>
      </c>
      <c r="I1634" s="26" t="s">
        <v>110</v>
      </c>
      <c r="J1634" s="188" t="s">
        <v>37</v>
      </c>
      <c r="K1634" s="195" t="s">
        <v>180</v>
      </c>
      <c r="L1634" s="200" t="s">
        <v>209</v>
      </c>
      <c r="M1634" s="37" t="s">
        <v>4150</v>
      </c>
      <c r="N1634" s="37" t="s">
        <v>283</v>
      </c>
      <c r="O1634" s="37" t="s">
        <v>4151</v>
      </c>
      <c r="P1634" s="37">
        <v>21019789</v>
      </c>
      <c r="Q1634" s="303">
        <f t="shared" si="141"/>
        <v>1</v>
      </c>
      <c r="R1634" s="303">
        <f t="shared" si="142"/>
        <v>105</v>
      </c>
      <c r="S1634" s="37">
        <v>0</v>
      </c>
      <c r="T1634" s="37">
        <v>0</v>
      </c>
      <c r="U1634" s="37">
        <v>1</v>
      </c>
      <c r="V1634" s="37">
        <v>105</v>
      </c>
      <c r="W1634" s="37">
        <v>104</v>
      </c>
      <c r="X1634" s="37">
        <v>57</v>
      </c>
      <c r="Y1634" s="37">
        <v>57</v>
      </c>
      <c r="Z1634" s="37">
        <v>46</v>
      </c>
      <c r="AA1634" s="37">
        <v>1</v>
      </c>
      <c r="AB1634" s="300">
        <f t="shared" si="143"/>
        <v>24.908999999999999</v>
      </c>
      <c r="AC1634" s="300">
        <f t="shared" si="144"/>
        <v>0.15005421686746986</v>
      </c>
      <c r="AD1634" s="195">
        <v>4201.2</v>
      </c>
      <c r="AE1634" s="37" t="s">
        <v>109</v>
      </c>
      <c r="AF1634" s="37" t="s">
        <v>3432</v>
      </c>
      <c r="AG1634" s="197" t="s">
        <v>3432</v>
      </c>
      <c r="AH1634" s="37" t="s">
        <v>4152</v>
      </c>
      <c r="AI1634" s="309"/>
      <c r="AJ1634" s="309"/>
      <c r="AK1634" s="197" t="s">
        <v>37</v>
      </c>
      <c r="AL1634" s="197" t="s">
        <v>49</v>
      </c>
      <c r="AM1634" s="299">
        <f t="shared" ca="1" si="140"/>
        <v>3.9444444444452529</v>
      </c>
      <c r="AN1634" s="51"/>
      <c r="AO1634" s="210" t="s">
        <v>202</v>
      </c>
      <c r="AP1634" s="211" t="s">
        <v>4150</v>
      </c>
      <c r="AQ1634" s="210" t="s">
        <v>4370</v>
      </c>
      <c r="AR1634" s="213">
        <v>44921.711805555555</v>
      </c>
      <c r="AS1634" s="210" t="s">
        <v>1203</v>
      </c>
      <c r="AT1634" s="210" t="s">
        <v>225</v>
      </c>
      <c r="AU1634" s="59">
        <v>0.71180555555555547</v>
      </c>
      <c r="AV1634" s="210">
        <v>1</v>
      </c>
      <c r="AW1634" s="210" t="s">
        <v>66</v>
      </c>
      <c r="AX1634" s="52"/>
      <c r="AY1634" s="52"/>
      <c r="AZ1634" s="52"/>
      <c r="BA1634" s="52"/>
    </row>
    <row r="1635" spans="1:53" x14ac:dyDescent="0.25">
      <c r="A1635" s="48">
        <v>428</v>
      </c>
      <c r="B1635" s="202">
        <v>44917.767361111109</v>
      </c>
      <c r="C1635" s="196">
        <v>0.77083333333333337</v>
      </c>
      <c r="D1635" s="196">
        <v>0.77430555555555547</v>
      </c>
      <c r="E1635" s="196">
        <v>0.77777777777777779</v>
      </c>
      <c r="F1635" s="197" t="s">
        <v>171</v>
      </c>
      <c r="G1635" s="197" t="s">
        <v>811</v>
      </c>
      <c r="H1635" s="188" t="s">
        <v>75</v>
      </c>
      <c r="I1635" s="188" t="s">
        <v>110</v>
      </c>
      <c r="J1635" s="188" t="s">
        <v>37</v>
      </c>
      <c r="K1635" s="195" t="s">
        <v>180</v>
      </c>
      <c r="L1635" s="200" t="s">
        <v>209</v>
      </c>
      <c r="M1635" s="37" t="s">
        <v>4153</v>
      </c>
      <c r="N1635" s="37" t="s">
        <v>154</v>
      </c>
      <c r="O1635" s="197" t="s">
        <v>4154</v>
      </c>
      <c r="P1635" s="37">
        <v>600320240</v>
      </c>
      <c r="Q1635" s="303">
        <f t="shared" si="141"/>
        <v>1</v>
      </c>
      <c r="R1635" s="303">
        <f t="shared" si="142"/>
        <v>176</v>
      </c>
      <c r="S1635" s="37">
        <v>0</v>
      </c>
      <c r="T1635" s="37">
        <v>0</v>
      </c>
      <c r="U1635" s="37">
        <v>1</v>
      </c>
      <c r="V1635" s="37">
        <v>176</v>
      </c>
      <c r="W1635" s="37">
        <v>176</v>
      </c>
      <c r="X1635" s="37">
        <v>70</v>
      </c>
      <c r="Y1635" s="37">
        <v>70</v>
      </c>
      <c r="Z1635" s="37">
        <v>95</v>
      </c>
      <c r="AA1635" s="37">
        <v>1</v>
      </c>
      <c r="AB1635" s="300">
        <f t="shared" si="143"/>
        <v>77.583333333333329</v>
      </c>
      <c r="AC1635" s="300">
        <f t="shared" si="144"/>
        <v>0.46736947791164657</v>
      </c>
      <c r="AD1635" s="37">
        <v>2784</v>
      </c>
      <c r="AE1635" s="197" t="s">
        <v>109</v>
      </c>
      <c r="AF1635" s="197" t="s">
        <v>3432</v>
      </c>
      <c r="AG1635" s="197" t="s">
        <v>3432</v>
      </c>
      <c r="AH1635" s="37" t="s">
        <v>4155</v>
      </c>
      <c r="AI1635" s="309"/>
      <c r="AJ1635" s="309"/>
      <c r="AK1635" s="197" t="s">
        <v>37</v>
      </c>
      <c r="AL1635" s="197" t="s">
        <v>49</v>
      </c>
      <c r="AM1635" s="299">
        <f t="shared" ca="1" si="140"/>
        <v>1.7291666666715173</v>
      </c>
      <c r="AN1635" s="51"/>
      <c r="AO1635" s="210" t="s">
        <v>194</v>
      </c>
      <c r="AP1635" s="211" t="s">
        <v>4153</v>
      </c>
      <c r="AQ1635" s="210" t="s">
        <v>4298</v>
      </c>
      <c r="AR1635" s="213">
        <v>44919.496527777781</v>
      </c>
      <c r="AS1635" s="210" t="s">
        <v>136</v>
      </c>
      <c r="AT1635" s="210" t="s">
        <v>225</v>
      </c>
      <c r="AU1635" s="212">
        <v>0.49652777777777773</v>
      </c>
      <c r="AV1635" s="210">
        <v>1</v>
      </c>
      <c r="AW1635" s="210" t="s">
        <v>66</v>
      </c>
      <c r="AX1635" s="52"/>
      <c r="AY1635" s="52"/>
      <c r="AZ1635" s="52"/>
      <c r="BA1635" s="52"/>
    </row>
    <row r="1636" spans="1:53" x14ac:dyDescent="0.25">
      <c r="A1636" s="48">
        <v>429</v>
      </c>
      <c r="B1636" s="202">
        <v>44917.767361111109</v>
      </c>
      <c r="C1636" s="196">
        <v>0.77083333333333337</v>
      </c>
      <c r="D1636" s="196">
        <v>0.77430555555555547</v>
      </c>
      <c r="E1636" s="196">
        <v>0.77777777777777779</v>
      </c>
      <c r="F1636" s="197" t="s">
        <v>171</v>
      </c>
      <c r="G1636" s="197" t="s">
        <v>811</v>
      </c>
      <c r="H1636" s="188" t="s">
        <v>75</v>
      </c>
      <c r="I1636" s="188" t="s">
        <v>110</v>
      </c>
      <c r="J1636" s="188" t="s">
        <v>37</v>
      </c>
      <c r="K1636" s="195" t="s">
        <v>180</v>
      </c>
      <c r="L1636" s="200" t="s">
        <v>209</v>
      </c>
      <c r="M1636" s="37" t="s">
        <v>4156</v>
      </c>
      <c r="N1636" s="197" t="s">
        <v>154</v>
      </c>
      <c r="O1636" s="197" t="s">
        <v>4157</v>
      </c>
      <c r="P1636" s="37">
        <v>60030226</v>
      </c>
      <c r="Q1636" s="303">
        <f t="shared" si="141"/>
        <v>1</v>
      </c>
      <c r="R1636" s="303">
        <f t="shared" si="142"/>
        <v>121</v>
      </c>
      <c r="S1636" s="37">
        <v>0</v>
      </c>
      <c r="T1636" s="37">
        <v>0</v>
      </c>
      <c r="U1636" s="37">
        <v>1</v>
      </c>
      <c r="V1636" s="37">
        <v>121</v>
      </c>
      <c r="W1636" s="37">
        <v>120</v>
      </c>
      <c r="X1636" s="37">
        <v>70</v>
      </c>
      <c r="Y1636" s="37">
        <v>70</v>
      </c>
      <c r="Z1636" s="37">
        <v>66</v>
      </c>
      <c r="AA1636" s="37">
        <v>1</v>
      </c>
      <c r="AB1636" s="300">
        <f t="shared" si="143"/>
        <v>53.9</v>
      </c>
      <c r="AC1636" s="300">
        <f t="shared" si="144"/>
        <v>0.32469879518072287</v>
      </c>
      <c r="AD1636" s="37">
        <v>1222</v>
      </c>
      <c r="AE1636" s="197" t="s">
        <v>109</v>
      </c>
      <c r="AF1636" s="197" t="s">
        <v>3432</v>
      </c>
      <c r="AG1636" s="197" t="s">
        <v>3432</v>
      </c>
      <c r="AH1636" s="37" t="s">
        <v>4158</v>
      </c>
      <c r="AI1636" s="309"/>
      <c r="AJ1636" s="309"/>
      <c r="AK1636" s="197" t="s">
        <v>37</v>
      </c>
      <c r="AL1636" s="197" t="s">
        <v>49</v>
      </c>
      <c r="AM1636" s="299">
        <f t="shared" ca="1" si="140"/>
        <v>1.7291666666715173</v>
      </c>
      <c r="AN1636" s="51"/>
      <c r="AO1636" s="210" t="s">
        <v>194</v>
      </c>
      <c r="AP1636" s="211" t="s">
        <v>4156</v>
      </c>
      <c r="AQ1636" s="210" t="s">
        <v>4298</v>
      </c>
      <c r="AR1636" s="213">
        <v>44919.496527777781</v>
      </c>
      <c r="AS1636" s="210" t="s">
        <v>136</v>
      </c>
      <c r="AT1636" s="210" t="s">
        <v>225</v>
      </c>
      <c r="AU1636" s="212">
        <v>0.49652777777777773</v>
      </c>
      <c r="AV1636" s="210">
        <v>1</v>
      </c>
      <c r="AW1636" s="210" t="s">
        <v>66</v>
      </c>
      <c r="AX1636" s="52"/>
      <c r="AY1636" s="52"/>
      <c r="AZ1636" s="52"/>
      <c r="BA1636" s="52"/>
    </row>
    <row r="1637" spans="1:53" x14ac:dyDescent="0.25">
      <c r="A1637" s="48">
        <v>430</v>
      </c>
      <c r="B1637" s="46">
        <v>44917.78125</v>
      </c>
      <c r="C1637" s="36">
        <v>0.78472222222222221</v>
      </c>
      <c r="D1637" s="36">
        <v>0.78819444444444453</v>
      </c>
      <c r="E1637" s="36">
        <v>0.79166666666666663</v>
      </c>
      <c r="F1637" s="197" t="s">
        <v>171</v>
      </c>
      <c r="G1637" s="37" t="s">
        <v>341</v>
      </c>
      <c r="H1637" s="26" t="s">
        <v>144</v>
      </c>
      <c r="I1637" s="26" t="s">
        <v>256</v>
      </c>
      <c r="J1637" s="188" t="s">
        <v>37</v>
      </c>
      <c r="K1637" s="197" t="s">
        <v>180</v>
      </c>
      <c r="L1637" s="199" t="s">
        <v>206</v>
      </c>
      <c r="M1637" s="37" t="s">
        <v>4159</v>
      </c>
      <c r="N1637" s="37" t="s">
        <v>42</v>
      </c>
      <c r="O1637" s="37">
        <v>75046018</v>
      </c>
      <c r="P1637" s="37">
        <v>333014</v>
      </c>
      <c r="Q1637" s="303">
        <f t="shared" si="141"/>
        <v>1</v>
      </c>
      <c r="R1637" s="303">
        <f t="shared" si="142"/>
        <v>197</v>
      </c>
      <c r="S1637" s="37">
        <v>0</v>
      </c>
      <c r="T1637" s="37">
        <v>0</v>
      </c>
      <c r="U1637" s="37">
        <v>1</v>
      </c>
      <c r="V1637" s="37">
        <v>197</v>
      </c>
      <c r="W1637" s="37">
        <v>200</v>
      </c>
      <c r="X1637" s="37">
        <v>113</v>
      </c>
      <c r="Y1637" s="37">
        <v>98</v>
      </c>
      <c r="Z1637" s="37">
        <v>113</v>
      </c>
      <c r="AA1637" s="37">
        <v>1</v>
      </c>
      <c r="AB1637" s="300">
        <f t="shared" si="143"/>
        <v>208.56033333333335</v>
      </c>
      <c r="AC1637" s="300">
        <f t="shared" si="144"/>
        <v>1.2563875502008033</v>
      </c>
      <c r="AD1637" s="197">
        <v>1517.2</v>
      </c>
      <c r="AE1637" s="197" t="s">
        <v>109</v>
      </c>
      <c r="AF1637" s="37" t="s">
        <v>4160</v>
      </c>
      <c r="AG1637" s="197" t="s">
        <v>4137</v>
      </c>
      <c r="AH1637" s="37" t="s">
        <v>4161</v>
      </c>
      <c r="AI1637" s="309"/>
      <c r="AJ1637" s="309"/>
      <c r="AK1637" s="197" t="s">
        <v>37</v>
      </c>
      <c r="AL1637" s="37" t="s">
        <v>54</v>
      </c>
      <c r="AM1637" s="299">
        <f t="shared" ca="1" si="140"/>
        <v>0.76388888889050577</v>
      </c>
      <c r="AN1637" s="51"/>
      <c r="AO1637" s="189" t="s">
        <v>107</v>
      </c>
      <c r="AP1637" s="190" t="s">
        <v>4159</v>
      </c>
      <c r="AQ1637" s="189" t="s">
        <v>4237</v>
      </c>
      <c r="AR1637" s="192">
        <v>44918.545138888891</v>
      </c>
      <c r="AS1637" s="186" t="s">
        <v>483</v>
      </c>
      <c r="AT1637" s="189" t="s">
        <v>225</v>
      </c>
      <c r="AU1637" s="191">
        <v>0.54513888888888895</v>
      </c>
      <c r="AV1637" s="189">
        <v>4</v>
      </c>
      <c r="AW1637" s="189" t="s">
        <v>66</v>
      </c>
      <c r="AX1637" s="187"/>
      <c r="AY1637" s="52"/>
      <c r="AZ1637" s="52"/>
      <c r="BA1637" s="52"/>
    </row>
    <row r="1638" spans="1:53" x14ac:dyDescent="0.25">
      <c r="A1638" s="48">
        <v>431</v>
      </c>
      <c r="B1638" s="202">
        <v>44917.78125</v>
      </c>
      <c r="C1638" s="196">
        <v>0.78472222222222221</v>
      </c>
      <c r="D1638" s="196">
        <v>0.78819444444444453</v>
      </c>
      <c r="E1638" s="196">
        <v>0.79166666666666663</v>
      </c>
      <c r="F1638" s="197" t="s">
        <v>171</v>
      </c>
      <c r="G1638" s="197" t="s">
        <v>341</v>
      </c>
      <c r="H1638" s="188" t="s">
        <v>144</v>
      </c>
      <c r="I1638" s="188" t="s">
        <v>256</v>
      </c>
      <c r="J1638" s="188" t="s">
        <v>37</v>
      </c>
      <c r="K1638" s="197" t="s">
        <v>180</v>
      </c>
      <c r="L1638" s="199" t="s">
        <v>206</v>
      </c>
      <c r="M1638" s="37" t="s">
        <v>4162</v>
      </c>
      <c r="N1638" s="197" t="s">
        <v>42</v>
      </c>
      <c r="O1638" s="37">
        <v>75046017</v>
      </c>
      <c r="P1638" s="37">
        <v>333014</v>
      </c>
      <c r="Q1638" s="303">
        <f t="shared" si="141"/>
        <v>1</v>
      </c>
      <c r="R1638" s="303">
        <f t="shared" si="142"/>
        <v>198</v>
      </c>
      <c r="S1638" s="37">
        <v>0</v>
      </c>
      <c r="T1638" s="37">
        <v>0</v>
      </c>
      <c r="U1638" s="37">
        <v>1</v>
      </c>
      <c r="V1638" s="37">
        <v>198</v>
      </c>
      <c r="W1638" s="37">
        <v>200</v>
      </c>
      <c r="X1638" s="37">
        <v>113</v>
      </c>
      <c r="Y1638" s="37">
        <v>98</v>
      </c>
      <c r="Z1638" s="37">
        <v>113</v>
      </c>
      <c r="AA1638" s="37">
        <v>1</v>
      </c>
      <c r="AB1638" s="300">
        <f t="shared" si="143"/>
        <v>208.56033333333335</v>
      </c>
      <c r="AC1638" s="300">
        <f t="shared" si="144"/>
        <v>1.2563875502008033</v>
      </c>
      <c r="AD1638" s="37">
        <v>1517.2</v>
      </c>
      <c r="AE1638" s="197" t="s">
        <v>109</v>
      </c>
      <c r="AF1638" s="37" t="s">
        <v>4163</v>
      </c>
      <c r="AG1638" s="197" t="s">
        <v>4137</v>
      </c>
      <c r="AH1638" s="37" t="s">
        <v>4164</v>
      </c>
      <c r="AI1638" s="309"/>
      <c r="AJ1638" s="309"/>
      <c r="AK1638" s="197" t="s">
        <v>37</v>
      </c>
      <c r="AL1638" s="197" t="s">
        <v>54</v>
      </c>
      <c r="AM1638" s="299">
        <f t="shared" ca="1" si="140"/>
        <v>0.76388888889050577</v>
      </c>
      <c r="AN1638" s="51"/>
      <c r="AO1638" s="189" t="s">
        <v>107</v>
      </c>
      <c r="AP1638" s="190" t="s">
        <v>4162</v>
      </c>
      <c r="AQ1638" s="189" t="s">
        <v>4237</v>
      </c>
      <c r="AR1638" s="192">
        <v>44918.545138888891</v>
      </c>
      <c r="AS1638" s="186" t="s">
        <v>483</v>
      </c>
      <c r="AT1638" s="189" t="s">
        <v>225</v>
      </c>
      <c r="AU1638" s="191">
        <v>0.54513888888888895</v>
      </c>
      <c r="AV1638" s="189">
        <v>1</v>
      </c>
      <c r="AW1638" s="189" t="s">
        <v>66</v>
      </c>
      <c r="AX1638" s="52"/>
      <c r="AY1638" s="52"/>
      <c r="AZ1638" s="52"/>
      <c r="BA1638" s="52"/>
    </row>
    <row r="1639" spans="1:53" x14ac:dyDescent="0.25">
      <c r="A1639" s="48">
        <v>432</v>
      </c>
      <c r="B1639" s="202">
        <v>44917.78125</v>
      </c>
      <c r="C1639" s="196">
        <v>0.78472222222222221</v>
      </c>
      <c r="D1639" s="196">
        <v>0.78819444444444453</v>
      </c>
      <c r="E1639" s="196">
        <v>0.79166666666666663</v>
      </c>
      <c r="F1639" s="197" t="s">
        <v>171</v>
      </c>
      <c r="G1639" s="197" t="s">
        <v>341</v>
      </c>
      <c r="H1639" s="188" t="s">
        <v>144</v>
      </c>
      <c r="I1639" s="188" t="s">
        <v>256</v>
      </c>
      <c r="J1639" s="188" t="s">
        <v>37</v>
      </c>
      <c r="K1639" s="197" t="s">
        <v>180</v>
      </c>
      <c r="L1639" s="199" t="s">
        <v>206</v>
      </c>
      <c r="M1639" s="37" t="s">
        <v>4159</v>
      </c>
      <c r="N1639" s="197" t="s">
        <v>42</v>
      </c>
      <c r="O1639" s="197">
        <v>75046019</v>
      </c>
      <c r="P1639" s="37">
        <v>333648</v>
      </c>
      <c r="Q1639" s="303">
        <f t="shared" si="141"/>
        <v>3</v>
      </c>
      <c r="R1639" s="303">
        <f t="shared" si="142"/>
        <v>589</v>
      </c>
      <c r="S1639" s="37">
        <v>0</v>
      </c>
      <c r="T1639" s="37">
        <v>0</v>
      </c>
      <c r="U1639" s="37">
        <v>3</v>
      </c>
      <c r="V1639" s="37">
        <f>198+197+194</f>
        <v>589</v>
      </c>
      <c r="W1639" s="37">
        <v>600</v>
      </c>
      <c r="X1639" s="37">
        <v>113</v>
      </c>
      <c r="Y1639" s="37">
        <v>98</v>
      </c>
      <c r="Z1639" s="37">
        <v>113</v>
      </c>
      <c r="AA1639" s="37">
        <v>3</v>
      </c>
      <c r="AB1639" s="300">
        <f t="shared" si="143"/>
        <v>625.68100000000004</v>
      </c>
      <c r="AC1639" s="300">
        <f t="shared" si="144"/>
        <v>3.7691626506024098</v>
      </c>
      <c r="AD1639" s="37">
        <v>4551.6000000000004</v>
      </c>
      <c r="AE1639" s="197" t="s">
        <v>109</v>
      </c>
      <c r="AF1639" s="37">
        <v>6349980</v>
      </c>
      <c r="AG1639" s="197" t="s">
        <v>4137</v>
      </c>
      <c r="AH1639" s="37" t="s">
        <v>4165</v>
      </c>
      <c r="AI1639" s="309"/>
      <c r="AJ1639" s="309"/>
      <c r="AK1639" s="197" t="s">
        <v>37</v>
      </c>
      <c r="AL1639" s="197" t="s">
        <v>54</v>
      </c>
      <c r="AM1639" s="299">
        <f t="shared" ca="1" si="140"/>
        <v>0.76388888889050577</v>
      </c>
      <c r="AN1639" s="51"/>
      <c r="AO1639" s="189" t="s">
        <v>107</v>
      </c>
      <c r="AP1639" s="190" t="s">
        <v>4159</v>
      </c>
      <c r="AQ1639" s="189" t="s">
        <v>4237</v>
      </c>
      <c r="AR1639" s="192">
        <v>44918.545138888891</v>
      </c>
      <c r="AS1639" s="186" t="s">
        <v>483</v>
      </c>
      <c r="AT1639" s="189" t="s">
        <v>225</v>
      </c>
      <c r="AU1639" s="191">
        <v>0.54513888888888895</v>
      </c>
      <c r="AV1639" s="189">
        <v>4</v>
      </c>
      <c r="AW1639" s="189" t="s">
        <v>66</v>
      </c>
      <c r="AX1639" s="187"/>
      <c r="AY1639" s="52"/>
      <c r="AZ1639" s="52"/>
      <c r="BA1639" s="52"/>
    </row>
    <row r="1640" spans="1:53" x14ac:dyDescent="0.25">
      <c r="A1640" s="48">
        <v>433</v>
      </c>
      <c r="B1640" s="202">
        <v>44917.791666666664</v>
      </c>
      <c r="C1640" s="36">
        <v>0.79861111111111116</v>
      </c>
      <c r="D1640" s="36">
        <v>0.80208333333333337</v>
      </c>
      <c r="E1640" s="36">
        <v>0.80902777777777779</v>
      </c>
      <c r="F1640" s="197" t="s">
        <v>171</v>
      </c>
      <c r="G1640" s="37" t="s">
        <v>200</v>
      </c>
      <c r="H1640" s="197" t="s">
        <v>339</v>
      </c>
      <c r="I1640" s="197" t="s">
        <v>91</v>
      </c>
      <c r="J1640" s="195" t="s">
        <v>37</v>
      </c>
      <c r="K1640" s="195" t="s">
        <v>180</v>
      </c>
      <c r="L1640" s="195" t="s">
        <v>206</v>
      </c>
      <c r="M1640" s="37" t="s">
        <v>4169</v>
      </c>
      <c r="N1640" s="37" t="s">
        <v>44</v>
      </c>
      <c r="O1640" s="37" t="s">
        <v>4166</v>
      </c>
      <c r="P1640" s="37">
        <v>4501934444</v>
      </c>
      <c r="Q1640" s="303">
        <f t="shared" si="141"/>
        <v>1</v>
      </c>
      <c r="R1640" s="303">
        <f t="shared" si="142"/>
        <v>60</v>
      </c>
      <c r="S1640" s="37">
        <v>0</v>
      </c>
      <c r="T1640" s="37">
        <v>0</v>
      </c>
      <c r="U1640" s="37">
        <v>1</v>
      </c>
      <c r="V1640" s="37">
        <v>60</v>
      </c>
      <c r="W1640" s="37">
        <v>60</v>
      </c>
      <c r="X1640" s="37">
        <v>120</v>
      </c>
      <c r="Y1640" s="37">
        <v>80</v>
      </c>
      <c r="Z1640" s="37">
        <v>81</v>
      </c>
      <c r="AA1640" s="37">
        <v>1</v>
      </c>
      <c r="AB1640" s="300">
        <f t="shared" si="143"/>
        <v>129.6</v>
      </c>
      <c r="AC1640" s="300">
        <f t="shared" si="144"/>
        <v>0.78072289156626506</v>
      </c>
      <c r="AD1640" s="37">
        <v>62574</v>
      </c>
      <c r="AE1640" s="197" t="s">
        <v>109</v>
      </c>
      <c r="AF1640" s="37">
        <v>6340984</v>
      </c>
      <c r="AG1640" s="37" t="s">
        <v>4167</v>
      </c>
      <c r="AH1640" s="37" t="s">
        <v>4168</v>
      </c>
      <c r="AI1640" s="309"/>
      <c r="AJ1640" s="309"/>
      <c r="AK1640" s="37" t="s">
        <v>37</v>
      </c>
      <c r="AL1640" s="197" t="s">
        <v>54</v>
      </c>
      <c r="AM1640" s="299">
        <f t="shared" ref="AM1640:AM1703" ca="1" si="145">IF(AP1640="",NOW()-B1640,AR1640-B1640)</f>
        <v>1.7777777777810115</v>
      </c>
      <c r="AN1640" s="51"/>
      <c r="AO1640" s="210" t="s">
        <v>323</v>
      </c>
      <c r="AP1640" s="211" t="s">
        <v>4169</v>
      </c>
      <c r="AQ1640" s="210" t="s">
        <v>4308</v>
      </c>
      <c r="AR1640" s="213">
        <v>44919.569444444445</v>
      </c>
      <c r="AS1640" s="208" t="s">
        <v>293</v>
      </c>
      <c r="AT1640" s="210" t="s">
        <v>65</v>
      </c>
      <c r="AU1640" s="212">
        <v>0.56944444444444442</v>
      </c>
      <c r="AV1640" s="210">
        <v>1</v>
      </c>
      <c r="AW1640" s="210" t="s">
        <v>66</v>
      </c>
      <c r="AX1640" s="52"/>
      <c r="AY1640" s="52"/>
      <c r="AZ1640" s="52"/>
      <c r="BA1640" s="52"/>
    </row>
    <row r="1641" spans="1:53" x14ac:dyDescent="0.25">
      <c r="A1641" s="48">
        <v>434</v>
      </c>
      <c r="B1641" s="46">
        <v>44918.40625</v>
      </c>
      <c r="C1641" s="36">
        <v>0.40972222222222227</v>
      </c>
      <c r="D1641" s="36">
        <v>0.41319444444444442</v>
      </c>
      <c r="E1641" s="36">
        <v>0.41319444444444442</v>
      </c>
      <c r="F1641" s="37" t="s">
        <v>171</v>
      </c>
      <c r="G1641" s="37" t="s">
        <v>4180</v>
      </c>
      <c r="H1641" s="26" t="s">
        <v>199</v>
      </c>
      <c r="I1641" s="26" t="s">
        <v>69</v>
      </c>
      <c r="J1641" s="26" t="s">
        <v>37</v>
      </c>
      <c r="K1641" s="26" t="s">
        <v>180</v>
      </c>
      <c r="L1641" s="26" t="s">
        <v>206</v>
      </c>
      <c r="M1641" s="37" t="s">
        <v>4183</v>
      </c>
      <c r="N1641" s="37" t="s">
        <v>42</v>
      </c>
      <c r="O1641" s="37">
        <v>274010875</v>
      </c>
      <c r="P1641" s="37" t="s">
        <v>4181</v>
      </c>
      <c r="Q1641" s="303">
        <f t="shared" ref="Q1641:Q1704" si="146">S1641+U1641</f>
        <v>6</v>
      </c>
      <c r="R1641" s="303">
        <f t="shared" ref="R1641:R1704" si="147">T1641+V1641</f>
        <v>869</v>
      </c>
      <c r="S1641" s="37">
        <v>2</v>
      </c>
      <c r="T1641" s="37">
        <v>51</v>
      </c>
      <c r="U1641" s="37">
        <v>4</v>
      </c>
      <c r="V1641" s="37">
        <f>180+229+180+229</f>
        <v>818</v>
      </c>
      <c r="W1641" s="37">
        <v>872</v>
      </c>
      <c r="X1641" s="37">
        <v>123</v>
      </c>
      <c r="Y1641" s="37">
        <v>83</v>
      </c>
      <c r="Z1641" s="37">
        <v>75</v>
      </c>
      <c r="AA1641" s="37">
        <v>4</v>
      </c>
      <c r="AB1641" s="300">
        <f t="shared" ref="AB1641:AB1704" si="148">X1641*Y1641*Z1641*AA1641/6000</f>
        <v>510.45</v>
      </c>
      <c r="AC1641" s="300">
        <f t="shared" ref="AC1641:AC1704" si="149">AB1641/166</f>
        <v>3.0749999999999997</v>
      </c>
      <c r="AD1641" s="37">
        <v>29081</v>
      </c>
      <c r="AE1641" s="37" t="s">
        <v>109</v>
      </c>
      <c r="AF1641" s="37">
        <v>6360070</v>
      </c>
      <c r="AG1641" s="37" t="s">
        <v>4182</v>
      </c>
      <c r="AH1641" s="37" t="s">
        <v>48</v>
      </c>
      <c r="AI1641" s="309"/>
      <c r="AJ1641" s="309"/>
      <c r="AK1641" s="37" t="s">
        <v>37</v>
      </c>
      <c r="AL1641" s="37" t="s">
        <v>47</v>
      </c>
      <c r="AM1641" s="299">
        <f t="shared" ca="1" si="145"/>
        <v>6.5972222218988463E-2</v>
      </c>
      <c r="AN1641" s="51"/>
      <c r="AO1641" s="189" t="s">
        <v>157</v>
      </c>
      <c r="AP1641" s="190" t="s">
        <v>4183</v>
      </c>
      <c r="AQ1641" s="189" t="s">
        <v>4233</v>
      </c>
      <c r="AR1641" s="192">
        <v>44918.472222222219</v>
      </c>
      <c r="AS1641" s="186" t="s">
        <v>173</v>
      </c>
      <c r="AT1641" s="189" t="s">
        <v>225</v>
      </c>
      <c r="AU1641" s="191">
        <v>0.47222222222222227</v>
      </c>
      <c r="AV1641" s="189">
        <v>6</v>
      </c>
      <c r="AW1641" s="189" t="s">
        <v>66</v>
      </c>
      <c r="AX1641" s="52"/>
      <c r="AY1641" s="52"/>
      <c r="AZ1641" s="52"/>
      <c r="BA1641" s="52"/>
    </row>
    <row r="1642" spans="1:53" x14ac:dyDescent="0.25">
      <c r="A1642" s="312">
        <v>434</v>
      </c>
      <c r="B1642" s="202">
        <v>44918.40625</v>
      </c>
      <c r="C1642" s="196">
        <v>0.40972222222222227</v>
      </c>
      <c r="D1642" s="196">
        <v>0.41319444444444442</v>
      </c>
      <c r="E1642" s="196">
        <v>0.41319444444444442</v>
      </c>
      <c r="F1642" s="197" t="s">
        <v>171</v>
      </c>
      <c r="G1642" s="197" t="s">
        <v>4180</v>
      </c>
      <c r="H1642" s="188" t="s">
        <v>199</v>
      </c>
      <c r="I1642" s="188" t="s">
        <v>69</v>
      </c>
      <c r="J1642" s="188" t="s">
        <v>37</v>
      </c>
      <c r="K1642" s="188" t="s">
        <v>180</v>
      </c>
      <c r="L1642" s="188" t="s">
        <v>206</v>
      </c>
      <c r="M1642" s="197" t="s">
        <v>4183</v>
      </c>
      <c r="N1642" s="197" t="s">
        <v>42</v>
      </c>
      <c r="O1642" s="197">
        <v>274010875</v>
      </c>
      <c r="P1642" s="197" t="s">
        <v>4181</v>
      </c>
      <c r="Q1642" s="303">
        <f t="shared" si="146"/>
        <v>0</v>
      </c>
      <c r="R1642" s="303">
        <f t="shared" si="147"/>
        <v>0</v>
      </c>
      <c r="S1642" s="37">
        <v>0</v>
      </c>
      <c r="T1642" s="37">
        <v>0</v>
      </c>
      <c r="U1642" s="37">
        <v>0</v>
      </c>
      <c r="V1642" s="37">
        <v>0</v>
      </c>
      <c r="W1642" s="37">
        <v>0</v>
      </c>
      <c r="X1642" s="37">
        <v>60</v>
      </c>
      <c r="Y1642" s="37">
        <v>40</v>
      </c>
      <c r="Z1642" s="37">
        <v>30</v>
      </c>
      <c r="AA1642" s="37">
        <v>2</v>
      </c>
      <c r="AB1642" s="300">
        <f t="shared" si="148"/>
        <v>24</v>
      </c>
      <c r="AC1642" s="300">
        <f t="shared" si="149"/>
        <v>0.14457831325301204</v>
      </c>
      <c r="AD1642" s="37">
        <v>0</v>
      </c>
      <c r="AE1642" s="37">
        <v>0</v>
      </c>
      <c r="AF1642" s="37">
        <v>0</v>
      </c>
      <c r="AG1642" s="37">
        <v>0</v>
      </c>
      <c r="AH1642" s="37">
        <v>0</v>
      </c>
      <c r="AI1642" s="309"/>
      <c r="AJ1642" s="309"/>
      <c r="AK1642" s="37" t="s">
        <v>48</v>
      </c>
      <c r="AL1642" s="197" t="s">
        <v>47</v>
      </c>
      <c r="AM1642" s="299">
        <f t="shared" ca="1" si="145"/>
        <v>6.5972222218988463E-2</v>
      </c>
      <c r="AN1642" s="51"/>
      <c r="AO1642" s="189" t="s">
        <v>157</v>
      </c>
      <c r="AP1642" s="190" t="s">
        <v>4183</v>
      </c>
      <c r="AQ1642" s="189" t="s">
        <v>4233</v>
      </c>
      <c r="AR1642" s="192">
        <v>44918.472222222219</v>
      </c>
      <c r="AS1642" s="186" t="s">
        <v>173</v>
      </c>
      <c r="AT1642" s="189" t="s">
        <v>225</v>
      </c>
      <c r="AU1642" s="191">
        <v>0.47222222222222227</v>
      </c>
      <c r="AV1642" s="189">
        <v>6</v>
      </c>
      <c r="AW1642" s="189" t="s">
        <v>66</v>
      </c>
      <c r="AX1642" s="52"/>
      <c r="AY1642" s="52"/>
      <c r="AZ1642" s="52"/>
      <c r="BA1642" s="52"/>
    </row>
    <row r="1643" spans="1:53" x14ac:dyDescent="0.25">
      <c r="A1643" s="48">
        <v>435</v>
      </c>
      <c r="B1643" s="46">
        <v>44918.4375</v>
      </c>
      <c r="C1643" s="36">
        <v>0.44097222222222227</v>
      </c>
      <c r="D1643" s="36">
        <v>0.44444444444444442</v>
      </c>
      <c r="E1643" s="36">
        <v>0.44444444444444442</v>
      </c>
      <c r="F1643" s="197" t="s">
        <v>171</v>
      </c>
      <c r="G1643" s="37" t="s">
        <v>136</v>
      </c>
      <c r="H1643" s="26" t="s">
        <v>144</v>
      </c>
      <c r="I1643" s="26" t="s">
        <v>69</v>
      </c>
      <c r="J1643" s="188" t="s">
        <v>37</v>
      </c>
      <c r="K1643" s="188" t="s">
        <v>180</v>
      </c>
      <c r="L1643" s="188" t="s">
        <v>206</v>
      </c>
      <c r="M1643" s="37" t="s">
        <v>4189</v>
      </c>
      <c r="N1643" s="37" t="s">
        <v>42</v>
      </c>
      <c r="O1643" s="37">
        <v>75046028</v>
      </c>
      <c r="P1643" s="37">
        <v>94600159</v>
      </c>
      <c r="Q1643" s="303">
        <f t="shared" si="146"/>
        <v>4</v>
      </c>
      <c r="R1643" s="303">
        <f t="shared" si="147"/>
        <v>1602</v>
      </c>
      <c r="S1643" s="37">
        <v>0</v>
      </c>
      <c r="T1643" s="37">
        <v>0</v>
      </c>
      <c r="U1643" s="37">
        <v>4</v>
      </c>
      <c r="V1643" s="37">
        <f>399+404+402+397</f>
        <v>1602</v>
      </c>
      <c r="W1643" s="37">
        <v>1600</v>
      </c>
      <c r="X1643" s="37">
        <v>114</v>
      </c>
      <c r="Y1643" s="37">
        <v>99</v>
      </c>
      <c r="Z1643" s="37">
        <v>113</v>
      </c>
      <c r="AA1643" s="37">
        <v>4</v>
      </c>
      <c r="AB1643" s="300">
        <f t="shared" si="148"/>
        <v>850.21199999999999</v>
      </c>
      <c r="AC1643" s="300">
        <f t="shared" si="149"/>
        <v>5.1217590361445779</v>
      </c>
      <c r="AD1643" s="37">
        <v>12470</v>
      </c>
      <c r="AE1643" s="37" t="s">
        <v>109</v>
      </c>
      <c r="AF1643" s="37" t="s">
        <v>317</v>
      </c>
      <c r="AG1643" s="37" t="s">
        <v>317</v>
      </c>
      <c r="AH1643" s="37" t="s">
        <v>4184</v>
      </c>
      <c r="AI1643" s="309"/>
      <c r="AJ1643" s="309"/>
      <c r="AK1643" s="37" t="s">
        <v>37</v>
      </c>
      <c r="AL1643" s="37" t="s">
        <v>47</v>
      </c>
      <c r="AM1643" s="299">
        <f t="shared" ca="1" si="145"/>
        <v>0.25</v>
      </c>
      <c r="AN1643" s="51"/>
      <c r="AO1643" s="189" t="s">
        <v>157</v>
      </c>
      <c r="AP1643" s="190" t="s">
        <v>4189</v>
      </c>
      <c r="AQ1643" s="189" t="s">
        <v>4240</v>
      </c>
      <c r="AR1643" s="192">
        <v>44918.6875</v>
      </c>
      <c r="AS1643" s="186" t="s">
        <v>173</v>
      </c>
      <c r="AT1643" s="189" t="s">
        <v>225</v>
      </c>
      <c r="AU1643" s="191">
        <v>0.6875</v>
      </c>
      <c r="AV1643" s="189">
        <v>4</v>
      </c>
      <c r="AW1643" s="189" t="s">
        <v>66</v>
      </c>
      <c r="AX1643" s="52"/>
      <c r="AY1643" s="52"/>
      <c r="AZ1643" s="52"/>
      <c r="BA1643" s="52"/>
    </row>
    <row r="1644" spans="1:53" x14ac:dyDescent="0.25">
      <c r="A1644" s="48">
        <v>436</v>
      </c>
      <c r="B1644" s="202">
        <v>44918.4375</v>
      </c>
      <c r="C1644" s="36">
        <v>0.44444444444444442</v>
      </c>
      <c r="D1644" s="36">
        <v>0.44791666666666669</v>
      </c>
      <c r="E1644" s="36">
        <v>0.44791666666666669</v>
      </c>
      <c r="F1644" s="197" t="s">
        <v>171</v>
      </c>
      <c r="G1644" s="37" t="s">
        <v>4185</v>
      </c>
      <c r="H1644" s="26" t="s">
        <v>1357</v>
      </c>
      <c r="I1644" s="26" t="s">
        <v>4186</v>
      </c>
      <c r="J1644" s="188" t="s">
        <v>37</v>
      </c>
      <c r="K1644" s="188" t="s">
        <v>180</v>
      </c>
      <c r="L1644" s="188" t="s">
        <v>206</v>
      </c>
      <c r="M1644" s="37" t="s">
        <v>4188</v>
      </c>
      <c r="N1644" s="37" t="s">
        <v>53</v>
      </c>
      <c r="O1644" s="37">
        <v>600021234</v>
      </c>
      <c r="P1644" s="37">
        <v>22845229</v>
      </c>
      <c r="Q1644" s="303">
        <f t="shared" si="146"/>
        <v>1</v>
      </c>
      <c r="R1644" s="303">
        <f t="shared" si="147"/>
        <v>12</v>
      </c>
      <c r="S1644" s="37">
        <v>1</v>
      </c>
      <c r="T1644" s="37">
        <v>12</v>
      </c>
      <c r="U1644" s="37">
        <v>0</v>
      </c>
      <c r="V1644" s="37">
        <v>0</v>
      </c>
      <c r="W1644" s="37">
        <v>8</v>
      </c>
      <c r="X1644" s="37">
        <v>53</v>
      </c>
      <c r="Y1644" s="37">
        <v>52</v>
      </c>
      <c r="Z1644" s="37">
        <v>39</v>
      </c>
      <c r="AA1644" s="37">
        <v>1</v>
      </c>
      <c r="AB1644" s="300">
        <f t="shared" si="148"/>
        <v>17.914000000000001</v>
      </c>
      <c r="AC1644" s="300">
        <f t="shared" si="149"/>
        <v>0.10791566265060241</v>
      </c>
      <c r="AD1644" s="37">
        <v>3348</v>
      </c>
      <c r="AE1644" s="37" t="s">
        <v>109</v>
      </c>
      <c r="AF1644" s="37" t="s">
        <v>4190</v>
      </c>
      <c r="AG1644" s="37" t="s">
        <v>4191</v>
      </c>
      <c r="AH1644" s="37" t="s">
        <v>4187</v>
      </c>
      <c r="AI1644" s="309"/>
      <c r="AJ1644" s="309"/>
      <c r="AK1644" s="37" t="s">
        <v>48</v>
      </c>
      <c r="AL1644" s="37" t="s">
        <v>39</v>
      </c>
      <c r="AM1644" s="299">
        <f t="shared" ca="1" si="145"/>
        <v>1.1319444444452529</v>
      </c>
      <c r="AN1644" s="51"/>
      <c r="AO1644" s="210" t="s">
        <v>53</v>
      </c>
      <c r="AP1644" s="211" t="s">
        <v>4188</v>
      </c>
      <c r="AQ1644" s="210" t="s">
        <v>4308</v>
      </c>
      <c r="AR1644" s="213">
        <v>44919.569444444445</v>
      </c>
      <c r="AS1644" s="208" t="s">
        <v>293</v>
      </c>
      <c r="AT1644" s="210" t="s">
        <v>65</v>
      </c>
      <c r="AU1644" s="212">
        <v>0.56944444444444442</v>
      </c>
      <c r="AV1644" s="210">
        <v>1</v>
      </c>
      <c r="AW1644" s="210" t="s">
        <v>66</v>
      </c>
      <c r="AX1644" s="52"/>
      <c r="AY1644" s="52"/>
      <c r="AZ1644" s="52"/>
      <c r="BA1644" s="52"/>
    </row>
    <row r="1645" spans="1:53" x14ac:dyDescent="0.25">
      <c r="A1645" s="48">
        <v>437</v>
      </c>
      <c r="B1645" s="46">
        <v>44918.541666666664</v>
      </c>
      <c r="C1645" s="36">
        <v>0.54513888888888895</v>
      </c>
      <c r="D1645" s="36">
        <v>0.54861111111111105</v>
      </c>
      <c r="E1645" s="36">
        <v>0.55555555555555558</v>
      </c>
      <c r="F1645" s="37" t="s">
        <v>170</v>
      </c>
      <c r="G1645" s="37" t="s">
        <v>2944</v>
      </c>
      <c r="H1645" s="26" t="s">
        <v>4192</v>
      </c>
      <c r="I1645" s="26" t="s">
        <v>253</v>
      </c>
      <c r="J1645" s="188" t="s">
        <v>37</v>
      </c>
      <c r="K1645" s="26" t="s">
        <v>63</v>
      </c>
      <c r="L1645" s="26">
        <v>0</v>
      </c>
      <c r="M1645" s="37" t="s">
        <v>4193</v>
      </c>
      <c r="N1645" s="37" t="s">
        <v>42</v>
      </c>
      <c r="O1645" s="37" t="s">
        <v>4194</v>
      </c>
      <c r="P1645" s="37">
        <v>47762557001</v>
      </c>
      <c r="Q1645" s="303">
        <f t="shared" si="146"/>
        <v>1</v>
      </c>
      <c r="R1645" s="303">
        <f t="shared" si="147"/>
        <v>71</v>
      </c>
      <c r="S1645" s="37">
        <v>0</v>
      </c>
      <c r="T1645" s="37">
        <v>0</v>
      </c>
      <c r="U1645" s="37">
        <v>1</v>
      </c>
      <c r="V1645" s="37">
        <v>71</v>
      </c>
      <c r="W1645" s="37">
        <v>73</v>
      </c>
      <c r="X1645" s="37">
        <v>96</v>
      </c>
      <c r="Y1645" s="37">
        <v>67</v>
      </c>
      <c r="Z1645" s="37">
        <v>59</v>
      </c>
      <c r="AA1645" s="37">
        <v>1</v>
      </c>
      <c r="AB1645" s="300">
        <f t="shared" si="148"/>
        <v>63.247999999999998</v>
      </c>
      <c r="AC1645" s="300">
        <f t="shared" si="149"/>
        <v>0.38101204819277107</v>
      </c>
      <c r="AD1645" s="37">
        <v>131.1</v>
      </c>
      <c r="AE1645" s="197" t="s">
        <v>109</v>
      </c>
      <c r="AF1645" s="37" t="s">
        <v>317</v>
      </c>
      <c r="AG1645" s="197" t="s">
        <v>317</v>
      </c>
      <c r="AH1645" s="37">
        <v>0</v>
      </c>
      <c r="AI1645" s="309"/>
      <c r="AJ1645" s="309"/>
      <c r="AK1645" s="37" t="s">
        <v>37</v>
      </c>
      <c r="AL1645" s="37" t="s">
        <v>54</v>
      </c>
      <c r="AM1645" s="299">
        <f t="shared" ca="1" si="145"/>
        <v>0.14583333333575865</v>
      </c>
      <c r="AN1645" s="51"/>
      <c r="AO1645" s="189" t="s">
        <v>93</v>
      </c>
      <c r="AP1645" s="190" t="s">
        <v>4193</v>
      </c>
      <c r="AQ1645" s="189" t="s">
        <v>4239</v>
      </c>
      <c r="AR1645" s="192">
        <v>44918.6875</v>
      </c>
      <c r="AS1645" s="186" t="s">
        <v>173</v>
      </c>
      <c r="AT1645" s="189" t="s">
        <v>225</v>
      </c>
      <c r="AU1645" s="191">
        <v>0.6875</v>
      </c>
      <c r="AV1645" s="189">
        <v>1</v>
      </c>
      <c r="AW1645" s="189" t="s">
        <v>66</v>
      </c>
      <c r="AX1645" s="52"/>
      <c r="AY1645" s="52"/>
      <c r="AZ1645" s="52"/>
      <c r="BA1645" s="52"/>
    </row>
    <row r="1646" spans="1:53" x14ac:dyDescent="0.25">
      <c r="A1646" s="48">
        <v>438</v>
      </c>
      <c r="B1646" s="202">
        <v>44918.541666666664</v>
      </c>
      <c r="C1646" s="196">
        <v>0.54513888888888895</v>
      </c>
      <c r="D1646" s="196">
        <v>0.54861111111111105</v>
      </c>
      <c r="E1646" s="196">
        <v>0.5625</v>
      </c>
      <c r="F1646" s="197" t="s">
        <v>170</v>
      </c>
      <c r="G1646" s="197" t="s">
        <v>2944</v>
      </c>
      <c r="H1646" s="26" t="s">
        <v>356</v>
      </c>
      <c r="I1646" s="26" t="s">
        <v>40</v>
      </c>
      <c r="J1646" s="26" t="s">
        <v>41</v>
      </c>
      <c r="K1646" s="195" t="s">
        <v>63</v>
      </c>
      <c r="L1646" s="195">
        <v>0</v>
      </c>
      <c r="M1646" s="37" t="s">
        <v>4195</v>
      </c>
      <c r="N1646" s="37" t="s">
        <v>42</v>
      </c>
      <c r="O1646" s="37">
        <v>8275002292</v>
      </c>
      <c r="P1646" s="37">
        <v>4400013304</v>
      </c>
      <c r="Q1646" s="303">
        <f t="shared" si="146"/>
        <v>1</v>
      </c>
      <c r="R1646" s="303">
        <f t="shared" si="147"/>
        <v>110</v>
      </c>
      <c r="S1646" s="37">
        <v>0</v>
      </c>
      <c r="T1646" s="37">
        <v>0</v>
      </c>
      <c r="U1646" s="37">
        <v>1</v>
      </c>
      <c r="V1646" s="37">
        <v>110</v>
      </c>
      <c r="W1646" s="37">
        <v>114</v>
      </c>
      <c r="X1646" s="37">
        <v>64</v>
      </c>
      <c r="Y1646" s="37">
        <v>46</v>
      </c>
      <c r="Z1646" s="37">
        <v>52</v>
      </c>
      <c r="AA1646" s="37">
        <v>1</v>
      </c>
      <c r="AB1646" s="300">
        <f t="shared" si="148"/>
        <v>25.514666666666667</v>
      </c>
      <c r="AC1646" s="300">
        <f t="shared" si="149"/>
        <v>0.15370281124497992</v>
      </c>
      <c r="AD1646" s="37">
        <v>4421</v>
      </c>
      <c r="AE1646" s="197" t="s">
        <v>109</v>
      </c>
      <c r="AF1646" s="197" t="s">
        <v>317</v>
      </c>
      <c r="AG1646" s="197" t="s">
        <v>317</v>
      </c>
      <c r="AH1646" s="37" t="s">
        <v>4196</v>
      </c>
      <c r="AI1646" s="309"/>
      <c r="AJ1646" s="309"/>
      <c r="AK1646" s="197" t="s">
        <v>37</v>
      </c>
      <c r="AL1646" s="197" t="s">
        <v>54</v>
      </c>
      <c r="AM1646" s="299">
        <f t="shared" ca="1" si="145"/>
        <v>0.17361111111677019</v>
      </c>
      <c r="AN1646" s="51"/>
      <c r="AO1646" s="189" t="s">
        <v>120</v>
      </c>
      <c r="AP1646" s="189" t="s">
        <v>4243</v>
      </c>
      <c r="AQ1646" s="189" t="s">
        <v>4242</v>
      </c>
      <c r="AR1646" s="192">
        <v>44918.715277777781</v>
      </c>
      <c r="AS1646" s="186" t="s">
        <v>483</v>
      </c>
      <c r="AT1646" s="189" t="s">
        <v>225</v>
      </c>
      <c r="AU1646" s="191">
        <v>0.71527777777777779</v>
      </c>
      <c r="AV1646" s="189">
        <v>1</v>
      </c>
      <c r="AW1646" s="189" t="s">
        <v>66</v>
      </c>
      <c r="AX1646" s="52"/>
      <c r="AY1646" s="52"/>
      <c r="AZ1646" s="52"/>
      <c r="BA1646" s="52"/>
    </row>
    <row r="1647" spans="1:53" x14ac:dyDescent="0.25">
      <c r="A1647" s="48">
        <v>439</v>
      </c>
      <c r="B1647" s="202">
        <v>44918.541666666664</v>
      </c>
      <c r="C1647" s="196">
        <v>0.54513888888888895</v>
      </c>
      <c r="D1647" s="196">
        <v>0.54861111111111105</v>
      </c>
      <c r="E1647" s="196">
        <v>0.5625</v>
      </c>
      <c r="F1647" s="197" t="s">
        <v>170</v>
      </c>
      <c r="G1647" s="197" t="s">
        <v>2944</v>
      </c>
      <c r="H1647" s="188" t="s">
        <v>356</v>
      </c>
      <c r="I1647" s="188" t="s">
        <v>40</v>
      </c>
      <c r="J1647" s="188" t="s">
        <v>41</v>
      </c>
      <c r="K1647" s="195" t="s">
        <v>63</v>
      </c>
      <c r="L1647" s="195">
        <v>0</v>
      </c>
      <c r="M1647" s="37" t="s">
        <v>4197</v>
      </c>
      <c r="N1647" s="37" t="s">
        <v>42</v>
      </c>
      <c r="O1647" s="37">
        <v>8275002291</v>
      </c>
      <c r="P1647" s="37">
        <v>4400013373</v>
      </c>
      <c r="Q1647" s="303">
        <f t="shared" si="146"/>
        <v>1</v>
      </c>
      <c r="R1647" s="303">
        <f t="shared" si="147"/>
        <v>265</v>
      </c>
      <c r="S1647" s="37">
        <v>0</v>
      </c>
      <c r="T1647" s="37">
        <v>0</v>
      </c>
      <c r="U1647" s="37">
        <v>1</v>
      </c>
      <c r="V1647" s="37">
        <v>265</v>
      </c>
      <c r="W1647" s="37">
        <v>256</v>
      </c>
      <c r="X1647" s="37">
        <v>136</v>
      </c>
      <c r="Y1647" s="37">
        <v>59</v>
      </c>
      <c r="Z1647" s="37">
        <v>65</v>
      </c>
      <c r="AA1647" s="37">
        <v>1</v>
      </c>
      <c r="AB1647" s="300">
        <f t="shared" si="148"/>
        <v>86.926666666666662</v>
      </c>
      <c r="AC1647" s="300">
        <f t="shared" si="149"/>
        <v>0.52365461847389561</v>
      </c>
      <c r="AD1647" s="37">
        <v>3764</v>
      </c>
      <c r="AE1647" s="197" t="s">
        <v>109</v>
      </c>
      <c r="AF1647" s="197" t="s">
        <v>317</v>
      </c>
      <c r="AG1647" s="197" t="s">
        <v>317</v>
      </c>
      <c r="AH1647" s="37" t="s">
        <v>4198</v>
      </c>
      <c r="AI1647" s="309"/>
      <c r="AJ1647" s="309"/>
      <c r="AK1647" s="197" t="s">
        <v>37</v>
      </c>
      <c r="AL1647" s="197" t="s">
        <v>54</v>
      </c>
      <c r="AM1647" s="299">
        <f t="shared" ca="1" si="145"/>
        <v>0.17361111111677019</v>
      </c>
      <c r="AN1647" s="51"/>
      <c r="AO1647" s="189" t="s">
        <v>120</v>
      </c>
      <c r="AP1647" s="190" t="s">
        <v>4197</v>
      </c>
      <c r="AQ1647" s="189" t="s">
        <v>4242</v>
      </c>
      <c r="AR1647" s="192">
        <v>44918.715277777781</v>
      </c>
      <c r="AS1647" s="186" t="s">
        <v>483</v>
      </c>
      <c r="AT1647" s="189" t="s">
        <v>225</v>
      </c>
      <c r="AU1647" s="191">
        <v>0.71527777777777779</v>
      </c>
      <c r="AV1647" s="189">
        <v>1</v>
      </c>
      <c r="AW1647" s="189" t="s">
        <v>66</v>
      </c>
      <c r="AX1647" s="52"/>
      <c r="AY1647" s="52"/>
      <c r="AZ1647" s="52"/>
      <c r="BA1647" s="52"/>
    </row>
    <row r="1648" spans="1:53" x14ac:dyDescent="0.25">
      <c r="A1648" s="48">
        <v>440</v>
      </c>
      <c r="B1648" s="202">
        <v>44918.541666666664</v>
      </c>
      <c r="C1648" s="196">
        <v>0.54513888888888895</v>
      </c>
      <c r="D1648" s="196">
        <v>0.54861111111111105</v>
      </c>
      <c r="E1648" s="196">
        <v>0.5625</v>
      </c>
      <c r="F1648" s="197" t="s">
        <v>170</v>
      </c>
      <c r="G1648" s="197" t="s">
        <v>2944</v>
      </c>
      <c r="H1648" s="26" t="s">
        <v>46</v>
      </c>
      <c r="I1648" s="26" t="s">
        <v>110</v>
      </c>
      <c r="J1648" s="188" t="s">
        <v>41</v>
      </c>
      <c r="K1648" s="195" t="s">
        <v>63</v>
      </c>
      <c r="L1648" s="195" t="s">
        <v>214</v>
      </c>
      <c r="M1648" s="37" t="s">
        <v>4203</v>
      </c>
      <c r="N1648" s="37" t="s">
        <v>186</v>
      </c>
      <c r="O1648" s="37" t="s">
        <v>4201</v>
      </c>
      <c r="P1648" s="37" t="s">
        <v>4200</v>
      </c>
      <c r="Q1648" s="303">
        <f t="shared" si="146"/>
        <v>2</v>
      </c>
      <c r="R1648" s="303">
        <f t="shared" si="147"/>
        <v>347</v>
      </c>
      <c r="S1648" s="37">
        <v>0</v>
      </c>
      <c r="T1648" s="37">
        <v>0</v>
      </c>
      <c r="U1648" s="37">
        <v>2</v>
      </c>
      <c r="V1648" s="37">
        <f>193+154</f>
        <v>347</v>
      </c>
      <c r="W1648" s="37">
        <v>342.5</v>
      </c>
      <c r="X1648" s="37">
        <v>93</v>
      </c>
      <c r="Y1648" s="37">
        <v>50</v>
      </c>
      <c r="Z1648" s="37">
        <v>51</v>
      </c>
      <c r="AA1648" s="37">
        <v>1</v>
      </c>
      <c r="AB1648" s="300">
        <f t="shared" si="148"/>
        <v>39.524999999999999</v>
      </c>
      <c r="AC1648" s="300">
        <f t="shared" si="149"/>
        <v>0.2381024096385542</v>
      </c>
      <c r="AD1648" s="37" t="s">
        <v>48</v>
      </c>
      <c r="AE1648" s="197" t="s">
        <v>48</v>
      </c>
      <c r="AF1648" s="197" t="s">
        <v>317</v>
      </c>
      <c r="AG1648" s="197" t="s">
        <v>317</v>
      </c>
      <c r="AH1648" s="197" t="s">
        <v>4202</v>
      </c>
      <c r="AI1648" s="309"/>
      <c r="AJ1648" s="309"/>
      <c r="AK1648" s="37" t="s">
        <v>41</v>
      </c>
      <c r="AL1648" s="197" t="s">
        <v>54</v>
      </c>
      <c r="AM1648" s="299">
        <f t="shared" ca="1" si="145"/>
        <v>0.95486111111677019</v>
      </c>
      <c r="AN1648" s="51"/>
      <c r="AO1648" s="210" t="s">
        <v>131</v>
      </c>
      <c r="AP1648" s="211" t="s">
        <v>4303</v>
      </c>
      <c r="AQ1648" s="210" t="s">
        <v>4301</v>
      </c>
      <c r="AR1648" s="213">
        <v>44919.496527777781</v>
      </c>
      <c r="AS1648" s="210" t="s">
        <v>136</v>
      </c>
      <c r="AT1648" s="210" t="s">
        <v>225</v>
      </c>
      <c r="AU1648" s="212">
        <v>0.49652777777777773</v>
      </c>
      <c r="AV1648" s="210">
        <v>1</v>
      </c>
      <c r="AW1648" s="210" t="s">
        <v>66</v>
      </c>
      <c r="AX1648" s="52"/>
      <c r="AY1648" s="52"/>
      <c r="AZ1648" s="52"/>
      <c r="BA1648" s="52"/>
    </row>
    <row r="1649" spans="1:53" x14ac:dyDescent="0.25">
      <c r="A1649" s="312">
        <v>440</v>
      </c>
      <c r="B1649" s="202">
        <v>44918.541666666664</v>
      </c>
      <c r="C1649" s="196">
        <v>0.54513888888888895</v>
      </c>
      <c r="D1649" s="196">
        <v>0.54861111111111105</v>
      </c>
      <c r="E1649" s="196">
        <v>0.5625</v>
      </c>
      <c r="F1649" s="197" t="s">
        <v>170</v>
      </c>
      <c r="G1649" s="197" t="s">
        <v>2944</v>
      </c>
      <c r="H1649" s="188" t="s">
        <v>46</v>
      </c>
      <c r="I1649" s="188" t="s">
        <v>110</v>
      </c>
      <c r="J1649" s="188" t="s">
        <v>41</v>
      </c>
      <c r="K1649" s="195" t="s">
        <v>63</v>
      </c>
      <c r="L1649" s="195" t="s">
        <v>214</v>
      </c>
      <c r="M1649" s="197" t="s">
        <v>4203</v>
      </c>
      <c r="N1649" s="197" t="s">
        <v>186</v>
      </c>
      <c r="O1649" s="197" t="s">
        <v>4201</v>
      </c>
      <c r="P1649" s="197" t="s">
        <v>4200</v>
      </c>
      <c r="Q1649" s="303">
        <f t="shared" si="146"/>
        <v>0</v>
      </c>
      <c r="R1649" s="303">
        <f t="shared" si="147"/>
        <v>0</v>
      </c>
      <c r="S1649" s="197">
        <v>0</v>
      </c>
      <c r="T1649" s="197">
        <v>0</v>
      </c>
      <c r="U1649" s="197">
        <v>0</v>
      </c>
      <c r="V1649" s="197">
        <v>0</v>
      </c>
      <c r="W1649" s="197">
        <v>0</v>
      </c>
      <c r="X1649" s="37">
        <v>59</v>
      </c>
      <c r="Y1649" s="37">
        <v>58</v>
      </c>
      <c r="Z1649" s="37">
        <v>57</v>
      </c>
      <c r="AA1649" s="37">
        <v>1</v>
      </c>
      <c r="AB1649" s="300">
        <f t="shared" si="148"/>
        <v>32.509</v>
      </c>
      <c r="AC1649" s="300">
        <f t="shared" si="149"/>
        <v>0.19583734939759037</v>
      </c>
      <c r="AD1649" s="37">
        <v>0</v>
      </c>
      <c r="AE1649" s="37">
        <v>0</v>
      </c>
      <c r="AF1649" s="197" t="s">
        <v>317</v>
      </c>
      <c r="AG1649" s="197" t="s">
        <v>317</v>
      </c>
      <c r="AH1649" s="197" t="s">
        <v>4202</v>
      </c>
      <c r="AI1649" s="309"/>
      <c r="AJ1649" s="309"/>
      <c r="AK1649" s="197" t="s">
        <v>41</v>
      </c>
      <c r="AL1649" s="197" t="s">
        <v>54</v>
      </c>
      <c r="AM1649" s="299">
        <f t="shared" ca="1" si="145"/>
        <v>0.95486111111677019</v>
      </c>
      <c r="AN1649" s="51"/>
      <c r="AO1649" s="210" t="s">
        <v>131</v>
      </c>
      <c r="AP1649" s="211" t="s">
        <v>4303</v>
      </c>
      <c r="AQ1649" s="210" t="s">
        <v>4301</v>
      </c>
      <c r="AR1649" s="213">
        <v>44919.496527777781</v>
      </c>
      <c r="AS1649" s="210" t="s">
        <v>136</v>
      </c>
      <c r="AT1649" s="210" t="s">
        <v>225</v>
      </c>
      <c r="AU1649" s="212">
        <v>0.49652777777777773</v>
      </c>
      <c r="AV1649" s="210">
        <v>1</v>
      </c>
      <c r="AW1649" s="210" t="s">
        <v>66</v>
      </c>
      <c r="AX1649" s="52"/>
      <c r="AY1649" s="52"/>
      <c r="AZ1649" s="52"/>
      <c r="BA1649" s="52"/>
    </row>
    <row r="1650" spans="1:53" x14ac:dyDescent="0.25">
      <c r="A1650" s="48">
        <v>441</v>
      </c>
      <c r="B1650" s="202">
        <v>44918.541666666664</v>
      </c>
      <c r="C1650" s="196">
        <v>0.54513888888888895</v>
      </c>
      <c r="D1650" s="196">
        <v>0.54861111111111105</v>
      </c>
      <c r="E1650" s="196">
        <v>0.5625</v>
      </c>
      <c r="F1650" s="197" t="s">
        <v>170</v>
      </c>
      <c r="G1650" s="197" t="s">
        <v>2944</v>
      </c>
      <c r="H1650" s="188" t="s">
        <v>46</v>
      </c>
      <c r="I1650" s="26" t="s">
        <v>158</v>
      </c>
      <c r="J1650" s="188" t="s">
        <v>41</v>
      </c>
      <c r="K1650" s="195" t="s">
        <v>63</v>
      </c>
      <c r="L1650" s="195" t="s">
        <v>214</v>
      </c>
      <c r="M1650" s="37" t="s">
        <v>4199</v>
      </c>
      <c r="N1650" s="37" t="s">
        <v>158</v>
      </c>
      <c r="O1650" s="37" t="s">
        <v>4204</v>
      </c>
      <c r="P1650" s="37" t="s">
        <v>4205</v>
      </c>
      <c r="Q1650" s="303">
        <f t="shared" si="146"/>
        <v>3</v>
      </c>
      <c r="R1650" s="303">
        <f t="shared" si="147"/>
        <v>539</v>
      </c>
      <c r="S1650" s="37">
        <v>0</v>
      </c>
      <c r="T1650" s="37">
        <v>0</v>
      </c>
      <c r="U1650" s="37">
        <v>3</v>
      </c>
      <c r="V1650" s="37">
        <f>274+121+144</f>
        <v>539</v>
      </c>
      <c r="W1650" s="37">
        <v>549.5</v>
      </c>
      <c r="X1650" s="37">
        <v>93</v>
      </c>
      <c r="Y1650" s="37">
        <v>61</v>
      </c>
      <c r="Z1650" s="37">
        <v>70</v>
      </c>
      <c r="AA1650" s="37">
        <v>1</v>
      </c>
      <c r="AB1650" s="300">
        <f t="shared" si="148"/>
        <v>66.185000000000002</v>
      </c>
      <c r="AC1650" s="300">
        <f t="shared" si="149"/>
        <v>0.39870481927710844</v>
      </c>
      <c r="AD1650" s="197" t="s">
        <v>48</v>
      </c>
      <c r="AE1650" s="197" t="s">
        <v>48</v>
      </c>
      <c r="AF1650" s="197" t="s">
        <v>317</v>
      </c>
      <c r="AG1650" s="197" t="s">
        <v>317</v>
      </c>
      <c r="AH1650" s="37" t="s">
        <v>4206</v>
      </c>
      <c r="AI1650" s="309"/>
      <c r="AJ1650" s="309"/>
      <c r="AK1650" s="197" t="s">
        <v>41</v>
      </c>
      <c r="AL1650" s="197" t="s">
        <v>54</v>
      </c>
      <c r="AM1650" s="299">
        <f t="shared" ca="1" si="145"/>
        <v>0.95486111111677019</v>
      </c>
      <c r="AN1650" s="51"/>
      <c r="AO1650" s="210" t="s">
        <v>159</v>
      </c>
      <c r="AP1650" s="211" t="s">
        <v>4199</v>
      </c>
      <c r="AQ1650" s="210" t="s">
        <v>4300</v>
      </c>
      <c r="AR1650" s="213">
        <v>44919.496527777781</v>
      </c>
      <c r="AS1650" s="210" t="s">
        <v>136</v>
      </c>
      <c r="AT1650" s="210" t="s">
        <v>225</v>
      </c>
      <c r="AU1650" s="212">
        <v>0.49652777777777773</v>
      </c>
      <c r="AV1650" s="210">
        <v>1</v>
      </c>
      <c r="AW1650" s="210" t="s">
        <v>66</v>
      </c>
      <c r="AX1650" s="52"/>
      <c r="AY1650" s="52"/>
      <c r="AZ1650" s="52"/>
      <c r="BA1650" s="52"/>
    </row>
    <row r="1651" spans="1:53" x14ac:dyDescent="0.25">
      <c r="A1651" s="312">
        <v>441</v>
      </c>
      <c r="B1651" s="202">
        <v>44918.541666666664</v>
      </c>
      <c r="C1651" s="196">
        <v>0.54513888888888895</v>
      </c>
      <c r="D1651" s="196">
        <v>0.54861111111111105</v>
      </c>
      <c r="E1651" s="196">
        <v>0.5625</v>
      </c>
      <c r="F1651" s="197" t="s">
        <v>170</v>
      </c>
      <c r="G1651" s="197" t="s">
        <v>2944</v>
      </c>
      <c r="H1651" s="188" t="s">
        <v>46</v>
      </c>
      <c r="I1651" s="188" t="s">
        <v>158</v>
      </c>
      <c r="J1651" s="188" t="s">
        <v>41</v>
      </c>
      <c r="K1651" s="195" t="s">
        <v>63</v>
      </c>
      <c r="L1651" s="195" t="s">
        <v>214</v>
      </c>
      <c r="M1651" s="197" t="s">
        <v>4199</v>
      </c>
      <c r="N1651" s="197" t="s">
        <v>158</v>
      </c>
      <c r="O1651" s="197" t="s">
        <v>4204</v>
      </c>
      <c r="P1651" s="197" t="s">
        <v>4205</v>
      </c>
      <c r="Q1651" s="303">
        <f t="shared" si="146"/>
        <v>0</v>
      </c>
      <c r="R1651" s="303">
        <f t="shared" si="147"/>
        <v>0</v>
      </c>
      <c r="S1651" s="197">
        <v>0</v>
      </c>
      <c r="T1651" s="197">
        <v>0</v>
      </c>
      <c r="U1651" s="197">
        <v>0</v>
      </c>
      <c r="V1651" s="197">
        <v>0</v>
      </c>
      <c r="W1651" s="197">
        <v>0</v>
      </c>
      <c r="X1651" s="37">
        <v>71</v>
      </c>
      <c r="Y1651" s="37">
        <v>53</v>
      </c>
      <c r="Z1651" s="37">
        <v>62</v>
      </c>
      <c r="AA1651" s="37">
        <v>1</v>
      </c>
      <c r="AB1651" s="300">
        <f t="shared" si="148"/>
        <v>38.884333333333331</v>
      </c>
      <c r="AC1651" s="300">
        <f t="shared" si="149"/>
        <v>0.23424297188755019</v>
      </c>
      <c r="AD1651" s="37">
        <v>0</v>
      </c>
      <c r="AE1651" s="197">
        <v>0</v>
      </c>
      <c r="AF1651" s="197" t="s">
        <v>317</v>
      </c>
      <c r="AG1651" s="197" t="s">
        <v>317</v>
      </c>
      <c r="AH1651" s="197" t="s">
        <v>4206</v>
      </c>
      <c r="AI1651" s="309"/>
      <c r="AJ1651" s="309"/>
      <c r="AK1651" s="197" t="s">
        <v>41</v>
      </c>
      <c r="AL1651" s="197" t="s">
        <v>54</v>
      </c>
      <c r="AM1651" s="299">
        <f t="shared" ca="1" si="145"/>
        <v>0.95486111111677019</v>
      </c>
      <c r="AN1651" s="51"/>
      <c r="AO1651" s="210" t="s">
        <v>159</v>
      </c>
      <c r="AP1651" s="211" t="s">
        <v>4199</v>
      </c>
      <c r="AQ1651" s="210" t="s">
        <v>4300</v>
      </c>
      <c r="AR1651" s="213">
        <v>44919.496527777781</v>
      </c>
      <c r="AS1651" s="210" t="s">
        <v>136</v>
      </c>
      <c r="AT1651" s="210" t="s">
        <v>225</v>
      </c>
      <c r="AU1651" s="212">
        <v>0.49652777777777773</v>
      </c>
      <c r="AV1651" s="210">
        <v>1</v>
      </c>
      <c r="AW1651" s="210" t="s">
        <v>66</v>
      </c>
      <c r="AX1651" s="52"/>
      <c r="AY1651" s="52"/>
      <c r="AZ1651" s="52"/>
      <c r="BA1651" s="52"/>
    </row>
    <row r="1652" spans="1:53" x14ac:dyDescent="0.25">
      <c r="A1652" s="312">
        <v>441</v>
      </c>
      <c r="B1652" s="202">
        <v>44918.541666666664</v>
      </c>
      <c r="C1652" s="196">
        <v>0.54513888888888895</v>
      </c>
      <c r="D1652" s="196">
        <v>0.54861111111111105</v>
      </c>
      <c r="E1652" s="196">
        <v>0.5625</v>
      </c>
      <c r="F1652" s="197" t="s">
        <v>170</v>
      </c>
      <c r="G1652" s="197" t="s">
        <v>2944</v>
      </c>
      <c r="H1652" s="188" t="s">
        <v>46</v>
      </c>
      <c r="I1652" s="188" t="s">
        <v>158</v>
      </c>
      <c r="J1652" s="188" t="s">
        <v>41</v>
      </c>
      <c r="K1652" s="195" t="s">
        <v>63</v>
      </c>
      <c r="L1652" s="195" t="s">
        <v>214</v>
      </c>
      <c r="M1652" s="197" t="s">
        <v>4199</v>
      </c>
      <c r="N1652" s="197" t="s">
        <v>158</v>
      </c>
      <c r="O1652" s="197" t="s">
        <v>4204</v>
      </c>
      <c r="P1652" s="197" t="s">
        <v>4205</v>
      </c>
      <c r="Q1652" s="303">
        <f t="shared" si="146"/>
        <v>0</v>
      </c>
      <c r="R1652" s="303">
        <f t="shared" si="147"/>
        <v>0</v>
      </c>
      <c r="S1652" s="197">
        <v>0</v>
      </c>
      <c r="T1652" s="197">
        <v>0</v>
      </c>
      <c r="U1652" s="197">
        <v>0</v>
      </c>
      <c r="V1652" s="197">
        <v>0</v>
      </c>
      <c r="W1652" s="197">
        <v>0</v>
      </c>
      <c r="X1652" s="37">
        <v>59</v>
      </c>
      <c r="Y1652" s="37">
        <v>59</v>
      </c>
      <c r="Z1652" s="37">
        <v>58</v>
      </c>
      <c r="AA1652" s="37">
        <v>1</v>
      </c>
      <c r="AB1652" s="300">
        <f t="shared" si="148"/>
        <v>33.649666666666668</v>
      </c>
      <c r="AC1652" s="300">
        <f t="shared" si="149"/>
        <v>0.20270883534136547</v>
      </c>
      <c r="AD1652" s="37">
        <v>0</v>
      </c>
      <c r="AE1652" s="197">
        <v>0</v>
      </c>
      <c r="AF1652" s="197" t="s">
        <v>317</v>
      </c>
      <c r="AG1652" s="197" t="s">
        <v>317</v>
      </c>
      <c r="AH1652" s="197" t="s">
        <v>4206</v>
      </c>
      <c r="AI1652" s="309"/>
      <c r="AJ1652" s="309"/>
      <c r="AK1652" s="197" t="s">
        <v>41</v>
      </c>
      <c r="AL1652" s="197" t="s">
        <v>54</v>
      </c>
      <c r="AM1652" s="299">
        <f t="shared" ca="1" si="145"/>
        <v>0.95486111111677019</v>
      </c>
      <c r="AN1652" s="51"/>
      <c r="AO1652" s="210" t="s">
        <v>159</v>
      </c>
      <c r="AP1652" s="211" t="s">
        <v>4199</v>
      </c>
      <c r="AQ1652" s="210" t="s">
        <v>4300</v>
      </c>
      <c r="AR1652" s="213">
        <v>44919.496527777781</v>
      </c>
      <c r="AS1652" s="210" t="s">
        <v>136</v>
      </c>
      <c r="AT1652" s="210" t="s">
        <v>225</v>
      </c>
      <c r="AU1652" s="212">
        <v>0.49652777777777773</v>
      </c>
      <c r="AV1652" s="210">
        <v>1</v>
      </c>
      <c r="AW1652" s="210" t="s">
        <v>66</v>
      </c>
      <c r="AX1652" s="52"/>
      <c r="AY1652" s="52"/>
      <c r="AZ1652" s="52"/>
      <c r="BA1652" s="52"/>
    </row>
    <row r="1653" spans="1:53" x14ac:dyDescent="0.25">
      <c r="A1653" s="48">
        <v>442</v>
      </c>
      <c r="B1653" s="46">
        <v>44918.5625</v>
      </c>
      <c r="C1653" s="36">
        <v>0.5625</v>
      </c>
      <c r="D1653" s="36">
        <v>0.63194444444444442</v>
      </c>
      <c r="E1653" s="36">
        <v>0.65277777777777779</v>
      </c>
      <c r="F1653" s="37" t="s">
        <v>169</v>
      </c>
      <c r="G1653" s="37" t="s">
        <v>4207</v>
      </c>
      <c r="H1653" s="26" t="s">
        <v>4208</v>
      </c>
      <c r="I1653" s="26" t="s">
        <v>4209</v>
      </c>
      <c r="J1653" s="26" t="s">
        <v>37</v>
      </c>
      <c r="K1653" s="26" t="s">
        <v>233</v>
      </c>
      <c r="L1653" s="26">
        <v>0</v>
      </c>
      <c r="M1653" s="37" t="s">
        <v>4210</v>
      </c>
      <c r="N1653" s="37" t="s">
        <v>4211</v>
      </c>
      <c r="O1653" s="37">
        <v>4000020424</v>
      </c>
      <c r="P1653" s="37">
        <v>839064839</v>
      </c>
      <c r="Q1653" s="303">
        <f t="shared" si="146"/>
        <v>540</v>
      </c>
      <c r="R1653" s="303">
        <f t="shared" si="147"/>
        <v>2490</v>
      </c>
      <c r="S1653" s="37">
        <v>540</v>
      </c>
      <c r="T1653" s="37">
        <f>214-22+236-23+235-21+222-21+233-24+220-16+217-21+231-22+229-22+219-20+208-21+221-16+80-26</f>
        <v>2490</v>
      </c>
      <c r="U1653" s="37">
        <v>0</v>
      </c>
      <c r="V1653" s="37">
        <v>0</v>
      </c>
      <c r="W1653" s="37">
        <v>2457.498</v>
      </c>
      <c r="X1653" s="37">
        <v>58</v>
      </c>
      <c r="Y1653" s="37">
        <v>58</v>
      </c>
      <c r="Z1653" s="37">
        <v>15</v>
      </c>
      <c r="AA1653" s="37">
        <v>7</v>
      </c>
      <c r="AB1653" s="300">
        <f t="shared" si="148"/>
        <v>58.87</v>
      </c>
      <c r="AC1653" s="300">
        <f t="shared" si="149"/>
        <v>0.35463855421686746</v>
      </c>
      <c r="AD1653" s="37">
        <v>9009.5400000000009</v>
      </c>
      <c r="AE1653" s="37" t="s">
        <v>109</v>
      </c>
      <c r="AF1653" s="37">
        <v>6363432</v>
      </c>
      <c r="AG1653" s="37" t="s">
        <v>4182</v>
      </c>
      <c r="AH1653" s="37" t="s">
        <v>4212</v>
      </c>
      <c r="AI1653" s="309"/>
      <c r="AJ1653" s="309"/>
      <c r="AK1653" s="37" t="s">
        <v>48</v>
      </c>
      <c r="AL1653" s="37" t="s">
        <v>50</v>
      </c>
      <c r="AM1653" s="299">
        <f t="shared" ca="1" si="145"/>
        <v>0.95486111110949423</v>
      </c>
      <c r="AN1653" s="51"/>
      <c r="AO1653" s="210" t="s">
        <v>123</v>
      </c>
      <c r="AP1653" s="210" t="s">
        <v>4210</v>
      </c>
      <c r="AQ1653" s="210" t="s">
        <v>4305</v>
      </c>
      <c r="AR1653" s="213">
        <v>44919.517361111109</v>
      </c>
      <c r="AS1653" s="208" t="s">
        <v>512</v>
      </c>
      <c r="AT1653" s="210" t="s">
        <v>225</v>
      </c>
      <c r="AU1653" s="212">
        <v>0.51736111111111105</v>
      </c>
      <c r="AV1653" s="210">
        <v>1</v>
      </c>
      <c r="AW1653" s="210" t="s">
        <v>66</v>
      </c>
      <c r="AX1653" s="52"/>
      <c r="AY1653" s="52"/>
      <c r="AZ1653" s="52"/>
      <c r="BA1653" s="52"/>
    </row>
    <row r="1654" spans="1:53" x14ac:dyDescent="0.25">
      <c r="A1654" s="312">
        <v>442</v>
      </c>
      <c r="B1654" s="202">
        <v>44918.5625</v>
      </c>
      <c r="C1654" s="196">
        <v>0.5625</v>
      </c>
      <c r="D1654" s="196">
        <v>0.63194444444444442</v>
      </c>
      <c r="E1654" s="196">
        <v>0.65277777777777779</v>
      </c>
      <c r="F1654" s="197" t="s">
        <v>169</v>
      </c>
      <c r="G1654" s="197" t="s">
        <v>4207</v>
      </c>
      <c r="H1654" s="188" t="s">
        <v>4208</v>
      </c>
      <c r="I1654" s="188" t="s">
        <v>4209</v>
      </c>
      <c r="J1654" s="188" t="s">
        <v>37</v>
      </c>
      <c r="K1654" s="188" t="s">
        <v>233</v>
      </c>
      <c r="L1654" s="188">
        <v>0</v>
      </c>
      <c r="M1654" s="197" t="s">
        <v>4210</v>
      </c>
      <c r="N1654" s="197" t="s">
        <v>4211</v>
      </c>
      <c r="O1654" s="197">
        <v>4000020424</v>
      </c>
      <c r="P1654" s="197">
        <v>839064839</v>
      </c>
      <c r="Q1654" s="303">
        <f t="shared" si="146"/>
        <v>0</v>
      </c>
      <c r="R1654" s="303">
        <f t="shared" si="147"/>
        <v>0</v>
      </c>
      <c r="S1654" s="197">
        <v>0</v>
      </c>
      <c r="T1654" s="197">
        <v>0</v>
      </c>
      <c r="U1654" s="197">
        <v>0</v>
      </c>
      <c r="V1654" s="197">
        <v>0</v>
      </c>
      <c r="W1654" s="197">
        <v>0</v>
      </c>
      <c r="X1654" s="37">
        <v>57</v>
      </c>
      <c r="Y1654" s="37">
        <v>57</v>
      </c>
      <c r="Z1654" s="37">
        <v>13</v>
      </c>
      <c r="AA1654" s="37">
        <v>272</v>
      </c>
      <c r="AB1654" s="300">
        <f t="shared" si="148"/>
        <v>1914.7439999999999</v>
      </c>
      <c r="AC1654" s="300">
        <f t="shared" si="149"/>
        <v>11.534602409638554</v>
      </c>
      <c r="AD1654" s="37">
        <v>0</v>
      </c>
      <c r="AE1654" s="197">
        <v>0</v>
      </c>
      <c r="AF1654" s="197">
        <v>6363432</v>
      </c>
      <c r="AG1654" s="197" t="s">
        <v>4182</v>
      </c>
      <c r="AH1654" s="197" t="s">
        <v>4212</v>
      </c>
      <c r="AI1654" s="309"/>
      <c r="AJ1654" s="309"/>
      <c r="AK1654" s="197" t="s">
        <v>48</v>
      </c>
      <c r="AL1654" s="197" t="s">
        <v>50</v>
      </c>
      <c r="AM1654" s="299">
        <f t="shared" ca="1" si="145"/>
        <v>0.95486111110949423</v>
      </c>
      <c r="AN1654" s="51"/>
      <c r="AO1654" s="210" t="s">
        <v>123</v>
      </c>
      <c r="AP1654" s="210" t="s">
        <v>4210</v>
      </c>
      <c r="AQ1654" s="210" t="s">
        <v>4305</v>
      </c>
      <c r="AR1654" s="213">
        <v>44919.517361111109</v>
      </c>
      <c r="AS1654" s="208" t="s">
        <v>512</v>
      </c>
      <c r="AT1654" s="210" t="s">
        <v>225</v>
      </c>
      <c r="AU1654" s="212">
        <v>0.51736111111111105</v>
      </c>
      <c r="AV1654" s="210">
        <v>1</v>
      </c>
      <c r="AW1654" s="210" t="s">
        <v>66</v>
      </c>
      <c r="AX1654" s="52"/>
      <c r="AY1654" s="52"/>
      <c r="AZ1654" s="52"/>
      <c r="BA1654" s="52"/>
    </row>
    <row r="1655" spans="1:53" x14ac:dyDescent="0.25">
      <c r="A1655" s="312">
        <v>442</v>
      </c>
      <c r="B1655" s="202">
        <v>44918.5625</v>
      </c>
      <c r="C1655" s="196">
        <v>0.5625</v>
      </c>
      <c r="D1655" s="196">
        <v>0.63194444444444442</v>
      </c>
      <c r="E1655" s="196">
        <v>0.65277777777777779</v>
      </c>
      <c r="F1655" s="197" t="s">
        <v>169</v>
      </c>
      <c r="G1655" s="197" t="s">
        <v>4207</v>
      </c>
      <c r="H1655" s="188" t="s">
        <v>4208</v>
      </c>
      <c r="I1655" s="188" t="s">
        <v>4209</v>
      </c>
      <c r="J1655" s="188" t="s">
        <v>37</v>
      </c>
      <c r="K1655" s="188" t="s">
        <v>233</v>
      </c>
      <c r="L1655" s="188">
        <v>0</v>
      </c>
      <c r="M1655" s="197" t="s">
        <v>4210</v>
      </c>
      <c r="N1655" s="197" t="s">
        <v>4211</v>
      </c>
      <c r="O1655" s="197">
        <v>4000020424</v>
      </c>
      <c r="P1655" s="197">
        <v>839064839</v>
      </c>
      <c r="Q1655" s="303">
        <f t="shared" si="146"/>
        <v>0</v>
      </c>
      <c r="R1655" s="303">
        <f t="shared" si="147"/>
        <v>0</v>
      </c>
      <c r="S1655" s="197">
        <v>0</v>
      </c>
      <c r="T1655" s="197">
        <v>0</v>
      </c>
      <c r="U1655" s="197">
        <v>0</v>
      </c>
      <c r="V1655" s="197">
        <v>0</v>
      </c>
      <c r="W1655" s="197">
        <v>0</v>
      </c>
      <c r="X1655" s="37">
        <v>56</v>
      </c>
      <c r="Y1655" s="37">
        <v>56</v>
      </c>
      <c r="Z1655" s="37">
        <v>15</v>
      </c>
      <c r="AA1655" s="37">
        <v>261</v>
      </c>
      <c r="AB1655" s="300">
        <f t="shared" si="148"/>
        <v>2046.24</v>
      </c>
      <c r="AC1655" s="300">
        <f t="shared" si="149"/>
        <v>12.326746987951807</v>
      </c>
      <c r="AD1655" s="37">
        <v>0</v>
      </c>
      <c r="AE1655" s="197">
        <v>0</v>
      </c>
      <c r="AF1655" s="197">
        <v>6363432</v>
      </c>
      <c r="AG1655" s="197" t="s">
        <v>4182</v>
      </c>
      <c r="AH1655" s="197" t="s">
        <v>4212</v>
      </c>
      <c r="AI1655" s="309"/>
      <c r="AJ1655" s="309"/>
      <c r="AK1655" s="197" t="s">
        <v>48</v>
      </c>
      <c r="AL1655" s="197" t="s">
        <v>50</v>
      </c>
      <c r="AM1655" s="299">
        <f t="shared" ca="1" si="145"/>
        <v>0.95486111110949423</v>
      </c>
      <c r="AN1655" s="51"/>
      <c r="AO1655" s="210" t="s">
        <v>123</v>
      </c>
      <c r="AP1655" s="210" t="s">
        <v>4210</v>
      </c>
      <c r="AQ1655" s="210" t="s">
        <v>4305</v>
      </c>
      <c r="AR1655" s="213">
        <v>44919.517361111109</v>
      </c>
      <c r="AS1655" s="208" t="s">
        <v>512</v>
      </c>
      <c r="AT1655" s="210" t="s">
        <v>225</v>
      </c>
      <c r="AU1655" s="212">
        <v>0.51736111111111105</v>
      </c>
      <c r="AV1655" s="210">
        <v>1</v>
      </c>
      <c r="AW1655" s="210" t="s">
        <v>66</v>
      </c>
      <c r="AX1655" s="52"/>
      <c r="AY1655" s="52"/>
      <c r="AZ1655" s="52"/>
      <c r="BA1655" s="52"/>
    </row>
    <row r="1656" spans="1:53" x14ac:dyDescent="0.25">
      <c r="A1656" s="48">
        <v>443</v>
      </c>
      <c r="B1656" s="46">
        <v>44918.625</v>
      </c>
      <c r="C1656" s="36">
        <v>0.63194444444444442</v>
      </c>
      <c r="D1656" s="36">
        <v>0.63888888888888895</v>
      </c>
      <c r="E1656" s="36">
        <v>0.68402777777777779</v>
      </c>
      <c r="F1656" s="37" t="s">
        <v>170</v>
      </c>
      <c r="G1656" s="37" t="s">
        <v>435</v>
      </c>
      <c r="H1656" s="26" t="s">
        <v>227</v>
      </c>
      <c r="I1656" s="26" t="s">
        <v>189</v>
      </c>
      <c r="J1656" s="188" t="s">
        <v>37</v>
      </c>
      <c r="K1656" s="195" t="s">
        <v>63</v>
      </c>
      <c r="L1656" s="200" t="s">
        <v>206</v>
      </c>
      <c r="M1656" s="37" t="s">
        <v>4213</v>
      </c>
      <c r="N1656" s="37" t="s">
        <v>42</v>
      </c>
      <c r="O1656" s="197">
        <v>1139</v>
      </c>
      <c r="P1656" s="37">
        <v>3719</v>
      </c>
      <c r="Q1656" s="303">
        <f t="shared" si="146"/>
        <v>8</v>
      </c>
      <c r="R1656" s="303">
        <f t="shared" si="147"/>
        <v>149</v>
      </c>
      <c r="S1656" s="37">
        <v>8</v>
      </c>
      <c r="T1656" s="198">
        <f>169-20</f>
        <v>149</v>
      </c>
      <c r="U1656" s="37">
        <v>0</v>
      </c>
      <c r="V1656" s="37">
        <v>0</v>
      </c>
      <c r="W1656" s="198">
        <v>80.8</v>
      </c>
      <c r="X1656" s="37">
        <v>83</v>
      </c>
      <c r="Y1656" s="37">
        <v>52</v>
      </c>
      <c r="Z1656" s="37">
        <v>63</v>
      </c>
      <c r="AA1656" s="37">
        <v>8</v>
      </c>
      <c r="AB1656" s="300">
        <f t="shared" si="148"/>
        <v>362.54399999999998</v>
      </c>
      <c r="AC1656" s="300">
        <f t="shared" si="149"/>
        <v>2.1839999999999997</v>
      </c>
      <c r="AD1656" s="37" t="s">
        <v>48</v>
      </c>
      <c r="AE1656" s="197" t="s">
        <v>48</v>
      </c>
      <c r="AF1656" s="37" t="s">
        <v>317</v>
      </c>
      <c r="AG1656" s="37" t="s">
        <v>317</v>
      </c>
      <c r="AH1656" s="37" t="s">
        <v>4214</v>
      </c>
      <c r="AI1656" s="309"/>
      <c r="AJ1656" s="309"/>
      <c r="AK1656" s="37" t="s">
        <v>48</v>
      </c>
      <c r="AL1656" s="37" t="s">
        <v>56</v>
      </c>
      <c r="AM1656" s="299">
        <f t="shared" ca="1" si="145"/>
        <v>1.03125</v>
      </c>
      <c r="AN1656" s="51"/>
      <c r="AO1656" s="210" t="s">
        <v>89</v>
      </c>
      <c r="AP1656" s="211" t="s">
        <v>4213</v>
      </c>
      <c r="AQ1656" s="210" t="s">
        <v>4313</v>
      </c>
      <c r="AR1656" s="213">
        <v>44919.65625</v>
      </c>
      <c r="AS1656" s="208" t="s">
        <v>173</v>
      </c>
      <c r="AT1656" s="210" t="s">
        <v>225</v>
      </c>
      <c r="AU1656" s="212">
        <v>0.65625</v>
      </c>
      <c r="AV1656" s="210">
        <v>2</v>
      </c>
      <c r="AW1656" s="210" t="s">
        <v>66</v>
      </c>
      <c r="AX1656" s="52"/>
      <c r="AY1656" s="52"/>
      <c r="AZ1656" s="52"/>
      <c r="BA1656" s="52"/>
    </row>
    <row r="1657" spans="1:53" x14ac:dyDescent="0.25">
      <c r="A1657" s="48">
        <v>444</v>
      </c>
      <c r="B1657" s="202">
        <v>44918.625</v>
      </c>
      <c r="C1657" s="196">
        <v>0.63194444444444442</v>
      </c>
      <c r="D1657" s="196">
        <v>0.63888888888888895</v>
      </c>
      <c r="E1657" s="196">
        <v>0.68402777777777779</v>
      </c>
      <c r="F1657" s="197" t="s">
        <v>170</v>
      </c>
      <c r="G1657" s="197" t="s">
        <v>435</v>
      </c>
      <c r="H1657" s="188" t="s">
        <v>227</v>
      </c>
      <c r="I1657" s="188" t="s">
        <v>189</v>
      </c>
      <c r="J1657" s="188" t="s">
        <v>37</v>
      </c>
      <c r="K1657" s="195" t="s">
        <v>63</v>
      </c>
      <c r="L1657" s="200" t="s">
        <v>206</v>
      </c>
      <c r="M1657" s="37" t="s">
        <v>4215</v>
      </c>
      <c r="N1657" s="37" t="s">
        <v>43</v>
      </c>
      <c r="O1657" s="37" t="s">
        <v>4250</v>
      </c>
      <c r="P1657" s="37">
        <v>31786</v>
      </c>
      <c r="Q1657" s="303">
        <f t="shared" si="146"/>
        <v>12</v>
      </c>
      <c r="R1657" s="303">
        <f t="shared" si="147"/>
        <v>525</v>
      </c>
      <c r="S1657" s="37">
        <v>10</v>
      </c>
      <c r="T1657" s="37">
        <f>179-15</f>
        <v>164</v>
      </c>
      <c r="U1657" s="37">
        <v>2</v>
      </c>
      <c r="V1657" s="37">
        <f>115+246</f>
        <v>361</v>
      </c>
      <c r="W1657" s="37">
        <v>424</v>
      </c>
      <c r="X1657" s="37">
        <v>160</v>
      </c>
      <c r="Y1657" s="37">
        <v>47</v>
      </c>
      <c r="Z1657" s="37">
        <v>79</v>
      </c>
      <c r="AA1657" s="37">
        <v>1</v>
      </c>
      <c r="AB1657" s="300">
        <f t="shared" si="148"/>
        <v>99.013333333333335</v>
      </c>
      <c r="AC1657" s="300">
        <f t="shared" si="149"/>
        <v>0.59646586345381525</v>
      </c>
      <c r="AD1657" s="197" t="s">
        <v>48</v>
      </c>
      <c r="AE1657" s="197" t="s">
        <v>48</v>
      </c>
      <c r="AF1657" s="197" t="s">
        <v>317</v>
      </c>
      <c r="AG1657" s="197" t="s">
        <v>317</v>
      </c>
      <c r="AH1657" s="37" t="s">
        <v>4216</v>
      </c>
      <c r="AI1657" s="309"/>
      <c r="AJ1657" s="309"/>
      <c r="AK1657" s="37" t="s">
        <v>37</v>
      </c>
      <c r="AL1657" s="197" t="s">
        <v>56</v>
      </c>
      <c r="AM1657" s="299">
        <f t="shared" ca="1" si="145"/>
        <v>0.94444444444525288</v>
      </c>
      <c r="AN1657" s="51"/>
      <c r="AO1657" s="210" t="s">
        <v>179</v>
      </c>
      <c r="AP1657" s="211" t="s">
        <v>4215</v>
      </c>
      <c r="AQ1657" s="210" t="s">
        <v>4307</v>
      </c>
      <c r="AR1657" s="213">
        <v>44919.569444444445</v>
      </c>
      <c r="AS1657" s="208" t="s">
        <v>293</v>
      </c>
      <c r="AT1657" s="210" t="s">
        <v>65</v>
      </c>
      <c r="AU1657" s="212">
        <v>0.56944444444444442</v>
      </c>
      <c r="AV1657" s="210">
        <v>1</v>
      </c>
      <c r="AW1657" s="210" t="s">
        <v>66</v>
      </c>
      <c r="AX1657" s="52"/>
      <c r="AY1657" s="52"/>
      <c r="AZ1657" s="52"/>
      <c r="BA1657" s="52"/>
    </row>
    <row r="1658" spans="1:53" x14ac:dyDescent="0.25">
      <c r="A1658" s="312">
        <v>444</v>
      </c>
      <c r="B1658" s="202">
        <v>44918.625</v>
      </c>
      <c r="C1658" s="196">
        <v>0.63194444444444442</v>
      </c>
      <c r="D1658" s="196">
        <v>0.63888888888888895</v>
      </c>
      <c r="E1658" s="196">
        <v>0.68402777777777779</v>
      </c>
      <c r="F1658" s="197" t="s">
        <v>170</v>
      </c>
      <c r="G1658" s="197" t="s">
        <v>435</v>
      </c>
      <c r="H1658" s="188" t="s">
        <v>227</v>
      </c>
      <c r="I1658" s="188" t="s">
        <v>189</v>
      </c>
      <c r="J1658" s="188" t="s">
        <v>37</v>
      </c>
      <c r="K1658" s="195" t="s">
        <v>63</v>
      </c>
      <c r="L1658" s="200" t="s">
        <v>206</v>
      </c>
      <c r="M1658" s="197" t="s">
        <v>4215</v>
      </c>
      <c r="N1658" s="197" t="s">
        <v>43</v>
      </c>
      <c r="O1658" s="197" t="s">
        <v>4250</v>
      </c>
      <c r="P1658" s="197">
        <v>31786</v>
      </c>
      <c r="Q1658" s="303">
        <f t="shared" si="146"/>
        <v>0</v>
      </c>
      <c r="R1658" s="303">
        <f t="shared" si="147"/>
        <v>0</v>
      </c>
      <c r="S1658" s="197">
        <v>0</v>
      </c>
      <c r="T1658" s="197">
        <v>0</v>
      </c>
      <c r="U1658" s="197">
        <v>0</v>
      </c>
      <c r="V1658" s="197">
        <v>0</v>
      </c>
      <c r="W1658" s="197">
        <v>0</v>
      </c>
      <c r="X1658" s="37">
        <v>160</v>
      </c>
      <c r="Y1658" s="37">
        <v>138</v>
      </c>
      <c r="Z1658" s="37">
        <v>79</v>
      </c>
      <c r="AA1658" s="37">
        <v>1</v>
      </c>
      <c r="AB1658" s="300">
        <f t="shared" si="148"/>
        <v>290.72000000000003</v>
      </c>
      <c r="AC1658" s="300">
        <f t="shared" si="149"/>
        <v>1.7513253012048196</v>
      </c>
      <c r="AD1658" s="37">
        <v>0</v>
      </c>
      <c r="AE1658" s="197">
        <v>0</v>
      </c>
      <c r="AF1658" s="197" t="s">
        <v>317</v>
      </c>
      <c r="AG1658" s="197" t="s">
        <v>317</v>
      </c>
      <c r="AH1658" s="197" t="s">
        <v>4216</v>
      </c>
      <c r="AI1658" s="309"/>
      <c r="AJ1658" s="309"/>
      <c r="AK1658" s="197" t="s">
        <v>37</v>
      </c>
      <c r="AL1658" s="197" t="s">
        <v>56</v>
      </c>
      <c r="AM1658" s="299">
        <f t="shared" ca="1" si="145"/>
        <v>0.94444444444525288</v>
      </c>
      <c r="AN1658" s="51"/>
      <c r="AO1658" s="210" t="s">
        <v>179</v>
      </c>
      <c r="AP1658" s="211" t="s">
        <v>4215</v>
      </c>
      <c r="AQ1658" s="210" t="s">
        <v>4307</v>
      </c>
      <c r="AR1658" s="213">
        <v>44919.569444444445</v>
      </c>
      <c r="AS1658" s="208" t="s">
        <v>293</v>
      </c>
      <c r="AT1658" s="210" t="s">
        <v>65</v>
      </c>
      <c r="AU1658" s="212">
        <v>0.56944444444444442</v>
      </c>
      <c r="AV1658" s="210">
        <v>1</v>
      </c>
      <c r="AW1658" s="210" t="s">
        <v>66</v>
      </c>
      <c r="AX1658" s="52"/>
      <c r="AY1658" s="52"/>
      <c r="AZ1658" s="52"/>
      <c r="BA1658" s="52"/>
    </row>
    <row r="1659" spans="1:53" x14ac:dyDescent="0.25">
      <c r="A1659" s="312">
        <v>444</v>
      </c>
      <c r="B1659" s="202">
        <v>44918.625</v>
      </c>
      <c r="C1659" s="196">
        <v>0.63194444444444442</v>
      </c>
      <c r="D1659" s="196">
        <v>0.63888888888888895</v>
      </c>
      <c r="E1659" s="196">
        <v>0.68402777777777779</v>
      </c>
      <c r="F1659" s="197" t="s">
        <v>170</v>
      </c>
      <c r="G1659" s="197" t="s">
        <v>435</v>
      </c>
      <c r="H1659" s="188" t="s">
        <v>227</v>
      </c>
      <c r="I1659" s="188" t="s">
        <v>189</v>
      </c>
      <c r="J1659" s="188" t="s">
        <v>37</v>
      </c>
      <c r="K1659" s="195" t="s">
        <v>63</v>
      </c>
      <c r="L1659" s="200" t="s">
        <v>206</v>
      </c>
      <c r="M1659" s="197" t="s">
        <v>4215</v>
      </c>
      <c r="N1659" s="197" t="s">
        <v>43</v>
      </c>
      <c r="O1659" s="197" t="s">
        <v>4250</v>
      </c>
      <c r="P1659" s="197">
        <v>31786</v>
      </c>
      <c r="Q1659" s="303">
        <f t="shared" si="146"/>
        <v>0</v>
      </c>
      <c r="R1659" s="303">
        <f t="shared" si="147"/>
        <v>0</v>
      </c>
      <c r="S1659" s="197">
        <v>0</v>
      </c>
      <c r="T1659" s="197">
        <v>0</v>
      </c>
      <c r="U1659" s="197">
        <v>0</v>
      </c>
      <c r="V1659" s="197">
        <v>0</v>
      </c>
      <c r="W1659" s="197">
        <v>0</v>
      </c>
      <c r="X1659" s="37">
        <v>90</v>
      </c>
      <c r="Y1659" s="37">
        <v>35</v>
      </c>
      <c r="Z1659" s="37">
        <v>50</v>
      </c>
      <c r="AA1659" s="37">
        <v>3</v>
      </c>
      <c r="AB1659" s="300">
        <f t="shared" si="148"/>
        <v>78.75</v>
      </c>
      <c r="AC1659" s="300">
        <f t="shared" si="149"/>
        <v>0.4743975903614458</v>
      </c>
      <c r="AD1659" s="37">
        <v>0</v>
      </c>
      <c r="AE1659" s="197">
        <v>0</v>
      </c>
      <c r="AF1659" s="197" t="s">
        <v>317</v>
      </c>
      <c r="AG1659" s="197" t="s">
        <v>317</v>
      </c>
      <c r="AH1659" s="197" t="s">
        <v>4216</v>
      </c>
      <c r="AI1659" s="309"/>
      <c r="AJ1659" s="309"/>
      <c r="AK1659" s="197" t="s">
        <v>48</v>
      </c>
      <c r="AL1659" s="197" t="s">
        <v>56</v>
      </c>
      <c r="AM1659" s="299">
        <f t="shared" ca="1" si="145"/>
        <v>0.94444444444525288</v>
      </c>
      <c r="AN1659" s="51"/>
      <c r="AO1659" s="210" t="s">
        <v>179</v>
      </c>
      <c r="AP1659" s="211" t="s">
        <v>4215</v>
      </c>
      <c r="AQ1659" s="210" t="s">
        <v>4307</v>
      </c>
      <c r="AR1659" s="213">
        <v>44919.569444444445</v>
      </c>
      <c r="AS1659" s="208" t="s">
        <v>293</v>
      </c>
      <c r="AT1659" s="210" t="s">
        <v>65</v>
      </c>
      <c r="AU1659" s="212">
        <v>0.56944444444444442</v>
      </c>
      <c r="AV1659" s="210">
        <v>1</v>
      </c>
      <c r="AW1659" s="210" t="s">
        <v>66</v>
      </c>
      <c r="AX1659" s="52"/>
      <c r="AY1659" s="52"/>
      <c r="AZ1659" s="52"/>
      <c r="BA1659" s="52"/>
    </row>
    <row r="1660" spans="1:53" x14ac:dyDescent="0.25">
      <c r="A1660" s="312">
        <v>444</v>
      </c>
      <c r="B1660" s="202">
        <v>44918.625</v>
      </c>
      <c r="C1660" s="196">
        <v>0.63194444444444442</v>
      </c>
      <c r="D1660" s="196">
        <v>0.63888888888888895</v>
      </c>
      <c r="E1660" s="196">
        <v>0.68402777777777779</v>
      </c>
      <c r="F1660" s="197" t="s">
        <v>170</v>
      </c>
      <c r="G1660" s="197" t="s">
        <v>435</v>
      </c>
      <c r="H1660" s="188" t="s">
        <v>227</v>
      </c>
      <c r="I1660" s="188" t="s">
        <v>189</v>
      </c>
      <c r="J1660" s="188" t="s">
        <v>37</v>
      </c>
      <c r="K1660" s="195" t="s">
        <v>63</v>
      </c>
      <c r="L1660" s="200" t="s">
        <v>206</v>
      </c>
      <c r="M1660" s="197" t="s">
        <v>4215</v>
      </c>
      <c r="N1660" s="197" t="s">
        <v>43</v>
      </c>
      <c r="O1660" s="197" t="s">
        <v>4250</v>
      </c>
      <c r="P1660" s="197">
        <v>31786</v>
      </c>
      <c r="Q1660" s="303">
        <f t="shared" si="146"/>
        <v>0</v>
      </c>
      <c r="R1660" s="303">
        <f t="shared" si="147"/>
        <v>0</v>
      </c>
      <c r="S1660" s="197">
        <v>0</v>
      </c>
      <c r="T1660" s="197">
        <v>0</v>
      </c>
      <c r="U1660" s="197">
        <v>0</v>
      </c>
      <c r="V1660" s="197">
        <v>0</v>
      </c>
      <c r="W1660" s="197">
        <v>0</v>
      </c>
      <c r="X1660" s="37">
        <v>83</v>
      </c>
      <c r="Y1660" s="37">
        <v>52</v>
      </c>
      <c r="Z1660" s="37">
        <v>63</v>
      </c>
      <c r="AA1660" s="37">
        <v>7</v>
      </c>
      <c r="AB1660" s="300">
        <f t="shared" si="148"/>
        <v>317.226</v>
      </c>
      <c r="AC1660" s="300">
        <f t="shared" si="149"/>
        <v>1.911</v>
      </c>
      <c r="AD1660" s="37">
        <v>0</v>
      </c>
      <c r="AE1660" s="197">
        <v>0</v>
      </c>
      <c r="AF1660" s="197" t="s">
        <v>317</v>
      </c>
      <c r="AG1660" s="197" t="s">
        <v>317</v>
      </c>
      <c r="AH1660" s="197" t="s">
        <v>4216</v>
      </c>
      <c r="AI1660" s="309"/>
      <c r="AJ1660" s="309"/>
      <c r="AK1660" s="197" t="s">
        <v>48</v>
      </c>
      <c r="AL1660" s="197" t="s">
        <v>56</v>
      </c>
      <c r="AM1660" s="299">
        <f t="shared" ca="1" si="145"/>
        <v>0.94444444444525288</v>
      </c>
      <c r="AN1660" s="51"/>
      <c r="AO1660" s="210" t="s">
        <v>179</v>
      </c>
      <c r="AP1660" s="211" t="s">
        <v>4215</v>
      </c>
      <c r="AQ1660" s="210" t="s">
        <v>4307</v>
      </c>
      <c r="AR1660" s="213">
        <v>44919.569444444445</v>
      </c>
      <c r="AS1660" s="208" t="s">
        <v>293</v>
      </c>
      <c r="AT1660" s="210" t="s">
        <v>65</v>
      </c>
      <c r="AU1660" s="212">
        <v>0.56944444444444442</v>
      </c>
      <c r="AV1660" s="210">
        <v>1</v>
      </c>
      <c r="AW1660" s="210" t="s">
        <v>66</v>
      </c>
      <c r="AX1660" s="52"/>
      <c r="AY1660" s="52"/>
      <c r="AZ1660" s="52"/>
      <c r="BA1660" s="52"/>
    </row>
    <row r="1661" spans="1:53" ht="15.75" thickBot="1" x14ac:dyDescent="0.3">
      <c r="A1661" s="48">
        <v>445</v>
      </c>
      <c r="B1661" s="202">
        <v>44918.625</v>
      </c>
      <c r="C1661" s="196">
        <v>0.63194444444444442</v>
      </c>
      <c r="D1661" s="196">
        <v>0.63888888888888895</v>
      </c>
      <c r="E1661" s="196">
        <v>0.68402777777777779</v>
      </c>
      <c r="F1661" s="197" t="s">
        <v>170</v>
      </c>
      <c r="G1661" s="197" t="s">
        <v>435</v>
      </c>
      <c r="H1661" s="188" t="s">
        <v>227</v>
      </c>
      <c r="I1661" s="188" t="s">
        <v>189</v>
      </c>
      <c r="J1661" s="188" t="s">
        <v>37</v>
      </c>
      <c r="K1661" s="195" t="s">
        <v>63</v>
      </c>
      <c r="L1661" s="200" t="s">
        <v>206</v>
      </c>
      <c r="M1661" s="197" t="s">
        <v>4215</v>
      </c>
      <c r="N1661" s="197" t="s">
        <v>43</v>
      </c>
      <c r="O1661" s="37" t="s">
        <v>4251</v>
      </c>
      <c r="P1661" s="37">
        <v>28955</v>
      </c>
      <c r="Q1661" s="303">
        <f t="shared" si="146"/>
        <v>1</v>
      </c>
      <c r="R1661" s="303">
        <f t="shared" si="147"/>
        <v>272</v>
      </c>
      <c r="S1661" s="37">
        <v>0</v>
      </c>
      <c r="T1661" s="37">
        <v>0</v>
      </c>
      <c r="U1661" s="37">
        <v>1</v>
      </c>
      <c r="V1661" s="37">
        <v>272</v>
      </c>
      <c r="W1661" s="37">
        <v>257.36</v>
      </c>
      <c r="X1661" s="37">
        <v>160</v>
      </c>
      <c r="Y1661" s="37">
        <v>74</v>
      </c>
      <c r="Z1661" s="37">
        <v>79</v>
      </c>
      <c r="AA1661" s="37">
        <v>1</v>
      </c>
      <c r="AB1661" s="300">
        <f t="shared" si="148"/>
        <v>155.89333333333335</v>
      </c>
      <c r="AC1661" s="300">
        <f t="shared" si="149"/>
        <v>0.93911646586345388</v>
      </c>
      <c r="AD1661" s="197" t="s">
        <v>48</v>
      </c>
      <c r="AE1661" s="197" t="s">
        <v>48</v>
      </c>
      <c r="AF1661" s="197" t="s">
        <v>317</v>
      </c>
      <c r="AG1661" s="197" t="s">
        <v>317</v>
      </c>
      <c r="AH1661" s="37" t="s">
        <v>4217</v>
      </c>
      <c r="AI1661" s="309"/>
      <c r="AJ1661" s="309"/>
      <c r="AK1661" s="37" t="s">
        <v>37</v>
      </c>
      <c r="AL1661" s="197" t="s">
        <v>56</v>
      </c>
      <c r="AM1661" s="299">
        <f t="shared" ca="1" si="145"/>
        <v>0.94444444444525288</v>
      </c>
      <c r="AN1661" s="51"/>
      <c r="AO1661" s="210" t="s">
        <v>179</v>
      </c>
      <c r="AP1661" s="211" t="s">
        <v>4215</v>
      </c>
      <c r="AQ1661" s="210" t="s">
        <v>4307</v>
      </c>
      <c r="AR1661" s="213">
        <v>44919.569444444445</v>
      </c>
      <c r="AS1661" s="208" t="s">
        <v>293</v>
      </c>
      <c r="AT1661" s="210" t="s">
        <v>65</v>
      </c>
      <c r="AU1661" s="212">
        <v>0.56944444444444442</v>
      </c>
      <c r="AV1661" s="210">
        <v>1</v>
      </c>
      <c r="AW1661" s="210" t="s">
        <v>66</v>
      </c>
      <c r="AX1661" s="52"/>
      <c r="AY1661" s="52"/>
      <c r="AZ1661" s="52"/>
      <c r="BA1661" s="52"/>
    </row>
    <row r="1662" spans="1:53" ht="15.75" thickBot="1" x14ac:dyDescent="0.3">
      <c r="A1662" s="48">
        <v>446</v>
      </c>
      <c r="B1662" s="202">
        <v>44918.75</v>
      </c>
      <c r="C1662" s="196">
        <v>0.75694444444444453</v>
      </c>
      <c r="D1662" s="196">
        <v>0.75694444444444453</v>
      </c>
      <c r="E1662" s="196">
        <v>0.77777777777777779</v>
      </c>
      <c r="F1662" s="197" t="s">
        <v>170</v>
      </c>
      <c r="G1662" s="197" t="s">
        <v>4218</v>
      </c>
      <c r="H1662" s="195" t="s">
        <v>57</v>
      </c>
      <c r="I1662" s="195" t="s">
        <v>231</v>
      </c>
      <c r="J1662" s="195" t="s">
        <v>37</v>
      </c>
      <c r="K1662" s="195" t="s">
        <v>63</v>
      </c>
      <c r="L1662" s="195" t="s">
        <v>209</v>
      </c>
      <c r="M1662" s="197" t="s">
        <v>4219</v>
      </c>
      <c r="N1662" s="197" t="s">
        <v>44</v>
      </c>
      <c r="O1662" s="197" t="s">
        <v>4220</v>
      </c>
      <c r="P1662" s="197">
        <v>81986706</v>
      </c>
      <c r="Q1662" s="303">
        <f t="shared" si="146"/>
        <v>4</v>
      </c>
      <c r="R1662" s="303">
        <f t="shared" si="147"/>
        <v>1076</v>
      </c>
      <c r="S1662" s="197">
        <v>0</v>
      </c>
      <c r="T1662" s="197">
        <v>0</v>
      </c>
      <c r="U1662" s="197">
        <v>4</v>
      </c>
      <c r="V1662" s="197">
        <v>1076</v>
      </c>
      <c r="W1662" s="197">
        <v>1061</v>
      </c>
      <c r="X1662" s="197">
        <v>185</v>
      </c>
      <c r="Y1662" s="197">
        <v>84</v>
      </c>
      <c r="Z1662" s="197">
        <v>92</v>
      </c>
      <c r="AA1662" s="197">
        <v>3</v>
      </c>
      <c r="AB1662" s="300">
        <f t="shared" si="148"/>
        <v>714.84</v>
      </c>
      <c r="AC1662" s="300">
        <f t="shared" si="149"/>
        <v>4.306265060240964</v>
      </c>
      <c r="AD1662" s="197">
        <v>98504.5</v>
      </c>
      <c r="AE1662" s="197" t="s">
        <v>109</v>
      </c>
      <c r="AF1662" s="197" t="s">
        <v>317</v>
      </c>
      <c r="AG1662" s="197" t="s">
        <v>317</v>
      </c>
      <c r="AH1662" s="197" t="s">
        <v>4221</v>
      </c>
      <c r="AI1662" s="309"/>
      <c r="AJ1662" s="309"/>
      <c r="AK1662" s="197" t="s">
        <v>37</v>
      </c>
      <c r="AL1662" s="197" t="s">
        <v>56</v>
      </c>
      <c r="AM1662" s="299">
        <f t="shared" ca="1" si="145"/>
        <v>3.125E-2</v>
      </c>
      <c r="AN1662" s="207"/>
      <c r="AO1662" s="189" t="s">
        <v>53</v>
      </c>
      <c r="AP1662" s="190" t="s">
        <v>4219</v>
      </c>
      <c r="AQ1662" s="189" t="s">
        <v>243</v>
      </c>
      <c r="AR1662" s="192">
        <v>44918.78125</v>
      </c>
      <c r="AS1662" s="186" t="s">
        <v>385</v>
      </c>
      <c r="AT1662" s="189" t="s">
        <v>65</v>
      </c>
      <c r="AU1662" s="191">
        <v>0.78125</v>
      </c>
      <c r="AV1662" s="189">
        <v>1</v>
      </c>
      <c r="AW1662" s="189" t="s">
        <v>152</v>
      </c>
      <c r="AX1662" s="52"/>
      <c r="AY1662" s="52"/>
      <c r="AZ1662" s="52"/>
      <c r="BA1662" s="52"/>
    </row>
    <row r="1663" spans="1:53" ht="15.75" thickBot="1" x14ac:dyDescent="0.3">
      <c r="A1663" s="312">
        <v>446</v>
      </c>
      <c r="B1663" s="202">
        <v>44918.75</v>
      </c>
      <c r="C1663" s="196">
        <v>0.75694444444444453</v>
      </c>
      <c r="D1663" s="196">
        <v>0.75694444444444453</v>
      </c>
      <c r="E1663" s="196">
        <v>0.77777777777777779</v>
      </c>
      <c r="F1663" s="197" t="s">
        <v>170</v>
      </c>
      <c r="G1663" s="197" t="s">
        <v>4218</v>
      </c>
      <c r="H1663" s="195" t="s">
        <v>57</v>
      </c>
      <c r="I1663" s="195" t="s">
        <v>231</v>
      </c>
      <c r="J1663" s="195" t="s">
        <v>37</v>
      </c>
      <c r="K1663" s="195" t="s">
        <v>63</v>
      </c>
      <c r="L1663" s="195" t="s">
        <v>209</v>
      </c>
      <c r="M1663" s="197" t="s">
        <v>4219</v>
      </c>
      <c r="N1663" s="197" t="s">
        <v>44</v>
      </c>
      <c r="O1663" s="197" t="s">
        <v>4220</v>
      </c>
      <c r="P1663" s="197">
        <v>81986706</v>
      </c>
      <c r="Q1663" s="303">
        <f t="shared" si="146"/>
        <v>0</v>
      </c>
      <c r="R1663" s="303">
        <f t="shared" si="147"/>
        <v>0</v>
      </c>
      <c r="S1663" s="197">
        <v>0</v>
      </c>
      <c r="T1663" s="197">
        <v>0</v>
      </c>
      <c r="U1663" s="197">
        <v>0</v>
      </c>
      <c r="V1663" s="197">
        <v>0</v>
      </c>
      <c r="W1663" s="197">
        <v>0</v>
      </c>
      <c r="X1663" s="197">
        <v>108</v>
      </c>
      <c r="Y1663" s="197">
        <v>83</v>
      </c>
      <c r="Z1663" s="197">
        <v>75</v>
      </c>
      <c r="AA1663" s="197">
        <v>1</v>
      </c>
      <c r="AB1663" s="300">
        <f t="shared" si="148"/>
        <v>112.05</v>
      </c>
      <c r="AC1663" s="300">
        <f t="shared" si="149"/>
        <v>0.67499999999999993</v>
      </c>
      <c r="AD1663" s="197">
        <v>0</v>
      </c>
      <c r="AE1663" s="197">
        <v>0</v>
      </c>
      <c r="AF1663" s="197" t="s">
        <v>317</v>
      </c>
      <c r="AG1663" s="197" t="s">
        <v>317</v>
      </c>
      <c r="AH1663" s="197" t="s">
        <v>4221</v>
      </c>
      <c r="AI1663" s="309"/>
      <c r="AJ1663" s="309"/>
      <c r="AK1663" s="197" t="s">
        <v>37</v>
      </c>
      <c r="AL1663" s="197" t="s">
        <v>56</v>
      </c>
      <c r="AM1663" s="299">
        <f t="shared" ca="1" si="145"/>
        <v>3.125E-2</v>
      </c>
      <c r="AN1663" s="207"/>
      <c r="AO1663" s="189" t="s">
        <v>53</v>
      </c>
      <c r="AP1663" s="190" t="s">
        <v>4219</v>
      </c>
      <c r="AQ1663" s="189" t="s">
        <v>243</v>
      </c>
      <c r="AR1663" s="192">
        <v>44918.78125</v>
      </c>
      <c r="AS1663" s="186" t="s">
        <v>385</v>
      </c>
      <c r="AT1663" s="189" t="s">
        <v>65</v>
      </c>
      <c r="AU1663" s="191">
        <v>0.78125</v>
      </c>
      <c r="AV1663" s="189">
        <v>1</v>
      </c>
      <c r="AW1663" s="189" t="s">
        <v>152</v>
      </c>
      <c r="AX1663" s="52"/>
      <c r="AY1663" s="52"/>
      <c r="AZ1663" s="52"/>
      <c r="BA1663" s="52"/>
    </row>
    <row r="1664" spans="1:53" ht="15.75" thickBot="1" x14ac:dyDescent="0.3">
      <c r="A1664" s="48">
        <v>447</v>
      </c>
      <c r="B1664" s="202">
        <v>44918.75</v>
      </c>
      <c r="C1664" s="196">
        <v>0.75694444444444453</v>
      </c>
      <c r="D1664" s="196">
        <v>0.75694444444444453</v>
      </c>
      <c r="E1664" s="196">
        <v>0.77777777777777779</v>
      </c>
      <c r="F1664" s="197" t="s">
        <v>170</v>
      </c>
      <c r="G1664" s="197" t="s">
        <v>4218</v>
      </c>
      <c r="H1664" s="195" t="s">
        <v>57</v>
      </c>
      <c r="I1664" s="195" t="s">
        <v>162</v>
      </c>
      <c r="J1664" s="195" t="s">
        <v>37</v>
      </c>
      <c r="K1664" s="195" t="s">
        <v>63</v>
      </c>
      <c r="L1664" s="195" t="s">
        <v>209</v>
      </c>
      <c r="M1664" s="197" t="s">
        <v>4222</v>
      </c>
      <c r="N1664" s="197" t="s">
        <v>158</v>
      </c>
      <c r="O1664" s="197" t="s">
        <v>4223</v>
      </c>
      <c r="P1664" s="197">
        <v>81967319</v>
      </c>
      <c r="Q1664" s="303">
        <f t="shared" si="146"/>
        <v>1</v>
      </c>
      <c r="R1664" s="303">
        <f t="shared" si="147"/>
        <v>586</v>
      </c>
      <c r="S1664" s="197">
        <v>0</v>
      </c>
      <c r="T1664" s="197">
        <v>0</v>
      </c>
      <c r="U1664" s="197">
        <v>1</v>
      </c>
      <c r="V1664" s="197">
        <v>586</v>
      </c>
      <c r="W1664" s="197">
        <v>580</v>
      </c>
      <c r="X1664" s="197">
        <v>123</v>
      </c>
      <c r="Y1664" s="197">
        <v>83</v>
      </c>
      <c r="Z1664" s="197">
        <v>91</v>
      </c>
      <c r="AA1664" s="197">
        <v>1</v>
      </c>
      <c r="AB1664" s="300">
        <f t="shared" si="148"/>
        <v>154.8365</v>
      </c>
      <c r="AC1664" s="300">
        <f t="shared" si="149"/>
        <v>0.93274999999999997</v>
      </c>
      <c r="AD1664" s="197">
        <v>3943.24</v>
      </c>
      <c r="AE1664" s="197" t="s">
        <v>109</v>
      </c>
      <c r="AF1664" s="197" t="s">
        <v>317</v>
      </c>
      <c r="AG1664" s="197" t="s">
        <v>317</v>
      </c>
      <c r="AH1664" s="197" t="s">
        <v>4224</v>
      </c>
      <c r="AI1664" s="309"/>
      <c r="AJ1664" s="309"/>
      <c r="AK1664" s="197" t="s">
        <v>41</v>
      </c>
      <c r="AL1664" s="197" t="s">
        <v>56</v>
      </c>
      <c r="AM1664" s="299">
        <f t="shared" ca="1" si="145"/>
        <v>0.74652777778101154</v>
      </c>
      <c r="AN1664" s="207"/>
      <c r="AO1664" s="210" t="s">
        <v>159</v>
      </c>
      <c r="AP1664" s="211" t="s">
        <v>4222</v>
      </c>
      <c r="AQ1664" s="210" t="s">
        <v>4300</v>
      </c>
      <c r="AR1664" s="213">
        <v>44919.496527777781</v>
      </c>
      <c r="AS1664" s="210" t="s">
        <v>136</v>
      </c>
      <c r="AT1664" s="210" t="s">
        <v>225</v>
      </c>
      <c r="AU1664" s="212">
        <v>0.49652777777777773</v>
      </c>
      <c r="AV1664" s="210">
        <v>1</v>
      </c>
      <c r="AW1664" s="210" t="s">
        <v>66</v>
      </c>
      <c r="AX1664" s="52"/>
      <c r="AY1664" s="52"/>
      <c r="AZ1664" s="52"/>
      <c r="BA1664" s="52"/>
    </row>
    <row r="1665" spans="1:53" x14ac:dyDescent="0.25">
      <c r="A1665" s="48">
        <v>448</v>
      </c>
      <c r="B1665" s="46">
        <v>44918.770833333336</v>
      </c>
      <c r="C1665" s="36">
        <v>0.77430555555555547</v>
      </c>
      <c r="D1665" s="36">
        <v>0.77777777777777779</v>
      </c>
      <c r="E1665" s="36">
        <v>0.78472222222222221</v>
      </c>
      <c r="F1665" s="37" t="s">
        <v>171</v>
      </c>
      <c r="G1665" s="37" t="s">
        <v>101</v>
      </c>
      <c r="H1665" s="26" t="s">
        <v>75</v>
      </c>
      <c r="I1665" s="26" t="s">
        <v>110</v>
      </c>
      <c r="J1665" s="188" t="s">
        <v>37</v>
      </c>
      <c r="K1665" s="195" t="s">
        <v>180</v>
      </c>
      <c r="L1665" s="200" t="s">
        <v>209</v>
      </c>
      <c r="M1665" s="37" t="s">
        <v>4225</v>
      </c>
      <c r="N1665" s="37" t="s">
        <v>283</v>
      </c>
      <c r="O1665" s="37" t="s">
        <v>4226</v>
      </c>
      <c r="P1665" s="37">
        <v>21018972</v>
      </c>
      <c r="Q1665" s="303">
        <f t="shared" si="146"/>
        <v>1</v>
      </c>
      <c r="R1665" s="303">
        <f t="shared" si="147"/>
        <v>149</v>
      </c>
      <c r="S1665" s="37">
        <v>0</v>
      </c>
      <c r="T1665" s="37">
        <v>0</v>
      </c>
      <c r="U1665" s="37">
        <v>1</v>
      </c>
      <c r="V1665" s="37">
        <v>149</v>
      </c>
      <c r="W1665" s="37">
        <v>147</v>
      </c>
      <c r="X1665" s="37">
        <v>70</v>
      </c>
      <c r="Y1665" s="37">
        <v>70</v>
      </c>
      <c r="Z1665" s="37">
        <v>66</v>
      </c>
      <c r="AA1665" s="37">
        <v>1</v>
      </c>
      <c r="AB1665" s="300">
        <f t="shared" si="148"/>
        <v>53.9</v>
      </c>
      <c r="AC1665" s="300">
        <f t="shared" si="149"/>
        <v>0.32469879518072287</v>
      </c>
      <c r="AD1665" s="37">
        <v>1765.92</v>
      </c>
      <c r="AE1665" s="197" t="s">
        <v>109</v>
      </c>
      <c r="AF1665" s="197" t="s">
        <v>3432</v>
      </c>
      <c r="AG1665" s="197" t="s">
        <v>3432</v>
      </c>
      <c r="AH1665" s="37" t="s">
        <v>4227</v>
      </c>
      <c r="AI1665" s="309"/>
      <c r="AJ1665" s="309"/>
      <c r="AK1665" s="37" t="s">
        <v>37</v>
      </c>
      <c r="AL1665" s="37" t="s">
        <v>49</v>
      </c>
      <c r="AM1665" s="299">
        <f t="shared" ca="1" si="145"/>
        <v>2.9409722222189885</v>
      </c>
      <c r="AN1665" s="51"/>
      <c r="AO1665" s="210" t="s">
        <v>202</v>
      </c>
      <c r="AP1665" s="211" t="s">
        <v>4225</v>
      </c>
      <c r="AQ1665" s="210" t="s">
        <v>4371</v>
      </c>
      <c r="AR1665" s="213">
        <v>44921.711805555555</v>
      </c>
      <c r="AS1665" s="210" t="s">
        <v>1203</v>
      </c>
      <c r="AT1665" s="210" t="s">
        <v>225</v>
      </c>
      <c r="AU1665" s="59">
        <v>0.71180555555555547</v>
      </c>
      <c r="AV1665" s="210">
        <v>1</v>
      </c>
      <c r="AW1665" s="210" t="s">
        <v>66</v>
      </c>
      <c r="AX1665" s="52"/>
      <c r="AY1665" s="52"/>
      <c r="AZ1665" s="52"/>
      <c r="BA1665" s="52"/>
    </row>
    <row r="1666" spans="1:53" x14ac:dyDescent="0.25">
      <c r="A1666" s="48">
        <v>449</v>
      </c>
      <c r="B1666" s="46">
        <v>44918.770833333336</v>
      </c>
      <c r="C1666" s="36">
        <v>0.77430555555555547</v>
      </c>
      <c r="D1666" s="36">
        <v>0.78125</v>
      </c>
      <c r="E1666" s="36">
        <v>0.78819444444444453</v>
      </c>
      <c r="F1666" s="197" t="s">
        <v>171</v>
      </c>
      <c r="G1666" s="37" t="s">
        <v>200</v>
      </c>
      <c r="H1666" s="26" t="s">
        <v>4228</v>
      </c>
      <c r="I1666" s="188" t="s">
        <v>4228</v>
      </c>
      <c r="J1666" s="188" t="s">
        <v>37</v>
      </c>
      <c r="K1666" s="195" t="s">
        <v>180</v>
      </c>
      <c r="L1666" s="26">
        <v>0</v>
      </c>
      <c r="M1666" s="37" t="s">
        <v>4229</v>
      </c>
      <c r="N1666" s="37" t="s">
        <v>42</v>
      </c>
      <c r="O1666" s="37" t="s">
        <v>4230</v>
      </c>
      <c r="P1666" s="37" t="s">
        <v>4231</v>
      </c>
      <c r="Q1666" s="303">
        <f t="shared" si="146"/>
        <v>3</v>
      </c>
      <c r="R1666" s="303">
        <f t="shared" si="147"/>
        <v>63</v>
      </c>
      <c r="S1666" s="37">
        <v>3</v>
      </c>
      <c r="T1666" s="37">
        <f>79-16</f>
        <v>63</v>
      </c>
      <c r="U1666" s="37">
        <v>0</v>
      </c>
      <c r="V1666" s="37">
        <v>0</v>
      </c>
      <c r="W1666" s="37">
        <v>70</v>
      </c>
      <c r="X1666" s="37">
        <v>43</v>
      </c>
      <c r="Y1666" s="37">
        <v>37</v>
      </c>
      <c r="Z1666" s="37">
        <v>33</v>
      </c>
      <c r="AA1666" s="37">
        <v>3</v>
      </c>
      <c r="AB1666" s="300">
        <f t="shared" si="148"/>
        <v>26.2515</v>
      </c>
      <c r="AC1666" s="300">
        <f t="shared" si="149"/>
        <v>0.15814156626506023</v>
      </c>
      <c r="AD1666" s="37">
        <v>3169</v>
      </c>
      <c r="AE1666" s="37" t="s">
        <v>109</v>
      </c>
      <c r="AF1666" s="197" t="s">
        <v>3432</v>
      </c>
      <c r="AG1666" s="197" t="s">
        <v>3432</v>
      </c>
      <c r="AH1666" s="37" t="s">
        <v>4232</v>
      </c>
      <c r="AI1666" s="309"/>
      <c r="AJ1666" s="309"/>
      <c r="AK1666" s="37" t="s">
        <v>48</v>
      </c>
      <c r="AL1666" s="37" t="s">
        <v>50</v>
      </c>
      <c r="AM1666" s="299">
        <f t="shared" ca="1" si="145"/>
        <v>2.9409722222189885</v>
      </c>
      <c r="AN1666" s="51"/>
      <c r="AO1666" s="210" t="s">
        <v>79</v>
      </c>
      <c r="AP1666" s="211" t="s">
        <v>4229</v>
      </c>
      <c r="AQ1666" s="210" t="s">
        <v>4367</v>
      </c>
      <c r="AR1666" s="213">
        <v>44921.711805555555</v>
      </c>
      <c r="AS1666" s="210" t="s">
        <v>1203</v>
      </c>
      <c r="AT1666" s="210" t="s">
        <v>225</v>
      </c>
      <c r="AU1666" s="59">
        <v>0.71180555555555547</v>
      </c>
      <c r="AV1666" s="210">
        <v>1</v>
      </c>
      <c r="AW1666" s="210" t="s">
        <v>66</v>
      </c>
      <c r="AX1666" s="52"/>
      <c r="AY1666" s="52"/>
      <c r="AZ1666" s="52"/>
      <c r="BA1666" s="52"/>
    </row>
    <row r="1667" spans="1:53" x14ac:dyDescent="0.25">
      <c r="A1667" s="48">
        <v>450</v>
      </c>
      <c r="B1667" s="202">
        <v>44918.8125</v>
      </c>
      <c r="C1667" s="36">
        <v>0.81597222222222221</v>
      </c>
      <c r="D1667" s="36">
        <v>0.81944444444444453</v>
      </c>
      <c r="E1667" s="36">
        <v>0.82638888888888884</v>
      </c>
      <c r="F1667" s="37" t="s">
        <v>171</v>
      </c>
      <c r="G1667" s="37" t="s">
        <v>293</v>
      </c>
      <c r="H1667" s="26" t="s">
        <v>195</v>
      </c>
      <c r="I1667" s="26" t="s">
        <v>195</v>
      </c>
      <c r="J1667" s="188" t="s">
        <v>37</v>
      </c>
      <c r="K1667" s="195" t="s">
        <v>180</v>
      </c>
      <c r="L1667" s="200" t="s">
        <v>209</v>
      </c>
      <c r="M1667" s="37" t="s">
        <v>4246</v>
      </c>
      <c r="N1667" s="197" t="s">
        <v>42</v>
      </c>
      <c r="O1667" s="37" t="s">
        <v>4247</v>
      </c>
      <c r="P1667" s="37">
        <v>2101103105</v>
      </c>
      <c r="Q1667" s="303">
        <f t="shared" si="146"/>
        <v>4</v>
      </c>
      <c r="R1667" s="303">
        <f t="shared" si="147"/>
        <v>898</v>
      </c>
      <c r="S1667" s="37">
        <v>0</v>
      </c>
      <c r="T1667" s="37">
        <v>0</v>
      </c>
      <c r="U1667" s="37">
        <v>4</v>
      </c>
      <c r="V1667" s="37">
        <f>190+264+180+264</f>
        <v>898</v>
      </c>
      <c r="W1667" s="37">
        <v>890.99900000000002</v>
      </c>
      <c r="X1667" s="37">
        <v>114</v>
      </c>
      <c r="Y1667" s="37">
        <v>80</v>
      </c>
      <c r="Z1667" s="37">
        <v>112</v>
      </c>
      <c r="AA1667" s="37">
        <v>1</v>
      </c>
      <c r="AB1667" s="300">
        <f t="shared" si="148"/>
        <v>170.24</v>
      </c>
      <c r="AC1667" s="300">
        <f t="shared" si="149"/>
        <v>1.0255421686746988</v>
      </c>
      <c r="AD1667" s="37">
        <v>37176.959999999999</v>
      </c>
      <c r="AE1667" s="197" t="s">
        <v>109</v>
      </c>
      <c r="AF1667" s="197" t="s">
        <v>3432</v>
      </c>
      <c r="AG1667" s="197" t="s">
        <v>3432</v>
      </c>
      <c r="AH1667" s="37" t="s">
        <v>4248</v>
      </c>
      <c r="AI1667" s="309"/>
      <c r="AJ1667" s="309"/>
      <c r="AK1667" s="37" t="s">
        <v>41</v>
      </c>
      <c r="AL1667" s="37" t="s">
        <v>54</v>
      </c>
      <c r="AM1667" s="299">
        <f t="shared" ca="1" si="145"/>
        <v>0.84375</v>
      </c>
      <c r="AN1667" s="51"/>
      <c r="AO1667" s="210" t="s">
        <v>128</v>
      </c>
      <c r="AP1667" s="211" t="s">
        <v>4246</v>
      </c>
      <c r="AQ1667" s="210" t="s">
        <v>4312</v>
      </c>
      <c r="AR1667" s="213">
        <v>44919.65625</v>
      </c>
      <c r="AS1667" s="208" t="s">
        <v>173</v>
      </c>
      <c r="AT1667" s="210" t="s">
        <v>225</v>
      </c>
      <c r="AU1667" s="212">
        <v>0.65625</v>
      </c>
      <c r="AV1667" s="210">
        <v>2</v>
      </c>
      <c r="AW1667" s="210" t="s">
        <v>66</v>
      </c>
      <c r="AX1667" s="52"/>
      <c r="AY1667" s="52"/>
      <c r="AZ1667" s="52"/>
      <c r="BA1667" s="52"/>
    </row>
    <row r="1668" spans="1:53" x14ac:dyDescent="0.25">
      <c r="A1668" s="312">
        <v>450</v>
      </c>
      <c r="B1668" s="202">
        <v>44918.8125</v>
      </c>
      <c r="C1668" s="196">
        <v>0.81597222222222221</v>
      </c>
      <c r="D1668" s="196">
        <v>0.81944444444444453</v>
      </c>
      <c r="E1668" s="196">
        <v>0.82638888888888884</v>
      </c>
      <c r="F1668" s="197" t="s">
        <v>171</v>
      </c>
      <c r="G1668" s="197" t="s">
        <v>293</v>
      </c>
      <c r="H1668" s="188" t="s">
        <v>195</v>
      </c>
      <c r="I1668" s="188" t="s">
        <v>195</v>
      </c>
      <c r="J1668" s="188" t="s">
        <v>37</v>
      </c>
      <c r="K1668" s="195" t="s">
        <v>180</v>
      </c>
      <c r="L1668" s="200" t="s">
        <v>209</v>
      </c>
      <c r="M1668" s="197" t="s">
        <v>4246</v>
      </c>
      <c r="N1668" s="197" t="s">
        <v>42</v>
      </c>
      <c r="O1668" s="197" t="s">
        <v>4247</v>
      </c>
      <c r="P1668" s="197">
        <v>2101103105</v>
      </c>
      <c r="Q1668" s="303">
        <f t="shared" si="146"/>
        <v>0</v>
      </c>
      <c r="R1668" s="303">
        <f t="shared" si="147"/>
        <v>0</v>
      </c>
      <c r="S1668" s="197">
        <v>0</v>
      </c>
      <c r="T1668" s="197">
        <v>0</v>
      </c>
      <c r="U1668" s="197">
        <v>0</v>
      </c>
      <c r="V1668" s="197">
        <v>0</v>
      </c>
      <c r="W1668" s="197">
        <v>0</v>
      </c>
      <c r="X1668" s="37">
        <v>114</v>
      </c>
      <c r="Y1668" s="37">
        <v>80</v>
      </c>
      <c r="Z1668" s="37">
        <v>117</v>
      </c>
      <c r="AA1668" s="37">
        <v>2</v>
      </c>
      <c r="AB1668" s="300">
        <f t="shared" si="148"/>
        <v>355.68</v>
      </c>
      <c r="AC1668" s="300">
        <f t="shared" si="149"/>
        <v>2.1426506024096388</v>
      </c>
      <c r="AD1668" s="37">
        <v>0</v>
      </c>
      <c r="AE1668" s="197">
        <v>0</v>
      </c>
      <c r="AF1668" s="197" t="s">
        <v>3432</v>
      </c>
      <c r="AG1668" s="197" t="s">
        <v>3432</v>
      </c>
      <c r="AH1668" s="197" t="s">
        <v>4248</v>
      </c>
      <c r="AI1668" s="309"/>
      <c r="AJ1668" s="309"/>
      <c r="AK1668" s="197" t="s">
        <v>41</v>
      </c>
      <c r="AL1668" s="197" t="s">
        <v>54</v>
      </c>
      <c r="AM1668" s="299">
        <f t="shared" ca="1" si="145"/>
        <v>0.84375</v>
      </c>
      <c r="AN1668" s="51"/>
      <c r="AO1668" s="210" t="s">
        <v>128</v>
      </c>
      <c r="AP1668" s="211" t="s">
        <v>4246</v>
      </c>
      <c r="AQ1668" s="210" t="s">
        <v>4312</v>
      </c>
      <c r="AR1668" s="213">
        <v>44919.65625</v>
      </c>
      <c r="AS1668" s="208" t="s">
        <v>173</v>
      </c>
      <c r="AT1668" s="210" t="s">
        <v>225</v>
      </c>
      <c r="AU1668" s="212">
        <v>0.65625</v>
      </c>
      <c r="AV1668" s="210">
        <v>2</v>
      </c>
      <c r="AW1668" s="210" t="s">
        <v>66</v>
      </c>
      <c r="AX1668" s="52"/>
      <c r="AY1668" s="52"/>
      <c r="AZ1668" s="52"/>
      <c r="BA1668" s="52"/>
    </row>
    <row r="1669" spans="1:53" x14ac:dyDescent="0.25">
      <c r="A1669" s="312">
        <v>450</v>
      </c>
      <c r="B1669" s="202">
        <v>44918.8125</v>
      </c>
      <c r="C1669" s="196">
        <v>0.81597222222222221</v>
      </c>
      <c r="D1669" s="196">
        <v>0.81944444444444453</v>
      </c>
      <c r="E1669" s="196">
        <v>0.82638888888888884</v>
      </c>
      <c r="F1669" s="197" t="s">
        <v>171</v>
      </c>
      <c r="G1669" s="197" t="s">
        <v>293</v>
      </c>
      <c r="H1669" s="188" t="s">
        <v>195</v>
      </c>
      <c r="I1669" s="188" t="s">
        <v>195</v>
      </c>
      <c r="J1669" s="188" t="s">
        <v>37</v>
      </c>
      <c r="K1669" s="195" t="s">
        <v>180</v>
      </c>
      <c r="L1669" s="200" t="s">
        <v>209</v>
      </c>
      <c r="M1669" s="197" t="s">
        <v>4246</v>
      </c>
      <c r="N1669" s="197" t="s">
        <v>42</v>
      </c>
      <c r="O1669" s="197" t="s">
        <v>4247</v>
      </c>
      <c r="P1669" s="197">
        <v>2101103105</v>
      </c>
      <c r="Q1669" s="303">
        <f t="shared" si="146"/>
        <v>0</v>
      </c>
      <c r="R1669" s="303">
        <f t="shared" si="147"/>
        <v>0</v>
      </c>
      <c r="S1669" s="197">
        <v>0</v>
      </c>
      <c r="T1669" s="197">
        <v>0</v>
      </c>
      <c r="U1669" s="197">
        <v>0</v>
      </c>
      <c r="V1669" s="197">
        <v>0</v>
      </c>
      <c r="W1669" s="197">
        <v>0</v>
      </c>
      <c r="X1669" s="37">
        <v>114</v>
      </c>
      <c r="Y1669" s="37">
        <v>80</v>
      </c>
      <c r="Z1669" s="37">
        <v>83</v>
      </c>
      <c r="AA1669" s="37">
        <v>1</v>
      </c>
      <c r="AB1669" s="300">
        <f t="shared" si="148"/>
        <v>126.16</v>
      </c>
      <c r="AC1669" s="300">
        <f t="shared" si="149"/>
        <v>0.76</v>
      </c>
      <c r="AD1669" s="197">
        <v>0</v>
      </c>
      <c r="AE1669" s="197">
        <v>0</v>
      </c>
      <c r="AF1669" s="197" t="s">
        <v>3432</v>
      </c>
      <c r="AG1669" s="197" t="s">
        <v>3432</v>
      </c>
      <c r="AH1669" s="197" t="s">
        <v>4248</v>
      </c>
      <c r="AI1669" s="309"/>
      <c r="AJ1669" s="309"/>
      <c r="AK1669" s="197" t="s">
        <v>41</v>
      </c>
      <c r="AL1669" s="197" t="s">
        <v>54</v>
      </c>
      <c r="AM1669" s="299">
        <f t="shared" ca="1" si="145"/>
        <v>0.84375</v>
      </c>
      <c r="AN1669" s="51"/>
      <c r="AO1669" s="210" t="s">
        <v>128</v>
      </c>
      <c r="AP1669" s="211" t="s">
        <v>4246</v>
      </c>
      <c r="AQ1669" s="210" t="s">
        <v>4312</v>
      </c>
      <c r="AR1669" s="213">
        <v>44919.65625</v>
      </c>
      <c r="AS1669" s="208" t="s">
        <v>173</v>
      </c>
      <c r="AT1669" s="210" t="s">
        <v>225</v>
      </c>
      <c r="AU1669" s="212">
        <v>0.65625</v>
      </c>
      <c r="AV1669" s="210">
        <v>2</v>
      </c>
      <c r="AW1669" s="210" t="s">
        <v>66</v>
      </c>
      <c r="AX1669" s="52"/>
      <c r="AY1669" s="52"/>
      <c r="AZ1669" s="52"/>
      <c r="BA1669" s="52"/>
    </row>
    <row r="1670" spans="1:53" x14ac:dyDescent="0.25">
      <c r="A1670" s="48">
        <v>451</v>
      </c>
      <c r="B1670" s="46">
        <v>44918.819444444445</v>
      </c>
      <c r="C1670" s="36">
        <v>0.81944444444444453</v>
      </c>
      <c r="D1670" s="36">
        <v>0.82291666666666663</v>
      </c>
      <c r="E1670" s="36">
        <v>0.82986111111111116</v>
      </c>
      <c r="F1670" s="197" t="s">
        <v>171</v>
      </c>
      <c r="G1670" s="37" t="s">
        <v>95</v>
      </c>
      <c r="H1670" s="26" t="s">
        <v>45</v>
      </c>
      <c r="I1670" s="26" t="s">
        <v>141</v>
      </c>
      <c r="J1670" s="188" t="s">
        <v>37</v>
      </c>
      <c r="K1670" s="195" t="s">
        <v>63</v>
      </c>
      <c r="L1670" s="195" t="s">
        <v>215</v>
      </c>
      <c r="M1670" s="37" t="s">
        <v>4249</v>
      </c>
      <c r="N1670" s="37" t="s">
        <v>42</v>
      </c>
      <c r="O1670" s="37">
        <v>1500649</v>
      </c>
      <c r="P1670" s="37">
        <v>5050062</v>
      </c>
      <c r="Q1670" s="303">
        <f t="shared" si="146"/>
        <v>2</v>
      </c>
      <c r="R1670" s="303">
        <f t="shared" si="147"/>
        <v>262</v>
      </c>
      <c r="S1670" s="37">
        <v>0</v>
      </c>
      <c r="T1670" s="37">
        <v>0</v>
      </c>
      <c r="U1670" s="37">
        <v>2</v>
      </c>
      <c r="V1670" s="37">
        <v>262</v>
      </c>
      <c r="W1670" s="37">
        <v>250.7</v>
      </c>
      <c r="X1670" s="37">
        <v>66</v>
      </c>
      <c r="Y1670" s="37">
        <v>36</v>
      </c>
      <c r="Z1670" s="37">
        <v>34</v>
      </c>
      <c r="AA1670" s="37">
        <v>1</v>
      </c>
      <c r="AB1670" s="300">
        <f t="shared" si="148"/>
        <v>13.464</v>
      </c>
      <c r="AC1670" s="300">
        <f t="shared" si="149"/>
        <v>8.1108433734939755E-2</v>
      </c>
      <c r="AD1670" s="37">
        <v>2931.4</v>
      </c>
      <c r="AE1670" s="37" t="s">
        <v>109</v>
      </c>
      <c r="AF1670" s="37" t="s">
        <v>317</v>
      </c>
      <c r="AG1670" s="197" t="s">
        <v>317</v>
      </c>
      <c r="AH1670" s="37">
        <v>0</v>
      </c>
      <c r="AI1670" s="309"/>
      <c r="AJ1670" s="309"/>
      <c r="AK1670" s="37" t="s">
        <v>37</v>
      </c>
      <c r="AL1670" s="37" t="s">
        <v>49</v>
      </c>
      <c r="AM1670" s="299">
        <f t="shared" ca="1" si="145"/>
        <v>3.5972222222189885</v>
      </c>
      <c r="AN1670" s="51"/>
      <c r="AO1670" s="230" t="s">
        <v>78</v>
      </c>
      <c r="AP1670" s="231" t="s">
        <v>4249</v>
      </c>
      <c r="AQ1670" s="230" t="s">
        <v>4390</v>
      </c>
      <c r="AR1670" s="233">
        <v>44922.416666666664</v>
      </c>
      <c r="AS1670" s="228" t="s">
        <v>483</v>
      </c>
      <c r="AT1670" s="230" t="s">
        <v>225</v>
      </c>
      <c r="AU1670" s="232">
        <v>0.41666666666666669</v>
      </c>
      <c r="AV1670" s="230">
        <v>1</v>
      </c>
      <c r="AW1670" s="230" t="s">
        <v>66</v>
      </c>
      <c r="AX1670" s="52"/>
      <c r="AY1670" s="52"/>
      <c r="AZ1670" s="52"/>
      <c r="BA1670" s="52"/>
    </row>
    <row r="1671" spans="1:53" x14ac:dyDescent="0.25">
      <c r="A1671" s="312">
        <v>451</v>
      </c>
      <c r="B1671" s="202">
        <v>44918.819444444445</v>
      </c>
      <c r="C1671" s="196">
        <v>0.81944444444444453</v>
      </c>
      <c r="D1671" s="196">
        <v>0.82291666666666663</v>
      </c>
      <c r="E1671" s="196">
        <v>0.82986111111111116</v>
      </c>
      <c r="F1671" s="197" t="s">
        <v>171</v>
      </c>
      <c r="G1671" s="197" t="s">
        <v>95</v>
      </c>
      <c r="H1671" s="188" t="s">
        <v>45</v>
      </c>
      <c r="I1671" s="188" t="s">
        <v>141</v>
      </c>
      <c r="J1671" s="188" t="s">
        <v>37</v>
      </c>
      <c r="K1671" s="195" t="s">
        <v>63</v>
      </c>
      <c r="L1671" s="195" t="s">
        <v>215</v>
      </c>
      <c r="M1671" s="197" t="s">
        <v>4249</v>
      </c>
      <c r="N1671" s="197" t="s">
        <v>42</v>
      </c>
      <c r="O1671" s="197">
        <v>1500649</v>
      </c>
      <c r="P1671" s="197">
        <v>5050062</v>
      </c>
      <c r="Q1671" s="303">
        <f t="shared" si="146"/>
        <v>0</v>
      </c>
      <c r="R1671" s="303">
        <f t="shared" si="147"/>
        <v>0</v>
      </c>
      <c r="S1671" s="197">
        <v>0</v>
      </c>
      <c r="T1671" s="197">
        <v>0</v>
      </c>
      <c r="U1671" s="197">
        <v>0</v>
      </c>
      <c r="V1671" s="197">
        <v>0</v>
      </c>
      <c r="W1671" s="197">
        <v>0</v>
      </c>
      <c r="X1671" s="37">
        <v>183</v>
      </c>
      <c r="Y1671" s="37">
        <v>28</v>
      </c>
      <c r="Z1671" s="37">
        <v>45</v>
      </c>
      <c r="AA1671" s="37">
        <v>1</v>
      </c>
      <c r="AB1671" s="300">
        <f t="shared" si="148"/>
        <v>38.43</v>
      </c>
      <c r="AC1671" s="300">
        <f t="shared" si="149"/>
        <v>0.23150602409638554</v>
      </c>
      <c r="AD1671" s="37">
        <v>0</v>
      </c>
      <c r="AE1671" s="197">
        <v>0</v>
      </c>
      <c r="AF1671" s="197" t="s">
        <v>317</v>
      </c>
      <c r="AG1671" s="197" t="s">
        <v>317</v>
      </c>
      <c r="AH1671" s="197">
        <v>0</v>
      </c>
      <c r="AI1671" s="309"/>
      <c r="AJ1671" s="309"/>
      <c r="AK1671" s="197" t="s">
        <v>37</v>
      </c>
      <c r="AL1671" s="197" t="s">
        <v>49</v>
      </c>
      <c r="AM1671" s="299">
        <f t="shared" ca="1" si="145"/>
        <v>3.5972222222189885</v>
      </c>
      <c r="AN1671" s="51"/>
      <c r="AO1671" s="230" t="s">
        <v>78</v>
      </c>
      <c r="AP1671" s="231" t="s">
        <v>4249</v>
      </c>
      <c r="AQ1671" s="230" t="s">
        <v>4390</v>
      </c>
      <c r="AR1671" s="233">
        <v>44922.416666666664</v>
      </c>
      <c r="AS1671" s="228" t="s">
        <v>483</v>
      </c>
      <c r="AT1671" s="230" t="s">
        <v>225</v>
      </c>
      <c r="AU1671" s="232">
        <v>0.41666666666666669</v>
      </c>
      <c r="AV1671" s="230">
        <v>1</v>
      </c>
      <c r="AW1671" s="230" t="s">
        <v>66</v>
      </c>
      <c r="AX1671" s="52"/>
      <c r="AY1671" s="52"/>
      <c r="AZ1671" s="52"/>
      <c r="BA1671" s="52"/>
    </row>
    <row r="1672" spans="1:53" x14ac:dyDescent="0.25">
      <c r="A1672" s="223">
        <v>452</v>
      </c>
      <c r="B1672" s="222">
        <v>44919.420138888891</v>
      </c>
      <c r="C1672" s="216">
        <v>0.4236111111111111</v>
      </c>
      <c r="D1672" s="216">
        <v>0.42708333333333331</v>
      </c>
      <c r="E1672" s="216">
        <v>0.43402777777777773</v>
      </c>
      <c r="F1672" s="217" t="s">
        <v>171</v>
      </c>
      <c r="G1672" s="217" t="s">
        <v>136</v>
      </c>
      <c r="H1672" s="209" t="s">
        <v>350</v>
      </c>
      <c r="I1672" s="209" t="s">
        <v>350</v>
      </c>
      <c r="J1672" s="209" t="s">
        <v>41</v>
      </c>
      <c r="K1672" s="221" t="s">
        <v>63</v>
      </c>
      <c r="L1672" s="221" t="s">
        <v>209</v>
      </c>
      <c r="M1672" s="217" t="s">
        <v>4252</v>
      </c>
      <c r="N1672" s="217" t="s">
        <v>42</v>
      </c>
      <c r="O1672" s="217" t="s">
        <v>4253</v>
      </c>
      <c r="P1672" s="217" t="s">
        <v>4254</v>
      </c>
      <c r="Q1672" s="303">
        <f t="shared" si="146"/>
        <v>1</v>
      </c>
      <c r="R1672" s="303">
        <f t="shared" si="147"/>
        <v>189</v>
      </c>
      <c r="S1672" s="217">
        <v>0</v>
      </c>
      <c r="T1672" s="217">
        <v>0</v>
      </c>
      <c r="U1672" s="217">
        <v>1</v>
      </c>
      <c r="V1672" s="217">
        <v>189</v>
      </c>
      <c r="W1672" s="217" t="s">
        <v>48</v>
      </c>
      <c r="X1672" s="217">
        <v>127</v>
      </c>
      <c r="Y1672" s="217">
        <v>83</v>
      </c>
      <c r="Z1672" s="217">
        <v>100</v>
      </c>
      <c r="AA1672" s="217">
        <v>1</v>
      </c>
      <c r="AB1672" s="300">
        <f t="shared" si="148"/>
        <v>175.68333333333334</v>
      </c>
      <c r="AC1672" s="300">
        <f t="shared" si="149"/>
        <v>1.0583333333333333</v>
      </c>
      <c r="AD1672" s="217" t="s">
        <v>48</v>
      </c>
      <c r="AE1672" s="217" t="s">
        <v>48</v>
      </c>
      <c r="AF1672" s="217" t="s">
        <v>3432</v>
      </c>
      <c r="AG1672" s="217" t="s">
        <v>3432</v>
      </c>
      <c r="AH1672" s="217" t="s">
        <v>4255</v>
      </c>
      <c r="AI1672" s="309"/>
      <c r="AJ1672" s="309"/>
      <c r="AK1672" s="217" t="s">
        <v>37</v>
      </c>
      <c r="AL1672" s="217" t="s">
        <v>39</v>
      </c>
      <c r="AM1672" s="299">
        <f t="shared" ca="1" si="145"/>
        <v>6.2291666666642413</v>
      </c>
      <c r="AN1672" s="224"/>
      <c r="AO1672" s="288" t="s">
        <v>213</v>
      </c>
      <c r="AP1672" s="275" t="s">
        <v>4252</v>
      </c>
      <c r="AQ1672" s="288" t="s">
        <v>4638</v>
      </c>
      <c r="AR1672" s="277">
        <v>44925.649305555555</v>
      </c>
      <c r="AS1672" s="288" t="s">
        <v>136</v>
      </c>
      <c r="AT1672" s="288" t="s">
        <v>225</v>
      </c>
      <c r="AU1672" s="276">
        <v>0.64930555555555558</v>
      </c>
      <c r="AV1672" s="288">
        <v>2</v>
      </c>
      <c r="AW1672" s="288" t="s">
        <v>66</v>
      </c>
      <c r="AX1672" s="225"/>
      <c r="AY1672" s="225"/>
      <c r="AZ1672" s="225"/>
      <c r="BA1672" s="225"/>
    </row>
    <row r="1673" spans="1:53" x14ac:dyDescent="0.25">
      <c r="A1673" s="223">
        <v>453</v>
      </c>
      <c r="B1673" s="222">
        <v>44919.420138888891</v>
      </c>
      <c r="C1673" s="216">
        <v>0.4236111111111111</v>
      </c>
      <c r="D1673" s="216">
        <v>0.42708333333333331</v>
      </c>
      <c r="E1673" s="216">
        <v>0.43402777777777773</v>
      </c>
      <c r="F1673" s="217" t="s">
        <v>171</v>
      </c>
      <c r="G1673" s="217" t="s">
        <v>136</v>
      </c>
      <c r="H1673" s="209" t="s">
        <v>350</v>
      </c>
      <c r="I1673" s="209" t="s">
        <v>350</v>
      </c>
      <c r="J1673" s="209" t="s">
        <v>41</v>
      </c>
      <c r="K1673" s="221" t="s">
        <v>63</v>
      </c>
      <c r="L1673" s="221" t="s">
        <v>209</v>
      </c>
      <c r="M1673" s="217" t="s">
        <v>4252</v>
      </c>
      <c r="N1673" s="217" t="s">
        <v>42</v>
      </c>
      <c r="O1673" s="217" t="s">
        <v>4256</v>
      </c>
      <c r="P1673" s="217">
        <v>49478904</v>
      </c>
      <c r="Q1673" s="303">
        <f t="shared" si="146"/>
        <v>1</v>
      </c>
      <c r="R1673" s="303">
        <f t="shared" si="147"/>
        <v>243</v>
      </c>
      <c r="S1673" s="217">
        <v>0</v>
      </c>
      <c r="T1673" s="217">
        <v>0</v>
      </c>
      <c r="U1673" s="217">
        <v>1</v>
      </c>
      <c r="V1673" s="217">
        <v>243</v>
      </c>
      <c r="W1673" s="217">
        <v>243</v>
      </c>
      <c r="X1673" s="217">
        <v>127</v>
      </c>
      <c r="Y1673" s="217">
        <v>83</v>
      </c>
      <c r="Z1673" s="217">
        <v>100</v>
      </c>
      <c r="AA1673" s="217">
        <v>1</v>
      </c>
      <c r="AB1673" s="300">
        <f t="shared" si="148"/>
        <v>175.68333333333334</v>
      </c>
      <c r="AC1673" s="300">
        <f t="shared" si="149"/>
        <v>1.0583333333333333</v>
      </c>
      <c r="AD1673" s="217">
        <v>18343</v>
      </c>
      <c r="AE1673" s="217" t="s">
        <v>109</v>
      </c>
      <c r="AF1673" s="217" t="s">
        <v>3432</v>
      </c>
      <c r="AG1673" s="217" t="s">
        <v>3432</v>
      </c>
      <c r="AH1673" s="217" t="s">
        <v>4257</v>
      </c>
      <c r="AI1673" s="309"/>
      <c r="AJ1673" s="309"/>
      <c r="AK1673" s="217" t="s">
        <v>37</v>
      </c>
      <c r="AL1673" s="217" t="s">
        <v>39</v>
      </c>
      <c r="AM1673" s="299">
        <f t="shared" ca="1" si="145"/>
        <v>6.2291666666642413</v>
      </c>
      <c r="AN1673" s="224"/>
      <c r="AO1673" s="288" t="s">
        <v>213</v>
      </c>
      <c r="AP1673" s="275" t="s">
        <v>4252</v>
      </c>
      <c r="AQ1673" s="288" t="s">
        <v>4638</v>
      </c>
      <c r="AR1673" s="277">
        <v>44925.649305555555</v>
      </c>
      <c r="AS1673" s="288" t="s">
        <v>136</v>
      </c>
      <c r="AT1673" s="288" t="s">
        <v>225</v>
      </c>
      <c r="AU1673" s="276">
        <v>0.64930555555555558</v>
      </c>
      <c r="AV1673" s="288">
        <v>2</v>
      </c>
      <c r="AW1673" s="288" t="s">
        <v>66</v>
      </c>
      <c r="AX1673" s="225"/>
      <c r="AY1673" s="225"/>
      <c r="AZ1673" s="225"/>
      <c r="BA1673" s="225"/>
    </row>
    <row r="1674" spans="1:53" x14ac:dyDescent="0.25">
      <c r="A1674" s="223">
        <v>454</v>
      </c>
      <c r="B1674" s="222">
        <v>44919.4375</v>
      </c>
      <c r="C1674" s="216">
        <v>0.44097222222222227</v>
      </c>
      <c r="D1674" s="216">
        <v>0.44444444444444442</v>
      </c>
      <c r="E1674" s="216">
        <v>0.48958333333333331</v>
      </c>
      <c r="F1674" s="217" t="s">
        <v>171</v>
      </c>
      <c r="G1674" s="217" t="s">
        <v>151</v>
      </c>
      <c r="H1674" s="209" t="s">
        <v>91</v>
      </c>
      <c r="I1674" s="209" t="s">
        <v>287</v>
      </c>
      <c r="J1674" s="209" t="s">
        <v>41</v>
      </c>
      <c r="K1674" s="217" t="s">
        <v>233</v>
      </c>
      <c r="L1674" s="219" t="s">
        <v>206</v>
      </c>
      <c r="M1674" s="217" t="s">
        <v>4258</v>
      </c>
      <c r="N1674" s="217" t="s">
        <v>44</v>
      </c>
      <c r="O1674" s="217">
        <v>1054970059</v>
      </c>
      <c r="P1674" s="209">
        <v>1214052420</v>
      </c>
      <c r="Q1674" s="303">
        <f t="shared" si="146"/>
        <v>1</v>
      </c>
      <c r="R1674" s="303">
        <f t="shared" si="147"/>
        <v>20</v>
      </c>
      <c r="S1674" s="217">
        <v>1</v>
      </c>
      <c r="T1674" s="217">
        <v>20</v>
      </c>
      <c r="U1674" s="217">
        <v>0</v>
      </c>
      <c r="V1674" s="217">
        <v>0</v>
      </c>
      <c r="W1674" s="217">
        <v>1</v>
      </c>
      <c r="X1674" s="217">
        <v>59</v>
      </c>
      <c r="Y1674" s="217">
        <v>42</v>
      </c>
      <c r="Z1674" s="217">
        <v>39</v>
      </c>
      <c r="AA1674" s="217">
        <v>1</v>
      </c>
      <c r="AB1674" s="300">
        <f t="shared" si="148"/>
        <v>16.106999999999999</v>
      </c>
      <c r="AC1674" s="300">
        <f t="shared" si="149"/>
        <v>9.7030120481927704E-2</v>
      </c>
      <c r="AD1674" s="217">
        <v>7627</v>
      </c>
      <c r="AE1674" s="217" t="s">
        <v>109</v>
      </c>
      <c r="AF1674" s="217" t="s">
        <v>4259</v>
      </c>
      <c r="AG1674" s="217" t="s">
        <v>4260</v>
      </c>
      <c r="AH1674" s="217" t="s">
        <v>4261</v>
      </c>
      <c r="AI1674" s="309"/>
      <c r="AJ1674" s="309"/>
      <c r="AK1674" s="217" t="s">
        <v>48</v>
      </c>
      <c r="AL1674" s="217" t="s">
        <v>39</v>
      </c>
      <c r="AM1674" s="299">
        <f t="shared" ca="1" si="145"/>
        <v>0.13194444444525288</v>
      </c>
      <c r="AN1674" s="224"/>
      <c r="AO1674" s="210" t="s">
        <v>53</v>
      </c>
      <c r="AP1674" s="211" t="s">
        <v>4258</v>
      </c>
      <c r="AQ1674" s="210" t="s">
        <v>4308</v>
      </c>
      <c r="AR1674" s="213">
        <v>44919.569444444445</v>
      </c>
      <c r="AS1674" s="208" t="s">
        <v>293</v>
      </c>
      <c r="AT1674" s="210" t="s">
        <v>65</v>
      </c>
      <c r="AU1674" s="212">
        <v>0.56944444444444442</v>
      </c>
      <c r="AV1674" s="210">
        <v>1</v>
      </c>
      <c r="AW1674" s="210" t="s">
        <v>66</v>
      </c>
      <c r="AX1674" s="225"/>
      <c r="AY1674" s="225"/>
      <c r="AZ1674" s="225"/>
      <c r="BA1674" s="225"/>
    </row>
    <row r="1675" spans="1:53" x14ac:dyDescent="0.25">
      <c r="A1675" s="223">
        <v>455</v>
      </c>
      <c r="B1675" s="222">
        <v>44919.4375</v>
      </c>
      <c r="C1675" s="216">
        <v>0.44097222222222227</v>
      </c>
      <c r="D1675" s="216">
        <v>0.44444444444444442</v>
      </c>
      <c r="E1675" s="216">
        <v>0.48958333333333331</v>
      </c>
      <c r="F1675" s="217" t="s">
        <v>171</v>
      </c>
      <c r="G1675" s="217" t="s">
        <v>151</v>
      </c>
      <c r="H1675" s="209" t="s">
        <v>91</v>
      </c>
      <c r="I1675" s="209" t="s">
        <v>287</v>
      </c>
      <c r="J1675" s="209" t="s">
        <v>41</v>
      </c>
      <c r="K1675" s="217" t="s">
        <v>233</v>
      </c>
      <c r="L1675" s="219" t="s">
        <v>206</v>
      </c>
      <c r="M1675" s="217" t="s">
        <v>4262</v>
      </c>
      <c r="N1675" s="217" t="s">
        <v>175</v>
      </c>
      <c r="O1675" s="217">
        <v>1054970090</v>
      </c>
      <c r="P1675" s="217">
        <v>1214034568</v>
      </c>
      <c r="Q1675" s="303">
        <f t="shared" si="146"/>
        <v>1</v>
      </c>
      <c r="R1675" s="303">
        <f t="shared" si="147"/>
        <v>1</v>
      </c>
      <c r="S1675" s="217">
        <v>1</v>
      </c>
      <c r="T1675" s="217">
        <v>1</v>
      </c>
      <c r="U1675" s="217">
        <v>0</v>
      </c>
      <c r="V1675" s="217">
        <v>0</v>
      </c>
      <c r="W1675" s="217">
        <v>1</v>
      </c>
      <c r="X1675" s="217">
        <v>49</v>
      </c>
      <c r="Y1675" s="217">
        <v>36</v>
      </c>
      <c r="Z1675" s="217">
        <v>13</v>
      </c>
      <c r="AA1675" s="217">
        <v>1</v>
      </c>
      <c r="AB1675" s="300">
        <f t="shared" si="148"/>
        <v>3.8220000000000001</v>
      </c>
      <c r="AC1675" s="300">
        <f t="shared" si="149"/>
        <v>2.3024096385542168E-2</v>
      </c>
      <c r="AD1675" s="217">
        <v>15.64</v>
      </c>
      <c r="AE1675" s="217" t="s">
        <v>109</v>
      </c>
      <c r="AF1675" s="217" t="s">
        <v>4263</v>
      </c>
      <c r="AG1675" s="217" t="s">
        <v>4260</v>
      </c>
      <c r="AH1675" s="217">
        <v>0</v>
      </c>
      <c r="AI1675" s="309"/>
      <c r="AJ1675" s="309"/>
      <c r="AK1675" s="217" t="s">
        <v>48</v>
      </c>
      <c r="AL1675" s="217" t="s">
        <v>39</v>
      </c>
      <c r="AM1675" s="299">
        <f t="shared" ca="1" si="145"/>
        <v>2.2291666666642413</v>
      </c>
      <c r="AN1675" s="224"/>
      <c r="AO1675" s="210" t="s">
        <v>181</v>
      </c>
      <c r="AP1675" s="210" t="s">
        <v>4262</v>
      </c>
      <c r="AQ1675" s="210" t="s">
        <v>4362</v>
      </c>
      <c r="AR1675" s="213">
        <v>44921.666666666664</v>
      </c>
      <c r="AS1675" s="208" t="s">
        <v>483</v>
      </c>
      <c r="AT1675" s="210" t="s">
        <v>225</v>
      </c>
      <c r="AU1675" s="212">
        <v>0.66666666666666663</v>
      </c>
      <c r="AV1675" s="210">
        <v>1</v>
      </c>
      <c r="AW1675" s="210" t="s">
        <v>66</v>
      </c>
      <c r="AX1675" s="225"/>
      <c r="AY1675" s="225"/>
      <c r="AZ1675" s="225"/>
      <c r="BA1675" s="225"/>
    </row>
    <row r="1676" spans="1:53" x14ac:dyDescent="0.25">
      <c r="A1676" s="223">
        <v>456</v>
      </c>
      <c r="B1676" s="222">
        <v>44919.4375</v>
      </c>
      <c r="C1676" s="216">
        <v>0.44097222222222227</v>
      </c>
      <c r="D1676" s="216">
        <v>0.44444444444444442</v>
      </c>
      <c r="E1676" s="216">
        <v>0.48958333333333331</v>
      </c>
      <c r="F1676" s="217" t="s">
        <v>171</v>
      </c>
      <c r="G1676" s="217" t="s">
        <v>151</v>
      </c>
      <c r="H1676" s="209" t="s">
        <v>91</v>
      </c>
      <c r="I1676" s="209" t="s">
        <v>287</v>
      </c>
      <c r="J1676" s="209" t="s">
        <v>41</v>
      </c>
      <c r="K1676" s="217" t="s">
        <v>233</v>
      </c>
      <c r="L1676" s="219" t="s">
        <v>206</v>
      </c>
      <c r="M1676" s="217" t="s">
        <v>4262</v>
      </c>
      <c r="N1676" s="217" t="s">
        <v>175</v>
      </c>
      <c r="O1676" s="217">
        <v>1054970025</v>
      </c>
      <c r="P1676" s="217">
        <v>1214052076</v>
      </c>
      <c r="Q1676" s="303">
        <f t="shared" si="146"/>
        <v>1</v>
      </c>
      <c r="R1676" s="303">
        <f t="shared" si="147"/>
        <v>6</v>
      </c>
      <c r="S1676" s="217">
        <v>1</v>
      </c>
      <c r="T1676" s="217">
        <v>6</v>
      </c>
      <c r="U1676" s="217">
        <v>0</v>
      </c>
      <c r="V1676" s="217">
        <v>0</v>
      </c>
      <c r="W1676" s="217">
        <v>1</v>
      </c>
      <c r="X1676" s="217">
        <v>42</v>
      </c>
      <c r="Y1676" s="217">
        <v>41</v>
      </c>
      <c r="Z1676" s="217">
        <v>34</v>
      </c>
      <c r="AA1676" s="217">
        <v>1</v>
      </c>
      <c r="AB1676" s="300">
        <f t="shared" si="148"/>
        <v>9.7579999999999991</v>
      </c>
      <c r="AC1676" s="300">
        <f t="shared" si="149"/>
        <v>5.8783132530120477E-2</v>
      </c>
      <c r="AD1676" s="217">
        <v>2315.33</v>
      </c>
      <c r="AE1676" s="217" t="s">
        <v>109</v>
      </c>
      <c r="AF1676" s="217" t="s">
        <v>4263</v>
      </c>
      <c r="AG1676" s="217" t="s">
        <v>4260</v>
      </c>
      <c r="AH1676" s="217" t="s">
        <v>4264</v>
      </c>
      <c r="AI1676" s="309"/>
      <c r="AJ1676" s="309"/>
      <c r="AK1676" s="217" t="s">
        <v>48</v>
      </c>
      <c r="AL1676" s="217" t="s">
        <v>39</v>
      </c>
      <c r="AM1676" s="299">
        <f t="shared" ca="1" si="145"/>
        <v>2.2291666666642413</v>
      </c>
      <c r="AN1676" s="224"/>
      <c r="AO1676" s="210" t="s">
        <v>181</v>
      </c>
      <c r="AP1676" s="210" t="s">
        <v>4262</v>
      </c>
      <c r="AQ1676" s="210" t="s">
        <v>4362</v>
      </c>
      <c r="AR1676" s="213">
        <v>44921.666666666664</v>
      </c>
      <c r="AS1676" s="208" t="s">
        <v>483</v>
      </c>
      <c r="AT1676" s="210" t="s">
        <v>225</v>
      </c>
      <c r="AU1676" s="212">
        <v>0.66666666666666663</v>
      </c>
      <c r="AV1676" s="210">
        <v>1</v>
      </c>
      <c r="AW1676" s="210" t="s">
        <v>66</v>
      </c>
      <c r="AX1676" s="225"/>
      <c r="AY1676" s="225"/>
      <c r="AZ1676" s="225"/>
      <c r="BA1676" s="225"/>
    </row>
    <row r="1677" spans="1:53" x14ac:dyDescent="0.25">
      <c r="A1677" s="223">
        <v>457</v>
      </c>
      <c r="B1677" s="222">
        <v>44919.4375</v>
      </c>
      <c r="C1677" s="216">
        <v>0.44097222222222227</v>
      </c>
      <c r="D1677" s="216">
        <v>0.44444444444444442</v>
      </c>
      <c r="E1677" s="216">
        <v>0.48958333333333331</v>
      </c>
      <c r="F1677" s="217" t="s">
        <v>171</v>
      </c>
      <c r="G1677" s="217" t="s">
        <v>151</v>
      </c>
      <c r="H1677" s="209" t="s">
        <v>91</v>
      </c>
      <c r="I1677" s="209" t="s">
        <v>287</v>
      </c>
      <c r="J1677" s="209" t="s">
        <v>41</v>
      </c>
      <c r="K1677" s="217" t="s">
        <v>233</v>
      </c>
      <c r="L1677" s="219" t="s">
        <v>206</v>
      </c>
      <c r="M1677" s="217" t="s">
        <v>4262</v>
      </c>
      <c r="N1677" s="217" t="s">
        <v>175</v>
      </c>
      <c r="O1677" s="217">
        <v>1054969967</v>
      </c>
      <c r="P1677" s="217">
        <v>1214037728</v>
      </c>
      <c r="Q1677" s="303">
        <f t="shared" si="146"/>
        <v>1</v>
      </c>
      <c r="R1677" s="303">
        <f t="shared" si="147"/>
        <v>1</v>
      </c>
      <c r="S1677" s="217">
        <v>1</v>
      </c>
      <c r="T1677" s="217">
        <v>1</v>
      </c>
      <c r="U1677" s="217">
        <v>0</v>
      </c>
      <c r="V1677" s="217">
        <v>0</v>
      </c>
      <c r="W1677" s="217">
        <v>1</v>
      </c>
      <c r="X1677" s="217">
        <v>42</v>
      </c>
      <c r="Y1677" s="217">
        <v>42</v>
      </c>
      <c r="Z1677" s="217">
        <v>23</v>
      </c>
      <c r="AA1677" s="217">
        <v>1</v>
      </c>
      <c r="AB1677" s="300">
        <f t="shared" si="148"/>
        <v>6.7619999999999996</v>
      </c>
      <c r="AC1677" s="300">
        <f t="shared" si="149"/>
        <v>4.0734939759036144E-2</v>
      </c>
      <c r="AD1677" s="217">
        <v>1575.05</v>
      </c>
      <c r="AE1677" s="217" t="s">
        <v>109</v>
      </c>
      <c r="AF1677" s="217" t="s">
        <v>4263</v>
      </c>
      <c r="AG1677" s="217" t="s">
        <v>4260</v>
      </c>
      <c r="AH1677" s="217" t="s">
        <v>4265</v>
      </c>
      <c r="AI1677" s="309"/>
      <c r="AJ1677" s="309"/>
      <c r="AK1677" s="217" t="s">
        <v>48</v>
      </c>
      <c r="AL1677" s="217" t="s">
        <v>39</v>
      </c>
      <c r="AM1677" s="299">
        <f t="shared" ca="1" si="145"/>
        <v>2.2291666666642413</v>
      </c>
      <c r="AN1677" s="224"/>
      <c r="AO1677" s="210" t="s">
        <v>181</v>
      </c>
      <c r="AP1677" s="210" t="s">
        <v>4262</v>
      </c>
      <c r="AQ1677" s="210" t="s">
        <v>4362</v>
      </c>
      <c r="AR1677" s="213">
        <v>44921.666666666664</v>
      </c>
      <c r="AS1677" s="208" t="s">
        <v>483</v>
      </c>
      <c r="AT1677" s="210" t="s">
        <v>225</v>
      </c>
      <c r="AU1677" s="212">
        <v>0.66666666666666663</v>
      </c>
      <c r="AV1677" s="210">
        <v>1</v>
      </c>
      <c r="AW1677" s="210" t="s">
        <v>66</v>
      </c>
      <c r="AX1677" s="225"/>
      <c r="AY1677" s="225"/>
      <c r="AZ1677" s="225"/>
      <c r="BA1677" s="225"/>
    </row>
    <row r="1678" spans="1:53" x14ac:dyDescent="0.25">
      <c r="A1678" s="223">
        <v>458</v>
      </c>
      <c r="B1678" s="222">
        <v>44919.4375</v>
      </c>
      <c r="C1678" s="216">
        <v>0.44097222222222227</v>
      </c>
      <c r="D1678" s="216">
        <v>0.44444444444444442</v>
      </c>
      <c r="E1678" s="216">
        <v>0.48958333333333331</v>
      </c>
      <c r="F1678" s="217" t="s">
        <v>171</v>
      </c>
      <c r="G1678" s="217" t="s">
        <v>151</v>
      </c>
      <c r="H1678" s="209" t="s">
        <v>91</v>
      </c>
      <c r="I1678" s="209" t="s">
        <v>287</v>
      </c>
      <c r="J1678" s="209" t="s">
        <v>41</v>
      </c>
      <c r="K1678" s="217" t="s">
        <v>233</v>
      </c>
      <c r="L1678" s="219" t="s">
        <v>206</v>
      </c>
      <c r="M1678" s="217" t="s">
        <v>4262</v>
      </c>
      <c r="N1678" s="217" t="s">
        <v>175</v>
      </c>
      <c r="O1678" s="217">
        <v>1054969965</v>
      </c>
      <c r="P1678" s="217">
        <v>1214037727</v>
      </c>
      <c r="Q1678" s="303">
        <f t="shared" si="146"/>
        <v>1</v>
      </c>
      <c r="R1678" s="303">
        <f t="shared" si="147"/>
        <v>1</v>
      </c>
      <c r="S1678" s="217">
        <v>1</v>
      </c>
      <c r="T1678" s="217">
        <v>1</v>
      </c>
      <c r="U1678" s="217">
        <v>0</v>
      </c>
      <c r="V1678" s="217">
        <v>0</v>
      </c>
      <c r="W1678" s="217">
        <v>1</v>
      </c>
      <c r="X1678" s="217">
        <v>41</v>
      </c>
      <c r="Y1678" s="217">
        <v>42</v>
      </c>
      <c r="Z1678" s="217">
        <v>22</v>
      </c>
      <c r="AA1678" s="217">
        <v>1</v>
      </c>
      <c r="AB1678" s="300">
        <f t="shared" si="148"/>
        <v>6.3140000000000001</v>
      </c>
      <c r="AC1678" s="300">
        <f t="shared" si="149"/>
        <v>3.8036144578313252E-2</v>
      </c>
      <c r="AD1678" s="217">
        <v>60.39</v>
      </c>
      <c r="AE1678" s="217" t="s">
        <v>111</v>
      </c>
      <c r="AF1678" s="217" t="s">
        <v>4263</v>
      </c>
      <c r="AG1678" s="217" t="s">
        <v>4260</v>
      </c>
      <c r="AH1678" s="217">
        <v>0</v>
      </c>
      <c r="AI1678" s="309"/>
      <c r="AJ1678" s="309"/>
      <c r="AK1678" s="217" t="s">
        <v>48</v>
      </c>
      <c r="AL1678" s="217" t="s">
        <v>39</v>
      </c>
      <c r="AM1678" s="299">
        <f t="shared" ca="1" si="145"/>
        <v>2.2291666666642413</v>
      </c>
      <c r="AN1678" s="224"/>
      <c r="AO1678" s="210" t="s">
        <v>181</v>
      </c>
      <c r="AP1678" s="210" t="s">
        <v>4262</v>
      </c>
      <c r="AQ1678" s="210" t="s">
        <v>4362</v>
      </c>
      <c r="AR1678" s="213">
        <v>44921.666666666664</v>
      </c>
      <c r="AS1678" s="208" t="s">
        <v>483</v>
      </c>
      <c r="AT1678" s="210" t="s">
        <v>225</v>
      </c>
      <c r="AU1678" s="212">
        <v>0.66666666666666663</v>
      </c>
      <c r="AV1678" s="210">
        <v>1</v>
      </c>
      <c r="AW1678" s="210" t="s">
        <v>66</v>
      </c>
      <c r="AX1678" s="225"/>
      <c r="AY1678" s="225"/>
      <c r="AZ1678" s="225"/>
      <c r="BA1678" s="225"/>
    </row>
    <row r="1679" spans="1:53" x14ac:dyDescent="0.25">
      <c r="A1679" s="223">
        <v>459</v>
      </c>
      <c r="B1679" s="222">
        <v>44919.451388888891</v>
      </c>
      <c r="C1679" s="216">
        <v>0.4548611111111111</v>
      </c>
      <c r="D1679" s="216">
        <v>0.45833333333333331</v>
      </c>
      <c r="E1679" s="216">
        <v>0.52777777777777779</v>
      </c>
      <c r="F1679" s="217" t="s">
        <v>170</v>
      </c>
      <c r="G1679" s="217" t="s">
        <v>4266</v>
      </c>
      <c r="H1679" s="209" t="s">
        <v>332</v>
      </c>
      <c r="I1679" s="209" t="s">
        <v>429</v>
      </c>
      <c r="J1679" s="209" t="s">
        <v>37</v>
      </c>
      <c r="K1679" s="209" t="s">
        <v>63</v>
      </c>
      <c r="L1679" s="214" t="s">
        <v>206</v>
      </c>
      <c r="M1679" s="217" t="s">
        <v>4267</v>
      </c>
      <c r="N1679" s="217" t="s">
        <v>42</v>
      </c>
      <c r="O1679" s="217">
        <v>2053092551</v>
      </c>
      <c r="P1679" s="217" t="s">
        <v>4268</v>
      </c>
      <c r="Q1679" s="303">
        <f t="shared" si="146"/>
        <v>4</v>
      </c>
      <c r="R1679" s="303">
        <f t="shared" si="147"/>
        <v>151</v>
      </c>
      <c r="S1679" s="217">
        <v>0</v>
      </c>
      <c r="T1679" s="217">
        <v>0</v>
      </c>
      <c r="U1679" s="217">
        <v>4</v>
      </c>
      <c r="V1679" s="217">
        <v>151</v>
      </c>
      <c r="W1679" s="217">
        <v>146.5</v>
      </c>
      <c r="X1679" s="217">
        <v>61</v>
      </c>
      <c r="Y1679" s="217">
        <v>46</v>
      </c>
      <c r="Z1679" s="217">
        <v>51</v>
      </c>
      <c r="AA1679" s="217">
        <v>1</v>
      </c>
      <c r="AB1679" s="300">
        <f t="shared" si="148"/>
        <v>23.850999999999999</v>
      </c>
      <c r="AC1679" s="300">
        <f t="shared" si="149"/>
        <v>0.14368072289156625</v>
      </c>
      <c r="AD1679" s="217">
        <v>738.32</v>
      </c>
      <c r="AE1679" s="217" t="s">
        <v>109</v>
      </c>
      <c r="AF1679" s="217" t="s">
        <v>317</v>
      </c>
      <c r="AG1679" s="217" t="s">
        <v>317</v>
      </c>
      <c r="AH1679" s="217" t="s">
        <v>4269</v>
      </c>
      <c r="AI1679" s="309"/>
      <c r="AJ1679" s="309"/>
      <c r="AK1679" s="217" t="s">
        <v>41</v>
      </c>
      <c r="AL1679" s="217" t="s">
        <v>51</v>
      </c>
      <c r="AM1679" s="299">
        <f t="shared" ca="1" si="145"/>
        <v>2.2604166666642413</v>
      </c>
      <c r="AN1679" s="224"/>
      <c r="AO1679" s="210" t="s">
        <v>120</v>
      </c>
      <c r="AP1679" s="211" t="s">
        <v>4267</v>
      </c>
      <c r="AQ1679" s="210" t="s">
        <v>4366</v>
      </c>
      <c r="AR1679" s="213">
        <v>44921.711805555555</v>
      </c>
      <c r="AS1679" s="210" t="s">
        <v>1203</v>
      </c>
      <c r="AT1679" s="210" t="s">
        <v>225</v>
      </c>
      <c r="AU1679" s="59">
        <v>0.71180555555555547</v>
      </c>
      <c r="AV1679" s="210">
        <v>1</v>
      </c>
      <c r="AW1679" s="210" t="s">
        <v>66</v>
      </c>
      <c r="AX1679" s="225"/>
      <c r="AY1679" s="225"/>
      <c r="AZ1679" s="225"/>
      <c r="BA1679" s="225"/>
    </row>
    <row r="1680" spans="1:53" x14ac:dyDescent="0.25">
      <c r="A1680" s="312">
        <v>459</v>
      </c>
      <c r="B1680" s="222">
        <v>44919.451388888891</v>
      </c>
      <c r="C1680" s="216">
        <v>0.4548611111111111</v>
      </c>
      <c r="D1680" s="216">
        <v>0.45833333333333331</v>
      </c>
      <c r="E1680" s="216">
        <v>0.52777777777777779</v>
      </c>
      <c r="F1680" s="217" t="s">
        <v>170</v>
      </c>
      <c r="G1680" s="217" t="s">
        <v>4266</v>
      </c>
      <c r="H1680" s="209" t="s">
        <v>332</v>
      </c>
      <c r="I1680" s="209" t="s">
        <v>429</v>
      </c>
      <c r="J1680" s="209" t="s">
        <v>37</v>
      </c>
      <c r="K1680" s="209" t="s">
        <v>63</v>
      </c>
      <c r="L1680" s="214" t="s">
        <v>206</v>
      </c>
      <c r="M1680" s="217" t="s">
        <v>4267</v>
      </c>
      <c r="N1680" s="217" t="s">
        <v>42</v>
      </c>
      <c r="O1680" s="217">
        <v>2053092551</v>
      </c>
      <c r="P1680" s="217" t="s">
        <v>4268</v>
      </c>
      <c r="Q1680" s="303">
        <f t="shared" si="146"/>
        <v>0</v>
      </c>
      <c r="R1680" s="303">
        <f t="shared" si="147"/>
        <v>0</v>
      </c>
      <c r="S1680" s="217">
        <v>0</v>
      </c>
      <c r="T1680" s="217">
        <v>0</v>
      </c>
      <c r="U1680" s="217">
        <v>0</v>
      </c>
      <c r="V1680" s="217">
        <v>0</v>
      </c>
      <c r="W1680" s="217">
        <v>0</v>
      </c>
      <c r="X1680" s="217">
        <v>50</v>
      </c>
      <c r="Y1680" s="217">
        <v>41</v>
      </c>
      <c r="Z1680" s="217">
        <v>41</v>
      </c>
      <c r="AA1680" s="217">
        <v>3</v>
      </c>
      <c r="AB1680" s="300">
        <f t="shared" si="148"/>
        <v>42.024999999999999</v>
      </c>
      <c r="AC1680" s="300">
        <f t="shared" si="149"/>
        <v>0.25316265060240961</v>
      </c>
      <c r="AD1680" s="217">
        <v>0</v>
      </c>
      <c r="AE1680" s="217">
        <v>0</v>
      </c>
      <c r="AF1680" s="217" t="s">
        <v>317</v>
      </c>
      <c r="AG1680" s="217" t="s">
        <v>317</v>
      </c>
      <c r="AH1680" s="217" t="s">
        <v>4269</v>
      </c>
      <c r="AI1680" s="309"/>
      <c r="AJ1680" s="309"/>
      <c r="AK1680" s="217" t="s">
        <v>41</v>
      </c>
      <c r="AL1680" s="217" t="s">
        <v>51</v>
      </c>
      <c r="AM1680" s="299">
        <f t="shared" ca="1" si="145"/>
        <v>2.2604166666642413</v>
      </c>
      <c r="AN1680" s="224"/>
      <c r="AO1680" s="210" t="s">
        <v>120</v>
      </c>
      <c r="AP1680" s="211" t="s">
        <v>4267</v>
      </c>
      <c r="AQ1680" s="210" t="s">
        <v>4366</v>
      </c>
      <c r="AR1680" s="213">
        <v>44921.711805555555</v>
      </c>
      <c r="AS1680" s="210" t="s">
        <v>1203</v>
      </c>
      <c r="AT1680" s="210" t="s">
        <v>225</v>
      </c>
      <c r="AU1680" s="59">
        <v>0.71180555555555547</v>
      </c>
      <c r="AV1680" s="210">
        <v>1</v>
      </c>
      <c r="AW1680" s="210" t="s">
        <v>66</v>
      </c>
      <c r="AX1680" s="225"/>
      <c r="AY1680" s="225"/>
      <c r="AZ1680" s="225"/>
      <c r="BA1680" s="225"/>
    </row>
    <row r="1681" spans="1:53" x14ac:dyDescent="0.25">
      <c r="A1681" s="223">
        <v>460</v>
      </c>
      <c r="B1681" s="222">
        <v>44919.451388888891</v>
      </c>
      <c r="C1681" s="216">
        <v>0.4548611111111111</v>
      </c>
      <c r="D1681" s="216">
        <v>0.45833333333333331</v>
      </c>
      <c r="E1681" s="216">
        <v>0.52777777777777779</v>
      </c>
      <c r="F1681" s="217" t="s">
        <v>170</v>
      </c>
      <c r="G1681" s="217" t="s">
        <v>4266</v>
      </c>
      <c r="H1681" s="209" t="s">
        <v>332</v>
      </c>
      <c r="I1681" s="209" t="s">
        <v>429</v>
      </c>
      <c r="J1681" s="209" t="s">
        <v>37</v>
      </c>
      <c r="K1681" s="209" t="s">
        <v>63</v>
      </c>
      <c r="L1681" s="214" t="s">
        <v>206</v>
      </c>
      <c r="M1681" s="217" t="s">
        <v>4270</v>
      </c>
      <c r="N1681" s="217" t="s">
        <v>42</v>
      </c>
      <c r="O1681" s="217">
        <v>2053092549</v>
      </c>
      <c r="P1681" s="217">
        <v>15451</v>
      </c>
      <c r="Q1681" s="303">
        <f t="shared" si="146"/>
        <v>1</v>
      </c>
      <c r="R1681" s="303">
        <f t="shared" si="147"/>
        <v>27</v>
      </c>
      <c r="S1681" s="217">
        <v>0</v>
      </c>
      <c r="T1681" s="217">
        <v>0</v>
      </c>
      <c r="U1681" s="217">
        <v>1</v>
      </c>
      <c r="V1681" s="217">
        <v>27</v>
      </c>
      <c r="W1681" s="217">
        <v>26.5</v>
      </c>
      <c r="X1681" s="217">
        <v>40</v>
      </c>
      <c r="Y1681" s="217">
        <v>25</v>
      </c>
      <c r="Z1681" s="217">
        <v>34</v>
      </c>
      <c r="AA1681" s="217">
        <v>1</v>
      </c>
      <c r="AB1681" s="300">
        <f t="shared" si="148"/>
        <v>5.666666666666667</v>
      </c>
      <c r="AC1681" s="300">
        <f t="shared" si="149"/>
        <v>3.4136546184738957E-2</v>
      </c>
      <c r="AD1681" s="217">
        <v>232.78</v>
      </c>
      <c r="AE1681" s="217" t="s">
        <v>109</v>
      </c>
      <c r="AF1681" s="217" t="s">
        <v>317</v>
      </c>
      <c r="AG1681" s="217" t="s">
        <v>317</v>
      </c>
      <c r="AH1681" s="217" t="s">
        <v>4271</v>
      </c>
      <c r="AI1681" s="309"/>
      <c r="AJ1681" s="309"/>
      <c r="AK1681" s="217" t="s">
        <v>41</v>
      </c>
      <c r="AL1681" s="217" t="s">
        <v>51</v>
      </c>
      <c r="AM1681" s="299">
        <f t="shared" ca="1" si="145"/>
        <v>2.2604166666642413</v>
      </c>
      <c r="AN1681" s="224"/>
      <c r="AO1681" s="210" t="s">
        <v>120</v>
      </c>
      <c r="AP1681" s="211" t="s">
        <v>4267</v>
      </c>
      <c r="AQ1681" s="210" t="s">
        <v>4366</v>
      </c>
      <c r="AR1681" s="213">
        <v>44921.711805555555</v>
      </c>
      <c r="AS1681" s="210" t="s">
        <v>1203</v>
      </c>
      <c r="AT1681" s="210" t="s">
        <v>225</v>
      </c>
      <c r="AU1681" s="59">
        <v>0.71180555555555547</v>
      </c>
      <c r="AV1681" s="210">
        <v>1</v>
      </c>
      <c r="AW1681" s="210" t="s">
        <v>66</v>
      </c>
      <c r="AX1681" s="225"/>
      <c r="AY1681" s="225"/>
      <c r="AZ1681" s="225"/>
      <c r="BA1681" s="225"/>
    </row>
    <row r="1682" spans="1:53" x14ac:dyDescent="0.25">
      <c r="A1682" s="223">
        <v>461</v>
      </c>
      <c r="B1682" s="222">
        <v>44919.451388888891</v>
      </c>
      <c r="C1682" s="216">
        <v>0.4548611111111111</v>
      </c>
      <c r="D1682" s="216">
        <v>0.45833333333333331</v>
      </c>
      <c r="E1682" s="216">
        <v>0.52777777777777779</v>
      </c>
      <c r="F1682" s="217" t="s">
        <v>170</v>
      </c>
      <c r="G1682" s="217" t="s">
        <v>4266</v>
      </c>
      <c r="H1682" s="209" t="s">
        <v>332</v>
      </c>
      <c r="I1682" s="209" t="s">
        <v>429</v>
      </c>
      <c r="J1682" s="209" t="s">
        <v>37</v>
      </c>
      <c r="K1682" s="209" t="s">
        <v>63</v>
      </c>
      <c r="L1682" s="214" t="s">
        <v>206</v>
      </c>
      <c r="M1682" s="217" t="s">
        <v>4270</v>
      </c>
      <c r="N1682" s="217" t="s">
        <v>42</v>
      </c>
      <c r="O1682" s="217">
        <v>2053092550</v>
      </c>
      <c r="P1682" s="217" t="s">
        <v>4272</v>
      </c>
      <c r="Q1682" s="303">
        <f t="shared" si="146"/>
        <v>2</v>
      </c>
      <c r="R1682" s="303">
        <f t="shared" si="147"/>
        <v>92</v>
      </c>
      <c r="S1682" s="217">
        <v>0</v>
      </c>
      <c r="T1682" s="217"/>
      <c r="U1682" s="217">
        <v>2</v>
      </c>
      <c r="V1682" s="217">
        <v>92</v>
      </c>
      <c r="W1682" s="217">
        <v>84.1</v>
      </c>
      <c r="X1682" s="217">
        <v>48</v>
      </c>
      <c r="Y1682" s="217">
        <v>43</v>
      </c>
      <c r="Z1682" s="217">
        <v>38</v>
      </c>
      <c r="AA1682" s="217">
        <v>1</v>
      </c>
      <c r="AB1682" s="300">
        <f t="shared" si="148"/>
        <v>13.071999999999999</v>
      </c>
      <c r="AC1682" s="300">
        <f t="shared" si="149"/>
        <v>7.8746987951807221E-2</v>
      </c>
      <c r="AD1682" s="217">
        <v>152.93</v>
      </c>
      <c r="AE1682" s="217" t="s">
        <v>109</v>
      </c>
      <c r="AF1682" s="217" t="s">
        <v>317</v>
      </c>
      <c r="AG1682" s="217" t="s">
        <v>317</v>
      </c>
      <c r="AH1682" s="217" t="s">
        <v>4273</v>
      </c>
      <c r="AI1682" s="309"/>
      <c r="AJ1682" s="309"/>
      <c r="AK1682" s="217" t="s">
        <v>41</v>
      </c>
      <c r="AL1682" s="217" t="s">
        <v>51</v>
      </c>
      <c r="AM1682" s="299">
        <f t="shared" ca="1" si="145"/>
        <v>2.2604166666642413</v>
      </c>
      <c r="AN1682" s="224"/>
      <c r="AO1682" s="210" t="s">
        <v>120</v>
      </c>
      <c r="AP1682" s="211" t="s">
        <v>4267</v>
      </c>
      <c r="AQ1682" s="210" t="s">
        <v>4366</v>
      </c>
      <c r="AR1682" s="213">
        <v>44921.711805555555</v>
      </c>
      <c r="AS1682" s="210" t="s">
        <v>1203</v>
      </c>
      <c r="AT1682" s="210" t="s">
        <v>225</v>
      </c>
      <c r="AU1682" s="59">
        <v>0.71180555555555547</v>
      </c>
      <c r="AV1682" s="210">
        <v>1</v>
      </c>
      <c r="AW1682" s="210" t="s">
        <v>66</v>
      </c>
      <c r="AX1682" s="225"/>
      <c r="AY1682" s="225"/>
      <c r="AZ1682" s="225"/>
      <c r="BA1682" s="225"/>
    </row>
    <row r="1683" spans="1:53" x14ac:dyDescent="0.25">
      <c r="A1683" s="312">
        <v>461</v>
      </c>
      <c r="B1683" s="222">
        <v>44919.451388888891</v>
      </c>
      <c r="C1683" s="216">
        <v>0.4548611111111111</v>
      </c>
      <c r="D1683" s="216">
        <v>0.45833333333333331</v>
      </c>
      <c r="E1683" s="216">
        <v>0.52777777777777779</v>
      </c>
      <c r="F1683" s="217" t="s">
        <v>170</v>
      </c>
      <c r="G1683" s="217" t="s">
        <v>4266</v>
      </c>
      <c r="H1683" s="209" t="s">
        <v>332</v>
      </c>
      <c r="I1683" s="209" t="s">
        <v>429</v>
      </c>
      <c r="J1683" s="209" t="s">
        <v>37</v>
      </c>
      <c r="K1683" s="209" t="s">
        <v>63</v>
      </c>
      <c r="L1683" s="214" t="s">
        <v>206</v>
      </c>
      <c r="M1683" s="217" t="s">
        <v>4270</v>
      </c>
      <c r="N1683" s="217" t="s">
        <v>42</v>
      </c>
      <c r="O1683" s="217">
        <v>2053092550</v>
      </c>
      <c r="P1683" s="217" t="s">
        <v>4272</v>
      </c>
      <c r="Q1683" s="303">
        <f t="shared" si="146"/>
        <v>0</v>
      </c>
      <c r="R1683" s="303">
        <f t="shared" si="147"/>
        <v>0</v>
      </c>
      <c r="S1683" s="217">
        <v>0</v>
      </c>
      <c r="T1683" s="217">
        <v>0</v>
      </c>
      <c r="U1683" s="217">
        <v>0</v>
      </c>
      <c r="V1683" s="217">
        <v>0</v>
      </c>
      <c r="W1683" s="217">
        <v>0</v>
      </c>
      <c r="X1683" s="217">
        <v>47</v>
      </c>
      <c r="Y1683" s="217">
        <v>39</v>
      </c>
      <c r="Z1683" s="217">
        <v>43</v>
      </c>
      <c r="AA1683" s="217">
        <v>1</v>
      </c>
      <c r="AB1683" s="300">
        <f t="shared" si="148"/>
        <v>13.1365</v>
      </c>
      <c r="AC1683" s="300">
        <f t="shared" si="149"/>
        <v>7.9135542168674702E-2</v>
      </c>
      <c r="AD1683" s="217">
        <v>0</v>
      </c>
      <c r="AE1683" s="217">
        <v>0</v>
      </c>
      <c r="AF1683" s="217" t="s">
        <v>317</v>
      </c>
      <c r="AG1683" s="217" t="s">
        <v>317</v>
      </c>
      <c r="AH1683" s="217" t="s">
        <v>4273</v>
      </c>
      <c r="AI1683" s="309"/>
      <c r="AJ1683" s="309"/>
      <c r="AK1683" s="217" t="s">
        <v>41</v>
      </c>
      <c r="AL1683" s="217" t="s">
        <v>51</v>
      </c>
      <c r="AM1683" s="299">
        <f t="shared" ca="1" si="145"/>
        <v>2.2604166666642413</v>
      </c>
      <c r="AN1683" s="224"/>
      <c r="AO1683" s="210" t="s">
        <v>120</v>
      </c>
      <c r="AP1683" s="211" t="s">
        <v>4267</v>
      </c>
      <c r="AQ1683" s="210" t="s">
        <v>4366</v>
      </c>
      <c r="AR1683" s="213">
        <v>44921.711805555555</v>
      </c>
      <c r="AS1683" s="210" t="s">
        <v>1203</v>
      </c>
      <c r="AT1683" s="210" t="s">
        <v>225</v>
      </c>
      <c r="AU1683" s="59">
        <v>0.71180555555555547</v>
      </c>
      <c r="AV1683" s="210">
        <v>1</v>
      </c>
      <c r="AW1683" s="210" t="s">
        <v>66</v>
      </c>
      <c r="AX1683" s="225"/>
      <c r="AY1683" s="225"/>
      <c r="AZ1683" s="225"/>
      <c r="BA1683" s="225"/>
    </row>
    <row r="1684" spans="1:53" x14ac:dyDescent="0.25">
      <c r="A1684" s="223">
        <v>462</v>
      </c>
      <c r="B1684" s="222">
        <v>44919.513888888891</v>
      </c>
      <c r="C1684" s="216">
        <v>0.51736111111111105</v>
      </c>
      <c r="D1684" s="216">
        <v>0.52083333333333337</v>
      </c>
      <c r="E1684" s="216">
        <v>0.53472222222222221</v>
      </c>
      <c r="F1684" s="217" t="s">
        <v>171</v>
      </c>
      <c r="G1684" s="217" t="s">
        <v>4274</v>
      </c>
      <c r="H1684" s="209" t="s">
        <v>352</v>
      </c>
      <c r="I1684" s="209" t="s">
        <v>352</v>
      </c>
      <c r="J1684" s="209" t="s">
        <v>37</v>
      </c>
      <c r="K1684" s="217" t="s">
        <v>180</v>
      </c>
      <c r="L1684" s="217" t="s">
        <v>206</v>
      </c>
      <c r="M1684" s="217" t="s">
        <v>4275</v>
      </c>
      <c r="N1684" s="217" t="s">
        <v>42</v>
      </c>
      <c r="O1684" s="217">
        <v>17922</v>
      </c>
      <c r="P1684" s="217">
        <v>60056328</v>
      </c>
      <c r="Q1684" s="303">
        <f t="shared" si="146"/>
        <v>7</v>
      </c>
      <c r="R1684" s="303">
        <f t="shared" si="147"/>
        <v>619</v>
      </c>
      <c r="S1684" s="217">
        <v>0</v>
      </c>
      <c r="T1684" s="217">
        <v>0</v>
      </c>
      <c r="U1684" s="217">
        <v>7</v>
      </c>
      <c r="V1684" s="218">
        <v>619</v>
      </c>
      <c r="W1684" s="218">
        <v>1470</v>
      </c>
      <c r="X1684" s="217">
        <v>183</v>
      </c>
      <c r="Y1684" s="217">
        <v>85</v>
      </c>
      <c r="Z1684" s="217">
        <v>86</v>
      </c>
      <c r="AA1684" s="217">
        <v>1</v>
      </c>
      <c r="AB1684" s="300">
        <f t="shared" si="148"/>
        <v>222.95500000000001</v>
      </c>
      <c r="AC1684" s="300">
        <f t="shared" si="149"/>
        <v>1.3431024096385542</v>
      </c>
      <c r="AD1684" s="217">
        <v>98420.75</v>
      </c>
      <c r="AE1684" s="217" t="s">
        <v>109</v>
      </c>
      <c r="AF1684" s="217" t="s">
        <v>3432</v>
      </c>
      <c r="AG1684" s="217" t="s">
        <v>3432</v>
      </c>
      <c r="AH1684" s="217" t="s">
        <v>4276</v>
      </c>
      <c r="AI1684" s="309"/>
      <c r="AJ1684" s="309"/>
      <c r="AK1684" s="217" t="s">
        <v>37</v>
      </c>
      <c r="AL1684" s="217" t="s">
        <v>47</v>
      </c>
      <c r="AM1684" s="299">
        <f t="shared" ca="1" si="145"/>
        <v>3.0416666666642413</v>
      </c>
      <c r="AN1684" s="224"/>
      <c r="AO1684" s="230" t="s">
        <v>107</v>
      </c>
      <c r="AP1684" s="231" t="s">
        <v>4275</v>
      </c>
      <c r="AQ1684" s="230" t="s">
        <v>4395</v>
      </c>
      <c r="AR1684" s="233">
        <v>44922.555555555555</v>
      </c>
      <c r="AS1684" s="228" t="s">
        <v>173</v>
      </c>
      <c r="AT1684" s="230" t="s">
        <v>225</v>
      </c>
      <c r="AU1684" s="232">
        <v>0.55555555555555558</v>
      </c>
      <c r="AV1684" s="230">
        <v>1</v>
      </c>
      <c r="AW1684" s="230" t="s">
        <v>66</v>
      </c>
      <c r="AX1684" s="225"/>
      <c r="AY1684" s="225"/>
      <c r="AZ1684" s="225"/>
      <c r="BA1684" s="225"/>
    </row>
    <row r="1685" spans="1:53" x14ac:dyDescent="0.25">
      <c r="A1685" s="312">
        <v>462</v>
      </c>
      <c r="B1685" s="222">
        <v>44919.513888888891</v>
      </c>
      <c r="C1685" s="216">
        <v>0.51736111111111105</v>
      </c>
      <c r="D1685" s="216">
        <v>0.52083333333333337</v>
      </c>
      <c r="E1685" s="216">
        <v>0.53472222222222221</v>
      </c>
      <c r="F1685" s="217" t="s">
        <v>171</v>
      </c>
      <c r="G1685" s="217" t="s">
        <v>4274</v>
      </c>
      <c r="H1685" s="209" t="s">
        <v>352</v>
      </c>
      <c r="I1685" s="209" t="s">
        <v>352</v>
      </c>
      <c r="J1685" s="209" t="s">
        <v>37</v>
      </c>
      <c r="K1685" s="217" t="s">
        <v>180</v>
      </c>
      <c r="L1685" s="217" t="s">
        <v>206</v>
      </c>
      <c r="M1685" s="217" t="s">
        <v>4275</v>
      </c>
      <c r="N1685" s="217" t="s">
        <v>42</v>
      </c>
      <c r="O1685" s="217">
        <v>17922</v>
      </c>
      <c r="P1685" s="217">
        <v>60056328</v>
      </c>
      <c r="Q1685" s="303">
        <f t="shared" si="146"/>
        <v>0</v>
      </c>
      <c r="R1685" s="303">
        <f t="shared" si="147"/>
        <v>0</v>
      </c>
      <c r="S1685" s="217">
        <v>0</v>
      </c>
      <c r="T1685" s="217">
        <v>0</v>
      </c>
      <c r="U1685" s="217">
        <v>0</v>
      </c>
      <c r="V1685" s="217">
        <v>0</v>
      </c>
      <c r="W1685" s="217">
        <v>0</v>
      </c>
      <c r="X1685" s="217">
        <v>139</v>
      </c>
      <c r="Y1685" s="217">
        <v>96</v>
      </c>
      <c r="Z1685" s="217">
        <v>92</v>
      </c>
      <c r="AA1685" s="217">
        <v>2</v>
      </c>
      <c r="AB1685" s="300">
        <f t="shared" si="148"/>
        <v>409.21600000000001</v>
      </c>
      <c r="AC1685" s="300">
        <f t="shared" si="149"/>
        <v>2.4651566265060243</v>
      </c>
      <c r="AD1685" s="217">
        <v>0</v>
      </c>
      <c r="AE1685" s="217">
        <v>0</v>
      </c>
      <c r="AF1685" s="217" t="s">
        <v>3432</v>
      </c>
      <c r="AG1685" s="217" t="s">
        <v>3432</v>
      </c>
      <c r="AH1685" s="217" t="s">
        <v>4276</v>
      </c>
      <c r="AI1685" s="309"/>
      <c r="AJ1685" s="309"/>
      <c r="AK1685" s="217" t="s">
        <v>37</v>
      </c>
      <c r="AL1685" s="217" t="s">
        <v>47</v>
      </c>
      <c r="AM1685" s="299">
        <f t="shared" ca="1" si="145"/>
        <v>3.0416666666642413</v>
      </c>
      <c r="AN1685" s="224" t="s">
        <v>4277</v>
      </c>
      <c r="AO1685" s="230" t="s">
        <v>107</v>
      </c>
      <c r="AP1685" s="231" t="s">
        <v>4275</v>
      </c>
      <c r="AQ1685" s="230" t="s">
        <v>4395</v>
      </c>
      <c r="AR1685" s="233">
        <v>44922.555555555555</v>
      </c>
      <c r="AS1685" s="228" t="s">
        <v>173</v>
      </c>
      <c r="AT1685" s="230" t="s">
        <v>225</v>
      </c>
      <c r="AU1685" s="232">
        <v>0.55555555555555558</v>
      </c>
      <c r="AV1685" s="230">
        <v>1</v>
      </c>
      <c r="AW1685" s="230" t="s">
        <v>66</v>
      </c>
      <c r="AX1685" s="225"/>
      <c r="AY1685" s="225"/>
      <c r="AZ1685" s="225"/>
      <c r="BA1685" s="225"/>
    </row>
    <row r="1686" spans="1:53" x14ac:dyDescent="0.25">
      <c r="A1686" s="312">
        <v>462</v>
      </c>
      <c r="B1686" s="222">
        <v>44919.513888888891</v>
      </c>
      <c r="C1686" s="216">
        <v>0.51736111111111105</v>
      </c>
      <c r="D1686" s="216">
        <v>0.52083333333333337</v>
      </c>
      <c r="E1686" s="216">
        <v>0.53472222222222221</v>
      </c>
      <c r="F1686" s="217" t="s">
        <v>171</v>
      </c>
      <c r="G1686" s="217" t="s">
        <v>4274</v>
      </c>
      <c r="H1686" s="209" t="s">
        <v>352</v>
      </c>
      <c r="I1686" s="209" t="s">
        <v>352</v>
      </c>
      <c r="J1686" s="209" t="s">
        <v>37</v>
      </c>
      <c r="K1686" s="217" t="s">
        <v>180</v>
      </c>
      <c r="L1686" s="217" t="s">
        <v>206</v>
      </c>
      <c r="M1686" s="217" t="s">
        <v>4275</v>
      </c>
      <c r="N1686" s="217" t="s">
        <v>42</v>
      </c>
      <c r="O1686" s="217">
        <v>17922</v>
      </c>
      <c r="P1686" s="217">
        <v>60056328</v>
      </c>
      <c r="Q1686" s="303">
        <f t="shared" si="146"/>
        <v>0</v>
      </c>
      <c r="R1686" s="303">
        <f t="shared" si="147"/>
        <v>0</v>
      </c>
      <c r="S1686" s="217">
        <v>0</v>
      </c>
      <c r="T1686" s="217">
        <v>0</v>
      </c>
      <c r="U1686" s="217">
        <v>0</v>
      </c>
      <c r="V1686" s="217">
        <v>0</v>
      </c>
      <c r="W1686" s="217">
        <v>0</v>
      </c>
      <c r="X1686" s="217">
        <v>119</v>
      </c>
      <c r="Y1686" s="217">
        <v>79</v>
      </c>
      <c r="Z1686" s="217">
        <v>92</v>
      </c>
      <c r="AA1686" s="217">
        <v>4</v>
      </c>
      <c r="AB1686" s="300">
        <f t="shared" si="148"/>
        <v>576.59466666666663</v>
      </c>
      <c r="AC1686" s="300">
        <f t="shared" si="149"/>
        <v>3.473461847389558</v>
      </c>
      <c r="AD1686" s="217">
        <v>0</v>
      </c>
      <c r="AE1686" s="217">
        <v>0</v>
      </c>
      <c r="AF1686" s="217" t="s">
        <v>3432</v>
      </c>
      <c r="AG1686" s="217" t="s">
        <v>3432</v>
      </c>
      <c r="AH1686" s="217" t="s">
        <v>4276</v>
      </c>
      <c r="AI1686" s="309"/>
      <c r="AJ1686" s="309"/>
      <c r="AK1686" s="217" t="s">
        <v>37</v>
      </c>
      <c r="AL1686" s="217" t="s">
        <v>47</v>
      </c>
      <c r="AM1686" s="299">
        <f t="shared" ca="1" si="145"/>
        <v>3.0416666666642413</v>
      </c>
      <c r="AN1686" s="224"/>
      <c r="AO1686" s="230" t="s">
        <v>107</v>
      </c>
      <c r="AP1686" s="231" t="s">
        <v>4275</v>
      </c>
      <c r="AQ1686" s="230" t="s">
        <v>4395</v>
      </c>
      <c r="AR1686" s="233">
        <v>44922.555555555555</v>
      </c>
      <c r="AS1686" s="228" t="s">
        <v>173</v>
      </c>
      <c r="AT1686" s="230" t="s">
        <v>225</v>
      </c>
      <c r="AU1686" s="232">
        <v>0.55555555555555558</v>
      </c>
      <c r="AV1686" s="230">
        <v>1</v>
      </c>
      <c r="AW1686" s="230" t="s">
        <v>66</v>
      </c>
      <c r="AX1686" s="225"/>
      <c r="AY1686" s="225"/>
      <c r="AZ1686" s="225"/>
      <c r="BA1686" s="225"/>
    </row>
    <row r="1687" spans="1:53" x14ac:dyDescent="0.25">
      <c r="A1687" s="223">
        <v>463</v>
      </c>
      <c r="B1687" s="222">
        <v>44919.513888888891</v>
      </c>
      <c r="C1687" s="216">
        <v>0.51736111111111105</v>
      </c>
      <c r="D1687" s="216">
        <v>0.52083333333333337</v>
      </c>
      <c r="E1687" s="216">
        <v>0.53472222222222221</v>
      </c>
      <c r="F1687" s="217" t="s">
        <v>171</v>
      </c>
      <c r="G1687" s="217" t="s">
        <v>4274</v>
      </c>
      <c r="H1687" s="209" t="s">
        <v>352</v>
      </c>
      <c r="I1687" s="209" t="s">
        <v>352</v>
      </c>
      <c r="J1687" s="209" t="s">
        <v>37</v>
      </c>
      <c r="K1687" s="217" t="s">
        <v>180</v>
      </c>
      <c r="L1687" s="217" t="s">
        <v>206</v>
      </c>
      <c r="M1687" s="217" t="s">
        <v>4278</v>
      </c>
      <c r="N1687" s="217" t="s">
        <v>440</v>
      </c>
      <c r="O1687" s="217" t="s">
        <v>4279</v>
      </c>
      <c r="P1687" s="217">
        <v>266021</v>
      </c>
      <c r="Q1687" s="303">
        <f t="shared" si="146"/>
        <v>2</v>
      </c>
      <c r="R1687" s="303">
        <f t="shared" si="147"/>
        <v>28</v>
      </c>
      <c r="S1687" s="217">
        <v>2</v>
      </c>
      <c r="T1687" s="217">
        <v>28</v>
      </c>
      <c r="U1687" s="217">
        <v>0</v>
      </c>
      <c r="V1687" s="217">
        <v>0</v>
      </c>
      <c r="W1687" s="217" t="s">
        <v>48</v>
      </c>
      <c r="X1687" s="217">
        <v>50</v>
      </c>
      <c r="Y1687" s="217">
        <v>30</v>
      </c>
      <c r="Z1687" s="217">
        <v>103</v>
      </c>
      <c r="AA1687" s="217">
        <v>1</v>
      </c>
      <c r="AB1687" s="300">
        <f t="shared" si="148"/>
        <v>25.75</v>
      </c>
      <c r="AC1687" s="300">
        <f t="shared" si="149"/>
        <v>0.15512048192771086</v>
      </c>
      <c r="AD1687" s="217">
        <v>16911</v>
      </c>
      <c r="AE1687" s="217" t="s">
        <v>109</v>
      </c>
      <c r="AF1687" s="217" t="s">
        <v>3432</v>
      </c>
      <c r="AG1687" s="217" t="s">
        <v>3432</v>
      </c>
      <c r="AH1687" s="217">
        <v>0</v>
      </c>
      <c r="AI1687" s="309"/>
      <c r="AJ1687" s="309"/>
      <c r="AK1687" s="217" t="s">
        <v>48</v>
      </c>
      <c r="AL1687" s="217" t="s">
        <v>47</v>
      </c>
      <c r="AM1687" s="299">
        <f t="shared" ca="1" si="145"/>
        <v>12.993055555554747</v>
      </c>
      <c r="AN1687" s="224"/>
      <c r="AO1687" s="288" t="s">
        <v>446</v>
      </c>
      <c r="AP1687" s="275" t="s">
        <v>4278</v>
      </c>
      <c r="AQ1687" s="288" t="s">
        <v>4955</v>
      </c>
      <c r="AR1687" s="277">
        <v>44932.506944444445</v>
      </c>
      <c r="AS1687" s="272" t="s">
        <v>173</v>
      </c>
      <c r="AT1687" s="288" t="s">
        <v>225</v>
      </c>
      <c r="AU1687" s="276">
        <v>0.50694444444444442</v>
      </c>
      <c r="AV1687" s="288">
        <v>1</v>
      </c>
      <c r="AW1687" s="288" t="s">
        <v>66</v>
      </c>
      <c r="AX1687" s="225"/>
      <c r="AY1687" s="225"/>
      <c r="AZ1687" s="225"/>
      <c r="BA1687" s="225"/>
    </row>
    <row r="1688" spans="1:53" x14ac:dyDescent="0.25">
      <c r="A1688" s="312">
        <v>463</v>
      </c>
      <c r="B1688" s="222">
        <v>44919.513888888891</v>
      </c>
      <c r="C1688" s="216">
        <v>0.51736111111111105</v>
      </c>
      <c r="D1688" s="216">
        <v>0.52083333333333337</v>
      </c>
      <c r="E1688" s="216">
        <v>0.53472222222222221</v>
      </c>
      <c r="F1688" s="217" t="s">
        <v>171</v>
      </c>
      <c r="G1688" s="217" t="s">
        <v>4274</v>
      </c>
      <c r="H1688" s="209" t="s">
        <v>352</v>
      </c>
      <c r="I1688" s="209" t="s">
        <v>352</v>
      </c>
      <c r="J1688" s="209" t="s">
        <v>37</v>
      </c>
      <c r="K1688" s="217" t="s">
        <v>180</v>
      </c>
      <c r="L1688" s="217" t="s">
        <v>206</v>
      </c>
      <c r="M1688" s="217" t="s">
        <v>4278</v>
      </c>
      <c r="N1688" s="217" t="s">
        <v>440</v>
      </c>
      <c r="O1688" s="217" t="s">
        <v>4279</v>
      </c>
      <c r="P1688" s="217">
        <v>266021</v>
      </c>
      <c r="Q1688" s="303">
        <f t="shared" si="146"/>
        <v>0</v>
      </c>
      <c r="R1688" s="303">
        <f t="shared" si="147"/>
        <v>0</v>
      </c>
      <c r="S1688" s="217">
        <v>0</v>
      </c>
      <c r="T1688" s="217">
        <v>0</v>
      </c>
      <c r="U1688" s="217">
        <v>0</v>
      </c>
      <c r="V1688" s="217">
        <v>0</v>
      </c>
      <c r="W1688" s="217">
        <v>0</v>
      </c>
      <c r="X1688" s="217">
        <v>37</v>
      </c>
      <c r="Y1688" s="217">
        <v>32</v>
      </c>
      <c r="Z1688" s="217">
        <v>33</v>
      </c>
      <c r="AA1688" s="217">
        <v>1</v>
      </c>
      <c r="AB1688" s="300">
        <f t="shared" si="148"/>
        <v>6.5119999999999996</v>
      </c>
      <c r="AC1688" s="300">
        <f t="shared" si="149"/>
        <v>3.9228915662650597E-2</v>
      </c>
      <c r="AD1688" s="217">
        <v>0</v>
      </c>
      <c r="AE1688" s="217">
        <v>0</v>
      </c>
      <c r="AF1688" s="217" t="s">
        <v>3432</v>
      </c>
      <c r="AG1688" s="217" t="s">
        <v>3432</v>
      </c>
      <c r="AH1688" s="217">
        <v>0</v>
      </c>
      <c r="AI1688" s="309"/>
      <c r="AJ1688" s="309"/>
      <c r="AK1688" s="217" t="s">
        <v>48</v>
      </c>
      <c r="AL1688" s="217" t="s">
        <v>47</v>
      </c>
      <c r="AM1688" s="299">
        <f t="shared" ca="1" si="145"/>
        <v>12.993055555554747</v>
      </c>
      <c r="AN1688" s="224"/>
      <c r="AO1688" s="288" t="s">
        <v>446</v>
      </c>
      <c r="AP1688" s="275" t="s">
        <v>4278</v>
      </c>
      <c r="AQ1688" s="288" t="s">
        <v>4955</v>
      </c>
      <c r="AR1688" s="277">
        <v>44932.506944444445</v>
      </c>
      <c r="AS1688" s="272" t="s">
        <v>173</v>
      </c>
      <c r="AT1688" s="288" t="s">
        <v>225</v>
      </c>
      <c r="AU1688" s="276">
        <v>0.50694444444444442</v>
      </c>
      <c r="AV1688" s="288">
        <v>1</v>
      </c>
      <c r="AW1688" s="288" t="s">
        <v>66</v>
      </c>
      <c r="AX1688" s="225"/>
      <c r="AY1688" s="225"/>
      <c r="AZ1688" s="225"/>
      <c r="BA1688" s="225"/>
    </row>
    <row r="1689" spans="1:53" x14ac:dyDescent="0.25">
      <c r="A1689" s="223">
        <v>464</v>
      </c>
      <c r="B1689" s="222">
        <v>44919.517361111109</v>
      </c>
      <c r="C1689" s="216">
        <v>0.52083333333333337</v>
      </c>
      <c r="D1689" s="216">
        <v>0.55902777777777779</v>
      </c>
      <c r="E1689" s="216">
        <v>0.56944444444444442</v>
      </c>
      <c r="F1689" s="217" t="s">
        <v>169</v>
      </c>
      <c r="G1689" s="217" t="s">
        <v>4280</v>
      </c>
      <c r="H1689" s="209" t="s">
        <v>230</v>
      </c>
      <c r="I1689" s="209" t="s">
        <v>407</v>
      </c>
      <c r="J1689" s="209" t="s">
        <v>37</v>
      </c>
      <c r="K1689" s="215" t="s">
        <v>61</v>
      </c>
      <c r="L1689" s="214" t="s">
        <v>224</v>
      </c>
      <c r="M1689" s="217" t="s">
        <v>4281</v>
      </c>
      <c r="N1689" s="217" t="s">
        <v>42</v>
      </c>
      <c r="O1689" s="217" t="s">
        <v>4282</v>
      </c>
      <c r="P1689" s="217">
        <v>5031108</v>
      </c>
      <c r="Q1689" s="303">
        <f t="shared" si="146"/>
        <v>337</v>
      </c>
      <c r="R1689" s="303">
        <f t="shared" si="147"/>
        <v>4973</v>
      </c>
      <c r="S1689" s="217">
        <v>337</v>
      </c>
      <c r="T1689" s="217">
        <v>4973</v>
      </c>
      <c r="U1689" s="217">
        <v>0</v>
      </c>
      <c r="V1689" s="217">
        <v>0</v>
      </c>
      <c r="W1689" s="217">
        <v>4436</v>
      </c>
      <c r="X1689" s="217">
        <v>60</v>
      </c>
      <c r="Y1689" s="217">
        <v>44</v>
      </c>
      <c r="Z1689" s="217">
        <v>26</v>
      </c>
      <c r="AA1689" s="217">
        <v>335</v>
      </c>
      <c r="AB1689" s="300">
        <f t="shared" si="148"/>
        <v>3832.4</v>
      </c>
      <c r="AC1689" s="300">
        <f t="shared" si="149"/>
        <v>23.086746987951809</v>
      </c>
      <c r="AD1689" s="217">
        <v>157840.65</v>
      </c>
      <c r="AE1689" s="217" t="s">
        <v>109</v>
      </c>
      <c r="AF1689" s="217" t="s">
        <v>4283</v>
      </c>
      <c r="AG1689" s="217" t="s">
        <v>4284</v>
      </c>
      <c r="AH1689" s="217" t="s">
        <v>4285</v>
      </c>
      <c r="AI1689" s="309"/>
      <c r="AJ1689" s="309"/>
      <c r="AK1689" s="217" t="s">
        <v>48</v>
      </c>
      <c r="AL1689" s="217" t="s">
        <v>56</v>
      </c>
      <c r="AM1689" s="299">
        <f t="shared" ca="1" si="145"/>
        <v>2.8993055555547471</v>
      </c>
      <c r="AN1689" s="224"/>
      <c r="AO1689" s="230" t="s">
        <v>135</v>
      </c>
      <c r="AP1689" s="231" t="s">
        <v>4281</v>
      </c>
      <c r="AQ1689" s="230" t="s">
        <v>4390</v>
      </c>
      <c r="AR1689" s="233">
        <v>44922.416666666664</v>
      </c>
      <c r="AS1689" s="228" t="s">
        <v>483</v>
      </c>
      <c r="AT1689" s="230" t="s">
        <v>225</v>
      </c>
      <c r="AU1689" s="232">
        <v>0.41666666666666669</v>
      </c>
      <c r="AV1689" s="230">
        <v>1</v>
      </c>
      <c r="AW1689" s="230" t="s">
        <v>66</v>
      </c>
      <c r="AX1689" s="225"/>
      <c r="AY1689" s="225"/>
      <c r="AZ1689" s="225"/>
      <c r="BA1689" s="225"/>
    </row>
    <row r="1690" spans="1:53" x14ac:dyDescent="0.25">
      <c r="A1690" s="312">
        <v>464</v>
      </c>
      <c r="B1690" s="222">
        <v>44919.517361111109</v>
      </c>
      <c r="C1690" s="216">
        <v>0.52083333333333337</v>
      </c>
      <c r="D1690" s="216">
        <v>0.55902777777777779</v>
      </c>
      <c r="E1690" s="216">
        <v>0.56944444444444442</v>
      </c>
      <c r="F1690" s="217" t="s">
        <v>169</v>
      </c>
      <c r="G1690" s="217" t="s">
        <v>4280</v>
      </c>
      <c r="H1690" s="209" t="s">
        <v>230</v>
      </c>
      <c r="I1690" s="209" t="s">
        <v>407</v>
      </c>
      <c r="J1690" s="209" t="s">
        <v>37</v>
      </c>
      <c r="K1690" s="215" t="s">
        <v>61</v>
      </c>
      <c r="L1690" s="214" t="s">
        <v>224</v>
      </c>
      <c r="M1690" s="217" t="s">
        <v>4281</v>
      </c>
      <c r="N1690" s="217" t="s">
        <v>42</v>
      </c>
      <c r="O1690" s="217" t="s">
        <v>4282</v>
      </c>
      <c r="P1690" s="217">
        <v>5031108</v>
      </c>
      <c r="Q1690" s="303">
        <f t="shared" si="146"/>
        <v>0</v>
      </c>
      <c r="R1690" s="303">
        <f t="shared" si="147"/>
        <v>0</v>
      </c>
      <c r="S1690" s="217">
        <v>0</v>
      </c>
      <c r="T1690" s="217">
        <v>0</v>
      </c>
      <c r="U1690" s="217">
        <v>0</v>
      </c>
      <c r="V1690" s="217">
        <v>0</v>
      </c>
      <c r="W1690" s="217">
        <v>0</v>
      </c>
      <c r="X1690" s="217">
        <v>60</v>
      </c>
      <c r="Y1690" s="217">
        <v>44</v>
      </c>
      <c r="Z1690" s="217">
        <v>15</v>
      </c>
      <c r="AA1690" s="217">
        <v>2</v>
      </c>
      <c r="AB1690" s="300">
        <f t="shared" si="148"/>
        <v>13.2</v>
      </c>
      <c r="AC1690" s="300">
        <f t="shared" si="149"/>
        <v>7.9518072289156624E-2</v>
      </c>
      <c r="AD1690" s="217">
        <v>0</v>
      </c>
      <c r="AE1690" s="217">
        <v>0</v>
      </c>
      <c r="AF1690" s="217" t="s">
        <v>4283</v>
      </c>
      <c r="AG1690" s="217" t="s">
        <v>4284</v>
      </c>
      <c r="AH1690" s="217" t="s">
        <v>4285</v>
      </c>
      <c r="AI1690" s="309"/>
      <c r="AJ1690" s="309"/>
      <c r="AK1690" s="217" t="s">
        <v>48</v>
      </c>
      <c r="AL1690" s="217" t="s">
        <v>56</v>
      </c>
      <c r="AM1690" s="299">
        <f t="shared" ca="1" si="145"/>
        <v>2.8993055555547471</v>
      </c>
      <c r="AN1690" s="224"/>
      <c r="AO1690" s="230" t="s">
        <v>135</v>
      </c>
      <c r="AP1690" s="231" t="s">
        <v>4281</v>
      </c>
      <c r="AQ1690" s="230" t="s">
        <v>4390</v>
      </c>
      <c r="AR1690" s="233">
        <v>44922.416666666664</v>
      </c>
      <c r="AS1690" s="228" t="s">
        <v>483</v>
      </c>
      <c r="AT1690" s="230" t="s">
        <v>225</v>
      </c>
      <c r="AU1690" s="232">
        <v>0.41666666666666669</v>
      </c>
      <c r="AV1690" s="230">
        <v>1</v>
      </c>
      <c r="AW1690" s="230" t="s">
        <v>66</v>
      </c>
      <c r="AX1690" s="225"/>
      <c r="AY1690" s="225"/>
      <c r="AZ1690" s="225"/>
      <c r="BA1690" s="225"/>
    </row>
    <row r="1691" spans="1:53" x14ac:dyDescent="0.25">
      <c r="A1691" s="223">
        <v>465</v>
      </c>
      <c r="B1691" s="222">
        <v>44919.5625</v>
      </c>
      <c r="C1691" s="216">
        <v>0.56597222222222221</v>
      </c>
      <c r="D1691" s="216">
        <v>0.57291666666666663</v>
      </c>
      <c r="E1691" s="216">
        <v>0.61111111111111105</v>
      </c>
      <c r="F1691" s="217" t="s">
        <v>170</v>
      </c>
      <c r="G1691" s="217" t="s">
        <v>4286</v>
      </c>
      <c r="H1691" s="209" t="s">
        <v>4287</v>
      </c>
      <c r="I1691" s="209" t="s">
        <v>124</v>
      </c>
      <c r="J1691" s="209" t="s">
        <v>37</v>
      </c>
      <c r="K1691" s="226" t="s">
        <v>63</v>
      </c>
      <c r="L1691" s="226">
        <v>0</v>
      </c>
      <c r="M1691" s="217" t="s">
        <v>4288</v>
      </c>
      <c r="N1691" s="217" t="s">
        <v>42</v>
      </c>
      <c r="O1691" s="217">
        <v>1122200797</v>
      </c>
      <c r="P1691" s="217" t="s">
        <v>4289</v>
      </c>
      <c r="Q1691" s="303">
        <f t="shared" si="146"/>
        <v>34</v>
      </c>
      <c r="R1691" s="303">
        <f t="shared" si="147"/>
        <v>439</v>
      </c>
      <c r="S1691" s="217">
        <v>34</v>
      </c>
      <c r="T1691" s="217">
        <v>439</v>
      </c>
      <c r="U1691" s="217">
        <v>0</v>
      </c>
      <c r="V1691" s="217">
        <v>0</v>
      </c>
      <c r="W1691" s="217">
        <v>440.34</v>
      </c>
      <c r="X1691" s="217">
        <v>42</v>
      </c>
      <c r="Y1691" s="217">
        <v>40</v>
      </c>
      <c r="Z1691" s="217">
        <v>29</v>
      </c>
      <c r="AA1691" s="217">
        <v>34</v>
      </c>
      <c r="AB1691" s="300">
        <f t="shared" si="148"/>
        <v>276.08</v>
      </c>
      <c r="AC1691" s="300">
        <f t="shared" si="149"/>
        <v>1.6631325301204818</v>
      </c>
      <c r="AD1691" s="217" t="s">
        <v>48</v>
      </c>
      <c r="AE1691" s="217" t="s">
        <v>48</v>
      </c>
      <c r="AF1691" s="217" t="s">
        <v>317</v>
      </c>
      <c r="AG1691" s="217" t="s">
        <v>317</v>
      </c>
      <c r="AH1691" s="217" t="s">
        <v>4290</v>
      </c>
      <c r="AI1691" s="309"/>
      <c r="AJ1691" s="309"/>
      <c r="AK1691" s="217" t="s">
        <v>48</v>
      </c>
      <c r="AL1691" s="217" t="s">
        <v>51</v>
      </c>
      <c r="AM1691" s="299">
        <f t="shared" ca="1" si="145"/>
        <v>2.1493055555547471</v>
      </c>
      <c r="AN1691" s="224"/>
      <c r="AO1691" s="210" t="s">
        <v>120</v>
      </c>
      <c r="AP1691" s="211" t="s">
        <v>4288</v>
      </c>
      <c r="AQ1691" s="210" t="s">
        <v>4366</v>
      </c>
      <c r="AR1691" s="213">
        <v>44921.711805555555</v>
      </c>
      <c r="AS1691" s="210" t="s">
        <v>1203</v>
      </c>
      <c r="AT1691" s="210" t="s">
        <v>225</v>
      </c>
      <c r="AU1691" s="59">
        <v>0.71180555555555547</v>
      </c>
      <c r="AV1691" s="210">
        <v>1</v>
      </c>
      <c r="AW1691" s="210" t="s">
        <v>66</v>
      </c>
      <c r="AX1691" s="225"/>
      <c r="AY1691" s="225"/>
      <c r="AZ1691" s="225"/>
      <c r="BA1691" s="225"/>
    </row>
    <row r="1692" spans="1:53" x14ac:dyDescent="0.25">
      <c r="A1692" s="223">
        <v>466</v>
      </c>
      <c r="B1692" s="222">
        <v>44919.5625</v>
      </c>
      <c r="C1692" s="216">
        <v>0.56597222222222221</v>
      </c>
      <c r="D1692" s="216">
        <v>0.57291666666666663</v>
      </c>
      <c r="E1692" s="216">
        <v>0.61111111111111105</v>
      </c>
      <c r="F1692" s="217" t="s">
        <v>170</v>
      </c>
      <c r="G1692" s="217" t="s">
        <v>4286</v>
      </c>
      <c r="H1692" s="209" t="s">
        <v>227</v>
      </c>
      <c r="I1692" s="209" t="s">
        <v>189</v>
      </c>
      <c r="J1692" s="209" t="s">
        <v>37</v>
      </c>
      <c r="K1692" s="215" t="s">
        <v>63</v>
      </c>
      <c r="L1692" s="220" t="s">
        <v>206</v>
      </c>
      <c r="M1692" s="217" t="s">
        <v>4291</v>
      </c>
      <c r="N1692" s="217" t="s">
        <v>43</v>
      </c>
      <c r="O1692" s="217" t="s">
        <v>4292</v>
      </c>
      <c r="P1692" s="217">
        <v>32405</v>
      </c>
      <c r="Q1692" s="303">
        <f t="shared" si="146"/>
        <v>1</v>
      </c>
      <c r="R1692" s="303">
        <f t="shared" si="147"/>
        <v>249</v>
      </c>
      <c r="S1692" s="217">
        <v>0</v>
      </c>
      <c r="T1692" s="217">
        <v>0</v>
      </c>
      <c r="U1692" s="217">
        <v>1</v>
      </c>
      <c r="V1692" s="217">
        <v>249</v>
      </c>
      <c r="W1692" s="217">
        <v>215</v>
      </c>
      <c r="X1692" s="217">
        <v>160</v>
      </c>
      <c r="Y1692" s="217">
        <v>74</v>
      </c>
      <c r="Z1692" s="217">
        <v>78</v>
      </c>
      <c r="AA1692" s="217">
        <v>1</v>
      </c>
      <c r="AB1692" s="300">
        <f t="shared" si="148"/>
        <v>153.91999999999999</v>
      </c>
      <c r="AC1692" s="300">
        <f t="shared" si="149"/>
        <v>0.92722891566265053</v>
      </c>
      <c r="AD1692" s="217" t="s">
        <v>48</v>
      </c>
      <c r="AE1692" s="217" t="s">
        <v>48</v>
      </c>
      <c r="AF1692" s="217" t="s">
        <v>317</v>
      </c>
      <c r="AG1692" s="217" t="s">
        <v>317</v>
      </c>
      <c r="AH1692" s="217" t="s">
        <v>4293</v>
      </c>
      <c r="AI1692" s="309"/>
      <c r="AJ1692" s="309"/>
      <c r="AK1692" s="217" t="s">
        <v>37</v>
      </c>
      <c r="AL1692" s="217" t="s">
        <v>39</v>
      </c>
      <c r="AM1692" s="299">
        <f t="shared" ca="1" si="145"/>
        <v>2.1354166666642413</v>
      </c>
      <c r="AN1692" s="224"/>
      <c r="AO1692" s="210" t="s">
        <v>179</v>
      </c>
      <c r="AP1692" s="210" t="s">
        <v>4364</v>
      </c>
      <c r="AQ1692" s="210" t="s">
        <v>4365</v>
      </c>
      <c r="AR1692" s="213">
        <v>44921.697916666664</v>
      </c>
      <c r="AS1692" s="210" t="s">
        <v>95</v>
      </c>
      <c r="AT1692" s="210" t="s">
        <v>225</v>
      </c>
      <c r="AU1692" s="59">
        <v>0.69791666666666663</v>
      </c>
      <c r="AV1692" s="210">
        <v>1</v>
      </c>
      <c r="AW1692" s="210" t="s">
        <v>66</v>
      </c>
      <c r="AX1692" s="225"/>
      <c r="AY1692" s="225"/>
      <c r="AZ1692" s="225"/>
      <c r="BA1692" s="225"/>
    </row>
    <row r="1693" spans="1:53" x14ac:dyDescent="0.25">
      <c r="A1693" s="223">
        <v>467</v>
      </c>
      <c r="B1693" s="222">
        <v>44919.5625</v>
      </c>
      <c r="C1693" s="216">
        <v>0.56597222222222221</v>
      </c>
      <c r="D1693" s="216">
        <v>0.57291666666666663</v>
      </c>
      <c r="E1693" s="216">
        <v>0.61111111111111105</v>
      </c>
      <c r="F1693" s="217" t="s">
        <v>170</v>
      </c>
      <c r="G1693" s="217" t="s">
        <v>4286</v>
      </c>
      <c r="H1693" s="209" t="s">
        <v>46</v>
      </c>
      <c r="I1693" s="209" t="s">
        <v>92</v>
      </c>
      <c r="J1693" s="209" t="s">
        <v>41</v>
      </c>
      <c r="K1693" s="215" t="s">
        <v>63</v>
      </c>
      <c r="L1693" s="215" t="s">
        <v>214</v>
      </c>
      <c r="M1693" s="217" t="s">
        <v>4294</v>
      </c>
      <c r="N1693" s="217" t="s">
        <v>42</v>
      </c>
      <c r="O1693" s="217" t="s">
        <v>4295</v>
      </c>
      <c r="P1693" s="217" t="s">
        <v>4296</v>
      </c>
      <c r="Q1693" s="303">
        <f t="shared" si="146"/>
        <v>2</v>
      </c>
      <c r="R1693" s="303">
        <f t="shared" si="147"/>
        <v>448</v>
      </c>
      <c r="S1693" s="217">
        <v>0</v>
      </c>
      <c r="T1693" s="217">
        <v>0</v>
      </c>
      <c r="U1693" s="217">
        <v>2</v>
      </c>
      <c r="V1693" s="217">
        <v>448</v>
      </c>
      <c r="W1693" s="217">
        <v>486.6</v>
      </c>
      <c r="X1693" s="217">
        <v>85</v>
      </c>
      <c r="Y1693" s="217">
        <v>85</v>
      </c>
      <c r="Z1693" s="217">
        <v>50</v>
      </c>
      <c r="AA1693" s="217">
        <v>1</v>
      </c>
      <c r="AB1693" s="300">
        <f t="shared" si="148"/>
        <v>60.208333333333336</v>
      </c>
      <c r="AC1693" s="300">
        <f t="shared" si="149"/>
        <v>0.36270080321285142</v>
      </c>
      <c r="AD1693" s="217" t="s">
        <v>48</v>
      </c>
      <c r="AE1693" s="217" t="s">
        <v>48</v>
      </c>
      <c r="AF1693" s="217" t="s">
        <v>317</v>
      </c>
      <c r="AG1693" s="217" t="s">
        <v>317</v>
      </c>
      <c r="AH1693" s="217" t="s">
        <v>4297</v>
      </c>
      <c r="AI1693" s="309"/>
      <c r="AJ1693" s="309"/>
      <c r="AK1693" s="217" t="s">
        <v>41</v>
      </c>
      <c r="AL1693" s="217" t="s">
        <v>39</v>
      </c>
      <c r="AM1693" s="299">
        <f t="shared" ca="1" si="145"/>
        <v>2.1493055555547471</v>
      </c>
      <c r="AN1693" s="224"/>
      <c r="AO1693" s="210" t="s">
        <v>83</v>
      </c>
      <c r="AP1693" s="211" t="s">
        <v>4294</v>
      </c>
      <c r="AQ1693" s="210" t="s">
        <v>4367</v>
      </c>
      <c r="AR1693" s="213">
        <v>44921.711805555555</v>
      </c>
      <c r="AS1693" s="210" t="s">
        <v>1203</v>
      </c>
      <c r="AT1693" s="210" t="s">
        <v>225</v>
      </c>
      <c r="AU1693" s="59">
        <v>0.71180555555555547</v>
      </c>
      <c r="AV1693" s="210">
        <v>1</v>
      </c>
      <c r="AW1693" s="210" t="s">
        <v>66</v>
      </c>
      <c r="AX1693" s="225"/>
      <c r="AY1693" s="225"/>
      <c r="AZ1693" s="225"/>
      <c r="BA1693" s="225"/>
    </row>
    <row r="1694" spans="1:53" x14ac:dyDescent="0.25">
      <c r="A1694" s="312">
        <v>467</v>
      </c>
      <c r="B1694" s="222">
        <v>44919.5625</v>
      </c>
      <c r="C1694" s="216">
        <v>0.56597222222222221</v>
      </c>
      <c r="D1694" s="216">
        <v>0.57291666666666663</v>
      </c>
      <c r="E1694" s="216">
        <v>0.61111111111111105</v>
      </c>
      <c r="F1694" s="217" t="s">
        <v>170</v>
      </c>
      <c r="G1694" s="217" t="s">
        <v>4286</v>
      </c>
      <c r="H1694" s="209" t="s">
        <v>46</v>
      </c>
      <c r="I1694" s="209" t="s">
        <v>92</v>
      </c>
      <c r="J1694" s="209" t="s">
        <v>41</v>
      </c>
      <c r="K1694" s="215" t="s">
        <v>63</v>
      </c>
      <c r="L1694" s="215" t="s">
        <v>214</v>
      </c>
      <c r="M1694" s="217" t="s">
        <v>4294</v>
      </c>
      <c r="N1694" s="217" t="s">
        <v>42</v>
      </c>
      <c r="O1694" s="217" t="s">
        <v>4295</v>
      </c>
      <c r="P1694" s="217" t="s">
        <v>4296</v>
      </c>
      <c r="Q1694" s="303">
        <f t="shared" si="146"/>
        <v>0</v>
      </c>
      <c r="R1694" s="303">
        <f t="shared" si="147"/>
        <v>0</v>
      </c>
      <c r="S1694" s="217">
        <v>0</v>
      </c>
      <c r="T1694" s="217">
        <v>0</v>
      </c>
      <c r="U1694" s="217">
        <v>0</v>
      </c>
      <c r="V1694" s="217">
        <v>0</v>
      </c>
      <c r="W1694" s="217">
        <v>0</v>
      </c>
      <c r="X1694" s="217">
        <v>92</v>
      </c>
      <c r="Y1694" s="217">
        <v>50</v>
      </c>
      <c r="Z1694" s="217">
        <v>51</v>
      </c>
      <c r="AA1694" s="217">
        <v>1</v>
      </c>
      <c r="AB1694" s="300">
        <f t="shared" si="148"/>
        <v>39.1</v>
      </c>
      <c r="AC1694" s="300">
        <f t="shared" si="149"/>
        <v>0.23554216867469879</v>
      </c>
      <c r="AD1694" s="217">
        <v>0</v>
      </c>
      <c r="AE1694" s="217">
        <v>0</v>
      </c>
      <c r="AF1694" s="217" t="s">
        <v>317</v>
      </c>
      <c r="AG1694" s="217" t="s">
        <v>317</v>
      </c>
      <c r="AH1694" s="217" t="s">
        <v>4297</v>
      </c>
      <c r="AI1694" s="309"/>
      <c r="AJ1694" s="309"/>
      <c r="AK1694" s="217" t="s">
        <v>41</v>
      </c>
      <c r="AL1694" s="217" t="s">
        <v>39</v>
      </c>
      <c r="AM1694" s="299">
        <f t="shared" ca="1" si="145"/>
        <v>2.1493055555547471</v>
      </c>
      <c r="AN1694" s="224"/>
      <c r="AO1694" s="210" t="s">
        <v>83</v>
      </c>
      <c r="AP1694" s="211" t="s">
        <v>4294</v>
      </c>
      <c r="AQ1694" s="210" t="s">
        <v>4367</v>
      </c>
      <c r="AR1694" s="213">
        <v>44921.711805555555</v>
      </c>
      <c r="AS1694" s="210" t="s">
        <v>1203</v>
      </c>
      <c r="AT1694" s="210" t="s">
        <v>225</v>
      </c>
      <c r="AU1694" s="59">
        <v>0.71180555555555547</v>
      </c>
      <c r="AV1694" s="210">
        <v>1</v>
      </c>
      <c r="AW1694" s="210" t="s">
        <v>66</v>
      </c>
      <c r="AX1694" s="225"/>
      <c r="AY1694" s="225"/>
      <c r="AZ1694" s="225"/>
      <c r="BA1694" s="225"/>
    </row>
    <row r="1695" spans="1:53" x14ac:dyDescent="0.25">
      <c r="A1695" s="223">
        <v>468</v>
      </c>
      <c r="B1695" s="222">
        <v>44921.451388888891</v>
      </c>
      <c r="C1695" s="216">
        <v>0.4548611111111111</v>
      </c>
      <c r="D1695" s="216">
        <v>0.46180555555555558</v>
      </c>
      <c r="E1695" s="216">
        <v>0.46875</v>
      </c>
      <c r="F1695" s="217" t="s">
        <v>170</v>
      </c>
      <c r="G1695" s="217" t="s">
        <v>4315</v>
      </c>
      <c r="H1695" s="209" t="s">
        <v>45</v>
      </c>
      <c r="I1695" s="209" t="s">
        <v>162</v>
      </c>
      <c r="J1695" s="209" t="s">
        <v>37</v>
      </c>
      <c r="K1695" s="215" t="s">
        <v>63</v>
      </c>
      <c r="L1695" s="215" t="s">
        <v>215</v>
      </c>
      <c r="M1695" s="217" t="s">
        <v>4316</v>
      </c>
      <c r="N1695" s="217" t="s">
        <v>158</v>
      </c>
      <c r="O1695" s="217">
        <v>3500804</v>
      </c>
      <c r="P1695" s="217">
        <v>5052027272</v>
      </c>
      <c r="Q1695" s="303">
        <f t="shared" si="146"/>
        <v>1</v>
      </c>
      <c r="R1695" s="303">
        <f t="shared" si="147"/>
        <v>128</v>
      </c>
      <c r="S1695" s="217">
        <v>0</v>
      </c>
      <c r="T1695" s="217">
        <v>0</v>
      </c>
      <c r="U1695" s="217">
        <v>1</v>
      </c>
      <c r="V1695" s="217">
        <v>128</v>
      </c>
      <c r="W1695" s="217">
        <v>128.006</v>
      </c>
      <c r="X1695" s="217">
        <v>80</v>
      </c>
      <c r="Y1695" s="217">
        <v>68</v>
      </c>
      <c r="Z1695" s="217">
        <v>50</v>
      </c>
      <c r="AA1695" s="217">
        <v>1</v>
      </c>
      <c r="AB1695" s="300">
        <f t="shared" si="148"/>
        <v>45.333333333333336</v>
      </c>
      <c r="AC1695" s="300">
        <f t="shared" si="149"/>
        <v>0.27309236947791166</v>
      </c>
      <c r="AD1695" s="217">
        <v>6488.8</v>
      </c>
      <c r="AE1695" s="217" t="s">
        <v>109</v>
      </c>
      <c r="AF1695" s="217" t="s">
        <v>317</v>
      </c>
      <c r="AG1695" s="217" t="s">
        <v>317</v>
      </c>
      <c r="AH1695" s="217" t="s">
        <v>4317</v>
      </c>
      <c r="AI1695" s="309"/>
      <c r="AJ1695" s="309"/>
      <c r="AK1695" s="217" t="s">
        <v>37</v>
      </c>
      <c r="AL1695" s="217" t="s">
        <v>49</v>
      </c>
      <c r="AM1695" s="299">
        <f t="shared" ca="1" si="145"/>
        <v>1.1041666666642413</v>
      </c>
      <c r="AN1695" s="224"/>
      <c r="AO1695" s="230" t="s">
        <v>159</v>
      </c>
      <c r="AP1695" s="231" t="s">
        <v>4316</v>
      </c>
      <c r="AQ1695" s="230" t="s">
        <v>4394</v>
      </c>
      <c r="AR1695" s="233">
        <v>44922.555555555555</v>
      </c>
      <c r="AS1695" s="228" t="s">
        <v>173</v>
      </c>
      <c r="AT1695" s="230" t="s">
        <v>225</v>
      </c>
      <c r="AU1695" s="232">
        <v>0.55555555555555558</v>
      </c>
      <c r="AV1695" s="230">
        <v>1</v>
      </c>
      <c r="AW1695" s="230" t="s">
        <v>66</v>
      </c>
      <c r="AX1695" s="225"/>
      <c r="AY1695" s="225"/>
      <c r="AZ1695" s="225"/>
      <c r="BA1695" s="225"/>
    </row>
    <row r="1696" spans="1:53" x14ac:dyDescent="0.25">
      <c r="A1696" s="48">
        <v>469</v>
      </c>
      <c r="B1696" s="222">
        <v>44921.451388888891</v>
      </c>
      <c r="C1696" s="216">
        <v>0.4548611111111111</v>
      </c>
      <c r="D1696" s="216">
        <v>0.46180555555555558</v>
      </c>
      <c r="E1696" s="216">
        <v>0.46875</v>
      </c>
      <c r="F1696" s="217" t="s">
        <v>170</v>
      </c>
      <c r="G1696" s="217" t="s">
        <v>4315</v>
      </c>
      <c r="H1696" s="26" t="s">
        <v>57</v>
      </c>
      <c r="I1696" s="26" t="s">
        <v>162</v>
      </c>
      <c r="J1696" s="209" t="s">
        <v>37</v>
      </c>
      <c r="K1696" s="215" t="s">
        <v>63</v>
      </c>
      <c r="L1696" s="26" t="s">
        <v>209</v>
      </c>
      <c r="M1696" s="37" t="s">
        <v>4318</v>
      </c>
      <c r="N1696" s="217" t="s">
        <v>158</v>
      </c>
      <c r="O1696" s="37" t="s">
        <v>4319</v>
      </c>
      <c r="P1696" s="37">
        <v>81981880</v>
      </c>
      <c r="Q1696" s="303">
        <f t="shared" si="146"/>
        <v>1</v>
      </c>
      <c r="R1696" s="303">
        <f t="shared" si="147"/>
        <v>398</v>
      </c>
      <c r="S1696" s="37">
        <v>0</v>
      </c>
      <c r="T1696" s="37">
        <v>0</v>
      </c>
      <c r="U1696" s="37">
        <v>1</v>
      </c>
      <c r="V1696" s="37">
        <v>398</v>
      </c>
      <c r="W1696" s="37">
        <v>386</v>
      </c>
      <c r="X1696" s="37">
        <v>123</v>
      </c>
      <c r="Y1696" s="37">
        <v>83</v>
      </c>
      <c r="Z1696" s="37">
        <v>90</v>
      </c>
      <c r="AA1696" s="37">
        <v>1</v>
      </c>
      <c r="AB1696" s="300">
        <f t="shared" si="148"/>
        <v>153.13499999999999</v>
      </c>
      <c r="AC1696" s="300">
        <f t="shared" si="149"/>
        <v>0.92249999999999999</v>
      </c>
      <c r="AD1696" s="37">
        <v>2382.83</v>
      </c>
      <c r="AE1696" s="217" t="s">
        <v>109</v>
      </c>
      <c r="AF1696" s="217" t="s">
        <v>317</v>
      </c>
      <c r="AG1696" s="217" t="s">
        <v>317</v>
      </c>
      <c r="AH1696" s="37" t="s">
        <v>4320</v>
      </c>
      <c r="AI1696" s="309"/>
      <c r="AJ1696" s="309"/>
      <c r="AK1696" s="217" t="s">
        <v>37</v>
      </c>
      <c r="AL1696" s="217" t="s">
        <v>49</v>
      </c>
      <c r="AM1696" s="299">
        <f t="shared" ca="1" si="145"/>
        <v>1.1041666666642413</v>
      </c>
      <c r="AN1696" s="51"/>
      <c r="AO1696" s="230" t="s">
        <v>159</v>
      </c>
      <c r="AP1696" s="231" t="s">
        <v>4318</v>
      </c>
      <c r="AQ1696" s="230" t="s">
        <v>4394</v>
      </c>
      <c r="AR1696" s="233">
        <v>44922.555555555555</v>
      </c>
      <c r="AS1696" s="228" t="s">
        <v>173</v>
      </c>
      <c r="AT1696" s="230" t="s">
        <v>225</v>
      </c>
      <c r="AU1696" s="232">
        <v>0.55555555555555558</v>
      </c>
      <c r="AV1696" s="230">
        <v>1</v>
      </c>
      <c r="AW1696" s="230" t="s">
        <v>66</v>
      </c>
      <c r="AX1696" s="52"/>
      <c r="AY1696" s="52"/>
      <c r="AZ1696" s="52"/>
      <c r="BA1696" s="52"/>
    </row>
    <row r="1697" spans="1:53" x14ac:dyDescent="0.25">
      <c r="A1697" s="48">
        <v>470</v>
      </c>
      <c r="B1697" s="222">
        <v>44921.451388888891</v>
      </c>
      <c r="C1697" s="216">
        <v>0.4548611111111111</v>
      </c>
      <c r="D1697" s="216">
        <v>0.46180555555555558</v>
      </c>
      <c r="E1697" s="216">
        <v>0.46875</v>
      </c>
      <c r="F1697" s="217" t="s">
        <v>170</v>
      </c>
      <c r="G1697" s="217" t="s">
        <v>4315</v>
      </c>
      <c r="H1697" s="209" t="s">
        <v>57</v>
      </c>
      <c r="I1697" s="26" t="s">
        <v>110</v>
      </c>
      <c r="J1697" s="209" t="s">
        <v>37</v>
      </c>
      <c r="K1697" s="215" t="s">
        <v>63</v>
      </c>
      <c r="L1697" s="209" t="s">
        <v>209</v>
      </c>
      <c r="M1697" s="37" t="s">
        <v>4321</v>
      </c>
      <c r="N1697" s="37" t="s">
        <v>4322</v>
      </c>
      <c r="O1697" s="37" t="s">
        <v>4323</v>
      </c>
      <c r="P1697" s="37">
        <v>81987335</v>
      </c>
      <c r="Q1697" s="303">
        <f t="shared" si="146"/>
        <v>1</v>
      </c>
      <c r="R1697" s="303">
        <f t="shared" si="147"/>
        <v>63</v>
      </c>
      <c r="S1697" s="37">
        <v>0</v>
      </c>
      <c r="T1697" s="37">
        <v>0</v>
      </c>
      <c r="U1697" s="37">
        <v>1</v>
      </c>
      <c r="V1697" s="37">
        <v>63</v>
      </c>
      <c r="W1697" s="37">
        <v>64</v>
      </c>
      <c r="X1697" s="37">
        <v>80</v>
      </c>
      <c r="Y1697" s="37">
        <v>58</v>
      </c>
      <c r="Z1697" s="37">
        <v>47</v>
      </c>
      <c r="AA1697" s="37">
        <v>1</v>
      </c>
      <c r="AB1697" s="300">
        <f t="shared" si="148"/>
        <v>36.346666666666664</v>
      </c>
      <c r="AC1697" s="300">
        <f t="shared" si="149"/>
        <v>0.21895582329317267</v>
      </c>
      <c r="AD1697" s="37">
        <v>1289.28</v>
      </c>
      <c r="AE1697" s="217" t="s">
        <v>109</v>
      </c>
      <c r="AF1697" s="217" t="s">
        <v>317</v>
      </c>
      <c r="AG1697" s="217" t="s">
        <v>317</v>
      </c>
      <c r="AH1697" s="37" t="s">
        <v>4324</v>
      </c>
      <c r="AI1697" s="309"/>
      <c r="AJ1697" s="309"/>
      <c r="AK1697" s="217" t="s">
        <v>37</v>
      </c>
      <c r="AL1697" s="217" t="s">
        <v>49</v>
      </c>
      <c r="AM1697" s="299">
        <f t="shared" ca="1" si="145"/>
        <v>0.26736111110949423</v>
      </c>
      <c r="AN1697" s="51"/>
      <c r="AO1697" s="210" t="s">
        <v>4372</v>
      </c>
      <c r="AP1697" s="210" t="s">
        <v>4325</v>
      </c>
      <c r="AQ1697" s="210" t="s">
        <v>4373</v>
      </c>
      <c r="AR1697" s="213">
        <v>44921.71875</v>
      </c>
      <c r="AS1697" s="210" t="s">
        <v>3968</v>
      </c>
      <c r="AT1697" s="210" t="s">
        <v>225</v>
      </c>
      <c r="AU1697" s="212">
        <v>0.71875</v>
      </c>
      <c r="AV1697" s="210">
        <v>1</v>
      </c>
      <c r="AW1697" s="210" t="s">
        <v>66</v>
      </c>
      <c r="AX1697" s="52"/>
      <c r="AY1697" s="52"/>
      <c r="AZ1697" s="52"/>
      <c r="BA1697" s="52"/>
    </row>
    <row r="1698" spans="1:53" x14ac:dyDescent="0.25">
      <c r="A1698" s="48">
        <v>471</v>
      </c>
      <c r="B1698" s="222">
        <v>44921.451388888891</v>
      </c>
      <c r="C1698" s="216">
        <v>0.4548611111111111</v>
      </c>
      <c r="D1698" s="216">
        <v>0.46180555555555558</v>
      </c>
      <c r="E1698" s="216">
        <v>0.46875</v>
      </c>
      <c r="F1698" s="217" t="s">
        <v>170</v>
      </c>
      <c r="G1698" s="217" t="s">
        <v>4315</v>
      </c>
      <c r="H1698" s="209" t="s">
        <v>57</v>
      </c>
      <c r="I1698" s="209" t="s">
        <v>110</v>
      </c>
      <c r="J1698" s="209" t="s">
        <v>37</v>
      </c>
      <c r="K1698" s="215" t="s">
        <v>63</v>
      </c>
      <c r="L1698" s="209" t="s">
        <v>209</v>
      </c>
      <c r="M1698" s="37" t="s">
        <v>4325</v>
      </c>
      <c r="N1698" s="217" t="s">
        <v>4322</v>
      </c>
      <c r="O1698" s="37" t="s">
        <v>4326</v>
      </c>
      <c r="P1698" s="37">
        <v>81986295</v>
      </c>
      <c r="Q1698" s="303">
        <f t="shared" si="146"/>
        <v>3</v>
      </c>
      <c r="R1698" s="303">
        <f t="shared" si="147"/>
        <v>1543</v>
      </c>
      <c r="S1698" s="37">
        <v>0</v>
      </c>
      <c r="T1698" s="37">
        <v>0</v>
      </c>
      <c r="U1698" s="37">
        <v>3</v>
      </c>
      <c r="V1698" s="37">
        <f>737+549+257</f>
        <v>1543</v>
      </c>
      <c r="W1698" s="37">
        <v>1445</v>
      </c>
      <c r="X1698" s="37">
        <v>183</v>
      </c>
      <c r="Y1698" s="37">
        <v>83</v>
      </c>
      <c r="Z1698" s="37">
        <v>76</v>
      </c>
      <c r="AA1698" s="37">
        <v>1</v>
      </c>
      <c r="AB1698" s="300">
        <f t="shared" si="148"/>
        <v>192.39400000000001</v>
      </c>
      <c r="AC1698" s="300">
        <f t="shared" si="149"/>
        <v>1.159</v>
      </c>
      <c r="AD1698" s="37">
        <v>13210.91</v>
      </c>
      <c r="AE1698" s="217" t="s">
        <v>109</v>
      </c>
      <c r="AF1698" s="217" t="s">
        <v>317</v>
      </c>
      <c r="AG1698" s="217" t="s">
        <v>317</v>
      </c>
      <c r="AH1698" s="37" t="s">
        <v>4327</v>
      </c>
      <c r="AI1698" s="309"/>
      <c r="AJ1698" s="309"/>
      <c r="AK1698" s="217" t="s">
        <v>37</v>
      </c>
      <c r="AL1698" s="217" t="s">
        <v>49</v>
      </c>
      <c r="AM1698" s="299">
        <f t="shared" ca="1" si="145"/>
        <v>0.26736111110949423</v>
      </c>
      <c r="AN1698" s="51"/>
      <c r="AO1698" s="210" t="s">
        <v>4372</v>
      </c>
      <c r="AP1698" s="210" t="s">
        <v>4325</v>
      </c>
      <c r="AQ1698" s="210" t="s">
        <v>4373</v>
      </c>
      <c r="AR1698" s="213">
        <v>44921.71875</v>
      </c>
      <c r="AS1698" s="210" t="s">
        <v>3968</v>
      </c>
      <c r="AT1698" s="210" t="s">
        <v>225</v>
      </c>
      <c r="AU1698" s="212">
        <v>0.71875</v>
      </c>
      <c r="AV1698" s="210">
        <v>1</v>
      </c>
      <c r="AW1698" s="210" t="s">
        <v>66</v>
      </c>
      <c r="AX1698" s="52"/>
      <c r="AY1698" s="52"/>
      <c r="AZ1698" s="52"/>
      <c r="BA1698" s="52"/>
    </row>
    <row r="1699" spans="1:53" x14ac:dyDescent="0.25">
      <c r="A1699" s="312">
        <v>471</v>
      </c>
      <c r="B1699" s="222">
        <v>44921.451388888891</v>
      </c>
      <c r="C1699" s="216">
        <v>0.4548611111111111</v>
      </c>
      <c r="D1699" s="216">
        <v>0.46180555555555558</v>
      </c>
      <c r="E1699" s="216">
        <v>0.46875</v>
      </c>
      <c r="F1699" s="217" t="s">
        <v>170</v>
      </c>
      <c r="G1699" s="217" t="s">
        <v>4315</v>
      </c>
      <c r="H1699" s="209" t="s">
        <v>57</v>
      </c>
      <c r="I1699" s="209" t="s">
        <v>110</v>
      </c>
      <c r="J1699" s="209" t="s">
        <v>37</v>
      </c>
      <c r="K1699" s="215" t="s">
        <v>63</v>
      </c>
      <c r="L1699" s="209" t="s">
        <v>209</v>
      </c>
      <c r="M1699" s="217" t="s">
        <v>4325</v>
      </c>
      <c r="N1699" s="217" t="s">
        <v>4322</v>
      </c>
      <c r="O1699" s="217" t="s">
        <v>4326</v>
      </c>
      <c r="P1699" s="217">
        <v>81986295</v>
      </c>
      <c r="Q1699" s="303">
        <f t="shared" si="146"/>
        <v>0</v>
      </c>
      <c r="R1699" s="303">
        <f t="shared" si="147"/>
        <v>0</v>
      </c>
      <c r="S1699" s="217">
        <v>0</v>
      </c>
      <c r="T1699" s="217">
        <v>0</v>
      </c>
      <c r="U1699" s="217">
        <v>0</v>
      </c>
      <c r="V1699" s="217">
        <v>0</v>
      </c>
      <c r="W1699" s="217">
        <v>0</v>
      </c>
      <c r="X1699" s="37">
        <v>148</v>
      </c>
      <c r="Y1699" s="37">
        <v>83</v>
      </c>
      <c r="Z1699" s="37">
        <v>76</v>
      </c>
      <c r="AA1699" s="37">
        <v>1</v>
      </c>
      <c r="AB1699" s="300">
        <f t="shared" si="148"/>
        <v>155.59733333333332</v>
      </c>
      <c r="AC1699" s="300">
        <f t="shared" si="149"/>
        <v>0.93733333333333324</v>
      </c>
      <c r="AD1699" s="37">
        <v>0</v>
      </c>
      <c r="AE1699" s="217">
        <v>0</v>
      </c>
      <c r="AF1699" s="217" t="s">
        <v>317</v>
      </c>
      <c r="AG1699" s="217" t="s">
        <v>317</v>
      </c>
      <c r="AH1699" s="217" t="s">
        <v>4327</v>
      </c>
      <c r="AI1699" s="309"/>
      <c r="AJ1699" s="309"/>
      <c r="AK1699" s="217" t="s">
        <v>37</v>
      </c>
      <c r="AL1699" s="217" t="s">
        <v>49</v>
      </c>
      <c r="AM1699" s="299">
        <f t="shared" ca="1" si="145"/>
        <v>0.26736111110949423</v>
      </c>
      <c r="AN1699" s="51"/>
      <c r="AO1699" s="210" t="s">
        <v>4372</v>
      </c>
      <c r="AP1699" s="210" t="s">
        <v>4325</v>
      </c>
      <c r="AQ1699" s="210" t="s">
        <v>4373</v>
      </c>
      <c r="AR1699" s="213">
        <v>44921.71875</v>
      </c>
      <c r="AS1699" s="210" t="s">
        <v>3968</v>
      </c>
      <c r="AT1699" s="210" t="s">
        <v>225</v>
      </c>
      <c r="AU1699" s="212">
        <v>0.71875</v>
      </c>
      <c r="AV1699" s="210">
        <v>1</v>
      </c>
      <c r="AW1699" s="210" t="s">
        <v>66</v>
      </c>
      <c r="AX1699" s="52"/>
      <c r="AY1699" s="52"/>
      <c r="AZ1699" s="52"/>
      <c r="BA1699" s="52"/>
    </row>
    <row r="1700" spans="1:53" x14ac:dyDescent="0.25">
      <c r="A1700" s="312">
        <v>471</v>
      </c>
      <c r="B1700" s="222">
        <v>44921.451388888891</v>
      </c>
      <c r="C1700" s="216">
        <v>0.4548611111111111</v>
      </c>
      <c r="D1700" s="216">
        <v>0.46180555555555558</v>
      </c>
      <c r="E1700" s="216">
        <v>0.46875</v>
      </c>
      <c r="F1700" s="217" t="s">
        <v>170</v>
      </c>
      <c r="G1700" s="217" t="s">
        <v>4315</v>
      </c>
      <c r="H1700" s="209" t="s">
        <v>57</v>
      </c>
      <c r="I1700" s="209" t="s">
        <v>110</v>
      </c>
      <c r="J1700" s="209" t="s">
        <v>37</v>
      </c>
      <c r="K1700" s="215" t="s">
        <v>63</v>
      </c>
      <c r="L1700" s="209" t="s">
        <v>209</v>
      </c>
      <c r="M1700" s="217" t="s">
        <v>4325</v>
      </c>
      <c r="N1700" s="217" t="s">
        <v>4322</v>
      </c>
      <c r="O1700" s="217" t="s">
        <v>4326</v>
      </c>
      <c r="P1700" s="217">
        <v>81986295</v>
      </c>
      <c r="Q1700" s="303">
        <f t="shared" si="146"/>
        <v>0</v>
      </c>
      <c r="R1700" s="303">
        <f t="shared" si="147"/>
        <v>0</v>
      </c>
      <c r="S1700" s="217">
        <v>0</v>
      </c>
      <c r="T1700" s="217">
        <v>0</v>
      </c>
      <c r="U1700" s="217">
        <v>0</v>
      </c>
      <c r="V1700" s="217">
        <v>0</v>
      </c>
      <c r="W1700" s="217">
        <v>0</v>
      </c>
      <c r="X1700" s="37">
        <v>98</v>
      </c>
      <c r="Y1700" s="37">
        <v>65</v>
      </c>
      <c r="Z1700" s="37">
        <v>65</v>
      </c>
      <c r="AA1700" s="37">
        <v>1</v>
      </c>
      <c r="AB1700" s="300">
        <f t="shared" si="148"/>
        <v>69.00833333333334</v>
      </c>
      <c r="AC1700" s="300">
        <f t="shared" si="149"/>
        <v>0.41571285140562253</v>
      </c>
      <c r="AD1700" s="217">
        <v>0</v>
      </c>
      <c r="AE1700" s="217">
        <v>0</v>
      </c>
      <c r="AF1700" s="217" t="s">
        <v>317</v>
      </c>
      <c r="AG1700" s="217" t="s">
        <v>317</v>
      </c>
      <c r="AH1700" s="217" t="s">
        <v>4327</v>
      </c>
      <c r="AI1700" s="309"/>
      <c r="AJ1700" s="309"/>
      <c r="AK1700" s="217" t="s">
        <v>37</v>
      </c>
      <c r="AL1700" s="217" t="s">
        <v>49</v>
      </c>
      <c r="AM1700" s="299">
        <f t="shared" ca="1" si="145"/>
        <v>0.26736111110949423</v>
      </c>
      <c r="AN1700" s="51"/>
      <c r="AO1700" s="210" t="s">
        <v>4372</v>
      </c>
      <c r="AP1700" s="210" t="s">
        <v>4325</v>
      </c>
      <c r="AQ1700" s="210" t="s">
        <v>4373</v>
      </c>
      <c r="AR1700" s="213">
        <v>44921.71875</v>
      </c>
      <c r="AS1700" s="210" t="s">
        <v>3968</v>
      </c>
      <c r="AT1700" s="210" t="s">
        <v>225</v>
      </c>
      <c r="AU1700" s="212">
        <v>0.71875</v>
      </c>
      <c r="AV1700" s="210">
        <v>1</v>
      </c>
      <c r="AW1700" s="210" t="s">
        <v>66</v>
      </c>
      <c r="AX1700" s="52"/>
      <c r="AY1700" s="52"/>
      <c r="AZ1700" s="52"/>
      <c r="BA1700" s="52"/>
    </row>
    <row r="1701" spans="1:53" x14ac:dyDescent="0.25">
      <c r="A1701" s="48">
        <v>472</v>
      </c>
      <c r="B1701" s="222">
        <v>44921.451388888891</v>
      </c>
      <c r="C1701" s="216">
        <v>0.4548611111111111</v>
      </c>
      <c r="D1701" s="216">
        <v>0.46180555555555558</v>
      </c>
      <c r="E1701" s="216">
        <v>0.46875</v>
      </c>
      <c r="F1701" s="217" t="s">
        <v>170</v>
      </c>
      <c r="G1701" s="217" t="s">
        <v>4315</v>
      </c>
      <c r="H1701" s="209" t="s">
        <v>57</v>
      </c>
      <c r="I1701" s="209" t="s">
        <v>110</v>
      </c>
      <c r="J1701" s="209" t="s">
        <v>37</v>
      </c>
      <c r="K1701" s="215" t="s">
        <v>63</v>
      </c>
      <c r="L1701" s="209" t="s">
        <v>209</v>
      </c>
      <c r="M1701" s="217" t="s">
        <v>4325</v>
      </c>
      <c r="N1701" s="217" t="s">
        <v>4322</v>
      </c>
      <c r="O1701" s="217" t="s">
        <v>4328</v>
      </c>
      <c r="P1701" s="37">
        <v>81986320</v>
      </c>
      <c r="Q1701" s="303">
        <f t="shared" si="146"/>
        <v>1</v>
      </c>
      <c r="R1701" s="303">
        <f t="shared" si="147"/>
        <v>175</v>
      </c>
      <c r="S1701" s="37">
        <v>0</v>
      </c>
      <c r="T1701" s="37">
        <v>0</v>
      </c>
      <c r="U1701" s="37">
        <v>1</v>
      </c>
      <c r="V1701" s="37">
        <v>175</v>
      </c>
      <c r="W1701" s="37">
        <v>172</v>
      </c>
      <c r="X1701" s="37">
        <v>98</v>
      </c>
      <c r="Y1701" s="37">
        <v>65</v>
      </c>
      <c r="Z1701" s="37">
        <v>65</v>
      </c>
      <c r="AA1701" s="37">
        <v>1</v>
      </c>
      <c r="AB1701" s="300">
        <f t="shared" si="148"/>
        <v>69.00833333333334</v>
      </c>
      <c r="AC1701" s="300">
        <f t="shared" si="149"/>
        <v>0.41571285140562253</v>
      </c>
      <c r="AD1701" s="37">
        <v>1865.8</v>
      </c>
      <c r="AE1701" s="37" t="s">
        <v>109</v>
      </c>
      <c r="AF1701" s="217" t="s">
        <v>317</v>
      </c>
      <c r="AG1701" s="217" t="s">
        <v>317</v>
      </c>
      <c r="AH1701" s="37" t="s">
        <v>4329</v>
      </c>
      <c r="AI1701" s="309"/>
      <c r="AJ1701" s="309"/>
      <c r="AK1701" s="217" t="s">
        <v>37</v>
      </c>
      <c r="AL1701" s="217" t="s">
        <v>49</v>
      </c>
      <c r="AM1701" s="299">
        <f t="shared" ca="1" si="145"/>
        <v>0.26736111110949423</v>
      </c>
      <c r="AN1701" s="51"/>
      <c r="AO1701" s="210" t="s">
        <v>4372</v>
      </c>
      <c r="AP1701" s="210" t="s">
        <v>4325</v>
      </c>
      <c r="AQ1701" s="210" t="s">
        <v>4373</v>
      </c>
      <c r="AR1701" s="213">
        <v>44921.71875</v>
      </c>
      <c r="AS1701" s="210" t="s">
        <v>3968</v>
      </c>
      <c r="AT1701" s="210" t="s">
        <v>225</v>
      </c>
      <c r="AU1701" s="212">
        <v>0.71875</v>
      </c>
      <c r="AV1701" s="210">
        <v>1</v>
      </c>
      <c r="AW1701" s="210" t="s">
        <v>66</v>
      </c>
      <c r="AX1701" s="52"/>
      <c r="AY1701" s="52"/>
      <c r="AZ1701" s="52"/>
      <c r="BA1701" s="52"/>
    </row>
    <row r="1702" spans="1:53" x14ac:dyDescent="0.25">
      <c r="A1702" s="48">
        <v>473</v>
      </c>
      <c r="B1702" s="222">
        <v>44921.451388888891</v>
      </c>
      <c r="C1702" s="216">
        <v>0.4548611111111111</v>
      </c>
      <c r="D1702" s="216">
        <v>0.46180555555555558</v>
      </c>
      <c r="E1702" s="216">
        <v>0.46875</v>
      </c>
      <c r="F1702" s="217" t="s">
        <v>170</v>
      </c>
      <c r="G1702" s="217" t="s">
        <v>4315</v>
      </c>
      <c r="H1702" s="209" t="s">
        <v>57</v>
      </c>
      <c r="I1702" s="209" t="s">
        <v>110</v>
      </c>
      <c r="J1702" s="209" t="s">
        <v>37</v>
      </c>
      <c r="K1702" s="215" t="s">
        <v>63</v>
      </c>
      <c r="L1702" s="209" t="s">
        <v>209</v>
      </c>
      <c r="M1702" s="217" t="s">
        <v>4325</v>
      </c>
      <c r="N1702" s="217" t="s">
        <v>4322</v>
      </c>
      <c r="O1702" s="217" t="s">
        <v>4330</v>
      </c>
      <c r="P1702" s="37">
        <v>81986298</v>
      </c>
      <c r="Q1702" s="303">
        <f t="shared" si="146"/>
        <v>1</v>
      </c>
      <c r="R1702" s="303">
        <f t="shared" si="147"/>
        <v>129</v>
      </c>
      <c r="S1702" s="37">
        <v>0</v>
      </c>
      <c r="T1702" s="37">
        <v>0</v>
      </c>
      <c r="U1702" s="37">
        <v>1</v>
      </c>
      <c r="V1702" s="37">
        <v>129</v>
      </c>
      <c r="W1702" s="37">
        <v>130</v>
      </c>
      <c r="X1702" s="217">
        <v>98</v>
      </c>
      <c r="Y1702" s="217">
        <v>65</v>
      </c>
      <c r="Z1702" s="217">
        <v>65</v>
      </c>
      <c r="AA1702" s="37">
        <v>1</v>
      </c>
      <c r="AB1702" s="300">
        <f t="shared" si="148"/>
        <v>69.00833333333334</v>
      </c>
      <c r="AC1702" s="300">
        <f t="shared" si="149"/>
        <v>0.41571285140562253</v>
      </c>
      <c r="AD1702" s="37">
        <v>1778.6</v>
      </c>
      <c r="AE1702" s="217" t="s">
        <v>109</v>
      </c>
      <c r="AF1702" s="217" t="s">
        <v>317</v>
      </c>
      <c r="AG1702" s="217" t="s">
        <v>317</v>
      </c>
      <c r="AH1702" s="37" t="s">
        <v>4331</v>
      </c>
      <c r="AI1702" s="309"/>
      <c r="AJ1702" s="309"/>
      <c r="AK1702" s="217" t="s">
        <v>37</v>
      </c>
      <c r="AL1702" s="217" t="s">
        <v>49</v>
      </c>
      <c r="AM1702" s="299">
        <f t="shared" ca="1" si="145"/>
        <v>0.26736111110949423</v>
      </c>
      <c r="AN1702" s="51"/>
      <c r="AO1702" s="210" t="s">
        <v>4372</v>
      </c>
      <c r="AP1702" s="210" t="s">
        <v>4325</v>
      </c>
      <c r="AQ1702" s="210" t="s">
        <v>4373</v>
      </c>
      <c r="AR1702" s="213">
        <v>44921.71875</v>
      </c>
      <c r="AS1702" s="210" t="s">
        <v>3968</v>
      </c>
      <c r="AT1702" s="210" t="s">
        <v>225</v>
      </c>
      <c r="AU1702" s="212">
        <v>0.71875</v>
      </c>
      <c r="AV1702" s="210">
        <v>1</v>
      </c>
      <c r="AW1702" s="210" t="s">
        <v>66</v>
      </c>
      <c r="AX1702" s="52"/>
      <c r="AY1702" s="52"/>
      <c r="AZ1702" s="52"/>
      <c r="BA1702" s="52"/>
    </row>
    <row r="1703" spans="1:53" x14ac:dyDescent="0.25">
      <c r="A1703" s="48">
        <v>474</v>
      </c>
      <c r="B1703" s="46">
        <v>44921.461805555555</v>
      </c>
      <c r="C1703" s="36">
        <v>0.46527777777777773</v>
      </c>
      <c r="D1703" s="36">
        <v>0.46875</v>
      </c>
      <c r="E1703" s="36">
        <v>0.47222222222222227</v>
      </c>
      <c r="F1703" s="37" t="s">
        <v>171</v>
      </c>
      <c r="G1703" s="37" t="s">
        <v>1203</v>
      </c>
      <c r="H1703" s="26" t="s">
        <v>442</v>
      </c>
      <c r="I1703" s="26" t="s">
        <v>188</v>
      </c>
      <c r="J1703" s="209" t="s">
        <v>37</v>
      </c>
      <c r="K1703" s="215" t="s">
        <v>180</v>
      </c>
      <c r="L1703" s="215">
        <v>0</v>
      </c>
      <c r="M1703" s="37" t="s">
        <v>4332</v>
      </c>
      <c r="N1703" s="37" t="s">
        <v>76</v>
      </c>
      <c r="O1703" s="37">
        <v>2233200438</v>
      </c>
      <c r="P1703" s="37" t="s">
        <v>346</v>
      </c>
      <c r="Q1703" s="303">
        <f t="shared" si="146"/>
        <v>3</v>
      </c>
      <c r="R1703" s="303">
        <f t="shared" si="147"/>
        <v>35</v>
      </c>
      <c r="S1703" s="37">
        <v>3</v>
      </c>
      <c r="T1703" s="37">
        <v>35</v>
      </c>
      <c r="U1703" s="37">
        <v>0</v>
      </c>
      <c r="V1703" s="37">
        <v>0</v>
      </c>
      <c r="W1703" s="37">
        <v>33</v>
      </c>
      <c r="X1703" s="37">
        <v>41</v>
      </c>
      <c r="Y1703" s="37">
        <v>26</v>
      </c>
      <c r="Z1703" s="37">
        <v>22</v>
      </c>
      <c r="AA1703" s="37">
        <v>3</v>
      </c>
      <c r="AB1703" s="300">
        <f t="shared" si="148"/>
        <v>11.726000000000001</v>
      </c>
      <c r="AC1703" s="300">
        <f t="shared" si="149"/>
        <v>7.0638554216867475E-2</v>
      </c>
      <c r="AD1703" s="37">
        <v>595</v>
      </c>
      <c r="AE1703" s="37" t="s">
        <v>111</v>
      </c>
      <c r="AF1703" s="37">
        <v>6422730</v>
      </c>
      <c r="AG1703" s="37" t="s">
        <v>4284</v>
      </c>
      <c r="AH1703" s="37" t="s">
        <v>4333</v>
      </c>
      <c r="AI1703" s="309"/>
      <c r="AJ1703" s="309"/>
      <c r="AK1703" s="37" t="s">
        <v>48</v>
      </c>
      <c r="AL1703" s="37" t="s">
        <v>47</v>
      </c>
      <c r="AM1703" s="299">
        <f t="shared" ca="1" si="145"/>
        <v>0.25</v>
      </c>
      <c r="AN1703" s="51"/>
      <c r="AO1703" s="210" t="s">
        <v>163</v>
      </c>
      <c r="AP1703" s="211" t="s">
        <v>4332</v>
      </c>
      <c r="AQ1703" s="210" t="s">
        <v>4368</v>
      </c>
      <c r="AR1703" s="213">
        <v>44921.711805555555</v>
      </c>
      <c r="AS1703" s="210" t="s">
        <v>1203</v>
      </c>
      <c r="AT1703" s="210" t="s">
        <v>225</v>
      </c>
      <c r="AU1703" s="59">
        <v>0.71180555555555547</v>
      </c>
      <c r="AV1703" s="210">
        <v>1</v>
      </c>
      <c r="AW1703" s="210" t="s">
        <v>66</v>
      </c>
      <c r="AX1703" s="52"/>
      <c r="AY1703" s="52"/>
      <c r="AZ1703" s="52"/>
      <c r="BA1703" s="52"/>
    </row>
    <row r="1704" spans="1:53" x14ac:dyDescent="0.25">
      <c r="A1704" s="79">
        <v>475</v>
      </c>
      <c r="B1704" s="80">
        <v>44921.5</v>
      </c>
      <c r="C1704" s="81">
        <v>0.50347222222222221</v>
      </c>
      <c r="D1704" s="81">
        <v>0.51388888888888895</v>
      </c>
      <c r="E1704" s="81">
        <v>0.51736111111111105</v>
      </c>
      <c r="F1704" s="82" t="s">
        <v>171</v>
      </c>
      <c r="G1704" s="82" t="s">
        <v>4334</v>
      </c>
      <c r="H1704" s="210" t="s">
        <v>91</v>
      </c>
      <c r="I1704" s="210" t="s">
        <v>318</v>
      </c>
      <c r="J1704" s="210" t="s">
        <v>41</v>
      </c>
      <c r="K1704" s="226" t="s">
        <v>180</v>
      </c>
      <c r="L1704" s="226" t="s">
        <v>206</v>
      </c>
      <c r="M1704" s="82" t="s">
        <v>4335</v>
      </c>
      <c r="N1704" s="82" t="s">
        <v>44</v>
      </c>
      <c r="O1704" s="82">
        <v>1054970152</v>
      </c>
      <c r="P1704" s="82">
        <v>1214076484</v>
      </c>
      <c r="Q1704" s="303">
        <f t="shared" si="146"/>
        <v>3</v>
      </c>
      <c r="R1704" s="303">
        <f t="shared" si="147"/>
        <v>636</v>
      </c>
      <c r="S1704" s="82">
        <v>0</v>
      </c>
      <c r="T1704" s="82">
        <v>0</v>
      </c>
      <c r="U1704" s="82">
        <v>3</v>
      </c>
      <c r="V1704" s="82">
        <v>636</v>
      </c>
      <c r="W1704" s="82">
        <v>641</v>
      </c>
      <c r="X1704" s="82">
        <v>120</v>
      </c>
      <c r="Y1704" s="82">
        <v>80</v>
      </c>
      <c r="Z1704" s="82">
        <v>78</v>
      </c>
      <c r="AA1704" s="82">
        <v>3</v>
      </c>
      <c r="AB1704" s="300">
        <f t="shared" si="148"/>
        <v>374.4</v>
      </c>
      <c r="AC1704" s="300">
        <f t="shared" si="149"/>
        <v>2.2554216867469878</v>
      </c>
      <c r="AD1704" s="82">
        <v>34859.879999999997</v>
      </c>
      <c r="AE1704" s="82" t="s">
        <v>109</v>
      </c>
      <c r="AF1704" s="82">
        <v>6437496</v>
      </c>
      <c r="AG1704" s="82" t="s">
        <v>4336</v>
      </c>
      <c r="AH1704" s="82" t="s">
        <v>4337</v>
      </c>
      <c r="AI1704" s="246"/>
      <c r="AJ1704" s="246"/>
      <c r="AK1704" s="82" t="s">
        <v>37</v>
      </c>
      <c r="AL1704" s="78" t="s">
        <v>54</v>
      </c>
      <c r="AM1704" s="299">
        <f t="shared" ref="AM1704:AM1767" ca="1" si="150">IF(AP1704="",NOW()-B1704,AR1704-B1704)</f>
        <v>0.19791666666424135</v>
      </c>
      <c r="AN1704" s="85"/>
      <c r="AO1704" s="210" t="s">
        <v>323</v>
      </c>
      <c r="AP1704" s="211" t="s">
        <v>4335</v>
      </c>
      <c r="AQ1704" s="210" t="s">
        <v>4363</v>
      </c>
      <c r="AR1704" s="213">
        <v>44921.697916666664</v>
      </c>
      <c r="AS1704" s="210" t="s">
        <v>95</v>
      </c>
      <c r="AT1704" s="210" t="s">
        <v>225</v>
      </c>
      <c r="AU1704" s="59">
        <v>0.69791666666666663</v>
      </c>
      <c r="AV1704" s="210">
        <v>1</v>
      </c>
      <c r="AW1704" s="210" t="s">
        <v>66</v>
      </c>
      <c r="AX1704" s="52"/>
      <c r="AY1704" s="52"/>
      <c r="AZ1704" s="52"/>
      <c r="BA1704" s="52"/>
    </row>
    <row r="1705" spans="1:53" x14ac:dyDescent="0.25">
      <c r="A1705" s="79">
        <v>476</v>
      </c>
      <c r="B1705" s="80">
        <v>44921.5</v>
      </c>
      <c r="C1705" s="81">
        <v>0.50347222222222221</v>
      </c>
      <c r="D1705" s="81">
        <v>0.51388888888888895</v>
      </c>
      <c r="E1705" s="81">
        <v>0.51736111111111105</v>
      </c>
      <c r="F1705" s="82" t="s">
        <v>171</v>
      </c>
      <c r="G1705" s="82" t="s">
        <v>4334</v>
      </c>
      <c r="H1705" s="210" t="s">
        <v>91</v>
      </c>
      <c r="I1705" s="210" t="s">
        <v>318</v>
      </c>
      <c r="J1705" s="210" t="s">
        <v>41</v>
      </c>
      <c r="K1705" s="226" t="s">
        <v>180</v>
      </c>
      <c r="L1705" s="226" t="s">
        <v>206</v>
      </c>
      <c r="M1705" s="82" t="s">
        <v>4335</v>
      </c>
      <c r="N1705" s="82" t="s">
        <v>44</v>
      </c>
      <c r="O1705" s="82">
        <v>1054970142</v>
      </c>
      <c r="P1705" s="82">
        <v>1214076205</v>
      </c>
      <c r="Q1705" s="303">
        <f t="shared" ref="Q1705:Q1768" si="151">S1705+U1705</f>
        <v>5</v>
      </c>
      <c r="R1705" s="303">
        <f t="shared" ref="R1705:R1768" si="152">T1705+V1705</f>
        <v>1063</v>
      </c>
      <c r="S1705" s="82">
        <v>0</v>
      </c>
      <c r="T1705" s="82">
        <v>0</v>
      </c>
      <c r="U1705" s="82">
        <v>5</v>
      </c>
      <c r="V1705" s="82">
        <v>1063</v>
      </c>
      <c r="W1705" s="82">
        <v>1068</v>
      </c>
      <c r="X1705" s="82">
        <v>120</v>
      </c>
      <c r="Y1705" s="82">
        <v>80</v>
      </c>
      <c r="Z1705" s="82">
        <v>78</v>
      </c>
      <c r="AA1705" s="82">
        <v>5</v>
      </c>
      <c r="AB1705" s="300">
        <f t="shared" ref="AB1705:AB1768" si="153">X1705*Y1705*Z1705*AA1705/6000</f>
        <v>624</v>
      </c>
      <c r="AC1705" s="300">
        <f t="shared" ref="AC1705:AC1768" si="154">AB1705/166</f>
        <v>3.7590361445783134</v>
      </c>
      <c r="AD1705" s="82">
        <v>58099.8</v>
      </c>
      <c r="AE1705" s="82" t="s">
        <v>109</v>
      </c>
      <c r="AF1705" s="82">
        <v>6437496</v>
      </c>
      <c r="AG1705" s="82" t="s">
        <v>4336</v>
      </c>
      <c r="AH1705" s="82" t="s">
        <v>4338</v>
      </c>
      <c r="AI1705" s="246"/>
      <c r="AJ1705" s="246"/>
      <c r="AK1705" s="82" t="s">
        <v>37</v>
      </c>
      <c r="AL1705" s="78" t="s">
        <v>54</v>
      </c>
      <c r="AM1705" s="299">
        <f t="shared" ca="1" si="150"/>
        <v>0.19791666666424135</v>
      </c>
      <c r="AN1705" s="85"/>
      <c r="AO1705" s="210" t="s">
        <v>323</v>
      </c>
      <c r="AP1705" s="211" t="s">
        <v>4335</v>
      </c>
      <c r="AQ1705" s="210" t="s">
        <v>4363</v>
      </c>
      <c r="AR1705" s="213">
        <v>44921.697916666664</v>
      </c>
      <c r="AS1705" s="210" t="s">
        <v>95</v>
      </c>
      <c r="AT1705" s="210" t="s">
        <v>225</v>
      </c>
      <c r="AU1705" s="59">
        <v>0.69791666666666663</v>
      </c>
      <c r="AV1705" s="210">
        <v>1</v>
      </c>
      <c r="AW1705" s="210" t="s">
        <v>66</v>
      </c>
      <c r="AX1705" s="52"/>
      <c r="AY1705" s="52"/>
      <c r="AZ1705" s="52"/>
      <c r="BA1705" s="52"/>
    </row>
    <row r="1706" spans="1:53" x14ac:dyDescent="0.25">
      <c r="A1706" s="79">
        <v>477</v>
      </c>
      <c r="B1706" s="80">
        <v>44921.5</v>
      </c>
      <c r="C1706" s="81">
        <v>0.50347222222222221</v>
      </c>
      <c r="D1706" s="81">
        <v>0.51388888888888895</v>
      </c>
      <c r="E1706" s="81">
        <v>0.51736111111111105</v>
      </c>
      <c r="F1706" s="82" t="s">
        <v>171</v>
      </c>
      <c r="G1706" s="82" t="s">
        <v>4334</v>
      </c>
      <c r="H1706" s="210" t="s">
        <v>91</v>
      </c>
      <c r="I1706" s="210" t="s">
        <v>318</v>
      </c>
      <c r="J1706" s="210" t="s">
        <v>41</v>
      </c>
      <c r="K1706" s="226" t="s">
        <v>180</v>
      </c>
      <c r="L1706" s="226" t="s">
        <v>206</v>
      </c>
      <c r="M1706" s="82" t="s">
        <v>4335</v>
      </c>
      <c r="N1706" s="82" t="s">
        <v>44</v>
      </c>
      <c r="O1706" s="82">
        <v>1054970141</v>
      </c>
      <c r="P1706" s="82">
        <v>1214076085</v>
      </c>
      <c r="Q1706" s="303">
        <f t="shared" si="151"/>
        <v>5</v>
      </c>
      <c r="R1706" s="303">
        <f t="shared" si="152"/>
        <v>1063</v>
      </c>
      <c r="S1706" s="82">
        <v>0</v>
      </c>
      <c r="T1706" s="82">
        <v>0</v>
      </c>
      <c r="U1706" s="82">
        <v>5</v>
      </c>
      <c r="V1706" s="82">
        <v>1063</v>
      </c>
      <c r="W1706" s="82">
        <v>1068</v>
      </c>
      <c r="X1706" s="82">
        <v>120</v>
      </c>
      <c r="Y1706" s="82">
        <v>80</v>
      </c>
      <c r="Z1706" s="82">
        <v>78</v>
      </c>
      <c r="AA1706" s="82">
        <v>5</v>
      </c>
      <c r="AB1706" s="300">
        <f t="shared" si="153"/>
        <v>624</v>
      </c>
      <c r="AC1706" s="300">
        <f t="shared" si="154"/>
        <v>3.7590361445783134</v>
      </c>
      <c r="AD1706" s="82">
        <v>58099.8</v>
      </c>
      <c r="AE1706" s="82" t="s">
        <v>109</v>
      </c>
      <c r="AF1706" s="82">
        <v>6437496</v>
      </c>
      <c r="AG1706" s="82" t="s">
        <v>4336</v>
      </c>
      <c r="AH1706" s="82" t="s">
        <v>4339</v>
      </c>
      <c r="AI1706" s="246"/>
      <c r="AJ1706" s="246"/>
      <c r="AK1706" s="82" t="s">
        <v>37</v>
      </c>
      <c r="AL1706" s="78" t="s">
        <v>54</v>
      </c>
      <c r="AM1706" s="299">
        <f t="shared" ca="1" si="150"/>
        <v>0.19791666666424135</v>
      </c>
      <c r="AN1706" s="85"/>
      <c r="AO1706" s="210" t="s">
        <v>323</v>
      </c>
      <c r="AP1706" s="211" t="s">
        <v>4335</v>
      </c>
      <c r="AQ1706" s="210" t="s">
        <v>4363</v>
      </c>
      <c r="AR1706" s="213">
        <v>44921.697916666664</v>
      </c>
      <c r="AS1706" s="210" t="s">
        <v>95</v>
      </c>
      <c r="AT1706" s="210" t="s">
        <v>225</v>
      </c>
      <c r="AU1706" s="59">
        <v>0.69791666666666663</v>
      </c>
      <c r="AV1706" s="210">
        <v>1</v>
      </c>
      <c r="AW1706" s="210" t="s">
        <v>66</v>
      </c>
      <c r="AX1706" s="52"/>
      <c r="AY1706" s="52"/>
      <c r="AZ1706" s="52"/>
      <c r="BA1706" s="52"/>
    </row>
    <row r="1707" spans="1:53" x14ac:dyDescent="0.25">
      <c r="A1707" s="79">
        <v>478</v>
      </c>
      <c r="B1707" s="80">
        <v>44921.708333333336</v>
      </c>
      <c r="C1707" s="81">
        <v>0.71527777777777779</v>
      </c>
      <c r="D1707" s="81">
        <v>0.75</v>
      </c>
      <c r="E1707" s="81">
        <v>0.76041666666666663</v>
      </c>
      <c r="F1707" s="82" t="s">
        <v>169</v>
      </c>
      <c r="G1707" s="82" t="s">
        <v>4340</v>
      </c>
      <c r="H1707" s="82" t="s">
        <v>230</v>
      </c>
      <c r="I1707" s="210" t="s">
        <v>407</v>
      </c>
      <c r="J1707" s="210" t="s">
        <v>37</v>
      </c>
      <c r="K1707" s="226" t="s">
        <v>61</v>
      </c>
      <c r="L1707" s="131" t="s">
        <v>224</v>
      </c>
      <c r="M1707" s="82" t="s">
        <v>4341</v>
      </c>
      <c r="N1707" s="82" t="s">
        <v>42</v>
      </c>
      <c r="O1707" s="82" t="s">
        <v>4342</v>
      </c>
      <c r="P1707" s="82">
        <v>5032799</v>
      </c>
      <c r="Q1707" s="303">
        <f t="shared" si="151"/>
        <v>41</v>
      </c>
      <c r="R1707" s="303">
        <f t="shared" si="152"/>
        <v>580</v>
      </c>
      <c r="S1707" s="82">
        <v>41</v>
      </c>
      <c r="T1707" s="88">
        <v>580</v>
      </c>
      <c r="U1707" s="82">
        <v>0</v>
      </c>
      <c r="V1707" s="82">
        <v>0</v>
      </c>
      <c r="W1707" s="88">
        <v>359.92</v>
      </c>
      <c r="X1707" s="82">
        <v>58</v>
      </c>
      <c r="Y1707" s="82">
        <v>43</v>
      </c>
      <c r="Z1707" s="82">
        <v>26</v>
      </c>
      <c r="AA1707" s="82">
        <v>38</v>
      </c>
      <c r="AB1707" s="300">
        <f t="shared" si="153"/>
        <v>410.67866666666669</v>
      </c>
      <c r="AC1707" s="300">
        <f t="shared" si="154"/>
        <v>2.4739678714859439</v>
      </c>
      <c r="AD1707" s="82">
        <v>12621.8</v>
      </c>
      <c r="AE1707" s="82" t="s">
        <v>109</v>
      </c>
      <c r="AF1707" s="82" t="s">
        <v>317</v>
      </c>
      <c r="AG1707" s="82" t="s">
        <v>317</v>
      </c>
      <c r="AH1707" s="82" t="s">
        <v>4343</v>
      </c>
      <c r="AI1707" s="246"/>
      <c r="AJ1707" s="246"/>
      <c r="AK1707" s="82" t="s">
        <v>48</v>
      </c>
      <c r="AL1707" s="82" t="s">
        <v>51</v>
      </c>
      <c r="AM1707" s="299">
        <f t="shared" ca="1" si="150"/>
        <v>1.8298611111094942</v>
      </c>
      <c r="AN1707" s="85"/>
      <c r="AO1707" s="274" t="s">
        <v>135</v>
      </c>
      <c r="AP1707" s="275" t="s">
        <v>4341</v>
      </c>
      <c r="AQ1707" s="274" t="s">
        <v>4479</v>
      </c>
      <c r="AR1707" s="277">
        <v>44923.538194444445</v>
      </c>
      <c r="AS1707" s="274" t="s">
        <v>329</v>
      </c>
      <c r="AT1707" s="276" t="s">
        <v>65</v>
      </c>
      <c r="AU1707" s="276">
        <v>0.53819444444444442</v>
      </c>
      <c r="AV1707" s="274">
        <v>1</v>
      </c>
      <c r="AW1707" s="274" t="s">
        <v>66</v>
      </c>
      <c r="AX1707" s="52"/>
      <c r="AY1707" s="52"/>
      <c r="AZ1707" s="52"/>
      <c r="BA1707" s="52"/>
    </row>
    <row r="1708" spans="1:53" x14ac:dyDescent="0.25">
      <c r="A1708" s="243">
        <v>478</v>
      </c>
      <c r="B1708" s="80">
        <v>44921.708333333336</v>
      </c>
      <c r="C1708" s="81">
        <v>0.71527777777777779</v>
      </c>
      <c r="D1708" s="81">
        <v>0.75</v>
      </c>
      <c r="E1708" s="81">
        <v>0.76041666666666663</v>
      </c>
      <c r="F1708" s="82" t="s">
        <v>169</v>
      </c>
      <c r="G1708" s="82" t="s">
        <v>4340</v>
      </c>
      <c r="H1708" s="82" t="s">
        <v>230</v>
      </c>
      <c r="I1708" s="210" t="s">
        <v>407</v>
      </c>
      <c r="J1708" s="210" t="s">
        <v>37</v>
      </c>
      <c r="K1708" s="226" t="s">
        <v>61</v>
      </c>
      <c r="L1708" s="131" t="s">
        <v>224</v>
      </c>
      <c r="M1708" s="82" t="s">
        <v>4341</v>
      </c>
      <c r="N1708" s="82" t="s">
        <v>42</v>
      </c>
      <c r="O1708" s="82" t="s">
        <v>4342</v>
      </c>
      <c r="P1708" s="82">
        <v>5032799</v>
      </c>
      <c r="Q1708" s="303">
        <f t="shared" si="151"/>
        <v>0</v>
      </c>
      <c r="R1708" s="303">
        <f t="shared" si="152"/>
        <v>0</v>
      </c>
      <c r="S1708" s="82">
        <v>0</v>
      </c>
      <c r="T1708" s="82">
        <v>0</v>
      </c>
      <c r="U1708" s="82">
        <v>0</v>
      </c>
      <c r="V1708" s="82">
        <v>0</v>
      </c>
      <c r="W1708" s="82">
        <v>0</v>
      </c>
      <c r="X1708" s="82">
        <v>58</v>
      </c>
      <c r="Y1708" s="82">
        <v>43</v>
      </c>
      <c r="Z1708" s="82">
        <v>15</v>
      </c>
      <c r="AA1708" s="82">
        <v>3</v>
      </c>
      <c r="AB1708" s="300">
        <f t="shared" si="153"/>
        <v>18.704999999999998</v>
      </c>
      <c r="AC1708" s="300">
        <f t="shared" si="154"/>
        <v>0.11268072289156625</v>
      </c>
      <c r="AD1708" s="82">
        <v>0</v>
      </c>
      <c r="AE1708" s="82" t="s">
        <v>109</v>
      </c>
      <c r="AF1708" s="82" t="s">
        <v>317</v>
      </c>
      <c r="AG1708" s="82" t="s">
        <v>317</v>
      </c>
      <c r="AH1708" s="82" t="s">
        <v>4343</v>
      </c>
      <c r="AI1708" s="246"/>
      <c r="AJ1708" s="246"/>
      <c r="AK1708" s="82" t="s">
        <v>48</v>
      </c>
      <c r="AL1708" s="82" t="s">
        <v>51</v>
      </c>
      <c r="AM1708" s="299">
        <f t="shared" ca="1" si="150"/>
        <v>1.8298611111094942</v>
      </c>
      <c r="AN1708" s="85"/>
      <c r="AO1708" s="274" t="s">
        <v>135</v>
      </c>
      <c r="AP1708" s="275" t="s">
        <v>4341</v>
      </c>
      <c r="AQ1708" s="274" t="s">
        <v>4479</v>
      </c>
      <c r="AR1708" s="277">
        <v>44923.538194444445</v>
      </c>
      <c r="AS1708" s="274" t="s">
        <v>329</v>
      </c>
      <c r="AT1708" s="276" t="s">
        <v>65</v>
      </c>
      <c r="AU1708" s="276">
        <v>0.53819444444444442</v>
      </c>
      <c r="AV1708" s="274">
        <v>1</v>
      </c>
      <c r="AW1708" s="274" t="s">
        <v>66</v>
      </c>
      <c r="AX1708" s="52"/>
      <c r="AY1708" s="52"/>
      <c r="AZ1708" s="52"/>
      <c r="BA1708" s="52"/>
    </row>
    <row r="1709" spans="1:53" x14ac:dyDescent="0.25">
      <c r="A1709" s="79">
        <v>479</v>
      </c>
      <c r="B1709" s="80">
        <v>44921.708333333336</v>
      </c>
      <c r="C1709" s="81">
        <v>0.71527777777777779</v>
      </c>
      <c r="D1709" s="81">
        <v>0.75</v>
      </c>
      <c r="E1709" s="81">
        <v>0.76041666666666663</v>
      </c>
      <c r="F1709" s="82" t="s">
        <v>169</v>
      </c>
      <c r="G1709" s="82" t="s">
        <v>4340</v>
      </c>
      <c r="H1709" s="82" t="s">
        <v>230</v>
      </c>
      <c r="I1709" s="210" t="s">
        <v>407</v>
      </c>
      <c r="J1709" s="210" t="s">
        <v>37</v>
      </c>
      <c r="K1709" s="226" t="s">
        <v>61</v>
      </c>
      <c r="L1709" s="131" t="s">
        <v>224</v>
      </c>
      <c r="M1709" s="82" t="s">
        <v>4341</v>
      </c>
      <c r="N1709" s="82" t="s">
        <v>42</v>
      </c>
      <c r="O1709" s="82" t="s">
        <v>4344</v>
      </c>
      <c r="P1709" s="82">
        <v>5032798</v>
      </c>
      <c r="Q1709" s="303">
        <f t="shared" si="151"/>
        <v>28</v>
      </c>
      <c r="R1709" s="303">
        <f t="shared" si="152"/>
        <v>368</v>
      </c>
      <c r="S1709" s="82">
        <v>28</v>
      </c>
      <c r="T1709" s="88">
        <v>368</v>
      </c>
      <c r="U1709" s="82">
        <v>0</v>
      </c>
      <c r="V1709" s="82">
        <v>0</v>
      </c>
      <c r="W1709" s="88">
        <v>277</v>
      </c>
      <c r="X1709" s="82">
        <v>58</v>
      </c>
      <c r="Y1709" s="82">
        <v>43</v>
      </c>
      <c r="Z1709" s="82">
        <v>26</v>
      </c>
      <c r="AA1709" s="82">
        <v>24</v>
      </c>
      <c r="AB1709" s="300">
        <f t="shared" si="153"/>
        <v>259.37599999999998</v>
      </c>
      <c r="AC1709" s="300">
        <f t="shared" si="154"/>
        <v>1.5625060240963855</v>
      </c>
      <c r="AD1709" s="82">
        <v>11284.92</v>
      </c>
      <c r="AE1709" s="82" t="s">
        <v>109</v>
      </c>
      <c r="AF1709" s="82" t="s">
        <v>317</v>
      </c>
      <c r="AG1709" s="82" t="s">
        <v>317</v>
      </c>
      <c r="AH1709" s="82" t="s">
        <v>4345</v>
      </c>
      <c r="AI1709" s="246"/>
      <c r="AJ1709" s="246"/>
      <c r="AK1709" s="82" t="s">
        <v>48</v>
      </c>
      <c r="AL1709" s="82" t="s">
        <v>47</v>
      </c>
      <c r="AM1709" s="299">
        <f t="shared" ca="1" si="150"/>
        <v>1.8298611111094942</v>
      </c>
      <c r="AN1709" s="85"/>
      <c r="AO1709" s="274" t="s">
        <v>135</v>
      </c>
      <c r="AP1709" s="275" t="s">
        <v>4341</v>
      </c>
      <c r="AQ1709" s="274" t="s">
        <v>4479</v>
      </c>
      <c r="AR1709" s="277">
        <v>44923.538194444445</v>
      </c>
      <c r="AS1709" s="274" t="s">
        <v>329</v>
      </c>
      <c r="AT1709" s="276" t="s">
        <v>65</v>
      </c>
      <c r="AU1709" s="276">
        <v>0.53819444444444442</v>
      </c>
      <c r="AV1709" s="274">
        <v>1</v>
      </c>
      <c r="AW1709" s="274" t="s">
        <v>66</v>
      </c>
      <c r="AX1709" s="52"/>
      <c r="AY1709" s="52"/>
      <c r="AZ1709" s="52"/>
      <c r="BA1709" s="52"/>
    </row>
    <row r="1710" spans="1:53" x14ac:dyDescent="0.25">
      <c r="A1710" s="243">
        <v>479</v>
      </c>
      <c r="B1710" s="80">
        <v>44921.708333333336</v>
      </c>
      <c r="C1710" s="81">
        <v>0.71527777777777779</v>
      </c>
      <c r="D1710" s="81">
        <v>0.75</v>
      </c>
      <c r="E1710" s="81">
        <v>0.76041666666666663</v>
      </c>
      <c r="F1710" s="82" t="s">
        <v>169</v>
      </c>
      <c r="G1710" s="82" t="s">
        <v>4340</v>
      </c>
      <c r="H1710" s="82" t="s">
        <v>230</v>
      </c>
      <c r="I1710" s="210" t="s">
        <v>407</v>
      </c>
      <c r="J1710" s="210" t="s">
        <v>37</v>
      </c>
      <c r="K1710" s="226" t="s">
        <v>61</v>
      </c>
      <c r="L1710" s="131" t="s">
        <v>224</v>
      </c>
      <c r="M1710" s="82" t="s">
        <v>4341</v>
      </c>
      <c r="N1710" s="82" t="s">
        <v>42</v>
      </c>
      <c r="O1710" s="82" t="s">
        <v>4344</v>
      </c>
      <c r="P1710" s="82">
        <v>5032798</v>
      </c>
      <c r="Q1710" s="303">
        <f t="shared" si="151"/>
        <v>0</v>
      </c>
      <c r="R1710" s="303">
        <f t="shared" si="152"/>
        <v>0</v>
      </c>
      <c r="S1710" s="82">
        <v>0</v>
      </c>
      <c r="T1710" s="82">
        <v>0</v>
      </c>
      <c r="U1710" s="82">
        <v>0</v>
      </c>
      <c r="V1710" s="82">
        <v>0</v>
      </c>
      <c r="W1710" s="82">
        <v>0</v>
      </c>
      <c r="X1710" s="82">
        <v>58</v>
      </c>
      <c r="Y1710" s="82">
        <v>43</v>
      </c>
      <c r="Z1710" s="82">
        <v>15</v>
      </c>
      <c r="AA1710" s="82">
        <v>4</v>
      </c>
      <c r="AB1710" s="300">
        <f t="shared" si="153"/>
        <v>24.94</v>
      </c>
      <c r="AC1710" s="300">
        <f t="shared" si="154"/>
        <v>0.15024096385542168</v>
      </c>
      <c r="AD1710" s="82">
        <v>0</v>
      </c>
      <c r="AE1710" s="82">
        <v>0</v>
      </c>
      <c r="AF1710" s="82" t="s">
        <v>317</v>
      </c>
      <c r="AG1710" s="82" t="s">
        <v>317</v>
      </c>
      <c r="AH1710" s="82" t="s">
        <v>4345</v>
      </c>
      <c r="AI1710" s="246"/>
      <c r="AJ1710" s="246"/>
      <c r="AK1710" s="82" t="s">
        <v>48</v>
      </c>
      <c r="AL1710" s="82" t="s">
        <v>47</v>
      </c>
      <c r="AM1710" s="299">
        <f t="shared" ca="1" si="150"/>
        <v>1.8298611111094942</v>
      </c>
      <c r="AN1710" s="85"/>
      <c r="AO1710" s="274" t="s">
        <v>135</v>
      </c>
      <c r="AP1710" s="275" t="s">
        <v>4341</v>
      </c>
      <c r="AQ1710" s="274" t="s">
        <v>4479</v>
      </c>
      <c r="AR1710" s="277">
        <v>44923.538194444445</v>
      </c>
      <c r="AS1710" s="274" t="s">
        <v>329</v>
      </c>
      <c r="AT1710" s="276" t="s">
        <v>65</v>
      </c>
      <c r="AU1710" s="276">
        <v>0.53819444444444442</v>
      </c>
      <c r="AV1710" s="274">
        <v>1</v>
      </c>
      <c r="AW1710" s="274" t="s">
        <v>66</v>
      </c>
      <c r="AX1710" s="52"/>
      <c r="AY1710" s="52"/>
      <c r="AZ1710" s="52"/>
      <c r="BA1710" s="52"/>
    </row>
    <row r="1711" spans="1:53" x14ac:dyDescent="0.25">
      <c r="A1711" s="79">
        <v>480</v>
      </c>
      <c r="B1711" s="80">
        <v>44921.708333333336</v>
      </c>
      <c r="C1711" s="81">
        <v>0.71527777777777779</v>
      </c>
      <c r="D1711" s="81">
        <v>0.75</v>
      </c>
      <c r="E1711" s="81">
        <v>0.76041666666666663</v>
      </c>
      <c r="F1711" s="82" t="s">
        <v>169</v>
      </c>
      <c r="G1711" s="82" t="s">
        <v>4340</v>
      </c>
      <c r="H1711" s="82" t="s">
        <v>230</v>
      </c>
      <c r="I1711" s="210" t="s">
        <v>407</v>
      </c>
      <c r="J1711" s="210" t="s">
        <v>37</v>
      </c>
      <c r="K1711" s="226" t="s">
        <v>61</v>
      </c>
      <c r="L1711" s="131" t="s">
        <v>224</v>
      </c>
      <c r="M1711" s="82" t="s">
        <v>4341</v>
      </c>
      <c r="N1711" s="82" t="s">
        <v>42</v>
      </c>
      <c r="O1711" s="82" t="s">
        <v>4346</v>
      </c>
      <c r="P1711" s="82">
        <v>5030402</v>
      </c>
      <c r="Q1711" s="303">
        <f t="shared" si="151"/>
        <v>30</v>
      </c>
      <c r="R1711" s="303">
        <f t="shared" si="152"/>
        <v>410</v>
      </c>
      <c r="S1711" s="82">
        <v>30</v>
      </c>
      <c r="T1711" s="82">
        <v>410</v>
      </c>
      <c r="U1711" s="82">
        <v>0</v>
      </c>
      <c r="V1711" s="82">
        <v>0</v>
      </c>
      <c r="W1711" s="82">
        <v>356.07</v>
      </c>
      <c r="X1711" s="82">
        <v>58</v>
      </c>
      <c r="Y1711" s="82">
        <v>43</v>
      </c>
      <c r="Z1711" s="82">
        <v>26</v>
      </c>
      <c r="AA1711" s="82">
        <v>30</v>
      </c>
      <c r="AB1711" s="300">
        <f t="shared" si="153"/>
        <v>324.22000000000003</v>
      </c>
      <c r="AC1711" s="300">
        <f t="shared" si="154"/>
        <v>1.953132530120482</v>
      </c>
      <c r="AD1711" s="82">
        <v>16806.93</v>
      </c>
      <c r="AE1711" s="82" t="s">
        <v>109</v>
      </c>
      <c r="AF1711" s="82" t="s">
        <v>317</v>
      </c>
      <c r="AG1711" s="82" t="s">
        <v>317</v>
      </c>
      <c r="AH1711" s="82" t="s">
        <v>4347</v>
      </c>
      <c r="AI1711" s="246"/>
      <c r="AJ1711" s="246"/>
      <c r="AK1711" s="82" t="s">
        <v>48</v>
      </c>
      <c r="AL1711" s="82" t="s">
        <v>47</v>
      </c>
      <c r="AM1711" s="299">
        <f t="shared" ca="1" si="150"/>
        <v>1.8298611111094942</v>
      </c>
      <c r="AN1711" s="85"/>
      <c r="AO1711" s="274" t="s">
        <v>135</v>
      </c>
      <c r="AP1711" s="275" t="s">
        <v>4341</v>
      </c>
      <c r="AQ1711" s="274" t="s">
        <v>4479</v>
      </c>
      <c r="AR1711" s="277">
        <v>44923.538194444445</v>
      </c>
      <c r="AS1711" s="274" t="s">
        <v>329</v>
      </c>
      <c r="AT1711" s="276" t="s">
        <v>65</v>
      </c>
      <c r="AU1711" s="276">
        <v>0.53819444444444442</v>
      </c>
      <c r="AV1711" s="274">
        <v>1</v>
      </c>
      <c r="AW1711" s="274" t="s">
        <v>66</v>
      </c>
      <c r="AX1711" s="52"/>
      <c r="AY1711" s="52"/>
      <c r="AZ1711" s="52"/>
      <c r="BA1711" s="52"/>
    </row>
    <row r="1712" spans="1:53" x14ac:dyDescent="0.25">
      <c r="A1712" s="79">
        <v>481</v>
      </c>
      <c r="B1712" s="80">
        <v>44921.708333333336</v>
      </c>
      <c r="C1712" s="81">
        <v>0.71527777777777779</v>
      </c>
      <c r="D1712" s="81">
        <v>0.75</v>
      </c>
      <c r="E1712" s="81">
        <v>0.76041666666666663</v>
      </c>
      <c r="F1712" s="82" t="s">
        <v>169</v>
      </c>
      <c r="G1712" s="82" t="s">
        <v>4340</v>
      </c>
      <c r="H1712" s="82" t="s">
        <v>230</v>
      </c>
      <c r="I1712" s="210" t="s">
        <v>407</v>
      </c>
      <c r="J1712" s="210" t="s">
        <v>37</v>
      </c>
      <c r="K1712" s="226" t="s">
        <v>61</v>
      </c>
      <c r="L1712" s="131" t="s">
        <v>224</v>
      </c>
      <c r="M1712" s="82" t="s">
        <v>4341</v>
      </c>
      <c r="N1712" s="82" t="s">
        <v>42</v>
      </c>
      <c r="O1712" s="82" t="s">
        <v>4348</v>
      </c>
      <c r="P1712" s="82">
        <v>5032800</v>
      </c>
      <c r="Q1712" s="303">
        <f t="shared" si="151"/>
        <v>24</v>
      </c>
      <c r="R1712" s="303">
        <f t="shared" si="152"/>
        <v>301</v>
      </c>
      <c r="S1712" s="82">
        <v>24</v>
      </c>
      <c r="T1712" s="82">
        <v>301</v>
      </c>
      <c r="U1712" s="82">
        <v>0</v>
      </c>
      <c r="V1712" s="82">
        <v>0</v>
      </c>
      <c r="W1712" s="82">
        <v>364.24</v>
      </c>
      <c r="X1712" s="82">
        <v>58</v>
      </c>
      <c r="Y1712" s="82">
        <v>43</v>
      </c>
      <c r="Z1712" s="82">
        <v>26</v>
      </c>
      <c r="AA1712" s="82">
        <v>22</v>
      </c>
      <c r="AB1712" s="300">
        <f t="shared" si="153"/>
        <v>237.76133333333334</v>
      </c>
      <c r="AC1712" s="300">
        <f t="shared" si="154"/>
        <v>1.4322971887550202</v>
      </c>
      <c r="AD1712" s="82">
        <v>12380.16</v>
      </c>
      <c r="AE1712" s="82" t="s">
        <v>109</v>
      </c>
      <c r="AF1712" s="82" t="s">
        <v>317</v>
      </c>
      <c r="AG1712" s="82" t="s">
        <v>317</v>
      </c>
      <c r="AH1712" s="82" t="s">
        <v>4349</v>
      </c>
      <c r="AI1712" s="246"/>
      <c r="AJ1712" s="246"/>
      <c r="AK1712" s="82" t="s">
        <v>48</v>
      </c>
      <c r="AL1712" s="82" t="s">
        <v>47</v>
      </c>
      <c r="AM1712" s="299">
        <f t="shared" ca="1" si="150"/>
        <v>1.8298611111094942</v>
      </c>
      <c r="AN1712" s="85"/>
      <c r="AO1712" s="274" t="s">
        <v>135</v>
      </c>
      <c r="AP1712" s="275" t="s">
        <v>4341</v>
      </c>
      <c r="AQ1712" s="274" t="s">
        <v>4479</v>
      </c>
      <c r="AR1712" s="277">
        <v>44923.538194444445</v>
      </c>
      <c r="AS1712" s="274" t="s">
        <v>329</v>
      </c>
      <c r="AT1712" s="276" t="s">
        <v>65</v>
      </c>
      <c r="AU1712" s="276">
        <v>0.53819444444444442</v>
      </c>
      <c r="AV1712" s="274">
        <v>1</v>
      </c>
      <c r="AW1712" s="274" t="s">
        <v>66</v>
      </c>
      <c r="AX1712" s="52"/>
      <c r="AY1712" s="52"/>
      <c r="AZ1712" s="52"/>
      <c r="BA1712" s="52"/>
    </row>
    <row r="1713" spans="1:16384" x14ac:dyDescent="0.25">
      <c r="A1713" s="243">
        <v>481</v>
      </c>
      <c r="B1713" s="80">
        <v>44921.708333333336</v>
      </c>
      <c r="C1713" s="81">
        <v>0.71527777777777779</v>
      </c>
      <c r="D1713" s="81">
        <v>0.75</v>
      </c>
      <c r="E1713" s="81">
        <v>0.76041666666666663</v>
      </c>
      <c r="F1713" s="82" t="s">
        <v>169</v>
      </c>
      <c r="G1713" s="82" t="s">
        <v>4340</v>
      </c>
      <c r="H1713" s="82" t="s">
        <v>230</v>
      </c>
      <c r="I1713" s="210" t="s">
        <v>407</v>
      </c>
      <c r="J1713" s="210" t="s">
        <v>37</v>
      </c>
      <c r="K1713" s="226" t="s">
        <v>61</v>
      </c>
      <c r="L1713" s="131" t="s">
        <v>224</v>
      </c>
      <c r="M1713" s="82" t="s">
        <v>4341</v>
      </c>
      <c r="N1713" s="82" t="s">
        <v>42</v>
      </c>
      <c r="O1713" s="82" t="s">
        <v>4348</v>
      </c>
      <c r="P1713" s="82">
        <v>5032800</v>
      </c>
      <c r="Q1713" s="303">
        <f t="shared" si="151"/>
        <v>0</v>
      </c>
      <c r="R1713" s="303">
        <f t="shared" si="152"/>
        <v>0</v>
      </c>
      <c r="S1713" s="82">
        <v>0</v>
      </c>
      <c r="T1713" s="82">
        <v>0</v>
      </c>
      <c r="U1713" s="82">
        <v>0</v>
      </c>
      <c r="V1713" s="82">
        <v>0</v>
      </c>
      <c r="W1713" s="82">
        <v>0</v>
      </c>
      <c r="X1713" s="82">
        <v>58</v>
      </c>
      <c r="Y1713" s="82">
        <v>43</v>
      </c>
      <c r="Z1713" s="82">
        <v>15</v>
      </c>
      <c r="AA1713" s="82">
        <v>2</v>
      </c>
      <c r="AB1713" s="300">
        <f t="shared" si="153"/>
        <v>12.47</v>
      </c>
      <c r="AC1713" s="300">
        <f t="shared" si="154"/>
        <v>7.5120481927710842E-2</v>
      </c>
      <c r="AD1713" s="82">
        <v>0</v>
      </c>
      <c r="AE1713" s="82">
        <v>0</v>
      </c>
      <c r="AF1713" s="82" t="s">
        <v>317</v>
      </c>
      <c r="AG1713" s="82" t="s">
        <v>317</v>
      </c>
      <c r="AH1713" s="82" t="s">
        <v>4349</v>
      </c>
      <c r="AI1713" s="246"/>
      <c r="AJ1713" s="246"/>
      <c r="AK1713" s="82" t="s">
        <v>48</v>
      </c>
      <c r="AL1713" s="82" t="s">
        <v>47</v>
      </c>
      <c r="AM1713" s="299">
        <f t="shared" ca="1" si="150"/>
        <v>1.8298611111094942</v>
      </c>
      <c r="AN1713" s="85"/>
      <c r="AO1713" s="274" t="s">
        <v>135</v>
      </c>
      <c r="AP1713" s="275" t="s">
        <v>4341</v>
      </c>
      <c r="AQ1713" s="274" t="s">
        <v>4479</v>
      </c>
      <c r="AR1713" s="277">
        <v>44923.538194444445</v>
      </c>
      <c r="AS1713" s="274" t="s">
        <v>329</v>
      </c>
      <c r="AT1713" s="276" t="s">
        <v>65</v>
      </c>
      <c r="AU1713" s="276">
        <v>0.53819444444444442</v>
      </c>
      <c r="AV1713" s="274">
        <v>1</v>
      </c>
      <c r="AW1713" s="274" t="s">
        <v>66</v>
      </c>
      <c r="AX1713" s="52"/>
      <c r="AY1713" s="52"/>
      <c r="AZ1713" s="52"/>
      <c r="BA1713" s="52"/>
    </row>
    <row r="1714" spans="1:16384" x14ac:dyDescent="0.25">
      <c r="A1714" s="79">
        <v>482</v>
      </c>
      <c r="B1714" s="80">
        <v>44921.708333333336</v>
      </c>
      <c r="C1714" s="81">
        <v>0.71527777777777779</v>
      </c>
      <c r="D1714" s="81">
        <v>0.75</v>
      </c>
      <c r="E1714" s="81">
        <v>0.76041666666666663</v>
      </c>
      <c r="F1714" s="82" t="s">
        <v>169</v>
      </c>
      <c r="G1714" s="82" t="s">
        <v>4340</v>
      </c>
      <c r="H1714" s="82" t="s">
        <v>230</v>
      </c>
      <c r="I1714" s="210" t="s">
        <v>407</v>
      </c>
      <c r="J1714" s="210" t="s">
        <v>37</v>
      </c>
      <c r="K1714" s="226" t="s">
        <v>61</v>
      </c>
      <c r="L1714" s="131" t="s">
        <v>224</v>
      </c>
      <c r="M1714" s="82" t="s">
        <v>4350</v>
      </c>
      <c r="N1714" s="82" t="s">
        <v>42</v>
      </c>
      <c r="O1714" s="82" t="s">
        <v>4351</v>
      </c>
      <c r="P1714" s="82">
        <v>5030688</v>
      </c>
      <c r="Q1714" s="303">
        <f t="shared" si="151"/>
        <v>52</v>
      </c>
      <c r="R1714" s="303">
        <f t="shared" si="152"/>
        <v>451</v>
      </c>
      <c r="S1714" s="82">
        <v>52</v>
      </c>
      <c r="T1714" s="82">
        <v>451</v>
      </c>
      <c r="U1714" s="82">
        <v>0</v>
      </c>
      <c r="V1714" s="82">
        <v>0</v>
      </c>
      <c r="W1714" s="82">
        <v>485.68</v>
      </c>
      <c r="X1714" s="82">
        <v>58</v>
      </c>
      <c r="Y1714" s="82">
        <v>43</v>
      </c>
      <c r="Z1714" s="82">
        <v>26</v>
      </c>
      <c r="AA1714" s="82">
        <v>52</v>
      </c>
      <c r="AB1714" s="300">
        <f t="shared" si="153"/>
        <v>561.98133333333328</v>
      </c>
      <c r="AC1714" s="300">
        <f t="shared" si="154"/>
        <v>3.3854297188755016</v>
      </c>
      <c r="AD1714" s="82">
        <v>33261.360000000001</v>
      </c>
      <c r="AE1714" s="82" t="s">
        <v>109</v>
      </c>
      <c r="AF1714" s="82">
        <v>6446333</v>
      </c>
      <c r="AG1714" s="82" t="s">
        <v>4336</v>
      </c>
      <c r="AH1714" s="82" t="s">
        <v>4352</v>
      </c>
      <c r="AI1714" s="246"/>
      <c r="AJ1714" s="246"/>
      <c r="AK1714" s="82" t="s">
        <v>48</v>
      </c>
      <c r="AL1714" s="82" t="s">
        <v>47</v>
      </c>
      <c r="AM1714" s="299">
        <f t="shared" ca="1" si="150"/>
        <v>1.8298611111094942</v>
      </c>
      <c r="AN1714" s="85"/>
      <c r="AO1714" s="274" t="s">
        <v>135</v>
      </c>
      <c r="AP1714" s="275" t="s">
        <v>4350</v>
      </c>
      <c r="AQ1714" s="274" t="s">
        <v>4479</v>
      </c>
      <c r="AR1714" s="277">
        <v>44923.538194444445</v>
      </c>
      <c r="AS1714" s="274" t="s">
        <v>329</v>
      </c>
      <c r="AT1714" s="276" t="s">
        <v>65</v>
      </c>
      <c r="AU1714" s="276">
        <v>0.53819444444444442</v>
      </c>
      <c r="AV1714" s="274">
        <v>1</v>
      </c>
      <c r="AW1714" s="274" t="s">
        <v>66</v>
      </c>
      <c r="AX1714" s="52"/>
      <c r="AY1714" s="52"/>
      <c r="AZ1714" s="52"/>
      <c r="BA1714" s="52"/>
    </row>
    <row r="1715" spans="1:16384" x14ac:dyDescent="0.25">
      <c r="A1715" s="79">
        <v>483</v>
      </c>
      <c r="B1715" s="80">
        <v>44921.625</v>
      </c>
      <c r="C1715" s="81">
        <v>0.63194444444444442</v>
      </c>
      <c r="D1715" s="81">
        <v>0.64236111111111105</v>
      </c>
      <c r="E1715" s="81">
        <v>0.65625</v>
      </c>
      <c r="F1715" s="82" t="s">
        <v>170</v>
      </c>
      <c r="G1715" s="82" t="s">
        <v>3019</v>
      </c>
      <c r="H1715" s="210" t="s">
        <v>227</v>
      </c>
      <c r="I1715" s="210" t="s">
        <v>189</v>
      </c>
      <c r="J1715" s="210" t="s">
        <v>37</v>
      </c>
      <c r="K1715" s="226" t="s">
        <v>63</v>
      </c>
      <c r="L1715" s="130" t="s">
        <v>206</v>
      </c>
      <c r="M1715" s="82" t="s">
        <v>4353</v>
      </c>
      <c r="N1715" s="82" t="s">
        <v>42</v>
      </c>
      <c r="O1715" s="82" t="s">
        <v>4354</v>
      </c>
      <c r="P1715" s="82">
        <v>3719</v>
      </c>
      <c r="Q1715" s="303">
        <f t="shared" si="151"/>
        <v>9</v>
      </c>
      <c r="R1715" s="303">
        <f t="shared" si="152"/>
        <v>434</v>
      </c>
      <c r="S1715" s="82">
        <v>8</v>
      </c>
      <c r="T1715" s="82">
        <v>150</v>
      </c>
      <c r="U1715" s="82">
        <v>1</v>
      </c>
      <c r="V1715" s="82">
        <v>284</v>
      </c>
      <c r="W1715" s="88">
        <v>318.8</v>
      </c>
      <c r="X1715" s="82">
        <v>160</v>
      </c>
      <c r="Y1715" s="82">
        <v>74</v>
      </c>
      <c r="Z1715" s="82">
        <v>79</v>
      </c>
      <c r="AA1715" s="82">
        <v>1</v>
      </c>
      <c r="AB1715" s="300">
        <f t="shared" si="153"/>
        <v>155.89333333333335</v>
      </c>
      <c r="AC1715" s="300">
        <f t="shared" si="154"/>
        <v>0.93911646586345388</v>
      </c>
      <c r="AD1715" s="82" t="s">
        <v>48</v>
      </c>
      <c r="AE1715" s="82" t="s">
        <v>48</v>
      </c>
      <c r="AF1715" s="82" t="s">
        <v>317</v>
      </c>
      <c r="AG1715" s="82" t="s">
        <v>317</v>
      </c>
      <c r="AH1715" s="82" t="s">
        <v>4355</v>
      </c>
      <c r="AI1715" s="246"/>
      <c r="AJ1715" s="246"/>
      <c r="AK1715" s="82" t="s">
        <v>37</v>
      </c>
      <c r="AL1715" s="82" t="s">
        <v>39</v>
      </c>
      <c r="AM1715" s="299">
        <f t="shared" ca="1" si="150"/>
        <v>1.0173611111094942</v>
      </c>
      <c r="AN1715" s="85"/>
      <c r="AO1715" s="250" t="s">
        <v>89</v>
      </c>
      <c r="AP1715" s="251" t="s">
        <v>4353</v>
      </c>
      <c r="AQ1715" s="250" t="s">
        <v>4415</v>
      </c>
      <c r="AR1715" s="253">
        <v>44922.642361111109</v>
      </c>
      <c r="AS1715" s="248" t="s">
        <v>483</v>
      </c>
      <c r="AT1715" s="250" t="s">
        <v>225</v>
      </c>
      <c r="AU1715" s="252">
        <v>0.64236111111111105</v>
      </c>
      <c r="AV1715" s="250">
        <v>2</v>
      </c>
      <c r="AW1715" s="250" t="s">
        <v>66</v>
      </c>
      <c r="AX1715" s="52"/>
      <c r="AY1715" s="52"/>
      <c r="AZ1715" s="52"/>
      <c r="BA1715" s="52"/>
    </row>
    <row r="1716" spans="1:16384" x14ac:dyDescent="0.25">
      <c r="A1716" s="243">
        <v>483</v>
      </c>
      <c r="B1716" s="80">
        <v>44921.625</v>
      </c>
      <c r="C1716" s="81">
        <v>0.63194444444444442</v>
      </c>
      <c r="D1716" s="81">
        <v>0.64236111111111105</v>
      </c>
      <c r="E1716" s="81">
        <v>0.65625</v>
      </c>
      <c r="F1716" s="82" t="s">
        <v>170</v>
      </c>
      <c r="G1716" s="82" t="s">
        <v>3019</v>
      </c>
      <c r="H1716" s="210" t="s">
        <v>227</v>
      </c>
      <c r="I1716" s="210" t="s">
        <v>189</v>
      </c>
      <c r="J1716" s="210" t="s">
        <v>37</v>
      </c>
      <c r="K1716" s="226" t="s">
        <v>63</v>
      </c>
      <c r="L1716" s="130" t="s">
        <v>206</v>
      </c>
      <c r="M1716" s="82" t="s">
        <v>4353</v>
      </c>
      <c r="N1716" s="82" t="s">
        <v>42</v>
      </c>
      <c r="O1716" s="82" t="s">
        <v>4354</v>
      </c>
      <c r="P1716" s="82">
        <v>3719</v>
      </c>
      <c r="Q1716" s="303">
        <f t="shared" si="151"/>
        <v>0</v>
      </c>
      <c r="R1716" s="303">
        <f t="shared" si="152"/>
        <v>0</v>
      </c>
      <c r="S1716" s="82">
        <v>0</v>
      </c>
      <c r="T1716" s="82">
        <v>0</v>
      </c>
      <c r="U1716" s="82">
        <v>0</v>
      </c>
      <c r="V1716" s="82">
        <v>0</v>
      </c>
      <c r="W1716" s="82">
        <v>0</v>
      </c>
      <c r="X1716" s="82">
        <v>83</v>
      </c>
      <c r="Y1716" s="82">
        <v>52</v>
      </c>
      <c r="Z1716" s="82">
        <v>63</v>
      </c>
      <c r="AA1716" s="82">
        <v>8</v>
      </c>
      <c r="AB1716" s="300">
        <f t="shared" si="153"/>
        <v>362.54399999999998</v>
      </c>
      <c r="AC1716" s="300">
        <f t="shared" si="154"/>
        <v>2.1839999999999997</v>
      </c>
      <c r="AD1716" s="82">
        <v>0</v>
      </c>
      <c r="AE1716" s="82">
        <v>0</v>
      </c>
      <c r="AF1716" s="82" t="s">
        <v>317</v>
      </c>
      <c r="AG1716" s="82" t="s">
        <v>317</v>
      </c>
      <c r="AH1716" s="82" t="s">
        <v>4355</v>
      </c>
      <c r="AI1716" s="246"/>
      <c r="AJ1716" s="246"/>
      <c r="AK1716" s="82" t="s">
        <v>37</v>
      </c>
      <c r="AL1716" s="82" t="s">
        <v>50</v>
      </c>
      <c r="AM1716" s="299">
        <f t="shared" ca="1" si="150"/>
        <v>1.0173611111094942</v>
      </c>
      <c r="AN1716" s="85"/>
      <c r="AO1716" s="250" t="s">
        <v>89</v>
      </c>
      <c r="AP1716" s="251" t="s">
        <v>4353</v>
      </c>
      <c r="AQ1716" s="250" t="s">
        <v>4415</v>
      </c>
      <c r="AR1716" s="253">
        <v>44922.642361111109</v>
      </c>
      <c r="AS1716" s="248" t="s">
        <v>483</v>
      </c>
      <c r="AT1716" s="250" t="s">
        <v>225</v>
      </c>
      <c r="AU1716" s="252">
        <v>0.64236111111111105</v>
      </c>
      <c r="AV1716" s="250">
        <v>2</v>
      </c>
      <c r="AW1716" s="250" t="s">
        <v>66</v>
      </c>
      <c r="AX1716" s="52"/>
      <c r="AY1716" s="52"/>
      <c r="AZ1716" s="52"/>
      <c r="BA1716" s="52"/>
    </row>
    <row r="1717" spans="1:16384" x14ac:dyDescent="0.25">
      <c r="A1717" s="79">
        <v>484</v>
      </c>
      <c r="B1717" s="80">
        <v>44921.625</v>
      </c>
      <c r="C1717" s="81">
        <v>0.63194444444444442</v>
      </c>
      <c r="D1717" s="81">
        <v>0.64236111111111105</v>
      </c>
      <c r="E1717" s="81">
        <v>0.65625</v>
      </c>
      <c r="F1717" s="82" t="s">
        <v>170</v>
      </c>
      <c r="G1717" s="82" t="s">
        <v>3019</v>
      </c>
      <c r="H1717" s="210" t="s">
        <v>227</v>
      </c>
      <c r="I1717" s="210" t="s">
        <v>189</v>
      </c>
      <c r="J1717" s="210" t="s">
        <v>37</v>
      </c>
      <c r="K1717" s="226" t="s">
        <v>63</v>
      </c>
      <c r="L1717" s="130" t="s">
        <v>206</v>
      </c>
      <c r="M1717" s="82" t="s">
        <v>4356</v>
      </c>
      <c r="N1717" s="82" t="s">
        <v>43</v>
      </c>
      <c r="O1717" s="82" t="s">
        <v>4357</v>
      </c>
      <c r="P1717" s="82">
        <v>32373</v>
      </c>
      <c r="Q1717" s="303">
        <f t="shared" si="151"/>
        <v>8</v>
      </c>
      <c r="R1717" s="303">
        <f t="shared" si="152"/>
        <v>321</v>
      </c>
      <c r="S1717" s="82">
        <v>7</v>
      </c>
      <c r="T1717" s="82">
        <v>151</v>
      </c>
      <c r="U1717" s="82">
        <v>1</v>
      </c>
      <c r="V1717" s="82">
        <v>170</v>
      </c>
      <c r="W1717" s="88">
        <v>233.15</v>
      </c>
      <c r="X1717" s="82">
        <v>160</v>
      </c>
      <c r="Y1717" s="82">
        <v>74</v>
      </c>
      <c r="Z1717" s="82">
        <v>79</v>
      </c>
      <c r="AA1717" s="82">
        <v>1</v>
      </c>
      <c r="AB1717" s="300">
        <f t="shared" si="153"/>
        <v>155.89333333333335</v>
      </c>
      <c r="AC1717" s="300">
        <f t="shared" si="154"/>
        <v>0.93911646586345388</v>
      </c>
      <c r="AD1717" s="82" t="s">
        <v>48</v>
      </c>
      <c r="AE1717" s="82" t="s">
        <v>48</v>
      </c>
      <c r="AF1717" s="82" t="s">
        <v>317</v>
      </c>
      <c r="AG1717" s="82" t="s">
        <v>317</v>
      </c>
      <c r="AH1717" s="82" t="s">
        <v>4358</v>
      </c>
      <c r="AI1717" s="246"/>
      <c r="AJ1717" s="246"/>
      <c r="AK1717" s="82" t="s">
        <v>37</v>
      </c>
      <c r="AL1717" s="82" t="s">
        <v>39</v>
      </c>
      <c r="AM1717" s="299">
        <f t="shared" ca="1" si="150"/>
        <v>1.0173611111094942</v>
      </c>
      <c r="AN1717" s="85"/>
      <c r="AO1717" s="250" t="s">
        <v>179</v>
      </c>
      <c r="AP1717" s="251" t="s">
        <v>4356</v>
      </c>
      <c r="AQ1717" s="250" t="s">
        <v>4414</v>
      </c>
      <c r="AR1717" s="253">
        <v>44922.642361111109</v>
      </c>
      <c r="AS1717" s="248" t="s">
        <v>483</v>
      </c>
      <c r="AT1717" s="250" t="s">
        <v>225</v>
      </c>
      <c r="AU1717" s="252">
        <v>0.64236111111111105</v>
      </c>
      <c r="AV1717" s="250">
        <v>2</v>
      </c>
      <c r="AW1717" s="250" t="s">
        <v>66</v>
      </c>
      <c r="AX1717" s="52"/>
      <c r="AY1717" s="52"/>
      <c r="AZ1717" s="52"/>
      <c r="BA1717" s="52"/>
    </row>
    <row r="1718" spans="1:16384" x14ac:dyDescent="0.25">
      <c r="A1718" s="243">
        <v>484</v>
      </c>
      <c r="B1718" s="80">
        <v>44921.625</v>
      </c>
      <c r="C1718" s="81">
        <v>0.63194444444444442</v>
      </c>
      <c r="D1718" s="81">
        <v>0.64236111111111105</v>
      </c>
      <c r="E1718" s="81">
        <v>0.65625</v>
      </c>
      <c r="F1718" s="82" t="s">
        <v>170</v>
      </c>
      <c r="G1718" s="82" t="s">
        <v>3019</v>
      </c>
      <c r="H1718" s="210" t="s">
        <v>227</v>
      </c>
      <c r="I1718" s="210" t="s">
        <v>189</v>
      </c>
      <c r="J1718" s="210" t="s">
        <v>37</v>
      </c>
      <c r="K1718" s="226" t="s">
        <v>63</v>
      </c>
      <c r="L1718" s="130" t="s">
        <v>206</v>
      </c>
      <c r="M1718" s="82" t="s">
        <v>4356</v>
      </c>
      <c r="N1718" s="82" t="s">
        <v>43</v>
      </c>
      <c r="O1718" s="82" t="s">
        <v>4357</v>
      </c>
      <c r="P1718" s="82">
        <v>32373</v>
      </c>
      <c r="Q1718" s="303">
        <f t="shared" si="151"/>
        <v>0</v>
      </c>
      <c r="R1718" s="303">
        <f t="shared" si="152"/>
        <v>0</v>
      </c>
      <c r="S1718" s="82">
        <v>0</v>
      </c>
      <c r="T1718" s="82">
        <v>0</v>
      </c>
      <c r="U1718" s="82">
        <v>0</v>
      </c>
      <c r="V1718" s="82">
        <v>0</v>
      </c>
      <c r="W1718" s="82">
        <v>0</v>
      </c>
      <c r="X1718" s="82">
        <v>83</v>
      </c>
      <c r="Y1718" s="82">
        <v>52</v>
      </c>
      <c r="Z1718" s="82">
        <v>63</v>
      </c>
      <c r="AA1718" s="82">
        <v>7</v>
      </c>
      <c r="AB1718" s="300">
        <f t="shared" si="153"/>
        <v>317.226</v>
      </c>
      <c r="AC1718" s="300">
        <f t="shared" si="154"/>
        <v>1.911</v>
      </c>
      <c r="AD1718" s="82">
        <v>0</v>
      </c>
      <c r="AE1718" s="82">
        <v>0</v>
      </c>
      <c r="AF1718" s="82" t="s">
        <v>317</v>
      </c>
      <c r="AG1718" s="82" t="s">
        <v>317</v>
      </c>
      <c r="AH1718" s="82" t="s">
        <v>4358</v>
      </c>
      <c r="AI1718" s="246"/>
      <c r="AJ1718" s="246"/>
      <c r="AK1718" s="82" t="s">
        <v>37</v>
      </c>
      <c r="AL1718" s="82" t="s">
        <v>50</v>
      </c>
      <c r="AM1718" s="299">
        <f t="shared" ca="1" si="150"/>
        <v>1.0173611111094942</v>
      </c>
      <c r="AN1718" s="85"/>
      <c r="AO1718" s="250" t="s">
        <v>179</v>
      </c>
      <c r="AP1718" s="251" t="s">
        <v>4356</v>
      </c>
      <c r="AQ1718" s="250" t="s">
        <v>4414</v>
      </c>
      <c r="AR1718" s="253">
        <v>44922.642361111109</v>
      </c>
      <c r="AS1718" s="248" t="s">
        <v>483</v>
      </c>
      <c r="AT1718" s="250" t="s">
        <v>225</v>
      </c>
      <c r="AU1718" s="252">
        <v>0.64236111111111105</v>
      </c>
      <c r="AV1718" s="250">
        <v>2</v>
      </c>
      <c r="AW1718" s="250" t="s">
        <v>66</v>
      </c>
      <c r="AX1718" s="52"/>
      <c r="AY1718" s="52"/>
      <c r="AZ1718" s="52"/>
      <c r="BA1718" s="52"/>
    </row>
    <row r="1719" spans="1:16384" x14ac:dyDescent="0.25">
      <c r="A1719" s="79">
        <v>485</v>
      </c>
      <c r="B1719" s="80">
        <v>44921.725694444445</v>
      </c>
      <c r="C1719" s="81">
        <v>0.71527777777777779</v>
      </c>
      <c r="D1719" s="81">
        <v>0.71875</v>
      </c>
      <c r="E1719" s="81">
        <v>0.72569444444444453</v>
      </c>
      <c r="F1719" s="82" t="s">
        <v>171</v>
      </c>
      <c r="G1719" s="82" t="s">
        <v>4359</v>
      </c>
      <c r="H1719" s="210" t="s">
        <v>431</v>
      </c>
      <c r="I1719" s="210" t="s">
        <v>172</v>
      </c>
      <c r="J1719" s="210" t="s">
        <v>41</v>
      </c>
      <c r="K1719" s="226" t="s">
        <v>82</v>
      </c>
      <c r="L1719" s="226" t="s">
        <v>209</v>
      </c>
      <c r="M1719" s="82" t="s">
        <v>4360</v>
      </c>
      <c r="N1719" s="82" t="s">
        <v>59</v>
      </c>
      <c r="O1719" s="82">
        <v>180000529</v>
      </c>
      <c r="P1719" s="82">
        <v>816745</v>
      </c>
      <c r="Q1719" s="303">
        <f t="shared" si="151"/>
        <v>1</v>
      </c>
      <c r="R1719" s="303">
        <f t="shared" si="152"/>
        <v>37</v>
      </c>
      <c r="S1719" s="82">
        <v>1</v>
      </c>
      <c r="T1719" s="82">
        <v>37</v>
      </c>
      <c r="U1719" s="82">
        <v>0</v>
      </c>
      <c r="V1719" s="82">
        <v>0</v>
      </c>
      <c r="W1719" s="82">
        <v>36.479999999999997</v>
      </c>
      <c r="X1719" s="82">
        <v>63</v>
      </c>
      <c r="Y1719" s="82">
        <v>35</v>
      </c>
      <c r="Z1719" s="82">
        <v>33</v>
      </c>
      <c r="AA1719" s="82">
        <v>1</v>
      </c>
      <c r="AB1719" s="300">
        <f t="shared" si="153"/>
        <v>12.1275</v>
      </c>
      <c r="AC1719" s="300">
        <f t="shared" si="154"/>
        <v>7.3057228915662645E-2</v>
      </c>
      <c r="AD1719" s="82" t="s">
        <v>48</v>
      </c>
      <c r="AE1719" s="82" t="s">
        <v>48</v>
      </c>
      <c r="AF1719" s="82">
        <v>6450439</v>
      </c>
      <c r="AG1719" s="82" t="s">
        <v>4336</v>
      </c>
      <c r="AH1719" s="82" t="s">
        <v>4361</v>
      </c>
      <c r="AI1719" s="246"/>
      <c r="AJ1719" s="246"/>
      <c r="AK1719" s="82" t="s">
        <v>48</v>
      </c>
      <c r="AL1719" s="82" t="s">
        <v>47</v>
      </c>
      <c r="AM1719" s="299">
        <f t="shared" ca="1" si="150"/>
        <v>2.8576388888905058</v>
      </c>
      <c r="AN1719" s="85"/>
      <c r="AO1719" s="288" t="s">
        <v>70</v>
      </c>
      <c r="AP1719" s="275" t="s">
        <v>4360</v>
      </c>
      <c r="AQ1719" s="288" t="s">
        <v>4571</v>
      </c>
      <c r="AR1719" s="277">
        <v>44924.583333333336</v>
      </c>
      <c r="AS1719" s="288" t="s">
        <v>136</v>
      </c>
      <c r="AT1719" s="288" t="s">
        <v>225</v>
      </c>
      <c r="AU1719" s="276">
        <v>0.58333333333333337</v>
      </c>
      <c r="AV1719" s="288">
        <v>1</v>
      </c>
      <c r="AW1719" s="288" t="s">
        <v>66</v>
      </c>
      <c r="AX1719" s="52"/>
      <c r="AY1719" s="52"/>
      <c r="AZ1719" s="52"/>
      <c r="BA1719" s="52"/>
    </row>
    <row r="1720" spans="1:16384" customFormat="1" x14ac:dyDescent="0.25">
      <c r="A1720" s="243">
        <v>486</v>
      </c>
      <c r="B1720" s="244">
        <v>44922.409722222219</v>
      </c>
      <c r="C1720" s="245">
        <v>0.41319444444444442</v>
      </c>
      <c r="D1720" s="245">
        <v>0.4201388888888889</v>
      </c>
      <c r="E1720" s="245">
        <v>0.4236111111111111</v>
      </c>
      <c r="F1720" s="246" t="s">
        <v>171</v>
      </c>
      <c r="G1720" s="246" t="s">
        <v>295</v>
      </c>
      <c r="H1720" s="230" t="s">
        <v>85</v>
      </c>
      <c r="I1720" s="230" t="s">
        <v>86</v>
      </c>
      <c r="J1720" s="230" t="s">
        <v>37</v>
      </c>
      <c r="K1720" s="238" t="s">
        <v>180</v>
      </c>
      <c r="L1720" s="238" t="s">
        <v>207</v>
      </c>
      <c r="M1720" s="246" t="s">
        <v>4374</v>
      </c>
      <c r="N1720" s="246" t="s">
        <v>42</v>
      </c>
      <c r="O1720" s="246" t="s">
        <v>4375</v>
      </c>
      <c r="P1720" s="246" t="s">
        <v>4376</v>
      </c>
      <c r="Q1720" s="303">
        <f t="shared" si="151"/>
        <v>3</v>
      </c>
      <c r="R1720" s="303">
        <f t="shared" si="152"/>
        <v>850</v>
      </c>
      <c r="S1720" s="246">
        <v>0</v>
      </c>
      <c r="T1720" s="246">
        <v>0</v>
      </c>
      <c r="U1720" s="246">
        <v>3</v>
      </c>
      <c r="V1720" s="246">
        <v>850</v>
      </c>
      <c r="W1720" s="246">
        <v>831</v>
      </c>
      <c r="X1720" s="246">
        <v>120</v>
      </c>
      <c r="Y1720" s="246">
        <v>80</v>
      </c>
      <c r="Z1720" s="246">
        <v>90</v>
      </c>
      <c r="AA1720" s="246">
        <v>1</v>
      </c>
      <c r="AB1720" s="300">
        <f t="shared" si="153"/>
        <v>144</v>
      </c>
      <c r="AC1720" s="300">
        <f t="shared" si="154"/>
        <v>0.86746987951807231</v>
      </c>
      <c r="AD1720" s="246">
        <v>11954.55</v>
      </c>
      <c r="AE1720" s="246" t="s">
        <v>109</v>
      </c>
      <c r="AF1720" s="246" t="s">
        <v>4377</v>
      </c>
      <c r="AG1720" s="246" t="s">
        <v>4336</v>
      </c>
      <c r="AH1720" s="246" t="s">
        <v>4378</v>
      </c>
      <c r="AI1720" s="246"/>
      <c r="AJ1720" s="246"/>
      <c r="AK1720" s="246" t="s">
        <v>37</v>
      </c>
      <c r="AL1720" s="246" t="s">
        <v>49</v>
      </c>
      <c r="AM1720" s="299">
        <f t="shared" ca="1" si="150"/>
        <v>0.14583333333575865</v>
      </c>
      <c r="AN1720" s="247"/>
      <c r="AO1720" s="230" t="s">
        <v>87</v>
      </c>
      <c r="AP1720" s="231" t="s">
        <v>4374</v>
      </c>
      <c r="AQ1720" s="230" t="s">
        <v>4395</v>
      </c>
      <c r="AR1720" s="233">
        <v>44922.555555555555</v>
      </c>
      <c r="AS1720" s="228" t="s">
        <v>173</v>
      </c>
      <c r="AT1720" s="230" t="s">
        <v>225</v>
      </c>
      <c r="AU1720" s="232">
        <v>0.55555555555555558</v>
      </c>
      <c r="AV1720" s="230">
        <v>1</v>
      </c>
      <c r="AW1720" s="230" t="s">
        <v>66</v>
      </c>
      <c r="AX1720" s="242"/>
      <c r="AY1720" s="242"/>
      <c r="AZ1720" s="242"/>
      <c r="BA1720" s="242"/>
      <c r="BB1720" s="227"/>
      <c r="BC1720" s="227"/>
      <c r="BD1720" s="227"/>
      <c r="BE1720" s="227"/>
      <c r="BF1720" s="227"/>
      <c r="BG1720" s="227"/>
      <c r="BH1720" s="227"/>
      <c r="BI1720" s="227"/>
      <c r="BJ1720" s="227"/>
      <c r="BK1720" s="227"/>
      <c r="BL1720" s="227"/>
      <c r="BM1720" s="227"/>
      <c r="BN1720" s="227"/>
      <c r="BO1720" s="227"/>
      <c r="BP1720" s="227"/>
      <c r="BQ1720" s="227"/>
      <c r="BR1720" s="227"/>
      <c r="BS1720" s="227"/>
      <c r="BT1720" s="227"/>
      <c r="BU1720" s="227"/>
      <c r="BV1720" s="227"/>
      <c r="BW1720" s="227"/>
      <c r="BX1720" s="227"/>
      <c r="BY1720" s="227"/>
      <c r="BZ1720" s="227"/>
      <c r="CA1720" s="227"/>
      <c r="CB1720" s="227"/>
      <c r="CC1720" s="227"/>
      <c r="CD1720" s="227"/>
      <c r="CE1720" s="227"/>
      <c r="CF1720" s="227"/>
      <c r="CG1720" s="227"/>
      <c r="CH1720" s="227"/>
      <c r="CI1720" s="227"/>
      <c r="CJ1720" s="227"/>
      <c r="CK1720" s="227"/>
      <c r="CL1720" s="227"/>
      <c r="CM1720" s="227"/>
      <c r="CN1720" s="227"/>
      <c r="CO1720" s="227"/>
      <c r="CP1720" s="227"/>
      <c r="CQ1720" s="227"/>
      <c r="CR1720" s="227"/>
      <c r="CS1720" s="227"/>
      <c r="CT1720" s="227"/>
      <c r="CU1720" s="227"/>
      <c r="CV1720" s="227"/>
      <c r="CW1720" s="227"/>
      <c r="CX1720" s="227"/>
      <c r="CY1720" s="227"/>
      <c r="CZ1720" s="227"/>
      <c r="DA1720" s="227"/>
      <c r="DB1720" s="227"/>
      <c r="DC1720" s="227"/>
      <c r="DD1720" s="227"/>
      <c r="DE1720" s="227"/>
      <c r="DF1720" s="227"/>
      <c r="DG1720" s="227"/>
      <c r="DH1720" s="227"/>
      <c r="DI1720" s="227"/>
      <c r="DJ1720" s="227"/>
      <c r="DK1720" s="227"/>
      <c r="DL1720" s="227"/>
      <c r="DM1720" s="227"/>
      <c r="DN1720" s="227"/>
      <c r="DO1720" s="227"/>
      <c r="DP1720" s="227"/>
      <c r="DQ1720" s="227"/>
      <c r="DR1720" s="227"/>
      <c r="DS1720" s="227"/>
      <c r="DT1720" s="227"/>
      <c r="DU1720" s="227"/>
      <c r="DV1720" s="227"/>
      <c r="DW1720" s="227"/>
      <c r="DX1720" s="227"/>
      <c r="DY1720" s="227"/>
      <c r="DZ1720" s="227"/>
      <c r="EA1720" s="227"/>
      <c r="EB1720" s="227"/>
      <c r="EC1720" s="227"/>
      <c r="ED1720" s="227"/>
      <c r="EE1720" s="227"/>
      <c r="EF1720" s="227"/>
      <c r="EG1720" s="227"/>
      <c r="EH1720" s="227"/>
      <c r="EI1720" s="227"/>
      <c r="EJ1720" s="227"/>
      <c r="EK1720" s="227"/>
      <c r="EL1720" s="227"/>
      <c r="EM1720" s="227"/>
      <c r="EN1720" s="227"/>
      <c r="EO1720" s="227"/>
      <c r="EP1720" s="227"/>
      <c r="EQ1720" s="227"/>
      <c r="ER1720" s="227"/>
      <c r="ES1720" s="227"/>
      <c r="ET1720" s="227"/>
      <c r="EU1720" s="227"/>
      <c r="EV1720" s="227"/>
      <c r="EW1720" s="227"/>
      <c r="EX1720" s="227"/>
      <c r="EY1720" s="227"/>
      <c r="EZ1720" s="227"/>
      <c r="FA1720" s="227"/>
      <c r="FB1720" s="227"/>
      <c r="FC1720" s="227"/>
      <c r="FD1720" s="227"/>
      <c r="FE1720" s="227"/>
      <c r="FF1720" s="227"/>
      <c r="FG1720" s="227"/>
      <c r="FH1720" s="227"/>
      <c r="FI1720" s="227"/>
      <c r="FJ1720" s="227"/>
      <c r="FK1720" s="227"/>
      <c r="FL1720" s="227"/>
      <c r="FM1720" s="227"/>
      <c r="FN1720" s="227"/>
      <c r="FO1720" s="227"/>
      <c r="FP1720" s="227"/>
      <c r="FQ1720" s="227"/>
      <c r="FR1720" s="227"/>
      <c r="FS1720" s="227"/>
      <c r="FT1720" s="227"/>
      <c r="FU1720" s="227"/>
      <c r="FV1720" s="227"/>
      <c r="FW1720" s="227"/>
      <c r="FX1720" s="227"/>
      <c r="FY1720" s="227"/>
      <c r="FZ1720" s="227"/>
      <c r="GA1720" s="227"/>
      <c r="GB1720" s="227"/>
      <c r="GC1720" s="227"/>
      <c r="GD1720" s="227"/>
      <c r="GE1720" s="227"/>
      <c r="GF1720" s="227"/>
      <c r="GG1720" s="227"/>
      <c r="GH1720" s="227"/>
      <c r="GI1720" s="227"/>
      <c r="GJ1720" s="227"/>
      <c r="GK1720" s="227"/>
      <c r="GL1720" s="227"/>
      <c r="GM1720" s="227"/>
      <c r="GN1720" s="227"/>
      <c r="GO1720" s="227"/>
      <c r="GP1720" s="227"/>
      <c r="GQ1720" s="227"/>
      <c r="GR1720" s="227"/>
      <c r="GS1720" s="227"/>
      <c r="GT1720" s="227"/>
      <c r="GU1720" s="227"/>
      <c r="GV1720" s="227"/>
      <c r="GW1720" s="227"/>
      <c r="GX1720" s="227"/>
      <c r="GY1720" s="227"/>
      <c r="GZ1720" s="227"/>
      <c r="HA1720" s="227"/>
      <c r="HB1720" s="227"/>
      <c r="HC1720" s="227"/>
      <c r="HD1720" s="227"/>
      <c r="HE1720" s="227"/>
      <c r="HF1720" s="227"/>
      <c r="HG1720" s="227"/>
      <c r="HH1720" s="227"/>
      <c r="HI1720" s="227"/>
      <c r="HJ1720" s="227"/>
      <c r="HK1720" s="227"/>
      <c r="HL1720" s="227"/>
      <c r="HM1720" s="227"/>
      <c r="HN1720" s="227"/>
      <c r="HO1720" s="227"/>
      <c r="HP1720" s="227"/>
      <c r="HQ1720" s="227"/>
      <c r="HR1720" s="227"/>
      <c r="HS1720" s="227"/>
      <c r="HT1720" s="227"/>
      <c r="HU1720" s="227"/>
      <c r="HV1720" s="227"/>
      <c r="HW1720" s="227"/>
      <c r="HX1720" s="227"/>
      <c r="HY1720" s="227"/>
      <c r="HZ1720" s="227"/>
      <c r="IA1720" s="227"/>
      <c r="IB1720" s="227"/>
      <c r="IC1720" s="227"/>
      <c r="ID1720" s="227"/>
      <c r="IE1720" s="227"/>
      <c r="IF1720" s="227"/>
      <c r="IG1720" s="227"/>
      <c r="IH1720" s="227"/>
      <c r="II1720" s="227"/>
      <c r="IJ1720" s="227"/>
      <c r="IK1720" s="227"/>
      <c r="IL1720" s="227"/>
      <c r="IM1720" s="227"/>
      <c r="IN1720" s="227"/>
      <c r="IO1720" s="227"/>
      <c r="IP1720" s="227"/>
      <c r="IQ1720" s="227"/>
      <c r="IR1720" s="227"/>
      <c r="IS1720" s="227"/>
      <c r="IT1720" s="227"/>
      <c r="IU1720" s="227"/>
      <c r="IV1720" s="227"/>
      <c r="IW1720" s="227"/>
      <c r="IX1720" s="227"/>
      <c r="IY1720" s="227"/>
      <c r="IZ1720" s="227"/>
      <c r="JA1720" s="227"/>
      <c r="JB1720" s="227"/>
      <c r="JC1720" s="227"/>
      <c r="JD1720" s="227"/>
      <c r="JE1720" s="227"/>
      <c r="JF1720" s="227"/>
      <c r="JG1720" s="227"/>
      <c r="JH1720" s="227"/>
      <c r="JI1720" s="227"/>
      <c r="JJ1720" s="227"/>
      <c r="JK1720" s="227"/>
      <c r="JL1720" s="227"/>
      <c r="JM1720" s="227"/>
      <c r="JN1720" s="227"/>
      <c r="JO1720" s="227"/>
      <c r="JP1720" s="227"/>
      <c r="JQ1720" s="227"/>
      <c r="JR1720" s="227"/>
      <c r="JS1720" s="227"/>
      <c r="JT1720" s="227"/>
      <c r="JU1720" s="227"/>
      <c r="JV1720" s="227"/>
      <c r="JW1720" s="227"/>
      <c r="JX1720" s="227"/>
      <c r="JY1720" s="227"/>
      <c r="JZ1720" s="227"/>
      <c r="KA1720" s="227"/>
      <c r="KB1720" s="227"/>
      <c r="KC1720" s="227"/>
      <c r="KD1720" s="227"/>
      <c r="KE1720" s="227"/>
      <c r="KF1720" s="227"/>
      <c r="KG1720" s="227"/>
      <c r="KH1720" s="227"/>
      <c r="KI1720" s="227"/>
      <c r="KJ1720" s="227"/>
      <c r="KK1720" s="227"/>
      <c r="KL1720" s="227"/>
      <c r="KM1720" s="227"/>
      <c r="KN1720" s="227"/>
      <c r="KO1720" s="227"/>
      <c r="KP1720" s="227"/>
      <c r="KQ1720" s="227"/>
      <c r="KR1720" s="227"/>
      <c r="KS1720" s="227"/>
      <c r="KT1720" s="227"/>
      <c r="KU1720" s="227"/>
      <c r="KV1720" s="227"/>
      <c r="KW1720" s="227"/>
      <c r="KX1720" s="227"/>
      <c r="KY1720" s="227"/>
      <c r="KZ1720" s="227"/>
      <c r="LA1720" s="227"/>
      <c r="LB1720" s="227"/>
      <c r="LC1720" s="227"/>
      <c r="LD1720" s="227"/>
      <c r="LE1720" s="227"/>
      <c r="LF1720" s="227"/>
      <c r="LG1720" s="227"/>
      <c r="LH1720" s="227"/>
      <c r="LI1720" s="227"/>
      <c r="LJ1720" s="227"/>
      <c r="LK1720" s="227"/>
      <c r="LL1720" s="227"/>
      <c r="LM1720" s="227"/>
      <c r="LN1720" s="227"/>
      <c r="LO1720" s="227"/>
      <c r="LP1720" s="227"/>
      <c r="LQ1720" s="227"/>
      <c r="LR1720" s="227"/>
      <c r="LS1720" s="227"/>
      <c r="LT1720" s="227"/>
      <c r="LU1720" s="227"/>
      <c r="LV1720" s="227"/>
      <c r="LW1720" s="227"/>
      <c r="LX1720" s="227"/>
      <c r="LY1720" s="227"/>
      <c r="LZ1720" s="227"/>
      <c r="MA1720" s="227"/>
      <c r="MB1720" s="227"/>
      <c r="MC1720" s="227"/>
      <c r="MD1720" s="227"/>
      <c r="ME1720" s="227"/>
      <c r="MF1720" s="227"/>
      <c r="MG1720" s="227"/>
      <c r="MH1720" s="227"/>
      <c r="MI1720" s="227"/>
      <c r="MJ1720" s="227"/>
      <c r="MK1720" s="227"/>
      <c r="ML1720" s="227"/>
      <c r="MM1720" s="227"/>
      <c r="MN1720" s="227"/>
      <c r="MO1720" s="227"/>
      <c r="MP1720" s="227"/>
      <c r="MQ1720" s="227"/>
      <c r="MR1720" s="227"/>
      <c r="MS1720" s="227"/>
      <c r="MT1720" s="227"/>
      <c r="MU1720" s="227"/>
      <c r="MV1720" s="227"/>
      <c r="MW1720" s="227"/>
      <c r="MX1720" s="227"/>
      <c r="MY1720" s="227"/>
      <c r="MZ1720" s="227"/>
      <c r="NA1720" s="227"/>
      <c r="NB1720" s="227"/>
      <c r="NC1720" s="227"/>
      <c r="ND1720" s="227"/>
      <c r="NE1720" s="227"/>
      <c r="NF1720" s="227"/>
      <c r="NG1720" s="227"/>
      <c r="NH1720" s="227"/>
      <c r="NI1720" s="227"/>
      <c r="NJ1720" s="227"/>
      <c r="NK1720" s="227"/>
      <c r="NL1720" s="227"/>
      <c r="NM1720" s="227"/>
      <c r="NN1720" s="227"/>
      <c r="NO1720" s="227"/>
      <c r="NP1720" s="227"/>
      <c r="NQ1720" s="227"/>
      <c r="NR1720" s="227"/>
      <c r="NS1720" s="227"/>
      <c r="NT1720" s="227"/>
      <c r="NU1720" s="227"/>
      <c r="NV1720" s="227"/>
      <c r="NW1720" s="227"/>
      <c r="NX1720" s="227"/>
      <c r="NY1720" s="227"/>
      <c r="NZ1720" s="227"/>
      <c r="OA1720" s="227"/>
      <c r="OB1720" s="227"/>
      <c r="OC1720" s="227"/>
      <c r="OD1720" s="227"/>
      <c r="OE1720" s="227"/>
      <c r="OF1720" s="227"/>
      <c r="OG1720" s="227"/>
      <c r="OH1720" s="227"/>
      <c r="OI1720" s="227"/>
      <c r="OJ1720" s="227"/>
      <c r="OK1720" s="227"/>
      <c r="OL1720" s="227"/>
      <c r="OM1720" s="227"/>
      <c r="ON1720" s="227"/>
      <c r="OO1720" s="227"/>
      <c r="OP1720" s="227"/>
      <c r="OQ1720" s="227"/>
      <c r="OR1720" s="227"/>
      <c r="OS1720" s="227"/>
      <c r="OT1720" s="227"/>
      <c r="OU1720" s="227"/>
      <c r="OV1720" s="227"/>
      <c r="OW1720" s="227"/>
      <c r="OX1720" s="227"/>
      <c r="OY1720" s="227"/>
      <c r="OZ1720" s="227"/>
      <c r="PA1720" s="227"/>
      <c r="PB1720" s="227"/>
      <c r="PC1720" s="227"/>
      <c r="PD1720" s="227"/>
      <c r="PE1720" s="227"/>
      <c r="PF1720" s="227"/>
      <c r="PG1720" s="227"/>
      <c r="PH1720" s="227"/>
      <c r="PI1720" s="227"/>
      <c r="PJ1720" s="227"/>
      <c r="PK1720" s="227"/>
      <c r="PL1720" s="227"/>
      <c r="PM1720" s="227"/>
      <c r="PN1720" s="227"/>
      <c r="PO1720" s="227"/>
      <c r="PP1720" s="227"/>
      <c r="PQ1720" s="227"/>
      <c r="PR1720" s="227"/>
      <c r="PS1720" s="227"/>
      <c r="PT1720" s="227"/>
      <c r="PU1720" s="227"/>
      <c r="PV1720" s="227"/>
      <c r="PW1720" s="227"/>
      <c r="PX1720" s="227"/>
      <c r="PY1720" s="227"/>
      <c r="PZ1720" s="227"/>
      <c r="QA1720" s="227"/>
      <c r="QB1720" s="227"/>
      <c r="QC1720" s="227"/>
      <c r="QD1720" s="227"/>
      <c r="QE1720" s="227"/>
      <c r="QF1720" s="227"/>
      <c r="QG1720" s="227"/>
      <c r="QH1720" s="227"/>
      <c r="QI1720" s="227"/>
      <c r="QJ1720" s="227"/>
      <c r="QK1720" s="227"/>
      <c r="QL1720" s="227"/>
      <c r="QM1720" s="227"/>
      <c r="QN1720" s="227"/>
      <c r="QO1720" s="227"/>
      <c r="QP1720" s="227"/>
      <c r="QQ1720" s="227"/>
      <c r="QR1720" s="227"/>
      <c r="QS1720" s="227"/>
      <c r="QT1720" s="227"/>
      <c r="QU1720" s="227"/>
      <c r="QV1720" s="227"/>
      <c r="QW1720" s="227"/>
      <c r="QX1720" s="227"/>
      <c r="QY1720" s="227"/>
      <c r="QZ1720" s="227"/>
      <c r="RA1720" s="227"/>
      <c r="RB1720" s="227"/>
      <c r="RC1720" s="227"/>
      <c r="RD1720" s="227"/>
      <c r="RE1720" s="227"/>
      <c r="RF1720" s="227"/>
      <c r="RG1720" s="227"/>
      <c r="RH1720" s="227"/>
      <c r="RI1720" s="227"/>
      <c r="RJ1720" s="227"/>
      <c r="RK1720" s="227"/>
      <c r="RL1720" s="227"/>
      <c r="RM1720" s="227"/>
      <c r="RN1720" s="227"/>
      <c r="RO1720" s="227"/>
      <c r="RP1720" s="227"/>
      <c r="RQ1720" s="227"/>
      <c r="RR1720" s="227"/>
      <c r="RS1720" s="227"/>
      <c r="RT1720" s="227"/>
      <c r="RU1720" s="227"/>
      <c r="RV1720" s="227"/>
      <c r="RW1720" s="227"/>
      <c r="RX1720" s="227"/>
      <c r="RY1720" s="227"/>
      <c r="RZ1720" s="227"/>
      <c r="SA1720" s="227"/>
      <c r="SB1720" s="227"/>
      <c r="SC1720" s="227"/>
      <c r="SD1720" s="227"/>
      <c r="SE1720" s="227"/>
      <c r="SF1720" s="227"/>
      <c r="SG1720" s="227"/>
      <c r="SH1720" s="227"/>
      <c r="SI1720" s="227"/>
      <c r="SJ1720" s="227"/>
      <c r="SK1720" s="227"/>
      <c r="SL1720" s="227"/>
      <c r="SM1720" s="227"/>
      <c r="SN1720" s="227"/>
      <c r="SO1720" s="227"/>
      <c r="SP1720" s="227"/>
      <c r="SQ1720" s="227"/>
      <c r="SR1720" s="227"/>
      <c r="SS1720" s="227"/>
      <c r="ST1720" s="227"/>
      <c r="SU1720" s="227"/>
      <c r="SV1720" s="227"/>
      <c r="SW1720" s="227"/>
      <c r="SX1720" s="227"/>
      <c r="SY1720" s="227"/>
      <c r="SZ1720" s="227"/>
      <c r="TA1720" s="227"/>
      <c r="TB1720" s="227"/>
      <c r="TC1720" s="227"/>
      <c r="TD1720" s="227"/>
      <c r="TE1720" s="227"/>
      <c r="TF1720" s="227"/>
      <c r="TG1720" s="227"/>
      <c r="TH1720" s="227"/>
      <c r="TI1720" s="227"/>
      <c r="TJ1720" s="227"/>
      <c r="TK1720" s="227"/>
      <c r="TL1720" s="227"/>
      <c r="TM1720" s="227"/>
      <c r="TN1720" s="227"/>
      <c r="TO1720" s="227"/>
      <c r="TP1720" s="227"/>
      <c r="TQ1720" s="227"/>
      <c r="TR1720" s="227"/>
      <c r="TS1720" s="227"/>
      <c r="TT1720" s="227"/>
      <c r="TU1720" s="227"/>
      <c r="TV1720" s="227"/>
      <c r="TW1720" s="227"/>
      <c r="TX1720" s="227"/>
      <c r="TY1720" s="227"/>
      <c r="TZ1720" s="227"/>
      <c r="UA1720" s="227"/>
      <c r="UB1720" s="227"/>
      <c r="UC1720" s="227"/>
      <c r="UD1720" s="227"/>
      <c r="UE1720" s="227"/>
      <c r="UF1720" s="227"/>
      <c r="UG1720" s="227"/>
      <c r="UH1720" s="227"/>
      <c r="UI1720" s="227"/>
      <c r="UJ1720" s="227"/>
      <c r="UK1720" s="227"/>
      <c r="UL1720" s="227"/>
      <c r="UM1720" s="227"/>
      <c r="UN1720" s="227"/>
      <c r="UO1720" s="227"/>
      <c r="UP1720" s="227"/>
      <c r="UQ1720" s="227"/>
      <c r="UR1720" s="227"/>
      <c r="US1720" s="227"/>
      <c r="UT1720" s="227"/>
      <c r="UU1720" s="227"/>
      <c r="UV1720" s="227"/>
      <c r="UW1720" s="227"/>
      <c r="UX1720" s="227"/>
      <c r="UY1720" s="227"/>
      <c r="UZ1720" s="227"/>
      <c r="VA1720" s="227"/>
      <c r="VB1720" s="227"/>
      <c r="VC1720" s="227"/>
      <c r="VD1720" s="227"/>
      <c r="VE1720" s="227"/>
      <c r="VF1720" s="227"/>
      <c r="VG1720" s="227"/>
      <c r="VH1720" s="227"/>
      <c r="VI1720" s="227"/>
      <c r="VJ1720" s="227"/>
      <c r="VK1720" s="227"/>
      <c r="VL1720" s="227"/>
      <c r="VM1720" s="227"/>
      <c r="VN1720" s="227"/>
      <c r="VO1720" s="227"/>
      <c r="VP1720" s="227"/>
      <c r="VQ1720" s="227"/>
      <c r="VR1720" s="227"/>
      <c r="VS1720" s="227"/>
      <c r="VT1720" s="227"/>
      <c r="VU1720" s="227"/>
      <c r="VV1720" s="227"/>
      <c r="VW1720" s="227"/>
      <c r="VX1720" s="227"/>
      <c r="VY1720" s="227"/>
      <c r="VZ1720" s="227"/>
      <c r="WA1720" s="227"/>
      <c r="WB1720" s="227"/>
      <c r="WC1720" s="227"/>
      <c r="WD1720" s="227"/>
      <c r="WE1720" s="227"/>
      <c r="WF1720" s="227"/>
      <c r="WG1720" s="227"/>
      <c r="WH1720" s="227"/>
      <c r="WI1720" s="227"/>
      <c r="WJ1720" s="227"/>
      <c r="WK1720" s="227"/>
      <c r="WL1720" s="227"/>
      <c r="WM1720" s="227"/>
      <c r="WN1720" s="227"/>
      <c r="WO1720" s="227"/>
      <c r="WP1720" s="227"/>
      <c r="WQ1720" s="227"/>
      <c r="WR1720" s="227"/>
      <c r="WS1720" s="227"/>
      <c r="WT1720" s="227"/>
      <c r="WU1720" s="227"/>
      <c r="WV1720" s="227"/>
      <c r="WW1720" s="227"/>
      <c r="WX1720" s="227"/>
      <c r="WY1720" s="227"/>
      <c r="WZ1720" s="227"/>
      <c r="XA1720" s="227"/>
      <c r="XB1720" s="227"/>
      <c r="XC1720" s="227"/>
      <c r="XD1720" s="227"/>
      <c r="XE1720" s="227"/>
      <c r="XF1720" s="227"/>
      <c r="XG1720" s="227"/>
      <c r="XH1720" s="227"/>
      <c r="XI1720" s="227"/>
      <c r="XJ1720" s="227"/>
      <c r="XK1720" s="227"/>
      <c r="XL1720" s="227"/>
      <c r="XM1720" s="227"/>
      <c r="XN1720" s="227"/>
      <c r="XO1720" s="227"/>
      <c r="XP1720" s="227"/>
      <c r="XQ1720" s="227"/>
      <c r="XR1720" s="227"/>
      <c r="XS1720" s="227"/>
      <c r="XT1720" s="227"/>
      <c r="XU1720" s="227"/>
      <c r="XV1720" s="227"/>
      <c r="XW1720" s="227"/>
      <c r="XX1720" s="227"/>
      <c r="XY1720" s="227"/>
      <c r="XZ1720" s="227"/>
      <c r="YA1720" s="227"/>
      <c r="YB1720" s="227"/>
      <c r="YC1720" s="227"/>
      <c r="YD1720" s="227"/>
      <c r="YE1720" s="227"/>
      <c r="YF1720" s="227"/>
      <c r="YG1720" s="227"/>
      <c r="YH1720" s="227"/>
      <c r="YI1720" s="227"/>
      <c r="YJ1720" s="227"/>
      <c r="YK1720" s="227"/>
      <c r="YL1720" s="227"/>
      <c r="YM1720" s="227"/>
      <c r="YN1720" s="227"/>
      <c r="YO1720" s="227"/>
      <c r="YP1720" s="227"/>
      <c r="YQ1720" s="227"/>
      <c r="YR1720" s="227"/>
      <c r="YS1720" s="227"/>
      <c r="YT1720" s="227"/>
      <c r="YU1720" s="227"/>
      <c r="YV1720" s="227"/>
      <c r="YW1720" s="227"/>
      <c r="YX1720" s="227"/>
      <c r="YY1720" s="227"/>
      <c r="YZ1720" s="227"/>
      <c r="ZA1720" s="227"/>
      <c r="ZB1720" s="227"/>
      <c r="ZC1720" s="227"/>
      <c r="ZD1720" s="227"/>
      <c r="ZE1720" s="227"/>
      <c r="ZF1720" s="227"/>
      <c r="ZG1720" s="227"/>
      <c r="ZH1720" s="227"/>
      <c r="ZI1720" s="227"/>
      <c r="ZJ1720" s="227"/>
      <c r="ZK1720" s="227"/>
      <c r="ZL1720" s="227"/>
      <c r="ZM1720" s="227"/>
      <c r="ZN1720" s="227"/>
      <c r="ZO1720" s="227"/>
      <c r="ZP1720" s="227"/>
      <c r="ZQ1720" s="227"/>
      <c r="ZR1720" s="227"/>
      <c r="ZS1720" s="227"/>
      <c r="ZT1720" s="227"/>
      <c r="ZU1720" s="227"/>
      <c r="ZV1720" s="227"/>
      <c r="ZW1720" s="227"/>
      <c r="ZX1720" s="227"/>
      <c r="ZY1720" s="227"/>
      <c r="ZZ1720" s="227"/>
      <c r="AAA1720" s="227"/>
      <c r="AAB1720" s="227"/>
      <c r="AAC1720" s="227"/>
      <c r="AAD1720" s="227"/>
      <c r="AAE1720" s="227"/>
      <c r="AAF1720" s="227"/>
      <c r="AAG1720" s="227"/>
      <c r="AAH1720" s="227"/>
      <c r="AAI1720" s="227"/>
      <c r="AAJ1720" s="227"/>
      <c r="AAK1720" s="227"/>
      <c r="AAL1720" s="227"/>
      <c r="AAM1720" s="227"/>
      <c r="AAN1720" s="227"/>
      <c r="AAO1720" s="227"/>
      <c r="AAP1720" s="227"/>
      <c r="AAQ1720" s="227"/>
      <c r="AAR1720" s="227"/>
      <c r="AAS1720" s="227"/>
      <c r="AAT1720" s="227"/>
      <c r="AAU1720" s="227"/>
      <c r="AAV1720" s="227"/>
      <c r="AAW1720" s="227"/>
      <c r="AAX1720" s="227"/>
      <c r="AAY1720" s="227"/>
      <c r="AAZ1720" s="227"/>
      <c r="ABA1720" s="227"/>
      <c r="ABB1720" s="227"/>
      <c r="ABC1720" s="227"/>
      <c r="ABD1720" s="227"/>
      <c r="ABE1720" s="227"/>
      <c r="ABF1720" s="227"/>
      <c r="ABG1720" s="227"/>
      <c r="ABH1720" s="227"/>
      <c r="ABI1720" s="227"/>
      <c r="ABJ1720" s="227"/>
      <c r="ABK1720" s="227"/>
      <c r="ABL1720" s="227"/>
      <c r="ABM1720" s="227"/>
      <c r="ABN1720" s="227"/>
      <c r="ABO1720" s="227"/>
      <c r="ABP1720" s="227"/>
      <c r="ABQ1720" s="227"/>
      <c r="ABR1720" s="227"/>
      <c r="ABS1720" s="227"/>
      <c r="ABT1720" s="227"/>
      <c r="ABU1720" s="227"/>
      <c r="ABV1720" s="227"/>
      <c r="ABW1720" s="227"/>
      <c r="ABX1720" s="227"/>
      <c r="ABY1720" s="227"/>
      <c r="ABZ1720" s="227"/>
      <c r="ACA1720" s="227"/>
      <c r="ACB1720" s="227"/>
      <c r="ACC1720" s="227"/>
      <c r="ACD1720" s="227"/>
      <c r="ACE1720" s="227"/>
      <c r="ACF1720" s="227"/>
      <c r="ACG1720" s="227"/>
      <c r="ACH1720" s="227"/>
      <c r="ACI1720" s="227"/>
      <c r="ACJ1720" s="227"/>
      <c r="ACK1720" s="227"/>
      <c r="ACL1720" s="227"/>
      <c r="ACM1720" s="227"/>
      <c r="ACN1720" s="227"/>
      <c r="ACO1720" s="227"/>
      <c r="ACP1720" s="227"/>
      <c r="ACQ1720" s="227"/>
      <c r="ACR1720" s="227"/>
      <c r="ACS1720" s="227"/>
      <c r="ACT1720" s="227"/>
      <c r="ACU1720" s="227"/>
      <c r="ACV1720" s="227"/>
      <c r="ACW1720" s="227"/>
      <c r="ACX1720" s="227"/>
      <c r="ACY1720" s="227"/>
      <c r="ACZ1720" s="227"/>
      <c r="ADA1720" s="227"/>
      <c r="ADB1720" s="227"/>
      <c r="ADC1720" s="227"/>
      <c r="ADD1720" s="227"/>
      <c r="ADE1720" s="227"/>
      <c r="ADF1720" s="227"/>
      <c r="ADG1720" s="227"/>
      <c r="ADH1720" s="227"/>
      <c r="ADI1720" s="227"/>
      <c r="ADJ1720" s="227"/>
      <c r="ADK1720" s="227"/>
      <c r="ADL1720" s="227"/>
      <c r="ADM1720" s="227"/>
      <c r="ADN1720" s="227"/>
      <c r="ADO1720" s="227"/>
      <c r="ADP1720" s="227"/>
      <c r="ADQ1720" s="227"/>
      <c r="ADR1720" s="227"/>
      <c r="ADS1720" s="227"/>
      <c r="ADT1720" s="227"/>
      <c r="ADU1720" s="227"/>
      <c r="ADV1720" s="227"/>
      <c r="ADW1720" s="227"/>
      <c r="ADX1720" s="227"/>
      <c r="ADY1720" s="227"/>
      <c r="ADZ1720" s="227"/>
      <c r="AEA1720" s="227"/>
      <c r="AEB1720" s="227"/>
      <c r="AEC1720" s="227"/>
      <c r="AED1720" s="227"/>
      <c r="AEE1720" s="227"/>
      <c r="AEF1720" s="227"/>
      <c r="AEG1720" s="227"/>
      <c r="AEH1720" s="227"/>
      <c r="AEI1720" s="227"/>
      <c r="AEJ1720" s="227"/>
      <c r="AEK1720" s="227"/>
      <c r="AEL1720" s="227"/>
      <c r="AEM1720" s="227"/>
      <c r="AEN1720" s="227"/>
      <c r="AEO1720" s="227"/>
      <c r="AEP1720" s="227"/>
      <c r="AEQ1720" s="227"/>
      <c r="AER1720" s="227"/>
      <c r="AES1720" s="227"/>
      <c r="AET1720" s="227"/>
      <c r="AEU1720" s="227"/>
      <c r="AEV1720" s="227"/>
      <c r="AEW1720" s="227"/>
      <c r="AEX1720" s="227"/>
      <c r="AEY1720" s="227"/>
      <c r="AEZ1720" s="227"/>
      <c r="AFA1720" s="227"/>
      <c r="AFB1720" s="227"/>
      <c r="AFC1720" s="227"/>
      <c r="AFD1720" s="227"/>
      <c r="AFE1720" s="227"/>
      <c r="AFF1720" s="227"/>
      <c r="AFG1720" s="227"/>
      <c r="AFH1720" s="227"/>
      <c r="AFI1720" s="227"/>
      <c r="AFJ1720" s="227"/>
      <c r="AFK1720" s="227"/>
      <c r="AFL1720" s="227"/>
      <c r="AFM1720" s="227"/>
      <c r="AFN1720" s="227"/>
      <c r="AFO1720" s="227"/>
      <c r="AFP1720" s="227"/>
      <c r="AFQ1720" s="227"/>
      <c r="AFR1720" s="227"/>
      <c r="AFS1720" s="227"/>
      <c r="AFT1720" s="227"/>
      <c r="AFU1720" s="227"/>
      <c r="AFV1720" s="227"/>
      <c r="AFW1720" s="227"/>
      <c r="AFX1720" s="227"/>
      <c r="AFY1720" s="227"/>
      <c r="AFZ1720" s="227"/>
      <c r="AGA1720" s="227"/>
      <c r="AGB1720" s="227"/>
      <c r="AGC1720" s="227"/>
      <c r="AGD1720" s="227"/>
      <c r="AGE1720" s="227"/>
      <c r="AGF1720" s="227"/>
      <c r="AGG1720" s="227"/>
      <c r="AGH1720" s="227"/>
      <c r="AGI1720" s="227"/>
      <c r="AGJ1720" s="227"/>
      <c r="AGK1720" s="227"/>
      <c r="AGL1720" s="227"/>
      <c r="AGM1720" s="227"/>
      <c r="AGN1720" s="227"/>
      <c r="AGO1720" s="227"/>
      <c r="AGP1720" s="227"/>
      <c r="AGQ1720" s="227"/>
      <c r="AGR1720" s="227"/>
      <c r="AGS1720" s="227"/>
      <c r="AGT1720" s="227"/>
      <c r="AGU1720" s="227"/>
      <c r="AGV1720" s="227"/>
      <c r="AGW1720" s="227"/>
      <c r="AGX1720" s="227"/>
      <c r="AGY1720" s="227"/>
      <c r="AGZ1720" s="227"/>
      <c r="AHA1720" s="227"/>
      <c r="AHB1720" s="227"/>
      <c r="AHC1720" s="227"/>
      <c r="AHD1720" s="227"/>
      <c r="AHE1720" s="227"/>
      <c r="AHF1720" s="227"/>
      <c r="AHG1720" s="227"/>
      <c r="AHH1720" s="227"/>
      <c r="AHI1720" s="227"/>
      <c r="AHJ1720" s="227"/>
      <c r="AHK1720" s="227"/>
      <c r="AHL1720" s="227"/>
      <c r="AHM1720" s="227"/>
      <c r="AHN1720" s="227"/>
      <c r="AHO1720" s="227"/>
      <c r="AHP1720" s="227"/>
      <c r="AHQ1720" s="227"/>
      <c r="AHR1720" s="227"/>
      <c r="AHS1720" s="227"/>
      <c r="AHT1720" s="227"/>
      <c r="AHU1720" s="227"/>
      <c r="AHV1720" s="227"/>
      <c r="AHW1720" s="227"/>
      <c r="AHX1720" s="227"/>
      <c r="AHY1720" s="227"/>
      <c r="AHZ1720" s="227"/>
      <c r="AIA1720" s="227"/>
      <c r="AIB1720" s="227"/>
      <c r="AIC1720" s="227"/>
      <c r="AID1720" s="227"/>
      <c r="AIE1720" s="227"/>
      <c r="AIF1720" s="227"/>
      <c r="AIG1720" s="227"/>
      <c r="AIH1720" s="227"/>
      <c r="AII1720" s="227"/>
      <c r="AIJ1720" s="227"/>
      <c r="AIK1720" s="227"/>
      <c r="AIL1720" s="227"/>
      <c r="AIM1720" s="227"/>
      <c r="AIN1720" s="227"/>
      <c r="AIO1720" s="227"/>
      <c r="AIP1720" s="227"/>
      <c r="AIQ1720" s="227"/>
      <c r="AIR1720" s="227"/>
      <c r="AIS1720" s="227"/>
      <c r="AIT1720" s="227"/>
      <c r="AIU1720" s="227"/>
      <c r="AIV1720" s="227"/>
      <c r="AIW1720" s="227"/>
      <c r="AIX1720" s="227"/>
      <c r="AIY1720" s="227"/>
      <c r="AIZ1720" s="227"/>
      <c r="AJA1720" s="227"/>
      <c r="AJB1720" s="227"/>
      <c r="AJC1720" s="227"/>
      <c r="AJD1720" s="227"/>
      <c r="AJE1720" s="227"/>
      <c r="AJF1720" s="227"/>
      <c r="AJG1720" s="227"/>
      <c r="AJH1720" s="227"/>
      <c r="AJI1720" s="227"/>
      <c r="AJJ1720" s="227"/>
      <c r="AJK1720" s="227"/>
      <c r="AJL1720" s="227"/>
      <c r="AJM1720" s="227"/>
      <c r="AJN1720" s="227"/>
      <c r="AJO1720" s="227"/>
      <c r="AJP1720" s="227"/>
      <c r="AJQ1720" s="227"/>
      <c r="AJR1720" s="227"/>
      <c r="AJS1720" s="227"/>
      <c r="AJT1720" s="227"/>
      <c r="AJU1720" s="227"/>
      <c r="AJV1720" s="227"/>
      <c r="AJW1720" s="227"/>
      <c r="AJX1720" s="227"/>
      <c r="AJY1720" s="227"/>
      <c r="AJZ1720" s="227"/>
      <c r="AKA1720" s="227"/>
      <c r="AKB1720" s="227"/>
      <c r="AKC1720" s="227"/>
      <c r="AKD1720" s="227"/>
      <c r="AKE1720" s="227"/>
      <c r="AKF1720" s="227"/>
      <c r="AKG1720" s="227"/>
      <c r="AKH1720" s="227"/>
      <c r="AKI1720" s="227"/>
      <c r="AKJ1720" s="227"/>
      <c r="AKK1720" s="227"/>
      <c r="AKL1720" s="227"/>
      <c r="AKM1720" s="227"/>
      <c r="AKN1720" s="227"/>
      <c r="AKO1720" s="227"/>
      <c r="AKP1720" s="227"/>
      <c r="AKQ1720" s="227"/>
      <c r="AKR1720" s="227"/>
      <c r="AKS1720" s="227"/>
      <c r="AKT1720" s="227"/>
      <c r="AKU1720" s="227"/>
      <c r="AKV1720" s="227"/>
      <c r="AKW1720" s="227"/>
      <c r="AKX1720" s="227"/>
      <c r="AKY1720" s="227"/>
      <c r="AKZ1720" s="227"/>
      <c r="ALA1720" s="227"/>
      <c r="ALB1720" s="227"/>
      <c r="ALC1720" s="227"/>
      <c r="ALD1720" s="227"/>
      <c r="ALE1720" s="227"/>
      <c r="ALF1720" s="227"/>
      <c r="ALG1720" s="227"/>
      <c r="ALH1720" s="227"/>
      <c r="ALI1720" s="227"/>
      <c r="ALJ1720" s="227"/>
      <c r="ALK1720" s="227"/>
      <c r="ALL1720" s="227"/>
      <c r="ALM1720" s="227"/>
      <c r="ALN1720" s="227"/>
      <c r="ALO1720" s="227"/>
      <c r="ALP1720" s="227"/>
      <c r="ALQ1720" s="227"/>
      <c r="ALR1720" s="227"/>
      <c r="ALS1720" s="227"/>
      <c r="ALT1720" s="227"/>
      <c r="ALU1720" s="227"/>
      <c r="ALV1720" s="227"/>
      <c r="ALW1720" s="227"/>
      <c r="ALX1720" s="227"/>
      <c r="ALY1720" s="227"/>
      <c r="ALZ1720" s="227"/>
      <c r="AMA1720" s="227"/>
      <c r="AMB1720" s="227"/>
      <c r="AMC1720" s="227"/>
      <c r="AMD1720" s="227"/>
      <c r="AME1720" s="227"/>
      <c r="AMF1720" s="227"/>
      <c r="AMG1720" s="227"/>
      <c r="AMH1720" s="227"/>
      <c r="AMI1720" s="227"/>
      <c r="AMJ1720" s="227"/>
      <c r="AMK1720" s="227"/>
      <c r="AML1720" s="227"/>
      <c r="AMM1720" s="227"/>
      <c r="AMN1720" s="227"/>
      <c r="AMO1720" s="227"/>
      <c r="AMP1720" s="227"/>
      <c r="AMQ1720" s="227"/>
      <c r="AMR1720" s="227"/>
      <c r="AMS1720" s="227"/>
      <c r="AMT1720" s="227"/>
      <c r="AMU1720" s="227"/>
      <c r="AMV1720" s="227"/>
      <c r="AMW1720" s="227"/>
      <c r="AMX1720" s="227"/>
      <c r="AMY1720" s="227"/>
      <c r="AMZ1720" s="227"/>
      <c r="ANA1720" s="227"/>
      <c r="ANB1720" s="227"/>
      <c r="ANC1720" s="227"/>
      <c r="AND1720" s="227"/>
      <c r="ANE1720" s="227"/>
      <c r="ANF1720" s="227"/>
      <c r="ANG1720" s="227"/>
      <c r="ANH1720" s="227"/>
      <c r="ANI1720" s="227"/>
      <c r="ANJ1720" s="227"/>
      <c r="ANK1720" s="227"/>
      <c r="ANL1720" s="227"/>
      <c r="ANM1720" s="227"/>
      <c r="ANN1720" s="227"/>
      <c r="ANO1720" s="227"/>
      <c r="ANP1720" s="227"/>
      <c r="ANQ1720" s="227"/>
      <c r="ANR1720" s="227"/>
      <c r="ANS1720" s="227"/>
      <c r="ANT1720" s="227"/>
      <c r="ANU1720" s="227"/>
      <c r="ANV1720" s="227"/>
      <c r="ANW1720" s="227"/>
      <c r="ANX1720" s="227"/>
      <c r="ANY1720" s="227"/>
      <c r="ANZ1720" s="227"/>
      <c r="AOA1720" s="227"/>
      <c r="AOB1720" s="227"/>
      <c r="AOC1720" s="227"/>
      <c r="AOD1720" s="227"/>
      <c r="AOE1720" s="227"/>
      <c r="AOF1720" s="227"/>
      <c r="AOG1720" s="227"/>
      <c r="AOH1720" s="227"/>
      <c r="AOI1720" s="227"/>
      <c r="AOJ1720" s="227"/>
      <c r="AOK1720" s="227"/>
      <c r="AOL1720" s="227"/>
      <c r="AOM1720" s="227"/>
      <c r="AON1720" s="227"/>
      <c r="AOO1720" s="227"/>
      <c r="AOP1720" s="227"/>
      <c r="AOQ1720" s="227"/>
      <c r="AOR1720" s="227"/>
      <c r="AOS1720" s="227"/>
      <c r="AOT1720" s="227"/>
      <c r="AOU1720" s="227"/>
      <c r="AOV1720" s="227"/>
      <c r="AOW1720" s="227"/>
      <c r="AOX1720" s="227"/>
      <c r="AOY1720" s="227"/>
      <c r="AOZ1720" s="227"/>
      <c r="APA1720" s="227"/>
      <c r="APB1720" s="227"/>
      <c r="APC1720" s="227"/>
      <c r="APD1720" s="227"/>
      <c r="APE1720" s="227"/>
      <c r="APF1720" s="227"/>
      <c r="APG1720" s="227"/>
      <c r="APH1720" s="227"/>
      <c r="API1720" s="227"/>
      <c r="APJ1720" s="227"/>
      <c r="APK1720" s="227"/>
      <c r="APL1720" s="227"/>
      <c r="APM1720" s="227"/>
      <c r="APN1720" s="227"/>
      <c r="APO1720" s="227"/>
      <c r="APP1720" s="227"/>
      <c r="APQ1720" s="227"/>
      <c r="APR1720" s="227"/>
      <c r="APS1720" s="227"/>
      <c r="APT1720" s="227"/>
      <c r="APU1720" s="227"/>
      <c r="APV1720" s="227"/>
      <c r="APW1720" s="227"/>
      <c r="APX1720" s="227"/>
      <c r="APY1720" s="227"/>
      <c r="APZ1720" s="227"/>
      <c r="AQA1720" s="227"/>
      <c r="AQB1720" s="227"/>
      <c r="AQC1720" s="227"/>
      <c r="AQD1720" s="227"/>
      <c r="AQE1720" s="227"/>
      <c r="AQF1720" s="227"/>
      <c r="AQG1720" s="227"/>
      <c r="AQH1720" s="227"/>
      <c r="AQI1720" s="227"/>
      <c r="AQJ1720" s="227"/>
      <c r="AQK1720" s="227"/>
      <c r="AQL1720" s="227"/>
      <c r="AQM1720" s="227"/>
      <c r="AQN1720" s="227"/>
      <c r="AQO1720" s="227"/>
      <c r="AQP1720" s="227"/>
      <c r="AQQ1720" s="227"/>
      <c r="AQR1720" s="227"/>
      <c r="AQS1720" s="227"/>
      <c r="AQT1720" s="227"/>
      <c r="AQU1720" s="227"/>
      <c r="AQV1720" s="227"/>
      <c r="AQW1720" s="227"/>
      <c r="AQX1720" s="227"/>
      <c r="AQY1720" s="227"/>
      <c r="AQZ1720" s="227"/>
      <c r="ARA1720" s="227"/>
      <c r="ARB1720" s="227"/>
      <c r="ARC1720" s="227"/>
      <c r="ARD1720" s="227"/>
      <c r="ARE1720" s="227"/>
      <c r="ARF1720" s="227"/>
      <c r="ARG1720" s="227"/>
      <c r="ARH1720" s="227"/>
      <c r="ARI1720" s="227"/>
      <c r="ARJ1720" s="227"/>
      <c r="ARK1720" s="227"/>
      <c r="ARL1720" s="227"/>
      <c r="ARM1720" s="227"/>
      <c r="ARN1720" s="227"/>
      <c r="ARO1720" s="227"/>
      <c r="ARP1720" s="227"/>
      <c r="ARQ1720" s="227"/>
      <c r="ARR1720" s="227"/>
      <c r="ARS1720" s="227"/>
      <c r="ART1720" s="227"/>
      <c r="ARU1720" s="227"/>
      <c r="ARV1720" s="227"/>
      <c r="ARW1720" s="227"/>
      <c r="ARX1720" s="227"/>
      <c r="ARY1720" s="227"/>
      <c r="ARZ1720" s="227"/>
      <c r="ASA1720" s="227"/>
      <c r="ASB1720" s="227"/>
      <c r="ASC1720" s="227"/>
      <c r="ASD1720" s="227"/>
      <c r="ASE1720" s="227"/>
      <c r="ASF1720" s="227"/>
      <c r="ASG1720" s="227"/>
      <c r="ASH1720" s="227"/>
      <c r="ASI1720" s="227"/>
      <c r="ASJ1720" s="227"/>
      <c r="ASK1720" s="227"/>
      <c r="ASL1720" s="227"/>
      <c r="ASM1720" s="227"/>
      <c r="ASN1720" s="227"/>
      <c r="ASO1720" s="227"/>
      <c r="ASP1720" s="227"/>
      <c r="ASQ1720" s="227"/>
      <c r="ASR1720" s="227"/>
      <c r="ASS1720" s="227"/>
      <c r="AST1720" s="227"/>
      <c r="ASU1720" s="227"/>
      <c r="ASV1720" s="227"/>
      <c r="ASW1720" s="227"/>
      <c r="ASX1720" s="227"/>
      <c r="ASY1720" s="227"/>
      <c r="ASZ1720" s="227"/>
      <c r="ATA1720" s="227"/>
      <c r="ATB1720" s="227"/>
      <c r="ATC1720" s="227"/>
      <c r="ATD1720" s="227"/>
      <c r="ATE1720" s="227"/>
      <c r="ATF1720" s="227"/>
      <c r="ATG1720" s="227"/>
      <c r="ATH1720" s="227"/>
      <c r="ATI1720" s="227"/>
      <c r="ATJ1720" s="227"/>
      <c r="ATK1720" s="227"/>
      <c r="ATL1720" s="227"/>
      <c r="ATM1720" s="227"/>
      <c r="ATN1720" s="227"/>
      <c r="ATO1720" s="227"/>
      <c r="ATP1720" s="227"/>
      <c r="ATQ1720" s="227"/>
      <c r="ATR1720" s="227"/>
      <c r="ATS1720" s="227"/>
      <c r="ATT1720" s="227"/>
      <c r="ATU1720" s="227"/>
      <c r="ATV1720" s="227"/>
      <c r="ATW1720" s="227"/>
      <c r="ATX1720" s="227"/>
      <c r="ATY1720" s="227"/>
      <c r="ATZ1720" s="227"/>
      <c r="AUA1720" s="227"/>
      <c r="AUB1720" s="227"/>
      <c r="AUC1720" s="227"/>
      <c r="AUD1720" s="227"/>
      <c r="AUE1720" s="227"/>
      <c r="AUF1720" s="227"/>
      <c r="AUG1720" s="227"/>
      <c r="AUH1720" s="227"/>
      <c r="AUI1720" s="227"/>
      <c r="AUJ1720" s="227"/>
      <c r="AUK1720" s="227"/>
      <c r="AUL1720" s="227"/>
      <c r="AUM1720" s="227"/>
      <c r="AUN1720" s="227"/>
      <c r="AUO1720" s="227"/>
      <c r="AUP1720" s="227"/>
      <c r="AUQ1720" s="227"/>
      <c r="AUR1720" s="227"/>
      <c r="AUS1720" s="227"/>
      <c r="AUT1720" s="227"/>
      <c r="AUU1720" s="227"/>
      <c r="AUV1720" s="227"/>
      <c r="AUW1720" s="227"/>
      <c r="AUX1720" s="227"/>
      <c r="AUY1720" s="227"/>
      <c r="AUZ1720" s="227"/>
      <c r="AVA1720" s="227"/>
      <c r="AVB1720" s="227"/>
      <c r="AVC1720" s="227"/>
      <c r="AVD1720" s="227"/>
      <c r="AVE1720" s="227"/>
      <c r="AVF1720" s="227"/>
      <c r="AVG1720" s="227"/>
      <c r="AVH1720" s="227"/>
      <c r="AVI1720" s="227"/>
      <c r="AVJ1720" s="227"/>
      <c r="AVK1720" s="227"/>
      <c r="AVL1720" s="227"/>
      <c r="AVM1720" s="227"/>
      <c r="AVN1720" s="227"/>
      <c r="AVO1720" s="227"/>
      <c r="AVP1720" s="227"/>
      <c r="AVQ1720" s="227"/>
      <c r="AVR1720" s="227"/>
      <c r="AVS1720" s="227"/>
      <c r="AVT1720" s="227"/>
      <c r="AVU1720" s="227"/>
      <c r="AVV1720" s="227"/>
      <c r="AVW1720" s="227"/>
      <c r="AVX1720" s="227"/>
      <c r="AVY1720" s="227"/>
      <c r="AVZ1720" s="227"/>
      <c r="AWA1720" s="227"/>
      <c r="AWB1720" s="227"/>
      <c r="AWC1720" s="227"/>
      <c r="AWD1720" s="227"/>
      <c r="AWE1720" s="227"/>
      <c r="AWF1720" s="227"/>
      <c r="AWG1720" s="227"/>
      <c r="AWH1720" s="227"/>
      <c r="AWI1720" s="227"/>
      <c r="AWJ1720" s="227"/>
      <c r="AWK1720" s="227"/>
      <c r="AWL1720" s="227"/>
      <c r="AWM1720" s="227"/>
      <c r="AWN1720" s="227"/>
      <c r="AWO1720" s="227"/>
      <c r="AWP1720" s="227"/>
      <c r="AWQ1720" s="227"/>
      <c r="AWR1720" s="227"/>
      <c r="AWS1720" s="227"/>
      <c r="AWT1720" s="227"/>
      <c r="AWU1720" s="227"/>
      <c r="AWV1720" s="227"/>
      <c r="AWW1720" s="227"/>
      <c r="AWX1720" s="227"/>
      <c r="AWY1720" s="227"/>
      <c r="AWZ1720" s="227"/>
      <c r="AXA1720" s="227"/>
      <c r="AXB1720" s="227"/>
      <c r="AXC1720" s="227"/>
      <c r="AXD1720" s="227"/>
      <c r="AXE1720" s="227"/>
      <c r="AXF1720" s="227"/>
      <c r="AXG1720" s="227"/>
      <c r="AXH1720" s="227"/>
      <c r="AXI1720" s="227"/>
      <c r="AXJ1720" s="227"/>
      <c r="AXK1720" s="227"/>
      <c r="AXL1720" s="227"/>
      <c r="AXM1720" s="227"/>
      <c r="AXN1720" s="227"/>
      <c r="AXO1720" s="227"/>
      <c r="AXP1720" s="227"/>
      <c r="AXQ1720" s="227"/>
      <c r="AXR1720" s="227"/>
      <c r="AXS1720" s="227"/>
      <c r="AXT1720" s="227"/>
      <c r="AXU1720" s="227"/>
      <c r="AXV1720" s="227"/>
      <c r="AXW1720" s="227"/>
      <c r="AXX1720" s="227"/>
      <c r="AXY1720" s="227"/>
      <c r="AXZ1720" s="227"/>
      <c r="AYA1720" s="227"/>
      <c r="AYB1720" s="227"/>
      <c r="AYC1720" s="227"/>
      <c r="AYD1720" s="227"/>
      <c r="AYE1720" s="227"/>
      <c r="AYF1720" s="227"/>
      <c r="AYG1720" s="227"/>
      <c r="AYH1720" s="227"/>
      <c r="AYI1720" s="227"/>
      <c r="AYJ1720" s="227"/>
      <c r="AYK1720" s="227"/>
      <c r="AYL1720" s="227"/>
      <c r="AYM1720" s="227"/>
      <c r="AYN1720" s="227"/>
      <c r="AYO1720" s="227"/>
      <c r="AYP1720" s="227"/>
      <c r="AYQ1720" s="227"/>
      <c r="AYR1720" s="227"/>
      <c r="AYS1720" s="227"/>
      <c r="AYT1720" s="227"/>
      <c r="AYU1720" s="227"/>
      <c r="AYV1720" s="227"/>
      <c r="AYW1720" s="227"/>
      <c r="AYX1720" s="227"/>
      <c r="AYY1720" s="227"/>
      <c r="AYZ1720" s="227"/>
      <c r="AZA1720" s="227"/>
      <c r="AZB1720" s="227"/>
      <c r="AZC1720" s="227"/>
      <c r="AZD1720" s="227"/>
      <c r="AZE1720" s="227"/>
      <c r="AZF1720" s="227"/>
      <c r="AZG1720" s="227"/>
      <c r="AZH1720" s="227"/>
      <c r="AZI1720" s="227"/>
      <c r="AZJ1720" s="227"/>
      <c r="AZK1720" s="227"/>
      <c r="AZL1720" s="227"/>
      <c r="AZM1720" s="227"/>
      <c r="AZN1720" s="227"/>
      <c r="AZO1720" s="227"/>
      <c r="AZP1720" s="227"/>
      <c r="AZQ1720" s="227"/>
      <c r="AZR1720" s="227"/>
      <c r="AZS1720" s="227"/>
      <c r="AZT1720" s="227"/>
      <c r="AZU1720" s="227"/>
      <c r="AZV1720" s="227"/>
      <c r="AZW1720" s="227"/>
      <c r="AZX1720" s="227"/>
      <c r="AZY1720" s="227"/>
      <c r="AZZ1720" s="227"/>
      <c r="BAA1720" s="227"/>
      <c r="BAB1720" s="227"/>
      <c r="BAC1720" s="227"/>
      <c r="BAD1720" s="227"/>
      <c r="BAE1720" s="227"/>
      <c r="BAF1720" s="227"/>
      <c r="BAG1720" s="227"/>
      <c r="BAH1720" s="227"/>
      <c r="BAI1720" s="227"/>
      <c r="BAJ1720" s="227"/>
      <c r="BAK1720" s="227"/>
      <c r="BAL1720" s="227"/>
      <c r="BAM1720" s="227"/>
      <c r="BAN1720" s="227"/>
      <c r="BAO1720" s="227"/>
      <c r="BAP1720" s="227"/>
      <c r="BAQ1720" s="227"/>
      <c r="BAR1720" s="227"/>
      <c r="BAS1720" s="227"/>
      <c r="BAT1720" s="227"/>
      <c r="BAU1720" s="227"/>
      <c r="BAV1720" s="227"/>
      <c r="BAW1720" s="227"/>
      <c r="BAX1720" s="227"/>
      <c r="BAY1720" s="227"/>
      <c r="BAZ1720" s="227"/>
      <c r="BBA1720" s="227"/>
      <c r="BBB1720" s="227"/>
      <c r="BBC1720" s="227"/>
      <c r="BBD1720" s="227"/>
      <c r="BBE1720" s="227"/>
      <c r="BBF1720" s="227"/>
      <c r="BBG1720" s="227"/>
      <c r="BBH1720" s="227"/>
      <c r="BBI1720" s="227"/>
      <c r="BBJ1720" s="227"/>
      <c r="BBK1720" s="227"/>
      <c r="BBL1720" s="227"/>
      <c r="BBM1720" s="227"/>
      <c r="BBN1720" s="227"/>
      <c r="BBO1720" s="227"/>
      <c r="BBP1720" s="227"/>
      <c r="BBQ1720" s="227"/>
      <c r="BBR1720" s="227"/>
      <c r="BBS1720" s="227"/>
      <c r="BBT1720" s="227"/>
      <c r="BBU1720" s="227"/>
      <c r="BBV1720" s="227"/>
      <c r="BBW1720" s="227"/>
      <c r="BBX1720" s="227"/>
      <c r="BBY1720" s="227"/>
      <c r="BBZ1720" s="227"/>
      <c r="BCA1720" s="227"/>
      <c r="BCB1720" s="227"/>
      <c r="BCC1720" s="227"/>
      <c r="BCD1720" s="227"/>
      <c r="BCE1720" s="227"/>
      <c r="BCF1720" s="227"/>
      <c r="BCG1720" s="227"/>
      <c r="BCH1720" s="227"/>
      <c r="BCI1720" s="227"/>
      <c r="BCJ1720" s="227"/>
      <c r="BCK1720" s="227"/>
      <c r="BCL1720" s="227"/>
      <c r="BCM1720" s="227"/>
      <c r="BCN1720" s="227"/>
      <c r="BCO1720" s="227"/>
      <c r="BCP1720" s="227"/>
      <c r="BCQ1720" s="227"/>
      <c r="BCR1720" s="227"/>
      <c r="BCS1720" s="227"/>
      <c r="BCT1720" s="227"/>
      <c r="BCU1720" s="227"/>
      <c r="BCV1720" s="227"/>
      <c r="BCW1720" s="227"/>
      <c r="BCX1720" s="227"/>
      <c r="BCY1720" s="227"/>
      <c r="BCZ1720" s="227"/>
      <c r="BDA1720" s="227"/>
      <c r="BDB1720" s="227"/>
      <c r="BDC1720" s="227"/>
      <c r="BDD1720" s="227"/>
      <c r="BDE1720" s="227"/>
      <c r="BDF1720" s="227"/>
      <c r="BDG1720" s="227"/>
      <c r="BDH1720" s="227"/>
      <c r="BDI1720" s="227"/>
      <c r="BDJ1720" s="227"/>
      <c r="BDK1720" s="227"/>
      <c r="BDL1720" s="227"/>
      <c r="BDM1720" s="227"/>
      <c r="BDN1720" s="227"/>
      <c r="BDO1720" s="227"/>
      <c r="BDP1720" s="227"/>
      <c r="BDQ1720" s="227"/>
      <c r="BDR1720" s="227"/>
      <c r="BDS1720" s="227"/>
      <c r="BDT1720" s="227"/>
      <c r="BDU1720" s="227"/>
      <c r="BDV1720" s="227"/>
      <c r="BDW1720" s="227"/>
      <c r="BDX1720" s="227"/>
      <c r="BDY1720" s="227"/>
      <c r="BDZ1720" s="227"/>
      <c r="BEA1720" s="227"/>
      <c r="BEB1720" s="227"/>
      <c r="BEC1720" s="227"/>
      <c r="BED1720" s="227"/>
      <c r="BEE1720" s="227"/>
      <c r="BEF1720" s="227"/>
      <c r="BEG1720" s="227"/>
      <c r="BEH1720" s="227"/>
      <c r="BEI1720" s="227"/>
      <c r="BEJ1720" s="227"/>
      <c r="BEK1720" s="227"/>
      <c r="BEL1720" s="227"/>
      <c r="BEM1720" s="227"/>
      <c r="BEN1720" s="227"/>
      <c r="BEO1720" s="227"/>
      <c r="BEP1720" s="227"/>
      <c r="BEQ1720" s="227"/>
      <c r="BER1720" s="227"/>
      <c r="BES1720" s="227"/>
      <c r="BET1720" s="227"/>
      <c r="BEU1720" s="227"/>
      <c r="BEV1720" s="227"/>
      <c r="BEW1720" s="227"/>
      <c r="BEX1720" s="227"/>
      <c r="BEY1720" s="227"/>
      <c r="BEZ1720" s="227"/>
      <c r="BFA1720" s="227"/>
      <c r="BFB1720" s="227"/>
      <c r="BFC1720" s="227"/>
      <c r="BFD1720" s="227"/>
      <c r="BFE1720" s="227"/>
      <c r="BFF1720" s="227"/>
      <c r="BFG1720" s="227"/>
      <c r="BFH1720" s="227"/>
      <c r="BFI1720" s="227"/>
      <c r="BFJ1720" s="227"/>
      <c r="BFK1720" s="227"/>
      <c r="BFL1720" s="227"/>
      <c r="BFM1720" s="227"/>
      <c r="BFN1720" s="227"/>
      <c r="BFO1720" s="227"/>
      <c r="BFP1720" s="227"/>
      <c r="BFQ1720" s="227"/>
      <c r="BFR1720" s="227"/>
      <c r="BFS1720" s="227"/>
      <c r="BFT1720" s="227"/>
      <c r="BFU1720" s="227"/>
      <c r="BFV1720" s="227"/>
      <c r="BFW1720" s="227"/>
      <c r="BFX1720" s="227"/>
      <c r="BFY1720" s="227"/>
      <c r="BFZ1720" s="227"/>
      <c r="BGA1720" s="227"/>
      <c r="BGB1720" s="227"/>
      <c r="BGC1720" s="227"/>
      <c r="BGD1720" s="227"/>
      <c r="BGE1720" s="227"/>
      <c r="BGF1720" s="227"/>
      <c r="BGG1720" s="227"/>
      <c r="BGH1720" s="227"/>
      <c r="BGI1720" s="227"/>
      <c r="BGJ1720" s="227"/>
      <c r="BGK1720" s="227"/>
      <c r="BGL1720" s="227"/>
      <c r="BGM1720" s="227"/>
      <c r="BGN1720" s="227"/>
      <c r="BGO1720" s="227"/>
      <c r="BGP1720" s="227"/>
      <c r="BGQ1720" s="227"/>
      <c r="BGR1720" s="227"/>
      <c r="BGS1720" s="227"/>
      <c r="BGT1720" s="227"/>
      <c r="BGU1720" s="227"/>
      <c r="BGV1720" s="227"/>
      <c r="BGW1720" s="227"/>
      <c r="BGX1720" s="227"/>
      <c r="BGY1720" s="227"/>
      <c r="BGZ1720" s="227"/>
      <c r="BHA1720" s="227"/>
      <c r="BHB1720" s="227"/>
      <c r="BHC1720" s="227"/>
      <c r="BHD1720" s="227"/>
      <c r="BHE1720" s="227"/>
      <c r="BHF1720" s="227"/>
      <c r="BHG1720" s="227"/>
      <c r="BHH1720" s="227"/>
      <c r="BHI1720" s="227"/>
      <c r="BHJ1720" s="227"/>
      <c r="BHK1720" s="227"/>
      <c r="BHL1720" s="227"/>
      <c r="BHM1720" s="227"/>
      <c r="BHN1720" s="227"/>
      <c r="BHO1720" s="227"/>
      <c r="BHP1720" s="227"/>
      <c r="BHQ1720" s="227"/>
      <c r="BHR1720" s="227"/>
      <c r="BHS1720" s="227"/>
      <c r="BHT1720" s="227"/>
      <c r="BHU1720" s="227"/>
      <c r="BHV1720" s="227"/>
      <c r="BHW1720" s="227"/>
      <c r="BHX1720" s="227"/>
      <c r="BHY1720" s="227"/>
      <c r="BHZ1720" s="227"/>
      <c r="BIA1720" s="227"/>
      <c r="BIB1720" s="227"/>
      <c r="BIC1720" s="227"/>
      <c r="BID1720" s="227"/>
      <c r="BIE1720" s="227"/>
      <c r="BIF1720" s="227"/>
      <c r="BIG1720" s="227"/>
      <c r="BIH1720" s="227"/>
      <c r="BII1720" s="227"/>
      <c r="BIJ1720" s="227"/>
      <c r="BIK1720" s="227"/>
      <c r="BIL1720" s="227"/>
      <c r="BIM1720" s="227"/>
      <c r="BIN1720" s="227"/>
      <c r="BIO1720" s="227"/>
      <c r="BIP1720" s="227"/>
      <c r="BIQ1720" s="227"/>
      <c r="BIR1720" s="227"/>
      <c r="BIS1720" s="227"/>
      <c r="BIT1720" s="227"/>
      <c r="BIU1720" s="227"/>
      <c r="BIV1720" s="227"/>
      <c r="BIW1720" s="227"/>
      <c r="BIX1720" s="227"/>
      <c r="BIY1720" s="227"/>
      <c r="BIZ1720" s="227"/>
      <c r="BJA1720" s="227"/>
      <c r="BJB1720" s="227"/>
      <c r="BJC1720" s="227"/>
      <c r="BJD1720" s="227"/>
      <c r="BJE1720" s="227"/>
      <c r="BJF1720" s="227"/>
      <c r="BJG1720" s="227"/>
      <c r="BJH1720" s="227"/>
      <c r="BJI1720" s="227"/>
      <c r="BJJ1720" s="227"/>
      <c r="BJK1720" s="227"/>
      <c r="BJL1720" s="227"/>
      <c r="BJM1720" s="227"/>
      <c r="BJN1720" s="227"/>
      <c r="BJO1720" s="227"/>
      <c r="BJP1720" s="227"/>
      <c r="BJQ1720" s="227"/>
      <c r="BJR1720" s="227"/>
      <c r="BJS1720" s="227"/>
      <c r="BJT1720" s="227"/>
      <c r="BJU1720" s="227"/>
      <c r="BJV1720" s="227"/>
      <c r="BJW1720" s="227"/>
      <c r="BJX1720" s="227"/>
      <c r="BJY1720" s="227"/>
      <c r="BJZ1720" s="227"/>
      <c r="BKA1720" s="227"/>
      <c r="BKB1720" s="227"/>
      <c r="BKC1720" s="227"/>
      <c r="BKD1720" s="227"/>
      <c r="BKE1720" s="227"/>
      <c r="BKF1720" s="227"/>
      <c r="BKG1720" s="227"/>
      <c r="BKH1720" s="227"/>
      <c r="BKI1720" s="227"/>
      <c r="BKJ1720" s="227"/>
      <c r="BKK1720" s="227"/>
      <c r="BKL1720" s="227"/>
      <c r="BKM1720" s="227"/>
      <c r="BKN1720" s="227"/>
      <c r="BKO1720" s="227"/>
      <c r="BKP1720" s="227"/>
      <c r="BKQ1720" s="227"/>
      <c r="BKR1720" s="227"/>
      <c r="BKS1720" s="227"/>
      <c r="BKT1720" s="227"/>
      <c r="BKU1720" s="227"/>
      <c r="BKV1720" s="227"/>
      <c r="BKW1720" s="227"/>
      <c r="BKX1720" s="227"/>
      <c r="BKY1720" s="227"/>
      <c r="BKZ1720" s="227"/>
      <c r="BLA1720" s="227"/>
      <c r="BLB1720" s="227"/>
      <c r="BLC1720" s="227"/>
      <c r="BLD1720" s="227"/>
      <c r="BLE1720" s="227"/>
      <c r="BLF1720" s="227"/>
      <c r="BLG1720" s="227"/>
      <c r="BLH1720" s="227"/>
      <c r="BLI1720" s="227"/>
      <c r="BLJ1720" s="227"/>
      <c r="BLK1720" s="227"/>
      <c r="BLL1720" s="227"/>
      <c r="BLM1720" s="227"/>
      <c r="BLN1720" s="227"/>
      <c r="BLO1720" s="227"/>
      <c r="BLP1720" s="227"/>
      <c r="BLQ1720" s="227"/>
      <c r="BLR1720" s="227"/>
      <c r="BLS1720" s="227"/>
      <c r="BLT1720" s="227"/>
      <c r="BLU1720" s="227"/>
      <c r="BLV1720" s="227"/>
      <c r="BLW1720" s="227"/>
      <c r="BLX1720" s="227"/>
      <c r="BLY1720" s="227"/>
      <c r="BLZ1720" s="227"/>
      <c r="BMA1720" s="227"/>
      <c r="BMB1720" s="227"/>
      <c r="BMC1720" s="227"/>
      <c r="BMD1720" s="227"/>
      <c r="BME1720" s="227"/>
      <c r="BMF1720" s="227"/>
      <c r="BMG1720" s="227"/>
      <c r="BMH1720" s="227"/>
      <c r="BMI1720" s="227"/>
      <c r="BMJ1720" s="227"/>
      <c r="BMK1720" s="227"/>
      <c r="BML1720" s="227"/>
      <c r="BMM1720" s="227"/>
      <c r="BMN1720" s="227"/>
      <c r="BMO1720" s="227"/>
      <c r="BMP1720" s="227"/>
      <c r="BMQ1720" s="227"/>
      <c r="BMR1720" s="227"/>
      <c r="BMS1720" s="227"/>
      <c r="BMT1720" s="227"/>
      <c r="BMU1720" s="227"/>
      <c r="BMV1720" s="227"/>
      <c r="BMW1720" s="227"/>
      <c r="BMX1720" s="227"/>
      <c r="BMY1720" s="227"/>
      <c r="BMZ1720" s="227"/>
      <c r="BNA1720" s="227"/>
      <c r="BNB1720" s="227"/>
      <c r="BNC1720" s="227"/>
      <c r="BND1720" s="227"/>
      <c r="BNE1720" s="227"/>
      <c r="BNF1720" s="227"/>
      <c r="BNG1720" s="227"/>
      <c r="BNH1720" s="227"/>
      <c r="BNI1720" s="227"/>
      <c r="BNJ1720" s="227"/>
      <c r="BNK1720" s="227"/>
      <c r="BNL1720" s="227"/>
      <c r="BNM1720" s="227"/>
      <c r="BNN1720" s="227"/>
      <c r="BNO1720" s="227"/>
      <c r="BNP1720" s="227"/>
      <c r="BNQ1720" s="227"/>
      <c r="BNR1720" s="227"/>
      <c r="BNS1720" s="227"/>
      <c r="BNT1720" s="227"/>
      <c r="BNU1720" s="227"/>
      <c r="BNV1720" s="227"/>
      <c r="BNW1720" s="227"/>
      <c r="BNX1720" s="227"/>
      <c r="BNY1720" s="227"/>
      <c r="BNZ1720" s="227"/>
      <c r="BOA1720" s="227"/>
      <c r="BOB1720" s="227"/>
      <c r="BOC1720" s="227"/>
      <c r="BOD1720" s="227"/>
      <c r="BOE1720" s="227"/>
      <c r="BOF1720" s="227"/>
      <c r="BOG1720" s="227"/>
      <c r="BOH1720" s="227"/>
      <c r="BOI1720" s="227"/>
      <c r="BOJ1720" s="227"/>
      <c r="BOK1720" s="227"/>
      <c r="BOL1720" s="227"/>
      <c r="BOM1720" s="227"/>
      <c r="BON1720" s="227"/>
      <c r="BOO1720" s="227"/>
      <c r="BOP1720" s="227"/>
      <c r="BOQ1720" s="227"/>
      <c r="BOR1720" s="227"/>
      <c r="BOS1720" s="227"/>
      <c r="BOT1720" s="227"/>
      <c r="BOU1720" s="227"/>
      <c r="BOV1720" s="227"/>
      <c r="BOW1720" s="227"/>
      <c r="BOX1720" s="227"/>
      <c r="BOY1720" s="227"/>
      <c r="BOZ1720" s="227"/>
      <c r="BPA1720" s="227"/>
      <c r="BPB1720" s="227"/>
      <c r="BPC1720" s="227"/>
      <c r="BPD1720" s="227"/>
      <c r="BPE1720" s="227"/>
      <c r="BPF1720" s="227"/>
      <c r="BPG1720" s="227"/>
      <c r="BPH1720" s="227"/>
      <c r="BPI1720" s="227"/>
      <c r="BPJ1720" s="227"/>
      <c r="BPK1720" s="227"/>
      <c r="BPL1720" s="227"/>
      <c r="BPM1720" s="227"/>
      <c r="BPN1720" s="227"/>
      <c r="BPO1720" s="227"/>
      <c r="BPP1720" s="227"/>
      <c r="BPQ1720" s="227"/>
      <c r="BPR1720" s="227"/>
      <c r="BPS1720" s="227"/>
      <c r="BPT1720" s="227"/>
      <c r="BPU1720" s="227"/>
      <c r="BPV1720" s="227"/>
      <c r="BPW1720" s="227"/>
      <c r="BPX1720" s="227"/>
      <c r="BPY1720" s="227"/>
      <c r="BPZ1720" s="227"/>
      <c r="BQA1720" s="227"/>
      <c r="BQB1720" s="227"/>
      <c r="BQC1720" s="227"/>
      <c r="BQD1720" s="227"/>
      <c r="BQE1720" s="227"/>
      <c r="BQF1720" s="227"/>
      <c r="BQG1720" s="227"/>
      <c r="BQH1720" s="227"/>
      <c r="BQI1720" s="227"/>
      <c r="BQJ1720" s="227"/>
      <c r="BQK1720" s="227"/>
      <c r="BQL1720" s="227"/>
      <c r="BQM1720" s="227"/>
      <c r="BQN1720" s="227"/>
      <c r="BQO1720" s="227"/>
      <c r="BQP1720" s="227"/>
      <c r="BQQ1720" s="227"/>
      <c r="BQR1720" s="227"/>
      <c r="BQS1720" s="227"/>
      <c r="BQT1720" s="227"/>
      <c r="BQU1720" s="227"/>
      <c r="BQV1720" s="227"/>
      <c r="BQW1720" s="227"/>
      <c r="BQX1720" s="227"/>
      <c r="BQY1720" s="227"/>
      <c r="BQZ1720" s="227"/>
      <c r="BRA1720" s="227"/>
      <c r="BRB1720" s="227"/>
      <c r="BRC1720" s="227"/>
      <c r="BRD1720" s="227"/>
      <c r="BRE1720" s="227"/>
      <c r="BRF1720" s="227"/>
      <c r="BRG1720" s="227"/>
      <c r="BRH1720" s="227"/>
      <c r="BRI1720" s="227"/>
      <c r="BRJ1720" s="227"/>
      <c r="BRK1720" s="227"/>
      <c r="BRL1720" s="227"/>
      <c r="BRM1720" s="227"/>
      <c r="BRN1720" s="227"/>
      <c r="BRO1720" s="227"/>
      <c r="BRP1720" s="227"/>
      <c r="BRQ1720" s="227"/>
      <c r="BRR1720" s="227"/>
      <c r="BRS1720" s="227"/>
      <c r="BRT1720" s="227"/>
      <c r="BRU1720" s="227"/>
      <c r="BRV1720" s="227"/>
      <c r="BRW1720" s="227"/>
      <c r="BRX1720" s="227"/>
      <c r="BRY1720" s="227"/>
      <c r="BRZ1720" s="227"/>
      <c r="BSA1720" s="227"/>
      <c r="BSB1720" s="227"/>
      <c r="BSC1720" s="227"/>
      <c r="BSD1720" s="227"/>
      <c r="BSE1720" s="227"/>
      <c r="BSF1720" s="227"/>
      <c r="BSG1720" s="227"/>
      <c r="BSH1720" s="227"/>
      <c r="BSI1720" s="227"/>
      <c r="BSJ1720" s="227"/>
      <c r="BSK1720" s="227"/>
      <c r="BSL1720" s="227"/>
      <c r="BSM1720" s="227"/>
      <c r="BSN1720" s="227"/>
      <c r="BSO1720" s="227"/>
      <c r="BSP1720" s="227"/>
      <c r="BSQ1720" s="227"/>
      <c r="BSR1720" s="227"/>
      <c r="BSS1720" s="227"/>
      <c r="BST1720" s="227"/>
      <c r="BSU1720" s="227"/>
      <c r="BSV1720" s="227"/>
      <c r="BSW1720" s="227"/>
      <c r="BSX1720" s="227"/>
      <c r="BSY1720" s="227"/>
      <c r="BSZ1720" s="227"/>
      <c r="BTA1720" s="227"/>
      <c r="BTB1720" s="227"/>
      <c r="BTC1720" s="227"/>
      <c r="BTD1720" s="227"/>
      <c r="BTE1720" s="227"/>
      <c r="BTF1720" s="227"/>
      <c r="BTG1720" s="227"/>
      <c r="BTH1720" s="227"/>
      <c r="BTI1720" s="227"/>
      <c r="BTJ1720" s="227"/>
      <c r="BTK1720" s="227"/>
      <c r="BTL1720" s="227"/>
      <c r="BTM1720" s="227"/>
      <c r="BTN1720" s="227"/>
      <c r="BTO1720" s="227"/>
      <c r="BTP1720" s="227"/>
      <c r="BTQ1720" s="227"/>
      <c r="BTR1720" s="227"/>
      <c r="BTS1720" s="227"/>
      <c r="BTT1720" s="227"/>
      <c r="BTU1720" s="227"/>
      <c r="BTV1720" s="227"/>
      <c r="BTW1720" s="227"/>
      <c r="BTX1720" s="227"/>
      <c r="BTY1720" s="227"/>
      <c r="BTZ1720" s="227"/>
      <c r="BUA1720" s="227"/>
      <c r="BUB1720" s="227"/>
      <c r="BUC1720" s="227"/>
      <c r="BUD1720" s="227"/>
      <c r="BUE1720" s="227"/>
      <c r="BUF1720" s="227"/>
      <c r="BUG1720" s="227"/>
      <c r="BUH1720" s="227"/>
      <c r="BUI1720" s="227"/>
      <c r="BUJ1720" s="227"/>
      <c r="BUK1720" s="227"/>
      <c r="BUL1720" s="227"/>
      <c r="BUM1720" s="227"/>
      <c r="BUN1720" s="227"/>
      <c r="BUO1720" s="227"/>
      <c r="BUP1720" s="227"/>
      <c r="BUQ1720" s="227"/>
      <c r="BUR1720" s="227"/>
      <c r="BUS1720" s="227"/>
      <c r="BUT1720" s="227"/>
      <c r="BUU1720" s="227"/>
      <c r="BUV1720" s="227"/>
      <c r="BUW1720" s="227"/>
      <c r="BUX1720" s="227"/>
      <c r="BUY1720" s="227"/>
      <c r="BUZ1720" s="227"/>
      <c r="BVA1720" s="227"/>
      <c r="BVB1720" s="227"/>
      <c r="BVC1720" s="227"/>
      <c r="BVD1720" s="227"/>
      <c r="BVE1720" s="227"/>
      <c r="BVF1720" s="227"/>
      <c r="BVG1720" s="227"/>
      <c r="BVH1720" s="227"/>
      <c r="BVI1720" s="227"/>
      <c r="BVJ1720" s="227"/>
      <c r="BVK1720" s="227"/>
      <c r="BVL1720" s="227"/>
      <c r="BVM1720" s="227"/>
      <c r="BVN1720" s="227"/>
      <c r="BVO1720" s="227"/>
      <c r="BVP1720" s="227"/>
      <c r="BVQ1720" s="227"/>
      <c r="BVR1720" s="227"/>
      <c r="BVS1720" s="227"/>
      <c r="BVT1720" s="227"/>
      <c r="BVU1720" s="227"/>
      <c r="BVV1720" s="227"/>
      <c r="BVW1720" s="227"/>
      <c r="BVX1720" s="227"/>
      <c r="BVY1720" s="227"/>
      <c r="BVZ1720" s="227"/>
      <c r="BWA1720" s="227"/>
      <c r="BWB1720" s="227"/>
      <c r="BWC1720" s="227"/>
      <c r="BWD1720" s="227"/>
      <c r="BWE1720" s="227"/>
      <c r="BWF1720" s="227"/>
      <c r="BWG1720" s="227"/>
      <c r="BWH1720" s="227"/>
      <c r="BWI1720" s="227"/>
      <c r="BWJ1720" s="227"/>
      <c r="BWK1720" s="227"/>
      <c r="BWL1720" s="227"/>
      <c r="BWM1720" s="227"/>
      <c r="BWN1720" s="227"/>
      <c r="BWO1720" s="227"/>
      <c r="BWP1720" s="227"/>
      <c r="BWQ1720" s="227"/>
      <c r="BWR1720" s="227"/>
      <c r="BWS1720" s="227"/>
      <c r="BWT1720" s="227"/>
      <c r="BWU1720" s="227"/>
      <c r="BWV1720" s="227"/>
      <c r="BWW1720" s="227"/>
      <c r="BWX1720" s="227"/>
      <c r="BWY1720" s="227"/>
      <c r="BWZ1720" s="227"/>
      <c r="BXA1720" s="227"/>
      <c r="BXB1720" s="227"/>
      <c r="BXC1720" s="227"/>
      <c r="BXD1720" s="227"/>
      <c r="BXE1720" s="227"/>
      <c r="BXF1720" s="227"/>
      <c r="BXG1720" s="227"/>
      <c r="BXH1720" s="227"/>
      <c r="BXI1720" s="227"/>
      <c r="BXJ1720" s="227"/>
      <c r="BXK1720" s="227"/>
      <c r="BXL1720" s="227"/>
      <c r="BXM1720" s="227"/>
      <c r="BXN1720" s="227"/>
      <c r="BXO1720" s="227"/>
      <c r="BXP1720" s="227"/>
      <c r="BXQ1720" s="227"/>
      <c r="BXR1720" s="227"/>
      <c r="BXS1720" s="227"/>
      <c r="BXT1720" s="227"/>
      <c r="BXU1720" s="227"/>
      <c r="BXV1720" s="227"/>
      <c r="BXW1720" s="227"/>
      <c r="BXX1720" s="227"/>
      <c r="BXY1720" s="227"/>
      <c r="BXZ1720" s="227"/>
      <c r="BYA1720" s="227"/>
      <c r="BYB1720" s="227"/>
      <c r="BYC1720" s="227"/>
      <c r="BYD1720" s="227"/>
      <c r="BYE1720" s="227"/>
      <c r="BYF1720" s="227"/>
      <c r="BYG1720" s="227"/>
      <c r="BYH1720" s="227"/>
      <c r="BYI1720" s="227"/>
      <c r="BYJ1720" s="227"/>
      <c r="BYK1720" s="227"/>
      <c r="BYL1720" s="227"/>
      <c r="BYM1720" s="227"/>
      <c r="BYN1720" s="227"/>
      <c r="BYO1720" s="227"/>
      <c r="BYP1720" s="227"/>
      <c r="BYQ1720" s="227"/>
      <c r="BYR1720" s="227"/>
      <c r="BYS1720" s="227"/>
      <c r="BYT1720" s="227"/>
      <c r="BYU1720" s="227"/>
      <c r="BYV1720" s="227"/>
      <c r="BYW1720" s="227"/>
      <c r="BYX1720" s="227"/>
      <c r="BYY1720" s="227"/>
      <c r="BYZ1720" s="227"/>
      <c r="BZA1720" s="227"/>
      <c r="BZB1720" s="227"/>
      <c r="BZC1720" s="227"/>
      <c r="BZD1720" s="227"/>
      <c r="BZE1720" s="227"/>
      <c r="BZF1720" s="227"/>
      <c r="BZG1720" s="227"/>
      <c r="BZH1720" s="227"/>
      <c r="BZI1720" s="227"/>
      <c r="BZJ1720" s="227"/>
      <c r="BZK1720" s="227"/>
      <c r="BZL1720" s="227"/>
      <c r="BZM1720" s="227"/>
      <c r="BZN1720" s="227"/>
      <c r="BZO1720" s="227"/>
      <c r="BZP1720" s="227"/>
      <c r="BZQ1720" s="227"/>
      <c r="BZR1720" s="227"/>
      <c r="BZS1720" s="227"/>
      <c r="BZT1720" s="227"/>
      <c r="BZU1720" s="227"/>
      <c r="BZV1720" s="227"/>
      <c r="BZW1720" s="227"/>
      <c r="BZX1720" s="227"/>
      <c r="BZY1720" s="227"/>
      <c r="BZZ1720" s="227"/>
      <c r="CAA1720" s="227"/>
      <c r="CAB1720" s="227"/>
      <c r="CAC1720" s="227"/>
      <c r="CAD1720" s="227"/>
      <c r="CAE1720" s="227"/>
      <c r="CAF1720" s="227"/>
      <c r="CAG1720" s="227"/>
      <c r="CAH1720" s="227"/>
      <c r="CAI1720" s="227"/>
      <c r="CAJ1720" s="227"/>
      <c r="CAK1720" s="227"/>
      <c r="CAL1720" s="227"/>
      <c r="CAM1720" s="227"/>
      <c r="CAN1720" s="227"/>
      <c r="CAO1720" s="227"/>
      <c r="CAP1720" s="227"/>
      <c r="CAQ1720" s="227"/>
      <c r="CAR1720" s="227"/>
      <c r="CAS1720" s="227"/>
      <c r="CAT1720" s="227"/>
      <c r="CAU1720" s="227"/>
      <c r="CAV1720" s="227"/>
      <c r="CAW1720" s="227"/>
      <c r="CAX1720" s="227"/>
      <c r="CAY1720" s="227"/>
      <c r="CAZ1720" s="227"/>
      <c r="CBA1720" s="227"/>
      <c r="CBB1720" s="227"/>
      <c r="CBC1720" s="227"/>
      <c r="CBD1720" s="227"/>
      <c r="CBE1720" s="227"/>
      <c r="CBF1720" s="227"/>
      <c r="CBG1720" s="227"/>
      <c r="CBH1720" s="227"/>
      <c r="CBI1720" s="227"/>
      <c r="CBJ1720" s="227"/>
      <c r="CBK1720" s="227"/>
      <c r="CBL1720" s="227"/>
      <c r="CBM1720" s="227"/>
      <c r="CBN1720" s="227"/>
      <c r="CBO1720" s="227"/>
      <c r="CBP1720" s="227"/>
      <c r="CBQ1720" s="227"/>
      <c r="CBR1720" s="227"/>
      <c r="CBS1720" s="227"/>
      <c r="CBT1720" s="227"/>
      <c r="CBU1720" s="227"/>
      <c r="CBV1720" s="227"/>
      <c r="CBW1720" s="227"/>
      <c r="CBX1720" s="227"/>
      <c r="CBY1720" s="227"/>
      <c r="CBZ1720" s="227"/>
      <c r="CCA1720" s="227"/>
      <c r="CCB1720" s="227"/>
      <c r="CCC1720" s="227"/>
      <c r="CCD1720" s="227"/>
      <c r="CCE1720" s="227"/>
      <c r="CCF1720" s="227"/>
      <c r="CCG1720" s="227"/>
      <c r="CCH1720" s="227"/>
      <c r="CCI1720" s="227"/>
      <c r="CCJ1720" s="227"/>
      <c r="CCK1720" s="227"/>
      <c r="CCL1720" s="227"/>
      <c r="CCM1720" s="227"/>
      <c r="CCN1720" s="227"/>
      <c r="CCO1720" s="227"/>
      <c r="CCP1720" s="227"/>
      <c r="CCQ1720" s="227"/>
      <c r="CCR1720" s="227"/>
      <c r="CCS1720" s="227"/>
      <c r="CCT1720" s="227"/>
      <c r="CCU1720" s="227"/>
      <c r="CCV1720" s="227"/>
      <c r="CCW1720" s="227"/>
      <c r="CCX1720" s="227"/>
      <c r="CCY1720" s="227"/>
      <c r="CCZ1720" s="227"/>
      <c r="CDA1720" s="227"/>
      <c r="CDB1720" s="227"/>
      <c r="CDC1720" s="227"/>
      <c r="CDD1720" s="227"/>
      <c r="CDE1720" s="227"/>
      <c r="CDF1720" s="227"/>
      <c r="CDG1720" s="227"/>
      <c r="CDH1720" s="227"/>
      <c r="CDI1720" s="227"/>
      <c r="CDJ1720" s="227"/>
      <c r="CDK1720" s="227"/>
      <c r="CDL1720" s="227"/>
      <c r="CDM1720" s="227"/>
      <c r="CDN1720" s="227"/>
      <c r="CDO1720" s="227"/>
      <c r="CDP1720" s="227"/>
      <c r="CDQ1720" s="227"/>
      <c r="CDR1720" s="227"/>
      <c r="CDS1720" s="227"/>
      <c r="CDT1720" s="227"/>
      <c r="CDU1720" s="227"/>
      <c r="CDV1720" s="227"/>
      <c r="CDW1720" s="227"/>
      <c r="CDX1720" s="227"/>
      <c r="CDY1720" s="227"/>
      <c r="CDZ1720" s="227"/>
      <c r="CEA1720" s="227"/>
      <c r="CEB1720" s="227"/>
      <c r="CEC1720" s="227"/>
      <c r="CED1720" s="227"/>
      <c r="CEE1720" s="227"/>
      <c r="CEF1720" s="227"/>
      <c r="CEG1720" s="227"/>
      <c r="CEH1720" s="227"/>
      <c r="CEI1720" s="227"/>
      <c r="CEJ1720" s="227"/>
      <c r="CEK1720" s="227"/>
      <c r="CEL1720" s="227"/>
      <c r="CEM1720" s="227"/>
      <c r="CEN1720" s="227"/>
      <c r="CEO1720" s="227"/>
      <c r="CEP1720" s="227"/>
      <c r="CEQ1720" s="227"/>
      <c r="CER1720" s="227"/>
      <c r="CES1720" s="227"/>
      <c r="CET1720" s="227"/>
      <c r="CEU1720" s="227"/>
      <c r="CEV1720" s="227"/>
      <c r="CEW1720" s="227"/>
      <c r="CEX1720" s="227"/>
      <c r="CEY1720" s="227"/>
      <c r="CEZ1720" s="227"/>
      <c r="CFA1720" s="227"/>
      <c r="CFB1720" s="227"/>
      <c r="CFC1720" s="227"/>
      <c r="CFD1720" s="227"/>
      <c r="CFE1720" s="227"/>
      <c r="CFF1720" s="227"/>
      <c r="CFG1720" s="227"/>
      <c r="CFH1720" s="227"/>
      <c r="CFI1720" s="227"/>
      <c r="CFJ1720" s="227"/>
      <c r="CFK1720" s="227"/>
      <c r="CFL1720" s="227"/>
      <c r="CFM1720" s="227"/>
      <c r="CFN1720" s="227"/>
      <c r="CFO1720" s="227"/>
      <c r="CFP1720" s="227"/>
      <c r="CFQ1720" s="227"/>
      <c r="CFR1720" s="227"/>
      <c r="CFS1720" s="227"/>
      <c r="CFT1720" s="227"/>
      <c r="CFU1720" s="227"/>
      <c r="CFV1720" s="227"/>
      <c r="CFW1720" s="227"/>
      <c r="CFX1720" s="227"/>
      <c r="CFY1720" s="227"/>
      <c r="CFZ1720" s="227"/>
      <c r="CGA1720" s="227"/>
      <c r="CGB1720" s="227"/>
      <c r="CGC1720" s="227"/>
      <c r="CGD1720" s="227"/>
      <c r="CGE1720" s="227"/>
      <c r="CGF1720" s="227"/>
      <c r="CGG1720" s="227"/>
      <c r="CGH1720" s="227"/>
      <c r="CGI1720" s="227"/>
      <c r="CGJ1720" s="227"/>
      <c r="CGK1720" s="227"/>
      <c r="CGL1720" s="227"/>
      <c r="CGM1720" s="227"/>
      <c r="CGN1720" s="227"/>
      <c r="CGO1720" s="227"/>
      <c r="CGP1720" s="227"/>
      <c r="CGQ1720" s="227"/>
      <c r="CGR1720" s="227"/>
      <c r="CGS1720" s="227"/>
      <c r="CGT1720" s="227"/>
      <c r="CGU1720" s="227"/>
      <c r="CGV1720" s="227"/>
      <c r="CGW1720" s="227"/>
      <c r="CGX1720" s="227"/>
      <c r="CGY1720" s="227"/>
      <c r="CGZ1720" s="227"/>
      <c r="CHA1720" s="227"/>
      <c r="CHB1720" s="227"/>
      <c r="CHC1720" s="227"/>
      <c r="CHD1720" s="227"/>
      <c r="CHE1720" s="227"/>
      <c r="CHF1720" s="227"/>
      <c r="CHG1720" s="227"/>
      <c r="CHH1720" s="227"/>
      <c r="CHI1720" s="227"/>
      <c r="CHJ1720" s="227"/>
      <c r="CHK1720" s="227"/>
      <c r="CHL1720" s="227"/>
      <c r="CHM1720" s="227"/>
      <c r="CHN1720" s="227"/>
      <c r="CHO1720" s="227"/>
      <c r="CHP1720" s="227"/>
      <c r="CHQ1720" s="227"/>
      <c r="CHR1720" s="227"/>
      <c r="CHS1720" s="227"/>
      <c r="CHT1720" s="227"/>
      <c r="CHU1720" s="227"/>
      <c r="CHV1720" s="227"/>
      <c r="CHW1720" s="227"/>
      <c r="CHX1720" s="227"/>
      <c r="CHY1720" s="227"/>
      <c r="CHZ1720" s="227"/>
      <c r="CIA1720" s="227"/>
      <c r="CIB1720" s="227"/>
      <c r="CIC1720" s="227"/>
      <c r="CID1720" s="227"/>
      <c r="CIE1720" s="227"/>
      <c r="CIF1720" s="227"/>
      <c r="CIG1720" s="227"/>
      <c r="CIH1720" s="227"/>
      <c r="CII1720" s="227"/>
      <c r="CIJ1720" s="227"/>
      <c r="CIK1720" s="227"/>
      <c r="CIL1720" s="227"/>
      <c r="CIM1720" s="227"/>
      <c r="CIN1720" s="227"/>
      <c r="CIO1720" s="227"/>
      <c r="CIP1720" s="227"/>
      <c r="CIQ1720" s="227"/>
      <c r="CIR1720" s="227"/>
      <c r="CIS1720" s="227"/>
      <c r="CIT1720" s="227"/>
      <c r="CIU1720" s="227"/>
      <c r="CIV1720" s="227"/>
      <c r="CIW1720" s="227"/>
      <c r="CIX1720" s="227"/>
      <c r="CIY1720" s="227"/>
      <c r="CIZ1720" s="227"/>
      <c r="CJA1720" s="227"/>
      <c r="CJB1720" s="227"/>
      <c r="CJC1720" s="227"/>
      <c r="CJD1720" s="227"/>
      <c r="CJE1720" s="227"/>
      <c r="CJF1720" s="227"/>
      <c r="CJG1720" s="227"/>
      <c r="CJH1720" s="227"/>
      <c r="CJI1720" s="227"/>
      <c r="CJJ1720" s="227"/>
      <c r="CJK1720" s="227"/>
      <c r="CJL1720" s="227"/>
      <c r="CJM1720" s="227"/>
      <c r="CJN1720" s="227"/>
      <c r="CJO1720" s="227"/>
      <c r="CJP1720" s="227"/>
      <c r="CJQ1720" s="227"/>
      <c r="CJR1720" s="227"/>
      <c r="CJS1720" s="227"/>
      <c r="CJT1720" s="227"/>
      <c r="CJU1720" s="227"/>
      <c r="CJV1720" s="227"/>
      <c r="CJW1720" s="227"/>
      <c r="CJX1720" s="227"/>
      <c r="CJY1720" s="227"/>
      <c r="CJZ1720" s="227"/>
      <c r="CKA1720" s="227"/>
      <c r="CKB1720" s="227"/>
      <c r="CKC1720" s="227"/>
      <c r="CKD1720" s="227"/>
      <c r="CKE1720" s="227"/>
      <c r="CKF1720" s="227"/>
      <c r="CKG1720" s="227"/>
      <c r="CKH1720" s="227"/>
      <c r="CKI1720" s="227"/>
      <c r="CKJ1720" s="227"/>
      <c r="CKK1720" s="227"/>
      <c r="CKL1720" s="227"/>
      <c r="CKM1720" s="227"/>
      <c r="CKN1720" s="227"/>
      <c r="CKO1720" s="227"/>
      <c r="CKP1720" s="227"/>
      <c r="CKQ1720" s="227"/>
      <c r="CKR1720" s="227"/>
      <c r="CKS1720" s="227"/>
      <c r="CKT1720" s="227"/>
      <c r="CKU1720" s="227"/>
      <c r="CKV1720" s="227"/>
      <c r="CKW1720" s="227"/>
      <c r="CKX1720" s="227"/>
      <c r="CKY1720" s="227"/>
      <c r="CKZ1720" s="227"/>
      <c r="CLA1720" s="227"/>
      <c r="CLB1720" s="227"/>
      <c r="CLC1720" s="227"/>
      <c r="CLD1720" s="227"/>
      <c r="CLE1720" s="227"/>
      <c r="CLF1720" s="227"/>
      <c r="CLG1720" s="227"/>
      <c r="CLH1720" s="227"/>
      <c r="CLI1720" s="227"/>
      <c r="CLJ1720" s="227"/>
      <c r="CLK1720" s="227"/>
      <c r="CLL1720" s="227"/>
      <c r="CLM1720" s="227"/>
      <c r="CLN1720" s="227"/>
      <c r="CLO1720" s="227"/>
      <c r="CLP1720" s="227"/>
      <c r="CLQ1720" s="227"/>
      <c r="CLR1720" s="227"/>
      <c r="CLS1720" s="227"/>
      <c r="CLT1720" s="227"/>
      <c r="CLU1720" s="227"/>
      <c r="CLV1720" s="227"/>
      <c r="CLW1720" s="227"/>
      <c r="CLX1720" s="227"/>
      <c r="CLY1720" s="227"/>
      <c r="CLZ1720" s="227"/>
      <c r="CMA1720" s="227"/>
      <c r="CMB1720" s="227"/>
      <c r="CMC1720" s="227"/>
      <c r="CMD1720" s="227"/>
      <c r="CME1720" s="227"/>
      <c r="CMF1720" s="227"/>
      <c r="CMG1720" s="227"/>
      <c r="CMH1720" s="227"/>
      <c r="CMI1720" s="227"/>
      <c r="CMJ1720" s="227"/>
      <c r="CMK1720" s="227"/>
      <c r="CML1720" s="227"/>
      <c r="CMM1720" s="227"/>
      <c r="CMN1720" s="227"/>
      <c r="CMO1720" s="227"/>
      <c r="CMP1720" s="227"/>
      <c r="CMQ1720" s="227"/>
      <c r="CMR1720" s="227"/>
      <c r="CMS1720" s="227"/>
      <c r="CMT1720" s="227"/>
      <c r="CMU1720" s="227"/>
      <c r="CMV1720" s="227"/>
      <c r="CMW1720" s="227"/>
      <c r="CMX1720" s="227"/>
      <c r="CMY1720" s="227"/>
      <c r="CMZ1720" s="227"/>
      <c r="CNA1720" s="227"/>
      <c r="CNB1720" s="227"/>
      <c r="CNC1720" s="227"/>
      <c r="CND1720" s="227"/>
      <c r="CNE1720" s="227"/>
      <c r="CNF1720" s="227"/>
      <c r="CNG1720" s="227"/>
      <c r="CNH1720" s="227"/>
      <c r="CNI1720" s="227"/>
      <c r="CNJ1720" s="227"/>
      <c r="CNK1720" s="227"/>
      <c r="CNL1720" s="227"/>
      <c r="CNM1720" s="227"/>
      <c r="CNN1720" s="227"/>
      <c r="CNO1720" s="227"/>
      <c r="CNP1720" s="227"/>
      <c r="CNQ1720" s="227"/>
      <c r="CNR1720" s="227"/>
      <c r="CNS1720" s="227"/>
      <c r="CNT1720" s="227"/>
      <c r="CNU1720" s="227"/>
      <c r="CNV1720" s="227"/>
      <c r="CNW1720" s="227"/>
      <c r="CNX1720" s="227"/>
      <c r="CNY1720" s="227"/>
      <c r="CNZ1720" s="227"/>
      <c r="COA1720" s="227"/>
      <c r="COB1720" s="227"/>
      <c r="COC1720" s="227"/>
      <c r="COD1720" s="227"/>
      <c r="COE1720" s="227"/>
      <c r="COF1720" s="227"/>
      <c r="COG1720" s="227"/>
      <c r="COH1720" s="227"/>
      <c r="COI1720" s="227"/>
      <c r="COJ1720" s="227"/>
      <c r="COK1720" s="227"/>
      <c r="COL1720" s="227"/>
      <c r="COM1720" s="227"/>
      <c r="CON1720" s="227"/>
      <c r="COO1720" s="227"/>
      <c r="COP1720" s="227"/>
      <c r="COQ1720" s="227"/>
      <c r="COR1720" s="227"/>
      <c r="COS1720" s="227"/>
      <c r="COT1720" s="227"/>
      <c r="COU1720" s="227"/>
      <c r="COV1720" s="227"/>
      <c r="COW1720" s="227"/>
      <c r="COX1720" s="227"/>
      <c r="COY1720" s="227"/>
      <c r="COZ1720" s="227"/>
      <c r="CPA1720" s="227"/>
      <c r="CPB1720" s="227"/>
      <c r="CPC1720" s="227"/>
      <c r="CPD1720" s="227"/>
      <c r="CPE1720" s="227"/>
      <c r="CPF1720" s="227"/>
      <c r="CPG1720" s="227"/>
      <c r="CPH1720" s="227"/>
      <c r="CPI1720" s="227"/>
      <c r="CPJ1720" s="227"/>
      <c r="CPK1720" s="227"/>
      <c r="CPL1720" s="227"/>
      <c r="CPM1720" s="227"/>
      <c r="CPN1720" s="227"/>
      <c r="CPO1720" s="227"/>
      <c r="CPP1720" s="227"/>
      <c r="CPQ1720" s="227"/>
      <c r="CPR1720" s="227"/>
      <c r="CPS1720" s="227"/>
      <c r="CPT1720" s="227"/>
      <c r="CPU1720" s="227"/>
      <c r="CPV1720" s="227"/>
      <c r="CPW1720" s="227"/>
      <c r="CPX1720" s="227"/>
      <c r="CPY1720" s="227"/>
      <c r="CPZ1720" s="227"/>
      <c r="CQA1720" s="227"/>
      <c r="CQB1720" s="227"/>
      <c r="CQC1720" s="227"/>
      <c r="CQD1720" s="227"/>
      <c r="CQE1720" s="227"/>
      <c r="CQF1720" s="227"/>
      <c r="CQG1720" s="227"/>
      <c r="CQH1720" s="227"/>
      <c r="CQI1720" s="227"/>
      <c r="CQJ1720" s="227"/>
      <c r="CQK1720" s="227"/>
      <c r="CQL1720" s="227"/>
      <c r="CQM1720" s="227"/>
      <c r="CQN1720" s="227"/>
      <c r="CQO1720" s="227"/>
      <c r="CQP1720" s="227"/>
      <c r="CQQ1720" s="227"/>
      <c r="CQR1720" s="227"/>
      <c r="CQS1720" s="227"/>
      <c r="CQT1720" s="227"/>
      <c r="CQU1720" s="227"/>
      <c r="CQV1720" s="227"/>
      <c r="CQW1720" s="227"/>
      <c r="CQX1720" s="227"/>
      <c r="CQY1720" s="227"/>
      <c r="CQZ1720" s="227"/>
      <c r="CRA1720" s="227"/>
      <c r="CRB1720" s="227"/>
      <c r="CRC1720" s="227"/>
      <c r="CRD1720" s="227"/>
      <c r="CRE1720" s="227"/>
      <c r="CRF1720" s="227"/>
      <c r="CRG1720" s="227"/>
      <c r="CRH1720" s="227"/>
      <c r="CRI1720" s="227"/>
      <c r="CRJ1720" s="227"/>
      <c r="CRK1720" s="227"/>
      <c r="CRL1720" s="227"/>
      <c r="CRM1720" s="227"/>
      <c r="CRN1720" s="227"/>
      <c r="CRO1720" s="227"/>
      <c r="CRP1720" s="227"/>
      <c r="CRQ1720" s="227"/>
      <c r="CRR1720" s="227"/>
      <c r="CRS1720" s="227"/>
      <c r="CRT1720" s="227"/>
      <c r="CRU1720" s="227"/>
      <c r="CRV1720" s="227"/>
      <c r="CRW1720" s="227"/>
      <c r="CRX1720" s="227"/>
      <c r="CRY1720" s="227"/>
      <c r="CRZ1720" s="227"/>
      <c r="CSA1720" s="227"/>
      <c r="CSB1720" s="227"/>
      <c r="CSC1720" s="227"/>
      <c r="CSD1720" s="227"/>
      <c r="CSE1720" s="227"/>
      <c r="CSF1720" s="227"/>
      <c r="CSG1720" s="227"/>
      <c r="CSH1720" s="227"/>
      <c r="CSI1720" s="227"/>
      <c r="CSJ1720" s="227"/>
      <c r="CSK1720" s="227"/>
      <c r="CSL1720" s="227"/>
      <c r="CSM1720" s="227"/>
      <c r="CSN1720" s="227"/>
      <c r="CSO1720" s="227"/>
      <c r="CSP1720" s="227"/>
      <c r="CSQ1720" s="227"/>
      <c r="CSR1720" s="227"/>
      <c r="CSS1720" s="227"/>
      <c r="CST1720" s="227"/>
      <c r="CSU1720" s="227"/>
      <c r="CSV1720" s="227"/>
      <c r="CSW1720" s="227"/>
      <c r="CSX1720" s="227"/>
      <c r="CSY1720" s="227"/>
      <c r="CSZ1720" s="227"/>
      <c r="CTA1720" s="227"/>
      <c r="CTB1720" s="227"/>
      <c r="CTC1720" s="227"/>
      <c r="CTD1720" s="227"/>
      <c r="CTE1720" s="227"/>
      <c r="CTF1720" s="227"/>
      <c r="CTG1720" s="227"/>
      <c r="CTH1720" s="227"/>
      <c r="CTI1720" s="227"/>
      <c r="CTJ1720" s="227"/>
      <c r="CTK1720" s="227"/>
      <c r="CTL1720" s="227"/>
      <c r="CTM1720" s="227"/>
      <c r="CTN1720" s="227"/>
      <c r="CTO1720" s="227"/>
      <c r="CTP1720" s="227"/>
      <c r="CTQ1720" s="227"/>
      <c r="CTR1720" s="227"/>
      <c r="CTS1720" s="227"/>
      <c r="CTT1720" s="227"/>
      <c r="CTU1720" s="227"/>
      <c r="CTV1720" s="227"/>
      <c r="CTW1720" s="227"/>
      <c r="CTX1720" s="227"/>
      <c r="CTY1720" s="227"/>
      <c r="CTZ1720" s="227"/>
      <c r="CUA1720" s="227"/>
      <c r="CUB1720" s="227"/>
      <c r="CUC1720" s="227"/>
      <c r="CUD1720" s="227"/>
      <c r="CUE1720" s="227"/>
      <c r="CUF1720" s="227"/>
      <c r="CUG1720" s="227"/>
      <c r="CUH1720" s="227"/>
      <c r="CUI1720" s="227"/>
      <c r="CUJ1720" s="227"/>
      <c r="CUK1720" s="227"/>
      <c r="CUL1720" s="227"/>
      <c r="CUM1720" s="227"/>
      <c r="CUN1720" s="227"/>
      <c r="CUO1720" s="227"/>
      <c r="CUP1720" s="227"/>
      <c r="CUQ1720" s="227"/>
      <c r="CUR1720" s="227"/>
      <c r="CUS1720" s="227"/>
      <c r="CUT1720" s="227"/>
      <c r="CUU1720" s="227"/>
      <c r="CUV1720" s="227"/>
      <c r="CUW1720" s="227"/>
      <c r="CUX1720" s="227"/>
      <c r="CUY1720" s="227"/>
      <c r="CUZ1720" s="227"/>
      <c r="CVA1720" s="227"/>
      <c r="CVB1720" s="227"/>
      <c r="CVC1720" s="227"/>
      <c r="CVD1720" s="227"/>
      <c r="CVE1720" s="227"/>
      <c r="CVF1720" s="227"/>
      <c r="CVG1720" s="227"/>
      <c r="CVH1720" s="227"/>
      <c r="CVI1720" s="227"/>
      <c r="CVJ1720" s="227"/>
      <c r="CVK1720" s="227"/>
      <c r="CVL1720" s="227"/>
      <c r="CVM1720" s="227"/>
      <c r="CVN1720" s="227"/>
      <c r="CVO1720" s="227"/>
      <c r="CVP1720" s="227"/>
      <c r="CVQ1720" s="227"/>
      <c r="CVR1720" s="227"/>
      <c r="CVS1720" s="227"/>
      <c r="CVT1720" s="227"/>
      <c r="CVU1720" s="227"/>
      <c r="CVV1720" s="227"/>
      <c r="CVW1720" s="227"/>
      <c r="CVX1720" s="227"/>
      <c r="CVY1720" s="227"/>
      <c r="CVZ1720" s="227"/>
      <c r="CWA1720" s="227"/>
      <c r="CWB1720" s="227"/>
      <c r="CWC1720" s="227"/>
      <c r="CWD1720" s="227"/>
      <c r="CWE1720" s="227"/>
      <c r="CWF1720" s="227"/>
      <c r="CWG1720" s="227"/>
      <c r="CWH1720" s="227"/>
      <c r="CWI1720" s="227"/>
      <c r="CWJ1720" s="227"/>
      <c r="CWK1720" s="227"/>
      <c r="CWL1720" s="227"/>
      <c r="CWM1720" s="227"/>
      <c r="CWN1720" s="227"/>
      <c r="CWO1720" s="227"/>
      <c r="CWP1720" s="227"/>
      <c r="CWQ1720" s="227"/>
      <c r="CWR1720" s="227"/>
      <c r="CWS1720" s="227"/>
      <c r="CWT1720" s="227"/>
      <c r="CWU1720" s="227"/>
      <c r="CWV1720" s="227"/>
      <c r="CWW1720" s="227"/>
      <c r="CWX1720" s="227"/>
      <c r="CWY1720" s="227"/>
      <c r="CWZ1720" s="227"/>
      <c r="CXA1720" s="227"/>
      <c r="CXB1720" s="227"/>
      <c r="CXC1720" s="227"/>
      <c r="CXD1720" s="227"/>
      <c r="CXE1720" s="227"/>
      <c r="CXF1720" s="227"/>
      <c r="CXG1720" s="227"/>
      <c r="CXH1720" s="227"/>
      <c r="CXI1720" s="227"/>
      <c r="CXJ1720" s="227"/>
      <c r="CXK1720" s="227"/>
      <c r="CXL1720" s="227"/>
      <c r="CXM1720" s="227"/>
      <c r="CXN1720" s="227"/>
      <c r="CXO1720" s="227"/>
      <c r="CXP1720" s="227"/>
      <c r="CXQ1720" s="227"/>
      <c r="CXR1720" s="227"/>
      <c r="CXS1720" s="227"/>
      <c r="CXT1720" s="227"/>
      <c r="CXU1720" s="227"/>
      <c r="CXV1720" s="227"/>
      <c r="CXW1720" s="227"/>
      <c r="CXX1720" s="227"/>
      <c r="CXY1720" s="227"/>
      <c r="CXZ1720" s="227"/>
      <c r="CYA1720" s="227"/>
      <c r="CYB1720" s="227"/>
      <c r="CYC1720" s="227"/>
      <c r="CYD1720" s="227"/>
      <c r="CYE1720" s="227"/>
      <c r="CYF1720" s="227"/>
      <c r="CYG1720" s="227"/>
      <c r="CYH1720" s="227"/>
      <c r="CYI1720" s="227"/>
      <c r="CYJ1720" s="227"/>
      <c r="CYK1720" s="227"/>
      <c r="CYL1720" s="227"/>
      <c r="CYM1720" s="227"/>
      <c r="CYN1720" s="227"/>
      <c r="CYO1720" s="227"/>
      <c r="CYP1720" s="227"/>
      <c r="CYQ1720" s="227"/>
      <c r="CYR1720" s="227"/>
      <c r="CYS1720" s="227"/>
      <c r="CYT1720" s="227"/>
      <c r="CYU1720" s="227"/>
      <c r="CYV1720" s="227"/>
      <c r="CYW1720" s="227"/>
      <c r="CYX1720" s="227"/>
      <c r="CYY1720" s="227"/>
      <c r="CYZ1720" s="227"/>
      <c r="CZA1720" s="227"/>
      <c r="CZB1720" s="227"/>
      <c r="CZC1720" s="227"/>
      <c r="CZD1720" s="227"/>
      <c r="CZE1720" s="227"/>
      <c r="CZF1720" s="227"/>
      <c r="CZG1720" s="227"/>
      <c r="CZH1720" s="227"/>
      <c r="CZI1720" s="227"/>
      <c r="CZJ1720" s="227"/>
      <c r="CZK1720" s="227"/>
      <c r="CZL1720" s="227"/>
      <c r="CZM1720" s="227"/>
      <c r="CZN1720" s="227"/>
      <c r="CZO1720" s="227"/>
      <c r="CZP1720" s="227"/>
      <c r="CZQ1720" s="227"/>
      <c r="CZR1720" s="227"/>
      <c r="CZS1720" s="227"/>
      <c r="CZT1720" s="227"/>
      <c r="CZU1720" s="227"/>
      <c r="CZV1720" s="227"/>
      <c r="CZW1720" s="227"/>
      <c r="CZX1720" s="227"/>
      <c r="CZY1720" s="227"/>
      <c r="CZZ1720" s="227"/>
      <c r="DAA1720" s="227"/>
      <c r="DAB1720" s="227"/>
      <c r="DAC1720" s="227"/>
      <c r="DAD1720" s="227"/>
      <c r="DAE1720" s="227"/>
      <c r="DAF1720" s="227"/>
      <c r="DAG1720" s="227"/>
      <c r="DAH1720" s="227"/>
      <c r="DAI1720" s="227"/>
      <c r="DAJ1720" s="227"/>
      <c r="DAK1720" s="227"/>
      <c r="DAL1720" s="227"/>
      <c r="DAM1720" s="227"/>
      <c r="DAN1720" s="227"/>
      <c r="DAO1720" s="227"/>
      <c r="DAP1720" s="227"/>
      <c r="DAQ1720" s="227"/>
      <c r="DAR1720" s="227"/>
      <c r="DAS1720" s="227"/>
      <c r="DAT1720" s="227"/>
      <c r="DAU1720" s="227"/>
      <c r="DAV1720" s="227"/>
      <c r="DAW1720" s="227"/>
      <c r="DAX1720" s="227"/>
      <c r="DAY1720" s="227"/>
      <c r="DAZ1720" s="227"/>
      <c r="DBA1720" s="227"/>
      <c r="DBB1720" s="227"/>
      <c r="DBC1720" s="227"/>
      <c r="DBD1720" s="227"/>
      <c r="DBE1720" s="227"/>
      <c r="DBF1720" s="227"/>
      <c r="DBG1720" s="227"/>
      <c r="DBH1720" s="227"/>
      <c r="DBI1720" s="227"/>
      <c r="DBJ1720" s="227"/>
      <c r="DBK1720" s="227"/>
      <c r="DBL1720" s="227"/>
      <c r="DBM1720" s="227"/>
      <c r="DBN1720" s="227"/>
      <c r="DBO1720" s="227"/>
      <c r="DBP1720" s="227"/>
      <c r="DBQ1720" s="227"/>
      <c r="DBR1720" s="227"/>
      <c r="DBS1720" s="227"/>
      <c r="DBT1720" s="227"/>
      <c r="DBU1720" s="227"/>
      <c r="DBV1720" s="227"/>
      <c r="DBW1720" s="227"/>
      <c r="DBX1720" s="227"/>
      <c r="DBY1720" s="227"/>
      <c r="DBZ1720" s="227"/>
      <c r="DCA1720" s="227"/>
      <c r="DCB1720" s="227"/>
      <c r="DCC1720" s="227"/>
      <c r="DCD1720" s="227"/>
      <c r="DCE1720" s="227"/>
      <c r="DCF1720" s="227"/>
      <c r="DCG1720" s="227"/>
      <c r="DCH1720" s="227"/>
      <c r="DCI1720" s="227"/>
      <c r="DCJ1720" s="227"/>
      <c r="DCK1720" s="227"/>
      <c r="DCL1720" s="227"/>
      <c r="DCM1720" s="227"/>
      <c r="DCN1720" s="227"/>
      <c r="DCO1720" s="227"/>
      <c r="DCP1720" s="227"/>
      <c r="DCQ1720" s="227"/>
      <c r="DCR1720" s="227"/>
      <c r="DCS1720" s="227"/>
      <c r="DCT1720" s="227"/>
      <c r="DCU1720" s="227"/>
      <c r="DCV1720" s="227"/>
      <c r="DCW1720" s="227"/>
      <c r="DCX1720" s="227"/>
      <c r="DCY1720" s="227"/>
      <c r="DCZ1720" s="227"/>
      <c r="DDA1720" s="227"/>
      <c r="DDB1720" s="227"/>
      <c r="DDC1720" s="227"/>
      <c r="DDD1720" s="227"/>
      <c r="DDE1720" s="227"/>
      <c r="DDF1720" s="227"/>
      <c r="DDG1720" s="227"/>
      <c r="DDH1720" s="227"/>
      <c r="DDI1720" s="227"/>
      <c r="DDJ1720" s="227"/>
      <c r="DDK1720" s="227"/>
      <c r="DDL1720" s="227"/>
      <c r="DDM1720" s="227"/>
      <c r="DDN1720" s="227"/>
      <c r="DDO1720" s="227"/>
      <c r="DDP1720" s="227"/>
      <c r="DDQ1720" s="227"/>
      <c r="DDR1720" s="227"/>
      <c r="DDS1720" s="227"/>
      <c r="DDT1720" s="227"/>
      <c r="DDU1720" s="227"/>
      <c r="DDV1720" s="227"/>
      <c r="DDW1720" s="227"/>
      <c r="DDX1720" s="227"/>
      <c r="DDY1720" s="227"/>
      <c r="DDZ1720" s="227"/>
      <c r="DEA1720" s="227"/>
      <c r="DEB1720" s="227"/>
      <c r="DEC1720" s="227"/>
      <c r="DED1720" s="227"/>
      <c r="DEE1720" s="227"/>
      <c r="DEF1720" s="227"/>
      <c r="DEG1720" s="227"/>
      <c r="DEH1720" s="227"/>
      <c r="DEI1720" s="227"/>
      <c r="DEJ1720" s="227"/>
      <c r="DEK1720" s="227"/>
      <c r="DEL1720" s="227"/>
      <c r="DEM1720" s="227"/>
      <c r="DEN1720" s="227"/>
      <c r="DEO1720" s="227"/>
      <c r="DEP1720" s="227"/>
      <c r="DEQ1720" s="227"/>
      <c r="DER1720" s="227"/>
      <c r="DES1720" s="227"/>
      <c r="DET1720" s="227"/>
      <c r="DEU1720" s="227"/>
      <c r="DEV1720" s="227"/>
      <c r="DEW1720" s="227"/>
      <c r="DEX1720" s="227"/>
      <c r="DEY1720" s="227"/>
      <c r="DEZ1720" s="227"/>
      <c r="DFA1720" s="227"/>
      <c r="DFB1720" s="227"/>
      <c r="DFC1720" s="227"/>
      <c r="DFD1720" s="227"/>
      <c r="DFE1720" s="227"/>
      <c r="DFF1720" s="227"/>
      <c r="DFG1720" s="227"/>
      <c r="DFH1720" s="227"/>
      <c r="DFI1720" s="227"/>
      <c r="DFJ1720" s="227"/>
      <c r="DFK1720" s="227"/>
      <c r="DFL1720" s="227"/>
      <c r="DFM1720" s="227"/>
      <c r="DFN1720" s="227"/>
      <c r="DFO1720" s="227"/>
      <c r="DFP1720" s="227"/>
      <c r="DFQ1720" s="227"/>
      <c r="DFR1720" s="227"/>
      <c r="DFS1720" s="227"/>
      <c r="DFT1720" s="227"/>
      <c r="DFU1720" s="227"/>
      <c r="DFV1720" s="227"/>
      <c r="DFW1720" s="227"/>
      <c r="DFX1720" s="227"/>
      <c r="DFY1720" s="227"/>
      <c r="DFZ1720" s="227"/>
      <c r="DGA1720" s="227"/>
      <c r="DGB1720" s="227"/>
      <c r="DGC1720" s="227"/>
      <c r="DGD1720" s="227"/>
      <c r="DGE1720" s="227"/>
      <c r="DGF1720" s="227"/>
      <c r="DGG1720" s="227"/>
      <c r="DGH1720" s="227"/>
      <c r="DGI1720" s="227"/>
      <c r="DGJ1720" s="227"/>
      <c r="DGK1720" s="227"/>
      <c r="DGL1720" s="227"/>
      <c r="DGM1720" s="227"/>
      <c r="DGN1720" s="227"/>
      <c r="DGO1720" s="227"/>
      <c r="DGP1720" s="227"/>
      <c r="DGQ1720" s="227"/>
      <c r="DGR1720" s="227"/>
      <c r="DGS1720" s="227"/>
      <c r="DGT1720" s="227"/>
      <c r="DGU1720" s="227"/>
      <c r="DGV1720" s="227"/>
      <c r="DGW1720" s="227"/>
      <c r="DGX1720" s="227"/>
      <c r="DGY1720" s="227"/>
      <c r="DGZ1720" s="227"/>
      <c r="DHA1720" s="227"/>
      <c r="DHB1720" s="227"/>
      <c r="DHC1720" s="227"/>
      <c r="DHD1720" s="227"/>
      <c r="DHE1720" s="227"/>
      <c r="DHF1720" s="227"/>
      <c r="DHG1720" s="227"/>
      <c r="DHH1720" s="227"/>
      <c r="DHI1720" s="227"/>
      <c r="DHJ1720" s="227"/>
      <c r="DHK1720" s="227"/>
      <c r="DHL1720" s="227"/>
      <c r="DHM1720" s="227"/>
      <c r="DHN1720" s="227"/>
      <c r="DHO1720" s="227"/>
      <c r="DHP1720" s="227"/>
      <c r="DHQ1720" s="227"/>
      <c r="DHR1720" s="227"/>
      <c r="DHS1720" s="227"/>
      <c r="DHT1720" s="227"/>
      <c r="DHU1720" s="227"/>
      <c r="DHV1720" s="227"/>
      <c r="DHW1720" s="227"/>
      <c r="DHX1720" s="227"/>
      <c r="DHY1720" s="227"/>
      <c r="DHZ1720" s="227"/>
      <c r="DIA1720" s="227"/>
      <c r="DIB1720" s="227"/>
      <c r="DIC1720" s="227"/>
      <c r="DID1720" s="227"/>
      <c r="DIE1720" s="227"/>
      <c r="DIF1720" s="227"/>
      <c r="DIG1720" s="227"/>
      <c r="DIH1720" s="227"/>
      <c r="DII1720" s="227"/>
      <c r="DIJ1720" s="227"/>
      <c r="DIK1720" s="227"/>
      <c r="DIL1720" s="227"/>
      <c r="DIM1720" s="227"/>
      <c r="DIN1720" s="227"/>
      <c r="DIO1720" s="227"/>
      <c r="DIP1720" s="227"/>
      <c r="DIQ1720" s="227"/>
      <c r="DIR1720" s="227"/>
      <c r="DIS1720" s="227"/>
      <c r="DIT1720" s="227"/>
      <c r="DIU1720" s="227"/>
      <c r="DIV1720" s="227"/>
      <c r="DIW1720" s="227"/>
      <c r="DIX1720" s="227"/>
      <c r="DIY1720" s="227"/>
      <c r="DIZ1720" s="227"/>
      <c r="DJA1720" s="227"/>
      <c r="DJB1720" s="227"/>
      <c r="DJC1720" s="227"/>
      <c r="DJD1720" s="227"/>
      <c r="DJE1720" s="227"/>
      <c r="DJF1720" s="227"/>
      <c r="DJG1720" s="227"/>
      <c r="DJH1720" s="227"/>
      <c r="DJI1720" s="227"/>
      <c r="DJJ1720" s="227"/>
      <c r="DJK1720" s="227"/>
      <c r="DJL1720" s="227"/>
      <c r="DJM1720" s="227"/>
      <c r="DJN1720" s="227"/>
      <c r="DJO1720" s="227"/>
      <c r="DJP1720" s="227"/>
      <c r="DJQ1720" s="227"/>
      <c r="DJR1720" s="227"/>
      <c r="DJS1720" s="227"/>
      <c r="DJT1720" s="227"/>
      <c r="DJU1720" s="227"/>
      <c r="DJV1720" s="227"/>
      <c r="DJW1720" s="227"/>
      <c r="DJX1720" s="227"/>
      <c r="DJY1720" s="227"/>
      <c r="DJZ1720" s="227"/>
      <c r="DKA1720" s="227"/>
      <c r="DKB1720" s="227"/>
      <c r="DKC1720" s="227"/>
      <c r="DKD1720" s="227"/>
      <c r="DKE1720" s="227"/>
      <c r="DKF1720" s="227"/>
      <c r="DKG1720" s="227"/>
      <c r="DKH1720" s="227"/>
      <c r="DKI1720" s="227"/>
      <c r="DKJ1720" s="227"/>
      <c r="DKK1720" s="227"/>
      <c r="DKL1720" s="227"/>
      <c r="DKM1720" s="227"/>
      <c r="DKN1720" s="227"/>
      <c r="DKO1720" s="227"/>
      <c r="DKP1720" s="227"/>
      <c r="DKQ1720" s="227"/>
      <c r="DKR1720" s="227"/>
      <c r="DKS1720" s="227"/>
      <c r="DKT1720" s="227"/>
      <c r="DKU1720" s="227"/>
      <c r="DKV1720" s="227"/>
      <c r="DKW1720" s="227"/>
      <c r="DKX1720" s="227"/>
      <c r="DKY1720" s="227"/>
      <c r="DKZ1720" s="227"/>
      <c r="DLA1720" s="227"/>
      <c r="DLB1720" s="227"/>
      <c r="DLC1720" s="227"/>
      <c r="DLD1720" s="227"/>
      <c r="DLE1720" s="227"/>
      <c r="DLF1720" s="227"/>
      <c r="DLG1720" s="227"/>
      <c r="DLH1720" s="227"/>
      <c r="DLI1720" s="227"/>
      <c r="DLJ1720" s="227"/>
      <c r="DLK1720" s="227"/>
      <c r="DLL1720" s="227"/>
      <c r="DLM1720" s="227"/>
      <c r="DLN1720" s="227"/>
      <c r="DLO1720" s="227"/>
      <c r="DLP1720" s="227"/>
      <c r="DLQ1720" s="227"/>
      <c r="DLR1720" s="227"/>
      <c r="DLS1720" s="227"/>
      <c r="DLT1720" s="227"/>
      <c r="DLU1720" s="227"/>
      <c r="DLV1720" s="227"/>
      <c r="DLW1720" s="227"/>
      <c r="DLX1720" s="227"/>
      <c r="DLY1720" s="227"/>
      <c r="DLZ1720" s="227"/>
      <c r="DMA1720" s="227"/>
      <c r="DMB1720" s="227"/>
      <c r="DMC1720" s="227"/>
      <c r="DMD1720" s="227"/>
      <c r="DME1720" s="227"/>
      <c r="DMF1720" s="227"/>
      <c r="DMG1720" s="227"/>
      <c r="DMH1720" s="227"/>
      <c r="DMI1720" s="227"/>
      <c r="DMJ1720" s="227"/>
      <c r="DMK1720" s="227"/>
      <c r="DML1720" s="227"/>
      <c r="DMM1720" s="227"/>
      <c r="DMN1720" s="227"/>
      <c r="DMO1720" s="227"/>
      <c r="DMP1720" s="227"/>
      <c r="DMQ1720" s="227"/>
      <c r="DMR1720" s="227"/>
      <c r="DMS1720" s="227"/>
      <c r="DMT1720" s="227"/>
      <c r="DMU1720" s="227"/>
      <c r="DMV1720" s="227"/>
      <c r="DMW1720" s="227"/>
      <c r="DMX1720" s="227"/>
      <c r="DMY1720" s="227"/>
      <c r="DMZ1720" s="227"/>
      <c r="DNA1720" s="227"/>
      <c r="DNB1720" s="227"/>
      <c r="DNC1720" s="227"/>
      <c r="DND1720" s="227"/>
      <c r="DNE1720" s="227"/>
      <c r="DNF1720" s="227"/>
      <c r="DNG1720" s="227"/>
      <c r="DNH1720" s="227"/>
      <c r="DNI1720" s="227"/>
      <c r="DNJ1720" s="227"/>
      <c r="DNK1720" s="227"/>
      <c r="DNL1720" s="227"/>
      <c r="DNM1720" s="227"/>
      <c r="DNN1720" s="227"/>
      <c r="DNO1720" s="227"/>
      <c r="DNP1720" s="227"/>
      <c r="DNQ1720" s="227"/>
      <c r="DNR1720" s="227"/>
      <c r="DNS1720" s="227"/>
      <c r="DNT1720" s="227"/>
      <c r="DNU1720" s="227"/>
      <c r="DNV1720" s="227"/>
      <c r="DNW1720" s="227"/>
      <c r="DNX1720" s="227"/>
      <c r="DNY1720" s="227"/>
      <c r="DNZ1720" s="227"/>
      <c r="DOA1720" s="227"/>
      <c r="DOB1720" s="227"/>
      <c r="DOC1720" s="227"/>
      <c r="DOD1720" s="227"/>
      <c r="DOE1720" s="227"/>
      <c r="DOF1720" s="227"/>
      <c r="DOG1720" s="227"/>
      <c r="DOH1720" s="227"/>
      <c r="DOI1720" s="227"/>
      <c r="DOJ1720" s="227"/>
      <c r="DOK1720" s="227"/>
      <c r="DOL1720" s="227"/>
      <c r="DOM1720" s="227"/>
      <c r="DON1720" s="227"/>
      <c r="DOO1720" s="227"/>
      <c r="DOP1720" s="227"/>
      <c r="DOQ1720" s="227"/>
      <c r="DOR1720" s="227"/>
      <c r="DOS1720" s="227"/>
      <c r="DOT1720" s="227"/>
      <c r="DOU1720" s="227"/>
      <c r="DOV1720" s="227"/>
      <c r="DOW1720" s="227"/>
      <c r="DOX1720" s="227"/>
      <c r="DOY1720" s="227"/>
      <c r="DOZ1720" s="227"/>
      <c r="DPA1720" s="227"/>
      <c r="DPB1720" s="227"/>
      <c r="DPC1720" s="227"/>
      <c r="DPD1720" s="227"/>
      <c r="DPE1720" s="227"/>
      <c r="DPF1720" s="227"/>
      <c r="DPG1720" s="227"/>
      <c r="DPH1720" s="227"/>
      <c r="DPI1720" s="227"/>
      <c r="DPJ1720" s="227"/>
      <c r="DPK1720" s="227"/>
      <c r="DPL1720" s="227"/>
      <c r="DPM1720" s="227"/>
      <c r="DPN1720" s="227"/>
      <c r="DPO1720" s="227"/>
      <c r="DPP1720" s="227"/>
      <c r="DPQ1720" s="227"/>
      <c r="DPR1720" s="227"/>
      <c r="DPS1720" s="227"/>
      <c r="DPT1720" s="227"/>
      <c r="DPU1720" s="227"/>
      <c r="DPV1720" s="227"/>
      <c r="DPW1720" s="227"/>
      <c r="DPX1720" s="227"/>
      <c r="DPY1720" s="227"/>
      <c r="DPZ1720" s="227"/>
      <c r="DQA1720" s="227"/>
      <c r="DQB1720" s="227"/>
      <c r="DQC1720" s="227"/>
      <c r="DQD1720" s="227"/>
      <c r="DQE1720" s="227"/>
      <c r="DQF1720" s="227"/>
      <c r="DQG1720" s="227"/>
      <c r="DQH1720" s="227"/>
      <c r="DQI1720" s="227"/>
      <c r="DQJ1720" s="227"/>
      <c r="DQK1720" s="227"/>
      <c r="DQL1720" s="227"/>
      <c r="DQM1720" s="227"/>
      <c r="DQN1720" s="227"/>
      <c r="DQO1720" s="227"/>
      <c r="DQP1720" s="227"/>
      <c r="DQQ1720" s="227"/>
      <c r="DQR1720" s="227"/>
      <c r="DQS1720" s="227"/>
      <c r="DQT1720" s="227"/>
      <c r="DQU1720" s="227"/>
      <c r="DQV1720" s="227"/>
      <c r="DQW1720" s="227"/>
      <c r="DQX1720" s="227"/>
      <c r="DQY1720" s="227"/>
      <c r="DQZ1720" s="227"/>
      <c r="DRA1720" s="227"/>
      <c r="DRB1720" s="227"/>
      <c r="DRC1720" s="227"/>
      <c r="DRD1720" s="227"/>
      <c r="DRE1720" s="227"/>
      <c r="DRF1720" s="227"/>
      <c r="DRG1720" s="227"/>
      <c r="DRH1720" s="227"/>
      <c r="DRI1720" s="227"/>
      <c r="DRJ1720" s="227"/>
      <c r="DRK1720" s="227"/>
      <c r="DRL1720" s="227"/>
      <c r="DRM1720" s="227"/>
      <c r="DRN1720" s="227"/>
      <c r="DRO1720" s="227"/>
      <c r="DRP1720" s="227"/>
      <c r="DRQ1720" s="227"/>
      <c r="DRR1720" s="227"/>
      <c r="DRS1720" s="227"/>
      <c r="DRT1720" s="227"/>
      <c r="DRU1720" s="227"/>
      <c r="DRV1720" s="227"/>
      <c r="DRW1720" s="227"/>
      <c r="DRX1720" s="227"/>
      <c r="DRY1720" s="227"/>
      <c r="DRZ1720" s="227"/>
      <c r="DSA1720" s="227"/>
      <c r="DSB1720" s="227"/>
      <c r="DSC1720" s="227"/>
      <c r="DSD1720" s="227"/>
      <c r="DSE1720" s="227"/>
      <c r="DSF1720" s="227"/>
      <c r="DSG1720" s="227"/>
      <c r="DSH1720" s="227"/>
      <c r="DSI1720" s="227"/>
      <c r="DSJ1720" s="227"/>
      <c r="DSK1720" s="227"/>
      <c r="DSL1720" s="227"/>
      <c r="DSM1720" s="227"/>
      <c r="DSN1720" s="227"/>
      <c r="DSO1720" s="227"/>
      <c r="DSP1720" s="227"/>
      <c r="DSQ1720" s="227"/>
      <c r="DSR1720" s="227"/>
      <c r="DSS1720" s="227"/>
      <c r="DST1720" s="227"/>
      <c r="DSU1720" s="227"/>
      <c r="DSV1720" s="227"/>
      <c r="DSW1720" s="227"/>
      <c r="DSX1720" s="227"/>
      <c r="DSY1720" s="227"/>
      <c r="DSZ1720" s="227"/>
      <c r="DTA1720" s="227"/>
      <c r="DTB1720" s="227"/>
      <c r="DTC1720" s="227"/>
      <c r="DTD1720" s="227"/>
      <c r="DTE1720" s="227"/>
      <c r="DTF1720" s="227"/>
      <c r="DTG1720" s="227"/>
      <c r="DTH1720" s="227"/>
      <c r="DTI1720" s="227"/>
      <c r="DTJ1720" s="227"/>
      <c r="DTK1720" s="227"/>
      <c r="DTL1720" s="227"/>
      <c r="DTM1720" s="227"/>
      <c r="DTN1720" s="227"/>
      <c r="DTO1720" s="227"/>
      <c r="DTP1720" s="227"/>
      <c r="DTQ1720" s="227"/>
      <c r="DTR1720" s="227"/>
      <c r="DTS1720" s="227"/>
      <c r="DTT1720" s="227"/>
      <c r="DTU1720" s="227"/>
      <c r="DTV1720" s="227"/>
      <c r="DTW1720" s="227"/>
      <c r="DTX1720" s="227"/>
      <c r="DTY1720" s="227"/>
      <c r="DTZ1720" s="227"/>
      <c r="DUA1720" s="227"/>
      <c r="DUB1720" s="227"/>
      <c r="DUC1720" s="227"/>
      <c r="DUD1720" s="227"/>
      <c r="DUE1720" s="227"/>
      <c r="DUF1720" s="227"/>
      <c r="DUG1720" s="227"/>
      <c r="DUH1720" s="227"/>
      <c r="DUI1720" s="227"/>
      <c r="DUJ1720" s="227"/>
      <c r="DUK1720" s="227"/>
      <c r="DUL1720" s="227"/>
      <c r="DUM1720" s="227"/>
      <c r="DUN1720" s="227"/>
      <c r="DUO1720" s="227"/>
      <c r="DUP1720" s="227"/>
      <c r="DUQ1720" s="227"/>
      <c r="DUR1720" s="227"/>
      <c r="DUS1720" s="227"/>
      <c r="DUT1720" s="227"/>
      <c r="DUU1720" s="227"/>
      <c r="DUV1720" s="227"/>
      <c r="DUW1720" s="227"/>
      <c r="DUX1720" s="227"/>
      <c r="DUY1720" s="227"/>
      <c r="DUZ1720" s="227"/>
      <c r="DVA1720" s="227"/>
      <c r="DVB1720" s="227"/>
      <c r="DVC1720" s="227"/>
      <c r="DVD1720" s="227"/>
      <c r="DVE1720" s="227"/>
      <c r="DVF1720" s="227"/>
      <c r="DVG1720" s="227"/>
      <c r="DVH1720" s="227"/>
      <c r="DVI1720" s="227"/>
      <c r="DVJ1720" s="227"/>
      <c r="DVK1720" s="227"/>
      <c r="DVL1720" s="227"/>
      <c r="DVM1720" s="227"/>
      <c r="DVN1720" s="227"/>
      <c r="DVO1720" s="227"/>
      <c r="DVP1720" s="227"/>
      <c r="DVQ1720" s="227"/>
      <c r="DVR1720" s="227"/>
      <c r="DVS1720" s="227"/>
      <c r="DVT1720" s="227"/>
      <c r="DVU1720" s="227"/>
      <c r="DVV1720" s="227"/>
      <c r="DVW1720" s="227"/>
      <c r="DVX1720" s="227"/>
      <c r="DVY1720" s="227"/>
      <c r="DVZ1720" s="227"/>
      <c r="DWA1720" s="227"/>
      <c r="DWB1720" s="227"/>
      <c r="DWC1720" s="227"/>
      <c r="DWD1720" s="227"/>
      <c r="DWE1720" s="227"/>
      <c r="DWF1720" s="227"/>
      <c r="DWG1720" s="227"/>
      <c r="DWH1720" s="227"/>
      <c r="DWI1720" s="227"/>
      <c r="DWJ1720" s="227"/>
      <c r="DWK1720" s="227"/>
      <c r="DWL1720" s="227"/>
      <c r="DWM1720" s="227"/>
      <c r="DWN1720" s="227"/>
      <c r="DWO1720" s="227"/>
      <c r="DWP1720" s="227"/>
      <c r="DWQ1720" s="227"/>
      <c r="DWR1720" s="227"/>
      <c r="DWS1720" s="227"/>
      <c r="DWT1720" s="227"/>
      <c r="DWU1720" s="227"/>
      <c r="DWV1720" s="227"/>
      <c r="DWW1720" s="227"/>
      <c r="DWX1720" s="227"/>
      <c r="DWY1720" s="227"/>
      <c r="DWZ1720" s="227"/>
      <c r="DXA1720" s="227"/>
      <c r="DXB1720" s="227"/>
      <c r="DXC1720" s="227"/>
      <c r="DXD1720" s="227"/>
      <c r="DXE1720" s="227"/>
      <c r="DXF1720" s="227"/>
      <c r="DXG1720" s="227"/>
      <c r="DXH1720" s="227"/>
      <c r="DXI1720" s="227"/>
      <c r="DXJ1720" s="227"/>
      <c r="DXK1720" s="227"/>
      <c r="DXL1720" s="227"/>
      <c r="DXM1720" s="227"/>
      <c r="DXN1720" s="227"/>
      <c r="DXO1720" s="227"/>
      <c r="DXP1720" s="227"/>
      <c r="DXQ1720" s="227"/>
      <c r="DXR1720" s="227"/>
      <c r="DXS1720" s="227"/>
      <c r="DXT1720" s="227"/>
      <c r="DXU1720" s="227"/>
      <c r="DXV1720" s="227"/>
      <c r="DXW1720" s="227"/>
      <c r="DXX1720" s="227"/>
      <c r="DXY1720" s="227"/>
      <c r="DXZ1720" s="227"/>
      <c r="DYA1720" s="227"/>
      <c r="DYB1720" s="227"/>
      <c r="DYC1720" s="227"/>
      <c r="DYD1720" s="227"/>
      <c r="DYE1720" s="227"/>
      <c r="DYF1720" s="227"/>
      <c r="DYG1720" s="227"/>
      <c r="DYH1720" s="227"/>
      <c r="DYI1720" s="227"/>
      <c r="DYJ1720" s="227"/>
      <c r="DYK1720" s="227"/>
      <c r="DYL1720" s="227"/>
      <c r="DYM1720" s="227"/>
      <c r="DYN1720" s="227"/>
      <c r="DYO1720" s="227"/>
      <c r="DYP1720" s="227"/>
      <c r="DYQ1720" s="227"/>
      <c r="DYR1720" s="227"/>
      <c r="DYS1720" s="227"/>
      <c r="DYT1720" s="227"/>
      <c r="DYU1720" s="227"/>
      <c r="DYV1720" s="227"/>
      <c r="DYW1720" s="227"/>
      <c r="DYX1720" s="227"/>
      <c r="DYY1720" s="227"/>
      <c r="DYZ1720" s="227"/>
      <c r="DZA1720" s="227"/>
      <c r="DZB1720" s="227"/>
      <c r="DZC1720" s="227"/>
      <c r="DZD1720" s="227"/>
      <c r="DZE1720" s="227"/>
      <c r="DZF1720" s="227"/>
      <c r="DZG1720" s="227"/>
      <c r="DZH1720" s="227"/>
      <c r="DZI1720" s="227"/>
      <c r="DZJ1720" s="227"/>
      <c r="DZK1720" s="227"/>
      <c r="DZL1720" s="227"/>
      <c r="DZM1720" s="227"/>
      <c r="DZN1720" s="227"/>
      <c r="DZO1720" s="227"/>
      <c r="DZP1720" s="227"/>
      <c r="DZQ1720" s="227"/>
      <c r="DZR1720" s="227"/>
      <c r="DZS1720" s="227"/>
      <c r="DZT1720" s="227"/>
      <c r="DZU1720" s="227"/>
      <c r="DZV1720" s="227"/>
      <c r="DZW1720" s="227"/>
      <c r="DZX1720" s="227"/>
      <c r="DZY1720" s="227"/>
      <c r="DZZ1720" s="227"/>
      <c r="EAA1720" s="227"/>
      <c r="EAB1720" s="227"/>
      <c r="EAC1720" s="227"/>
      <c r="EAD1720" s="227"/>
      <c r="EAE1720" s="227"/>
      <c r="EAF1720" s="227"/>
      <c r="EAG1720" s="227"/>
      <c r="EAH1720" s="227"/>
      <c r="EAI1720" s="227"/>
      <c r="EAJ1720" s="227"/>
      <c r="EAK1720" s="227"/>
      <c r="EAL1720" s="227"/>
      <c r="EAM1720" s="227"/>
      <c r="EAN1720" s="227"/>
      <c r="EAO1720" s="227"/>
      <c r="EAP1720" s="227"/>
      <c r="EAQ1720" s="227"/>
      <c r="EAR1720" s="227"/>
      <c r="EAS1720" s="227"/>
      <c r="EAT1720" s="227"/>
      <c r="EAU1720" s="227"/>
      <c r="EAV1720" s="227"/>
      <c r="EAW1720" s="227"/>
      <c r="EAX1720" s="227"/>
      <c r="EAY1720" s="227"/>
      <c r="EAZ1720" s="227"/>
      <c r="EBA1720" s="227"/>
      <c r="EBB1720" s="227"/>
      <c r="EBC1720" s="227"/>
      <c r="EBD1720" s="227"/>
      <c r="EBE1720" s="227"/>
      <c r="EBF1720" s="227"/>
      <c r="EBG1720" s="227"/>
      <c r="EBH1720" s="227"/>
      <c r="EBI1720" s="227"/>
      <c r="EBJ1720" s="227"/>
      <c r="EBK1720" s="227"/>
      <c r="EBL1720" s="227"/>
      <c r="EBM1720" s="227"/>
      <c r="EBN1720" s="227"/>
      <c r="EBO1720" s="227"/>
      <c r="EBP1720" s="227"/>
      <c r="EBQ1720" s="227"/>
      <c r="EBR1720" s="227"/>
      <c r="EBS1720" s="227"/>
      <c r="EBT1720" s="227"/>
      <c r="EBU1720" s="227"/>
      <c r="EBV1720" s="227"/>
      <c r="EBW1720" s="227"/>
      <c r="EBX1720" s="227"/>
      <c r="EBY1720" s="227"/>
      <c r="EBZ1720" s="227"/>
      <c r="ECA1720" s="227"/>
      <c r="ECB1720" s="227"/>
      <c r="ECC1720" s="227"/>
      <c r="ECD1720" s="227"/>
      <c r="ECE1720" s="227"/>
      <c r="ECF1720" s="227"/>
      <c r="ECG1720" s="227"/>
      <c r="ECH1720" s="227"/>
      <c r="ECI1720" s="227"/>
      <c r="ECJ1720" s="227"/>
      <c r="ECK1720" s="227"/>
      <c r="ECL1720" s="227"/>
      <c r="ECM1720" s="227"/>
      <c r="ECN1720" s="227"/>
      <c r="ECO1720" s="227"/>
      <c r="ECP1720" s="227"/>
      <c r="ECQ1720" s="227"/>
      <c r="ECR1720" s="227"/>
      <c r="ECS1720" s="227"/>
      <c r="ECT1720" s="227"/>
      <c r="ECU1720" s="227"/>
      <c r="ECV1720" s="227"/>
      <c r="ECW1720" s="227"/>
      <c r="ECX1720" s="227"/>
      <c r="ECY1720" s="227"/>
      <c r="ECZ1720" s="227"/>
      <c r="EDA1720" s="227"/>
      <c r="EDB1720" s="227"/>
      <c r="EDC1720" s="227"/>
      <c r="EDD1720" s="227"/>
      <c r="EDE1720" s="227"/>
      <c r="EDF1720" s="227"/>
      <c r="EDG1720" s="227"/>
      <c r="EDH1720" s="227"/>
      <c r="EDI1720" s="227"/>
      <c r="EDJ1720" s="227"/>
      <c r="EDK1720" s="227"/>
      <c r="EDL1720" s="227"/>
      <c r="EDM1720" s="227"/>
      <c r="EDN1720" s="227"/>
      <c r="EDO1720" s="227"/>
      <c r="EDP1720" s="227"/>
      <c r="EDQ1720" s="227"/>
      <c r="EDR1720" s="227"/>
      <c r="EDS1720" s="227"/>
      <c r="EDT1720" s="227"/>
      <c r="EDU1720" s="227"/>
      <c r="EDV1720" s="227"/>
      <c r="EDW1720" s="227"/>
      <c r="EDX1720" s="227"/>
      <c r="EDY1720" s="227"/>
      <c r="EDZ1720" s="227"/>
      <c r="EEA1720" s="227"/>
      <c r="EEB1720" s="227"/>
      <c r="EEC1720" s="227"/>
      <c r="EED1720" s="227"/>
      <c r="EEE1720" s="227"/>
      <c r="EEF1720" s="227"/>
      <c r="EEG1720" s="227"/>
      <c r="EEH1720" s="227"/>
      <c r="EEI1720" s="227"/>
      <c r="EEJ1720" s="227"/>
      <c r="EEK1720" s="227"/>
      <c r="EEL1720" s="227"/>
      <c r="EEM1720" s="227"/>
      <c r="EEN1720" s="227"/>
      <c r="EEO1720" s="227"/>
      <c r="EEP1720" s="227"/>
      <c r="EEQ1720" s="227"/>
      <c r="EER1720" s="227"/>
      <c r="EES1720" s="227"/>
      <c r="EET1720" s="227"/>
      <c r="EEU1720" s="227"/>
      <c r="EEV1720" s="227"/>
      <c r="EEW1720" s="227"/>
      <c r="EEX1720" s="227"/>
      <c r="EEY1720" s="227"/>
      <c r="EEZ1720" s="227"/>
      <c r="EFA1720" s="227"/>
      <c r="EFB1720" s="227"/>
      <c r="EFC1720" s="227"/>
      <c r="EFD1720" s="227"/>
      <c r="EFE1720" s="227"/>
      <c r="EFF1720" s="227"/>
      <c r="EFG1720" s="227"/>
      <c r="EFH1720" s="227"/>
      <c r="EFI1720" s="227"/>
      <c r="EFJ1720" s="227"/>
      <c r="EFK1720" s="227"/>
      <c r="EFL1720" s="227"/>
      <c r="EFM1720" s="227"/>
      <c r="EFN1720" s="227"/>
      <c r="EFO1720" s="227"/>
      <c r="EFP1720" s="227"/>
      <c r="EFQ1720" s="227"/>
      <c r="EFR1720" s="227"/>
      <c r="EFS1720" s="227"/>
      <c r="EFT1720" s="227"/>
      <c r="EFU1720" s="227"/>
      <c r="EFV1720" s="227"/>
      <c r="EFW1720" s="227"/>
      <c r="EFX1720" s="227"/>
      <c r="EFY1720" s="227"/>
      <c r="EFZ1720" s="227"/>
      <c r="EGA1720" s="227"/>
      <c r="EGB1720" s="227"/>
      <c r="EGC1720" s="227"/>
      <c r="EGD1720" s="227"/>
      <c r="EGE1720" s="227"/>
      <c r="EGF1720" s="227"/>
      <c r="EGG1720" s="227"/>
      <c r="EGH1720" s="227"/>
      <c r="EGI1720" s="227"/>
      <c r="EGJ1720" s="227"/>
      <c r="EGK1720" s="227"/>
      <c r="EGL1720" s="227"/>
      <c r="EGM1720" s="227"/>
      <c r="EGN1720" s="227"/>
      <c r="EGO1720" s="227"/>
      <c r="EGP1720" s="227"/>
      <c r="EGQ1720" s="227"/>
      <c r="EGR1720" s="227"/>
      <c r="EGS1720" s="227"/>
      <c r="EGT1720" s="227"/>
      <c r="EGU1720" s="227"/>
      <c r="EGV1720" s="227"/>
      <c r="EGW1720" s="227"/>
      <c r="EGX1720" s="227"/>
      <c r="EGY1720" s="227"/>
      <c r="EGZ1720" s="227"/>
      <c r="EHA1720" s="227"/>
      <c r="EHB1720" s="227"/>
      <c r="EHC1720" s="227"/>
      <c r="EHD1720" s="227"/>
      <c r="EHE1720" s="227"/>
      <c r="EHF1720" s="227"/>
      <c r="EHG1720" s="227"/>
      <c r="EHH1720" s="227"/>
      <c r="EHI1720" s="227"/>
      <c r="EHJ1720" s="227"/>
      <c r="EHK1720" s="227"/>
      <c r="EHL1720" s="227"/>
      <c r="EHM1720" s="227"/>
      <c r="EHN1720" s="227"/>
      <c r="EHO1720" s="227"/>
      <c r="EHP1720" s="227"/>
      <c r="EHQ1720" s="227"/>
      <c r="EHR1720" s="227"/>
      <c r="EHS1720" s="227"/>
      <c r="EHT1720" s="227"/>
      <c r="EHU1720" s="227"/>
      <c r="EHV1720" s="227"/>
      <c r="EHW1720" s="227"/>
      <c r="EHX1720" s="227"/>
      <c r="EHY1720" s="227"/>
      <c r="EHZ1720" s="227"/>
      <c r="EIA1720" s="227"/>
      <c r="EIB1720" s="227"/>
      <c r="EIC1720" s="227"/>
      <c r="EID1720" s="227"/>
      <c r="EIE1720" s="227"/>
      <c r="EIF1720" s="227"/>
      <c r="EIG1720" s="227"/>
      <c r="EIH1720" s="227"/>
      <c r="EII1720" s="227"/>
      <c r="EIJ1720" s="227"/>
      <c r="EIK1720" s="227"/>
      <c r="EIL1720" s="227"/>
      <c r="EIM1720" s="227"/>
      <c r="EIN1720" s="227"/>
      <c r="EIO1720" s="227"/>
      <c r="EIP1720" s="227"/>
      <c r="EIQ1720" s="227"/>
      <c r="EIR1720" s="227"/>
      <c r="EIS1720" s="227"/>
      <c r="EIT1720" s="227"/>
      <c r="EIU1720" s="227"/>
      <c r="EIV1720" s="227"/>
      <c r="EIW1720" s="227"/>
      <c r="EIX1720" s="227"/>
      <c r="EIY1720" s="227"/>
      <c r="EIZ1720" s="227"/>
      <c r="EJA1720" s="227"/>
      <c r="EJB1720" s="227"/>
      <c r="EJC1720" s="227"/>
      <c r="EJD1720" s="227"/>
      <c r="EJE1720" s="227"/>
      <c r="EJF1720" s="227"/>
      <c r="EJG1720" s="227"/>
      <c r="EJH1720" s="227"/>
      <c r="EJI1720" s="227"/>
      <c r="EJJ1720" s="227"/>
      <c r="EJK1720" s="227"/>
      <c r="EJL1720" s="227"/>
      <c r="EJM1720" s="227"/>
      <c r="EJN1720" s="227"/>
      <c r="EJO1720" s="227"/>
      <c r="EJP1720" s="227"/>
      <c r="EJQ1720" s="227"/>
      <c r="EJR1720" s="227"/>
      <c r="EJS1720" s="227"/>
      <c r="EJT1720" s="227"/>
      <c r="EJU1720" s="227"/>
      <c r="EJV1720" s="227"/>
      <c r="EJW1720" s="227"/>
      <c r="EJX1720" s="227"/>
      <c r="EJY1720" s="227"/>
      <c r="EJZ1720" s="227"/>
      <c r="EKA1720" s="227"/>
      <c r="EKB1720" s="227"/>
      <c r="EKC1720" s="227"/>
      <c r="EKD1720" s="227"/>
      <c r="EKE1720" s="227"/>
      <c r="EKF1720" s="227"/>
      <c r="EKG1720" s="227"/>
      <c r="EKH1720" s="227"/>
      <c r="EKI1720" s="227"/>
      <c r="EKJ1720" s="227"/>
      <c r="EKK1720" s="227"/>
      <c r="EKL1720" s="227"/>
      <c r="EKM1720" s="227"/>
      <c r="EKN1720" s="227"/>
      <c r="EKO1720" s="227"/>
      <c r="EKP1720" s="227"/>
      <c r="EKQ1720" s="227"/>
      <c r="EKR1720" s="227"/>
      <c r="EKS1720" s="227"/>
      <c r="EKT1720" s="227"/>
      <c r="EKU1720" s="227"/>
      <c r="EKV1720" s="227"/>
      <c r="EKW1720" s="227"/>
      <c r="EKX1720" s="227"/>
      <c r="EKY1720" s="227"/>
      <c r="EKZ1720" s="227"/>
      <c r="ELA1720" s="227"/>
      <c r="ELB1720" s="227"/>
      <c r="ELC1720" s="227"/>
      <c r="ELD1720" s="227"/>
      <c r="ELE1720" s="227"/>
      <c r="ELF1720" s="227"/>
      <c r="ELG1720" s="227"/>
      <c r="ELH1720" s="227"/>
      <c r="ELI1720" s="227"/>
      <c r="ELJ1720" s="227"/>
      <c r="ELK1720" s="227"/>
      <c r="ELL1720" s="227"/>
      <c r="ELM1720" s="227"/>
      <c r="ELN1720" s="227"/>
      <c r="ELO1720" s="227"/>
      <c r="ELP1720" s="227"/>
      <c r="ELQ1720" s="227"/>
      <c r="ELR1720" s="227"/>
      <c r="ELS1720" s="227"/>
      <c r="ELT1720" s="227"/>
      <c r="ELU1720" s="227"/>
      <c r="ELV1720" s="227"/>
      <c r="ELW1720" s="227"/>
      <c r="ELX1720" s="227"/>
      <c r="ELY1720" s="227"/>
      <c r="ELZ1720" s="227"/>
      <c r="EMA1720" s="227"/>
      <c r="EMB1720" s="227"/>
      <c r="EMC1720" s="227"/>
      <c r="EMD1720" s="227"/>
      <c r="EME1720" s="227"/>
      <c r="EMF1720" s="227"/>
      <c r="EMG1720" s="227"/>
      <c r="EMH1720" s="227"/>
      <c r="EMI1720" s="227"/>
      <c r="EMJ1720" s="227"/>
      <c r="EMK1720" s="227"/>
      <c r="EML1720" s="227"/>
      <c r="EMM1720" s="227"/>
      <c r="EMN1720" s="227"/>
      <c r="EMO1720" s="227"/>
      <c r="EMP1720" s="227"/>
      <c r="EMQ1720" s="227"/>
      <c r="EMR1720" s="227"/>
      <c r="EMS1720" s="227"/>
      <c r="EMT1720" s="227"/>
      <c r="EMU1720" s="227"/>
      <c r="EMV1720" s="227"/>
      <c r="EMW1720" s="227"/>
      <c r="EMX1720" s="227"/>
      <c r="EMY1720" s="227"/>
      <c r="EMZ1720" s="227"/>
      <c r="ENA1720" s="227"/>
      <c r="ENB1720" s="227"/>
      <c r="ENC1720" s="227"/>
      <c r="END1720" s="227"/>
      <c r="ENE1720" s="227"/>
      <c r="ENF1720" s="227"/>
      <c r="ENG1720" s="227"/>
      <c r="ENH1720" s="227"/>
      <c r="ENI1720" s="227"/>
      <c r="ENJ1720" s="227"/>
      <c r="ENK1720" s="227"/>
      <c r="ENL1720" s="227"/>
      <c r="ENM1720" s="227"/>
      <c r="ENN1720" s="227"/>
      <c r="ENO1720" s="227"/>
      <c r="ENP1720" s="227"/>
      <c r="ENQ1720" s="227"/>
      <c r="ENR1720" s="227"/>
      <c r="ENS1720" s="227"/>
      <c r="ENT1720" s="227"/>
      <c r="ENU1720" s="227"/>
      <c r="ENV1720" s="227"/>
      <c r="ENW1720" s="227"/>
      <c r="ENX1720" s="227"/>
      <c r="ENY1720" s="227"/>
      <c r="ENZ1720" s="227"/>
      <c r="EOA1720" s="227"/>
      <c r="EOB1720" s="227"/>
      <c r="EOC1720" s="227"/>
      <c r="EOD1720" s="227"/>
      <c r="EOE1720" s="227"/>
      <c r="EOF1720" s="227"/>
      <c r="EOG1720" s="227"/>
      <c r="EOH1720" s="227"/>
      <c r="EOI1720" s="227"/>
      <c r="EOJ1720" s="227"/>
      <c r="EOK1720" s="227"/>
      <c r="EOL1720" s="227"/>
      <c r="EOM1720" s="227"/>
      <c r="EON1720" s="227"/>
      <c r="EOO1720" s="227"/>
      <c r="EOP1720" s="227"/>
      <c r="EOQ1720" s="227"/>
      <c r="EOR1720" s="227"/>
      <c r="EOS1720" s="227"/>
      <c r="EOT1720" s="227"/>
      <c r="EOU1720" s="227"/>
      <c r="EOV1720" s="227"/>
      <c r="EOW1720" s="227"/>
      <c r="EOX1720" s="227"/>
      <c r="EOY1720" s="227"/>
      <c r="EOZ1720" s="227"/>
      <c r="EPA1720" s="227"/>
      <c r="EPB1720" s="227"/>
      <c r="EPC1720" s="227"/>
      <c r="EPD1720" s="227"/>
      <c r="EPE1720" s="227"/>
      <c r="EPF1720" s="227"/>
      <c r="EPG1720" s="227"/>
      <c r="EPH1720" s="227"/>
      <c r="EPI1720" s="227"/>
      <c r="EPJ1720" s="227"/>
      <c r="EPK1720" s="227"/>
      <c r="EPL1720" s="227"/>
      <c r="EPM1720" s="227"/>
      <c r="EPN1720" s="227"/>
      <c r="EPO1720" s="227"/>
      <c r="EPP1720" s="227"/>
      <c r="EPQ1720" s="227"/>
      <c r="EPR1720" s="227"/>
      <c r="EPS1720" s="227"/>
      <c r="EPT1720" s="227"/>
      <c r="EPU1720" s="227"/>
      <c r="EPV1720" s="227"/>
      <c r="EPW1720" s="227"/>
      <c r="EPX1720" s="227"/>
      <c r="EPY1720" s="227"/>
      <c r="EPZ1720" s="227"/>
      <c r="EQA1720" s="227"/>
      <c r="EQB1720" s="227"/>
      <c r="EQC1720" s="227"/>
      <c r="EQD1720" s="227"/>
      <c r="EQE1720" s="227"/>
      <c r="EQF1720" s="227"/>
      <c r="EQG1720" s="227"/>
      <c r="EQH1720" s="227"/>
      <c r="EQI1720" s="227"/>
      <c r="EQJ1720" s="227"/>
      <c r="EQK1720" s="227"/>
      <c r="EQL1720" s="227"/>
      <c r="EQM1720" s="227"/>
      <c r="EQN1720" s="227"/>
      <c r="EQO1720" s="227"/>
      <c r="EQP1720" s="227"/>
      <c r="EQQ1720" s="227"/>
      <c r="EQR1720" s="227"/>
      <c r="EQS1720" s="227"/>
      <c r="EQT1720" s="227"/>
      <c r="EQU1720" s="227"/>
      <c r="EQV1720" s="227"/>
      <c r="EQW1720" s="227"/>
      <c r="EQX1720" s="227"/>
      <c r="EQY1720" s="227"/>
      <c r="EQZ1720" s="227"/>
      <c r="ERA1720" s="227"/>
      <c r="ERB1720" s="227"/>
      <c r="ERC1720" s="227"/>
      <c r="ERD1720" s="227"/>
      <c r="ERE1720" s="227"/>
      <c r="ERF1720" s="227"/>
      <c r="ERG1720" s="227"/>
      <c r="ERH1720" s="227"/>
      <c r="ERI1720" s="227"/>
      <c r="ERJ1720" s="227"/>
      <c r="ERK1720" s="227"/>
      <c r="ERL1720" s="227"/>
      <c r="ERM1720" s="227"/>
      <c r="ERN1720" s="227"/>
      <c r="ERO1720" s="227"/>
      <c r="ERP1720" s="227"/>
      <c r="ERQ1720" s="227"/>
      <c r="ERR1720" s="227"/>
      <c r="ERS1720" s="227"/>
      <c r="ERT1720" s="227"/>
      <c r="ERU1720" s="227"/>
      <c r="ERV1720" s="227"/>
      <c r="ERW1720" s="227"/>
      <c r="ERX1720" s="227"/>
      <c r="ERY1720" s="227"/>
      <c r="ERZ1720" s="227"/>
      <c r="ESA1720" s="227"/>
      <c r="ESB1720" s="227"/>
      <c r="ESC1720" s="227"/>
      <c r="ESD1720" s="227"/>
      <c r="ESE1720" s="227"/>
      <c r="ESF1720" s="227"/>
      <c r="ESG1720" s="227"/>
      <c r="ESH1720" s="227"/>
      <c r="ESI1720" s="227"/>
      <c r="ESJ1720" s="227"/>
      <c r="ESK1720" s="227"/>
      <c r="ESL1720" s="227"/>
      <c r="ESM1720" s="227"/>
      <c r="ESN1720" s="227"/>
      <c r="ESO1720" s="227"/>
      <c r="ESP1720" s="227"/>
      <c r="ESQ1720" s="227"/>
      <c r="ESR1720" s="227"/>
      <c r="ESS1720" s="227"/>
      <c r="EST1720" s="227"/>
      <c r="ESU1720" s="227"/>
      <c r="ESV1720" s="227"/>
      <c r="ESW1720" s="227"/>
      <c r="ESX1720" s="227"/>
      <c r="ESY1720" s="227"/>
      <c r="ESZ1720" s="227"/>
      <c r="ETA1720" s="227"/>
      <c r="ETB1720" s="227"/>
      <c r="ETC1720" s="227"/>
      <c r="ETD1720" s="227"/>
      <c r="ETE1720" s="227"/>
      <c r="ETF1720" s="227"/>
      <c r="ETG1720" s="227"/>
      <c r="ETH1720" s="227"/>
      <c r="ETI1720" s="227"/>
      <c r="ETJ1720" s="227"/>
      <c r="ETK1720" s="227"/>
      <c r="ETL1720" s="227"/>
      <c r="ETM1720" s="227"/>
      <c r="ETN1720" s="227"/>
      <c r="ETO1720" s="227"/>
      <c r="ETP1720" s="227"/>
      <c r="ETQ1720" s="227"/>
      <c r="ETR1720" s="227"/>
      <c r="ETS1720" s="227"/>
      <c r="ETT1720" s="227"/>
      <c r="ETU1720" s="227"/>
      <c r="ETV1720" s="227"/>
      <c r="ETW1720" s="227"/>
      <c r="ETX1720" s="227"/>
      <c r="ETY1720" s="227"/>
      <c r="ETZ1720" s="227"/>
      <c r="EUA1720" s="227"/>
      <c r="EUB1720" s="227"/>
      <c r="EUC1720" s="227"/>
      <c r="EUD1720" s="227"/>
      <c r="EUE1720" s="227"/>
      <c r="EUF1720" s="227"/>
      <c r="EUG1720" s="227"/>
      <c r="EUH1720" s="227"/>
      <c r="EUI1720" s="227"/>
      <c r="EUJ1720" s="227"/>
      <c r="EUK1720" s="227"/>
      <c r="EUL1720" s="227"/>
      <c r="EUM1720" s="227"/>
      <c r="EUN1720" s="227"/>
      <c r="EUO1720" s="227"/>
      <c r="EUP1720" s="227"/>
      <c r="EUQ1720" s="227"/>
      <c r="EUR1720" s="227"/>
      <c r="EUS1720" s="227"/>
      <c r="EUT1720" s="227"/>
      <c r="EUU1720" s="227"/>
      <c r="EUV1720" s="227"/>
      <c r="EUW1720" s="227"/>
      <c r="EUX1720" s="227"/>
      <c r="EUY1720" s="227"/>
      <c r="EUZ1720" s="227"/>
      <c r="EVA1720" s="227"/>
      <c r="EVB1720" s="227"/>
      <c r="EVC1720" s="227"/>
      <c r="EVD1720" s="227"/>
      <c r="EVE1720" s="227"/>
      <c r="EVF1720" s="227"/>
      <c r="EVG1720" s="227"/>
      <c r="EVH1720" s="227"/>
      <c r="EVI1720" s="227"/>
      <c r="EVJ1720" s="227"/>
      <c r="EVK1720" s="227"/>
      <c r="EVL1720" s="227"/>
      <c r="EVM1720" s="227"/>
      <c r="EVN1720" s="227"/>
      <c r="EVO1720" s="227"/>
      <c r="EVP1720" s="227"/>
      <c r="EVQ1720" s="227"/>
      <c r="EVR1720" s="227"/>
      <c r="EVS1720" s="227"/>
      <c r="EVT1720" s="227"/>
      <c r="EVU1720" s="227"/>
      <c r="EVV1720" s="227"/>
      <c r="EVW1720" s="227"/>
      <c r="EVX1720" s="227"/>
      <c r="EVY1720" s="227"/>
      <c r="EVZ1720" s="227"/>
      <c r="EWA1720" s="227"/>
      <c r="EWB1720" s="227"/>
      <c r="EWC1720" s="227"/>
      <c r="EWD1720" s="227"/>
      <c r="EWE1720" s="227"/>
      <c r="EWF1720" s="227"/>
      <c r="EWG1720" s="227"/>
      <c r="EWH1720" s="227"/>
      <c r="EWI1720" s="227"/>
      <c r="EWJ1720" s="227"/>
      <c r="EWK1720" s="227"/>
      <c r="EWL1720" s="227"/>
      <c r="EWM1720" s="227"/>
      <c r="EWN1720" s="227"/>
      <c r="EWO1720" s="227"/>
      <c r="EWP1720" s="227"/>
      <c r="EWQ1720" s="227"/>
      <c r="EWR1720" s="227"/>
      <c r="EWS1720" s="227"/>
      <c r="EWT1720" s="227"/>
      <c r="EWU1720" s="227"/>
      <c r="EWV1720" s="227"/>
      <c r="EWW1720" s="227"/>
      <c r="EWX1720" s="227"/>
      <c r="EWY1720" s="227"/>
      <c r="EWZ1720" s="227"/>
      <c r="EXA1720" s="227"/>
      <c r="EXB1720" s="227"/>
      <c r="EXC1720" s="227"/>
      <c r="EXD1720" s="227"/>
      <c r="EXE1720" s="227"/>
      <c r="EXF1720" s="227"/>
      <c r="EXG1720" s="227"/>
      <c r="EXH1720" s="227"/>
      <c r="EXI1720" s="227"/>
      <c r="EXJ1720" s="227"/>
      <c r="EXK1720" s="227"/>
      <c r="EXL1720" s="227"/>
      <c r="EXM1720" s="227"/>
      <c r="EXN1720" s="227"/>
      <c r="EXO1720" s="227"/>
      <c r="EXP1720" s="227"/>
      <c r="EXQ1720" s="227"/>
      <c r="EXR1720" s="227"/>
      <c r="EXS1720" s="227"/>
      <c r="EXT1720" s="227"/>
      <c r="EXU1720" s="227"/>
      <c r="EXV1720" s="227"/>
      <c r="EXW1720" s="227"/>
      <c r="EXX1720" s="227"/>
      <c r="EXY1720" s="227"/>
      <c r="EXZ1720" s="227"/>
      <c r="EYA1720" s="227"/>
      <c r="EYB1720" s="227"/>
      <c r="EYC1720" s="227"/>
      <c r="EYD1720" s="227"/>
      <c r="EYE1720" s="227"/>
      <c r="EYF1720" s="227"/>
      <c r="EYG1720" s="227"/>
      <c r="EYH1720" s="227"/>
      <c r="EYI1720" s="227"/>
      <c r="EYJ1720" s="227"/>
      <c r="EYK1720" s="227"/>
      <c r="EYL1720" s="227"/>
      <c r="EYM1720" s="227"/>
      <c r="EYN1720" s="227"/>
      <c r="EYO1720" s="227"/>
      <c r="EYP1720" s="227"/>
      <c r="EYQ1720" s="227"/>
      <c r="EYR1720" s="227"/>
      <c r="EYS1720" s="227"/>
      <c r="EYT1720" s="227"/>
      <c r="EYU1720" s="227"/>
      <c r="EYV1720" s="227"/>
      <c r="EYW1720" s="227"/>
      <c r="EYX1720" s="227"/>
      <c r="EYY1720" s="227"/>
      <c r="EYZ1720" s="227"/>
      <c r="EZA1720" s="227"/>
      <c r="EZB1720" s="227"/>
      <c r="EZC1720" s="227"/>
      <c r="EZD1720" s="227"/>
      <c r="EZE1720" s="227"/>
      <c r="EZF1720" s="227"/>
      <c r="EZG1720" s="227"/>
      <c r="EZH1720" s="227"/>
      <c r="EZI1720" s="227"/>
      <c r="EZJ1720" s="227"/>
      <c r="EZK1720" s="227"/>
      <c r="EZL1720" s="227"/>
      <c r="EZM1720" s="227"/>
      <c r="EZN1720" s="227"/>
      <c r="EZO1720" s="227"/>
      <c r="EZP1720" s="227"/>
      <c r="EZQ1720" s="227"/>
      <c r="EZR1720" s="227"/>
      <c r="EZS1720" s="227"/>
      <c r="EZT1720" s="227"/>
      <c r="EZU1720" s="227"/>
      <c r="EZV1720" s="227"/>
      <c r="EZW1720" s="227"/>
      <c r="EZX1720" s="227"/>
      <c r="EZY1720" s="227"/>
      <c r="EZZ1720" s="227"/>
      <c r="FAA1720" s="227"/>
      <c r="FAB1720" s="227"/>
      <c r="FAC1720" s="227"/>
      <c r="FAD1720" s="227"/>
      <c r="FAE1720" s="227"/>
      <c r="FAF1720" s="227"/>
      <c r="FAG1720" s="227"/>
      <c r="FAH1720" s="227"/>
      <c r="FAI1720" s="227"/>
      <c r="FAJ1720" s="227"/>
      <c r="FAK1720" s="227"/>
      <c r="FAL1720" s="227"/>
      <c r="FAM1720" s="227"/>
      <c r="FAN1720" s="227"/>
      <c r="FAO1720" s="227"/>
      <c r="FAP1720" s="227"/>
      <c r="FAQ1720" s="227"/>
      <c r="FAR1720" s="227"/>
      <c r="FAS1720" s="227"/>
      <c r="FAT1720" s="227"/>
      <c r="FAU1720" s="227"/>
      <c r="FAV1720" s="227"/>
      <c r="FAW1720" s="227"/>
      <c r="FAX1720" s="227"/>
      <c r="FAY1720" s="227"/>
      <c r="FAZ1720" s="227"/>
      <c r="FBA1720" s="227"/>
      <c r="FBB1720" s="227"/>
      <c r="FBC1720" s="227"/>
      <c r="FBD1720" s="227"/>
      <c r="FBE1720" s="227"/>
      <c r="FBF1720" s="227"/>
      <c r="FBG1720" s="227"/>
      <c r="FBH1720" s="227"/>
      <c r="FBI1720" s="227"/>
      <c r="FBJ1720" s="227"/>
      <c r="FBK1720" s="227"/>
      <c r="FBL1720" s="227"/>
      <c r="FBM1720" s="227"/>
      <c r="FBN1720" s="227"/>
      <c r="FBO1720" s="227"/>
      <c r="FBP1720" s="227"/>
      <c r="FBQ1720" s="227"/>
      <c r="FBR1720" s="227"/>
      <c r="FBS1720" s="227"/>
      <c r="FBT1720" s="227"/>
      <c r="FBU1720" s="227"/>
      <c r="FBV1720" s="227"/>
      <c r="FBW1720" s="227"/>
      <c r="FBX1720" s="227"/>
      <c r="FBY1720" s="227"/>
      <c r="FBZ1720" s="227"/>
      <c r="FCA1720" s="227"/>
      <c r="FCB1720" s="227"/>
      <c r="FCC1720" s="227"/>
      <c r="FCD1720" s="227"/>
      <c r="FCE1720" s="227"/>
      <c r="FCF1720" s="227"/>
      <c r="FCG1720" s="227"/>
      <c r="FCH1720" s="227"/>
      <c r="FCI1720" s="227"/>
      <c r="FCJ1720" s="227"/>
      <c r="FCK1720" s="227"/>
      <c r="FCL1720" s="227"/>
      <c r="FCM1720" s="227"/>
      <c r="FCN1720" s="227"/>
      <c r="FCO1720" s="227"/>
      <c r="FCP1720" s="227"/>
      <c r="FCQ1720" s="227"/>
      <c r="FCR1720" s="227"/>
      <c r="FCS1720" s="227"/>
      <c r="FCT1720" s="227"/>
      <c r="FCU1720" s="227"/>
      <c r="FCV1720" s="227"/>
      <c r="FCW1720" s="227"/>
      <c r="FCX1720" s="227"/>
      <c r="FCY1720" s="227"/>
      <c r="FCZ1720" s="227"/>
      <c r="FDA1720" s="227"/>
      <c r="FDB1720" s="227"/>
      <c r="FDC1720" s="227"/>
      <c r="FDD1720" s="227"/>
      <c r="FDE1720" s="227"/>
      <c r="FDF1720" s="227"/>
      <c r="FDG1720" s="227"/>
      <c r="FDH1720" s="227"/>
      <c r="FDI1720" s="227"/>
      <c r="FDJ1720" s="227"/>
      <c r="FDK1720" s="227"/>
      <c r="FDL1720" s="227"/>
      <c r="FDM1720" s="227"/>
      <c r="FDN1720" s="227"/>
      <c r="FDO1720" s="227"/>
      <c r="FDP1720" s="227"/>
      <c r="FDQ1720" s="227"/>
      <c r="FDR1720" s="227"/>
      <c r="FDS1720" s="227"/>
      <c r="FDT1720" s="227"/>
      <c r="FDU1720" s="227"/>
      <c r="FDV1720" s="227"/>
      <c r="FDW1720" s="227"/>
      <c r="FDX1720" s="227"/>
      <c r="FDY1720" s="227"/>
      <c r="FDZ1720" s="227"/>
      <c r="FEA1720" s="227"/>
      <c r="FEB1720" s="227"/>
      <c r="FEC1720" s="227"/>
      <c r="FED1720" s="227"/>
      <c r="FEE1720" s="227"/>
      <c r="FEF1720" s="227"/>
      <c r="FEG1720" s="227"/>
      <c r="FEH1720" s="227"/>
      <c r="FEI1720" s="227"/>
      <c r="FEJ1720" s="227"/>
      <c r="FEK1720" s="227"/>
      <c r="FEL1720" s="227"/>
      <c r="FEM1720" s="227"/>
      <c r="FEN1720" s="227"/>
      <c r="FEO1720" s="227"/>
      <c r="FEP1720" s="227"/>
      <c r="FEQ1720" s="227"/>
      <c r="FER1720" s="227"/>
      <c r="FES1720" s="227"/>
      <c r="FET1720" s="227"/>
      <c r="FEU1720" s="227"/>
      <c r="FEV1720" s="227"/>
      <c r="FEW1720" s="227"/>
      <c r="FEX1720" s="227"/>
      <c r="FEY1720" s="227"/>
      <c r="FEZ1720" s="227"/>
      <c r="FFA1720" s="227"/>
      <c r="FFB1720" s="227"/>
      <c r="FFC1720" s="227"/>
      <c r="FFD1720" s="227"/>
      <c r="FFE1720" s="227"/>
      <c r="FFF1720" s="227"/>
      <c r="FFG1720" s="227"/>
      <c r="FFH1720" s="227"/>
      <c r="FFI1720" s="227"/>
      <c r="FFJ1720" s="227"/>
      <c r="FFK1720" s="227"/>
      <c r="FFL1720" s="227"/>
      <c r="FFM1720" s="227"/>
      <c r="FFN1720" s="227"/>
      <c r="FFO1720" s="227"/>
      <c r="FFP1720" s="227"/>
      <c r="FFQ1720" s="227"/>
      <c r="FFR1720" s="227"/>
      <c r="FFS1720" s="227"/>
      <c r="FFT1720" s="227"/>
      <c r="FFU1720" s="227"/>
      <c r="FFV1720" s="227"/>
      <c r="FFW1720" s="227"/>
      <c r="FFX1720" s="227"/>
      <c r="FFY1720" s="227"/>
      <c r="FFZ1720" s="227"/>
      <c r="FGA1720" s="227"/>
      <c r="FGB1720" s="227"/>
      <c r="FGC1720" s="227"/>
      <c r="FGD1720" s="227"/>
      <c r="FGE1720" s="227"/>
      <c r="FGF1720" s="227"/>
      <c r="FGG1720" s="227"/>
      <c r="FGH1720" s="227"/>
      <c r="FGI1720" s="227"/>
      <c r="FGJ1720" s="227"/>
      <c r="FGK1720" s="227"/>
      <c r="FGL1720" s="227"/>
      <c r="FGM1720" s="227"/>
      <c r="FGN1720" s="227"/>
      <c r="FGO1720" s="227"/>
      <c r="FGP1720" s="227"/>
      <c r="FGQ1720" s="227"/>
      <c r="FGR1720" s="227"/>
      <c r="FGS1720" s="227"/>
      <c r="FGT1720" s="227"/>
      <c r="FGU1720" s="227"/>
      <c r="FGV1720" s="227"/>
      <c r="FGW1720" s="227"/>
      <c r="FGX1720" s="227"/>
      <c r="FGY1720" s="227"/>
      <c r="FGZ1720" s="227"/>
      <c r="FHA1720" s="227"/>
      <c r="FHB1720" s="227"/>
      <c r="FHC1720" s="227"/>
      <c r="FHD1720" s="227"/>
      <c r="FHE1720" s="227"/>
      <c r="FHF1720" s="227"/>
      <c r="FHG1720" s="227"/>
      <c r="FHH1720" s="227"/>
      <c r="FHI1720" s="227"/>
      <c r="FHJ1720" s="227"/>
      <c r="FHK1720" s="227"/>
      <c r="FHL1720" s="227"/>
      <c r="FHM1720" s="227"/>
      <c r="FHN1720" s="227"/>
      <c r="FHO1720" s="227"/>
      <c r="FHP1720" s="227"/>
      <c r="FHQ1720" s="227"/>
      <c r="FHR1720" s="227"/>
      <c r="FHS1720" s="227"/>
      <c r="FHT1720" s="227"/>
      <c r="FHU1720" s="227"/>
      <c r="FHV1720" s="227"/>
      <c r="FHW1720" s="227"/>
      <c r="FHX1720" s="227"/>
      <c r="FHY1720" s="227"/>
      <c r="FHZ1720" s="227"/>
      <c r="FIA1720" s="227"/>
      <c r="FIB1720" s="227"/>
      <c r="FIC1720" s="227"/>
      <c r="FID1720" s="227"/>
      <c r="FIE1720" s="227"/>
      <c r="FIF1720" s="227"/>
      <c r="FIG1720" s="227"/>
      <c r="FIH1720" s="227"/>
      <c r="FII1720" s="227"/>
      <c r="FIJ1720" s="227"/>
      <c r="FIK1720" s="227"/>
      <c r="FIL1720" s="227"/>
      <c r="FIM1720" s="227"/>
      <c r="FIN1720" s="227"/>
      <c r="FIO1720" s="227"/>
      <c r="FIP1720" s="227"/>
      <c r="FIQ1720" s="227"/>
      <c r="FIR1720" s="227"/>
      <c r="FIS1720" s="227"/>
      <c r="FIT1720" s="227"/>
      <c r="FIU1720" s="227"/>
      <c r="FIV1720" s="227"/>
      <c r="FIW1720" s="227"/>
      <c r="FIX1720" s="227"/>
      <c r="FIY1720" s="227"/>
      <c r="FIZ1720" s="227"/>
      <c r="FJA1720" s="227"/>
      <c r="FJB1720" s="227"/>
      <c r="FJC1720" s="227"/>
      <c r="FJD1720" s="227"/>
      <c r="FJE1720" s="227"/>
      <c r="FJF1720" s="227"/>
      <c r="FJG1720" s="227"/>
      <c r="FJH1720" s="227"/>
      <c r="FJI1720" s="227"/>
      <c r="FJJ1720" s="227"/>
      <c r="FJK1720" s="227"/>
      <c r="FJL1720" s="227"/>
      <c r="FJM1720" s="227"/>
      <c r="FJN1720" s="227"/>
      <c r="FJO1720" s="227"/>
      <c r="FJP1720" s="227"/>
      <c r="FJQ1720" s="227"/>
      <c r="FJR1720" s="227"/>
      <c r="FJS1720" s="227"/>
      <c r="FJT1720" s="227"/>
      <c r="FJU1720" s="227"/>
      <c r="FJV1720" s="227"/>
      <c r="FJW1720" s="227"/>
      <c r="FJX1720" s="227"/>
      <c r="FJY1720" s="227"/>
      <c r="FJZ1720" s="227"/>
      <c r="FKA1720" s="227"/>
      <c r="FKB1720" s="227"/>
      <c r="FKC1720" s="227"/>
      <c r="FKD1720" s="227"/>
      <c r="FKE1720" s="227"/>
      <c r="FKF1720" s="227"/>
      <c r="FKG1720" s="227"/>
      <c r="FKH1720" s="227"/>
      <c r="FKI1720" s="227"/>
      <c r="FKJ1720" s="227"/>
      <c r="FKK1720" s="227"/>
      <c r="FKL1720" s="227"/>
      <c r="FKM1720" s="227"/>
      <c r="FKN1720" s="227"/>
      <c r="FKO1720" s="227"/>
      <c r="FKP1720" s="227"/>
      <c r="FKQ1720" s="227"/>
      <c r="FKR1720" s="227"/>
      <c r="FKS1720" s="227"/>
      <c r="FKT1720" s="227"/>
      <c r="FKU1720" s="227"/>
      <c r="FKV1720" s="227"/>
      <c r="FKW1720" s="227"/>
      <c r="FKX1720" s="227"/>
      <c r="FKY1720" s="227"/>
      <c r="FKZ1720" s="227"/>
      <c r="FLA1720" s="227"/>
      <c r="FLB1720" s="227"/>
      <c r="FLC1720" s="227"/>
      <c r="FLD1720" s="227"/>
      <c r="FLE1720" s="227"/>
      <c r="FLF1720" s="227"/>
      <c r="FLG1720" s="227"/>
      <c r="FLH1720" s="227"/>
      <c r="FLI1720" s="227"/>
      <c r="FLJ1720" s="227"/>
      <c r="FLK1720" s="227"/>
      <c r="FLL1720" s="227"/>
      <c r="FLM1720" s="227"/>
      <c r="FLN1720" s="227"/>
      <c r="FLO1720" s="227"/>
      <c r="FLP1720" s="227"/>
      <c r="FLQ1720" s="227"/>
      <c r="FLR1720" s="227"/>
      <c r="FLS1720" s="227"/>
      <c r="FLT1720" s="227"/>
      <c r="FLU1720" s="227"/>
      <c r="FLV1720" s="227"/>
      <c r="FLW1720" s="227"/>
      <c r="FLX1720" s="227"/>
      <c r="FLY1720" s="227"/>
      <c r="FLZ1720" s="227"/>
      <c r="FMA1720" s="227"/>
      <c r="FMB1720" s="227"/>
      <c r="FMC1720" s="227"/>
      <c r="FMD1720" s="227"/>
      <c r="FME1720" s="227"/>
      <c r="FMF1720" s="227"/>
      <c r="FMG1720" s="227"/>
      <c r="FMH1720" s="227"/>
      <c r="FMI1720" s="227"/>
      <c r="FMJ1720" s="227"/>
      <c r="FMK1720" s="227"/>
      <c r="FML1720" s="227"/>
      <c r="FMM1720" s="227"/>
      <c r="FMN1720" s="227"/>
      <c r="FMO1720" s="227"/>
      <c r="FMP1720" s="227"/>
      <c r="FMQ1720" s="227"/>
      <c r="FMR1720" s="227"/>
      <c r="FMS1720" s="227"/>
      <c r="FMT1720" s="227"/>
      <c r="FMU1720" s="227"/>
      <c r="FMV1720" s="227"/>
      <c r="FMW1720" s="227"/>
      <c r="FMX1720" s="227"/>
      <c r="FMY1720" s="227"/>
      <c r="FMZ1720" s="227"/>
      <c r="FNA1720" s="227"/>
      <c r="FNB1720" s="227"/>
      <c r="FNC1720" s="227"/>
      <c r="FND1720" s="227"/>
      <c r="FNE1720" s="227"/>
      <c r="FNF1720" s="227"/>
      <c r="FNG1720" s="227"/>
      <c r="FNH1720" s="227"/>
      <c r="FNI1720" s="227"/>
      <c r="FNJ1720" s="227"/>
      <c r="FNK1720" s="227"/>
      <c r="FNL1720" s="227"/>
      <c r="FNM1720" s="227"/>
      <c r="FNN1720" s="227"/>
      <c r="FNO1720" s="227"/>
      <c r="FNP1720" s="227"/>
      <c r="FNQ1720" s="227"/>
      <c r="FNR1720" s="227"/>
      <c r="FNS1720" s="227"/>
      <c r="FNT1720" s="227"/>
      <c r="FNU1720" s="227"/>
      <c r="FNV1720" s="227"/>
      <c r="FNW1720" s="227"/>
      <c r="FNX1720" s="227"/>
      <c r="FNY1720" s="227"/>
      <c r="FNZ1720" s="227"/>
      <c r="FOA1720" s="227"/>
      <c r="FOB1720" s="227"/>
      <c r="FOC1720" s="227"/>
      <c r="FOD1720" s="227"/>
      <c r="FOE1720" s="227"/>
      <c r="FOF1720" s="227"/>
      <c r="FOG1720" s="227"/>
      <c r="FOH1720" s="227"/>
      <c r="FOI1720" s="227"/>
      <c r="FOJ1720" s="227"/>
      <c r="FOK1720" s="227"/>
      <c r="FOL1720" s="227"/>
      <c r="FOM1720" s="227"/>
      <c r="FON1720" s="227"/>
      <c r="FOO1720" s="227"/>
      <c r="FOP1720" s="227"/>
      <c r="FOQ1720" s="227"/>
      <c r="FOR1720" s="227"/>
      <c r="FOS1720" s="227"/>
      <c r="FOT1720" s="227"/>
      <c r="FOU1720" s="227"/>
      <c r="FOV1720" s="227"/>
      <c r="FOW1720" s="227"/>
      <c r="FOX1720" s="227"/>
      <c r="FOY1720" s="227"/>
      <c r="FOZ1720" s="227"/>
      <c r="FPA1720" s="227"/>
      <c r="FPB1720" s="227"/>
      <c r="FPC1720" s="227"/>
      <c r="FPD1720" s="227"/>
      <c r="FPE1720" s="227"/>
      <c r="FPF1720" s="227"/>
      <c r="FPG1720" s="227"/>
      <c r="FPH1720" s="227"/>
      <c r="FPI1720" s="227"/>
      <c r="FPJ1720" s="227"/>
      <c r="FPK1720" s="227"/>
      <c r="FPL1720" s="227"/>
      <c r="FPM1720" s="227"/>
      <c r="FPN1720" s="227"/>
      <c r="FPO1720" s="227"/>
      <c r="FPP1720" s="227"/>
      <c r="FPQ1720" s="227"/>
      <c r="FPR1720" s="227"/>
      <c r="FPS1720" s="227"/>
      <c r="FPT1720" s="227"/>
      <c r="FPU1720" s="227"/>
      <c r="FPV1720" s="227"/>
      <c r="FPW1720" s="227"/>
      <c r="FPX1720" s="227"/>
      <c r="FPY1720" s="227"/>
      <c r="FPZ1720" s="227"/>
      <c r="FQA1720" s="227"/>
      <c r="FQB1720" s="227"/>
      <c r="FQC1720" s="227"/>
      <c r="FQD1720" s="227"/>
      <c r="FQE1720" s="227"/>
      <c r="FQF1720" s="227"/>
      <c r="FQG1720" s="227"/>
      <c r="FQH1720" s="227"/>
      <c r="FQI1720" s="227"/>
      <c r="FQJ1720" s="227"/>
      <c r="FQK1720" s="227"/>
      <c r="FQL1720" s="227"/>
      <c r="FQM1720" s="227"/>
      <c r="FQN1720" s="227"/>
      <c r="FQO1720" s="227"/>
      <c r="FQP1720" s="227"/>
      <c r="FQQ1720" s="227"/>
      <c r="FQR1720" s="227"/>
      <c r="FQS1720" s="227"/>
      <c r="FQT1720" s="227"/>
      <c r="FQU1720" s="227"/>
      <c r="FQV1720" s="227"/>
      <c r="FQW1720" s="227"/>
      <c r="FQX1720" s="227"/>
      <c r="FQY1720" s="227"/>
      <c r="FQZ1720" s="227"/>
      <c r="FRA1720" s="227"/>
      <c r="FRB1720" s="227"/>
      <c r="FRC1720" s="227"/>
      <c r="FRD1720" s="227"/>
      <c r="FRE1720" s="227"/>
      <c r="FRF1720" s="227"/>
      <c r="FRG1720" s="227"/>
      <c r="FRH1720" s="227"/>
      <c r="FRI1720" s="227"/>
      <c r="FRJ1720" s="227"/>
      <c r="FRK1720" s="227"/>
      <c r="FRL1720" s="227"/>
      <c r="FRM1720" s="227"/>
      <c r="FRN1720" s="227"/>
      <c r="FRO1720" s="227"/>
      <c r="FRP1720" s="227"/>
      <c r="FRQ1720" s="227"/>
      <c r="FRR1720" s="227"/>
      <c r="FRS1720" s="227"/>
      <c r="FRT1720" s="227"/>
      <c r="FRU1720" s="227"/>
      <c r="FRV1720" s="227"/>
      <c r="FRW1720" s="227"/>
      <c r="FRX1720" s="227"/>
      <c r="FRY1720" s="227"/>
      <c r="FRZ1720" s="227"/>
      <c r="FSA1720" s="227"/>
      <c r="FSB1720" s="227"/>
      <c r="FSC1720" s="227"/>
      <c r="FSD1720" s="227"/>
      <c r="FSE1720" s="227"/>
      <c r="FSF1720" s="227"/>
      <c r="FSG1720" s="227"/>
      <c r="FSH1720" s="227"/>
      <c r="FSI1720" s="227"/>
      <c r="FSJ1720" s="227"/>
      <c r="FSK1720" s="227"/>
      <c r="FSL1720" s="227"/>
      <c r="FSM1720" s="227"/>
      <c r="FSN1720" s="227"/>
      <c r="FSO1720" s="227"/>
      <c r="FSP1720" s="227"/>
      <c r="FSQ1720" s="227"/>
      <c r="FSR1720" s="227"/>
      <c r="FSS1720" s="227"/>
      <c r="FST1720" s="227"/>
      <c r="FSU1720" s="227"/>
      <c r="FSV1720" s="227"/>
      <c r="FSW1720" s="227"/>
      <c r="FSX1720" s="227"/>
      <c r="FSY1720" s="227"/>
      <c r="FSZ1720" s="227"/>
      <c r="FTA1720" s="227"/>
      <c r="FTB1720" s="227"/>
      <c r="FTC1720" s="227"/>
      <c r="FTD1720" s="227"/>
      <c r="FTE1720" s="227"/>
      <c r="FTF1720" s="227"/>
      <c r="FTG1720" s="227"/>
      <c r="FTH1720" s="227"/>
      <c r="FTI1720" s="227"/>
      <c r="FTJ1720" s="227"/>
      <c r="FTK1720" s="227"/>
      <c r="FTL1720" s="227"/>
      <c r="FTM1720" s="227"/>
      <c r="FTN1720" s="227"/>
      <c r="FTO1720" s="227"/>
      <c r="FTP1720" s="227"/>
      <c r="FTQ1720" s="227"/>
      <c r="FTR1720" s="227"/>
      <c r="FTS1720" s="227"/>
      <c r="FTT1720" s="227"/>
      <c r="FTU1720" s="227"/>
      <c r="FTV1720" s="227"/>
      <c r="FTW1720" s="227"/>
      <c r="FTX1720" s="227"/>
      <c r="FTY1720" s="227"/>
      <c r="FTZ1720" s="227"/>
      <c r="FUA1720" s="227"/>
      <c r="FUB1720" s="227"/>
      <c r="FUC1720" s="227"/>
      <c r="FUD1720" s="227"/>
      <c r="FUE1720" s="227"/>
      <c r="FUF1720" s="227"/>
      <c r="FUG1720" s="227"/>
      <c r="FUH1720" s="227"/>
      <c r="FUI1720" s="227"/>
      <c r="FUJ1720" s="227"/>
      <c r="FUK1720" s="227"/>
      <c r="FUL1720" s="227"/>
      <c r="FUM1720" s="227"/>
      <c r="FUN1720" s="227"/>
      <c r="FUO1720" s="227"/>
      <c r="FUP1720" s="227"/>
      <c r="FUQ1720" s="227"/>
      <c r="FUR1720" s="227"/>
      <c r="FUS1720" s="227"/>
      <c r="FUT1720" s="227"/>
      <c r="FUU1720" s="227"/>
      <c r="FUV1720" s="227"/>
      <c r="FUW1720" s="227"/>
      <c r="FUX1720" s="227"/>
      <c r="FUY1720" s="227"/>
      <c r="FUZ1720" s="227"/>
      <c r="FVA1720" s="227"/>
      <c r="FVB1720" s="227"/>
      <c r="FVC1720" s="227"/>
      <c r="FVD1720" s="227"/>
      <c r="FVE1720" s="227"/>
      <c r="FVF1720" s="227"/>
      <c r="FVG1720" s="227"/>
      <c r="FVH1720" s="227"/>
      <c r="FVI1720" s="227"/>
      <c r="FVJ1720" s="227"/>
      <c r="FVK1720" s="227"/>
      <c r="FVL1720" s="227"/>
      <c r="FVM1720" s="227"/>
      <c r="FVN1720" s="227"/>
      <c r="FVO1720" s="227"/>
      <c r="FVP1720" s="227"/>
      <c r="FVQ1720" s="227"/>
      <c r="FVR1720" s="227"/>
      <c r="FVS1720" s="227"/>
      <c r="FVT1720" s="227"/>
      <c r="FVU1720" s="227"/>
      <c r="FVV1720" s="227"/>
      <c r="FVW1720" s="227"/>
      <c r="FVX1720" s="227"/>
      <c r="FVY1720" s="227"/>
      <c r="FVZ1720" s="227"/>
      <c r="FWA1720" s="227"/>
      <c r="FWB1720" s="227"/>
      <c r="FWC1720" s="227"/>
      <c r="FWD1720" s="227"/>
      <c r="FWE1720" s="227"/>
      <c r="FWF1720" s="227"/>
      <c r="FWG1720" s="227"/>
      <c r="FWH1720" s="227"/>
      <c r="FWI1720" s="227"/>
      <c r="FWJ1720" s="227"/>
      <c r="FWK1720" s="227"/>
      <c r="FWL1720" s="227"/>
      <c r="FWM1720" s="227"/>
      <c r="FWN1720" s="227"/>
      <c r="FWO1720" s="227"/>
      <c r="FWP1720" s="227"/>
      <c r="FWQ1720" s="227"/>
      <c r="FWR1720" s="227"/>
      <c r="FWS1720" s="227"/>
      <c r="FWT1720" s="227"/>
      <c r="FWU1720" s="227"/>
      <c r="FWV1720" s="227"/>
      <c r="FWW1720" s="227"/>
      <c r="FWX1720" s="227"/>
      <c r="FWY1720" s="227"/>
      <c r="FWZ1720" s="227"/>
      <c r="FXA1720" s="227"/>
      <c r="FXB1720" s="227"/>
      <c r="FXC1720" s="227"/>
      <c r="FXD1720" s="227"/>
      <c r="FXE1720" s="227"/>
      <c r="FXF1720" s="227"/>
      <c r="FXG1720" s="227"/>
      <c r="FXH1720" s="227"/>
      <c r="FXI1720" s="227"/>
      <c r="FXJ1720" s="227"/>
      <c r="FXK1720" s="227"/>
      <c r="FXL1720" s="227"/>
      <c r="FXM1720" s="227"/>
      <c r="FXN1720" s="227"/>
      <c r="FXO1720" s="227"/>
      <c r="FXP1720" s="227"/>
      <c r="FXQ1720" s="227"/>
      <c r="FXR1720" s="227"/>
      <c r="FXS1720" s="227"/>
      <c r="FXT1720" s="227"/>
      <c r="FXU1720" s="227"/>
      <c r="FXV1720" s="227"/>
      <c r="FXW1720" s="227"/>
      <c r="FXX1720" s="227"/>
      <c r="FXY1720" s="227"/>
      <c r="FXZ1720" s="227"/>
      <c r="FYA1720" s="227"/>
      <c r="FYB1720" s="227"/>
      <c r="FYC1720" s="227"/>
      <c r="FYD1720" s="227"/>
      <c r="FYE1720" s="227"/>
      <c r="FYF1720" s="227"/>
      <c r="FYG1720" s="227"/>
      <c r="FYH1720" s="227"/>
      <c r="FYI1720" s="227"/>
      <c r="FYJ1720" s="227"/>
      <c r="FYK1720" s="227"/>
      <c r="FYL1720" s="227"/>
      <c r="FYM1720" s="227"/>
      <c r="FYN1720" s="227"/>
      <c r="FYO1720" s="227"/>
      <c r="FYP1720" s="227"/>
      <c r="FYQ1720" s="227"/>
      <c r="FYR1720" s="227"/>
      <c r="FYS1720" s="227"/>
      <c r="FYT1720" s="227"/>
      <c r="FYU1720" s="227"/>
      <c r="FYV1720" s="227"/>
      <c r="FYW1720" s="227"/>
      <c r="FYX1720" s="227"/>
      <c r="FYY1720" s="227"/>
      <c r="FYZ1720" s="227"/>
      <c r="FZA1720" s="227"/>
      <c r="FZB1720" s="227"/>
      <c r="FZC1720" s="227"/>
      <c r="FZD1720" s="227"/>
      <c r="FZE1720" s="227"/>
      <c r="FZF1720" s="227"/>
      <c r="FZG1720" s="227"/>
      <c r="FZH1720" s="227"/>
      <c r="FZI1720" s="227"/>
      <c r="FZJ1720" s="227"/>
      <c r="FZK1720" s="227"/>
      <c r="FZL1720" s="227"/>
      <c r="FZM1720" s="227"/>
      <c r="FZN1720" s="227"/>
      <c r="FZO1720" s="227"/>
      <c r="FZP1720" s="227"/>
      <c r="FZQ1720" s="227"/>
      <c r="FZR1720" s="227"/>
      <c r="FZS1720" s="227"/>
      <c r="FZT1720" s="227"/>
      <c r="FZU1720" s="227"/>
      <c r="FZV1720" s="227"/>
      <c r="FZW1720" s="227"/>
      <c r="FZX1720" s="227"/>
      <c r="FZY1720" s="227"/>
      <c r="FZZ1720" s="227"/>
      <c r="GAA1720" s="227"/>
      <c r="GAB1720" s="227"/>
      <c r="GAC1720" s="227"/>
      <c r="GAD1720" s="227"/>
      <c r="GAE1720" s="227"/>
      <c r="GAF1720" s="227"/>
      <c r="GAG1720" s="227"/>
      <c r="GAH1720" s="227"/>
      <c r="GAI1720" s="227"/>
      <c r="GAJ1720" s="227"/>
      <c r="GAK1720" s="227"/>
      <c r="GAL1720" s="227"/>
      <c r="GAM1720" s="227"/>
      <c r="GAN1720" s="227"/>
      <c r="GAO1720" s="227"/>
      <c r="GAP1720" s="227"/>
      <c r="GAQ1720" s="227"/>
      <c r="GAR1720" s="227"/>
      <c r="GAS1720" s="227"/>
      <c r="GAT1720" s="227"/>
      <c r="GAU1720" s="227"/>
      <c r="GAV1720" s="227"/>
      <c r="GAW1720" s="227"/>
      <c r="GAX1720" s="227"/>
      <c r="GAY1720" s="227"/>
      <c r="GAZ1720" s="227"/>
      <c r="GBA1720" s="227"/>
      <c r="GBB1720" s="227"/>
      <c r="GBC1720" s="227"/>
      <c r="GBD1720" s="227"/>
      <c r="GBE1720" s="227"/>
      <c r="GBF1720" s="227"/>
      <c r="GBG1720" s="227"/>
      <c r="GBH1720" s="227"/>
      <c r="GBI1720" s="227"/>
      <c r="GBJ1720" s="227"/>
      <c r="GBK1720" s="227"/>
      <c r="GBL1720" s="227"/>
      <c r="GBM1720" s="227"/>
      <c r="GBN1720" s="227"/>
      <c r="GBO1720" s="227"/>
      <c r="GBP1720" s="227"/>
      <c r="GBQ1720" s="227"/>
      <c r="GBR1720" s="227"/>
      <c r="GBS1720" s="227"/>
      <c r="GBT1720" s="227"/>
      <c r="GBU1720" s="227"/>
      <c r="GBV1720" s="227"/>
      <c r="GBW1720" s="227"/>
      <c r="GBX1720" s="227"/>
      <c r="GBY1720" s="227"/>
      <c r="GBZ1720" s="227"/>
      <c r="GCA1720" s="227"/>
      <c r="GCB1720" s="227"/>
      <c r="GCC1720" s="227"/>
      <c r="GCD1720" s="227"/>
      <c r="GCE1720" s="227"/>
      <c r="GCF1720" s="227"/>
      <c r="GCG1720" s="227"/>
      <c r="GCH1720" s="227"/>
      <c r="GCI1720" s="227"/>
      <c r="GCJ1720" s="227"/>
      <c r="GCK1720" s="227"/>
      <c r="GCL1720" s="227"/>
      <c r="GCM1720" s="227"/>
      <c r="GCN1720" s="227"/>
      <c r="GCO1720" s="227"/>
      <c r="GCP1720" s="227"/>
      <c r="GCQ1720" s="227"/>
      <c r="GCR1720" s="227"/>
      <c r="GCS1720" s="227"/>
      <c r="GCT1720" s="227"/>
      <c r="GCU1720" s="227"/>
      <c r="GCV1720" s="227"/>
      <c r="GCW1720" s="227"/>
      <c r="GCX1720" s="227"/>
      <c r="GCY1720" s="227"/>
      <c r="GCZ1720" s="227"/>
      <c r="GDA1720" s="227"/>
      <c r="GDB1720" s="227"/>
      <c r="GDC1720" s="227"/>
      <c r="GDD1720" s="227"/>
      <c r="GDE1720" s="227"/>
      <c r="GDF1720" s="227"/>
      <c r="GDG1720" s="227"/>
      <c r="GDH1720" s="227"/>
      <c r="GDI1720" s="227"/>
      <c r="GDJ1720" s="227"/>
      <c r="GDK1720" s="227"/>
      <c r="GDL1720" s="227"/>
      <c r="GDM1720" s="227"/>
      <c r="GDN1720" s="227"/>
      <c r="GDO1720" s="227"/>
      <c r="GDP1720" s="227"/>
      <c r="GDQ1720" s="227"/>
      <c r="GDR1720" s="227"/>
      <c r="GDS1720" s="227"/>
      <c r="GDT1720" s="227"/>
      <c r="GDU1720" s="227"/>
      <c r="GDV1720" s="227"/>
      <c r="GDW1720" s="227"/>
      <c r="GDX1720" s="227"/>
      <c r="GDY1720" s="227"/>
      <c r="GDZ1720" s="227"/>
      <c r="GEA1720" s="227"/>
      <c r="GEB1720" s="227"/>
      <c r="GEC1720" s="227"/>
      <c r="GED1720" s="227"/>
      <c r="GEE1720" s="227"/>
      <c r="GEF1720" s="227"/>
      <c r="GEG1720" s="227"/>
      <c r="GEH1720" s="227"/>
      <c r="GEI1720" s="227"/>
      <c r="GEJ1720" s="227"/>
      <c r="GEK1720" s="227"/>
      <c r="GEL1720" s="227"/>
      <c r="GEM1720" s="227"/>
      <c r="GEN1720" s="227"/>
      <c r="GEO1720" s="227"/>
      <c r="GEP1720" s="227"/>
      <c r="GEQ1720" s="227"/>
      <c r="GER1720" s="227"/>
      <c r="GES1720" s="227"/>
      <c r="GET1720" s="227"/>
      <c r="GEU1720" s="227"/>
      <c r="GEV1720" s="227"/>
      <c r="GEW1720" s="227"/>
      <c r="GEX1720" s="227"/>
      <c r="GEY1720" s="227"/>
      <c r="GEZ1720" s="227"/>
      <c r="GFA1720" s="227"/>
      <c r="GFB1720" s="227"/>
      <c r="GFC1720" s="227"/>
      <c r="GFD1720" s="227"/>
      <c r="GFE1720" s="227"/>
      <c r="GFF1720" s="227"/>
      <c r="GFG1720" s="227"/>
      <c r="GFH1720" s="227"/>
      <c r="GFI1720" s="227"/>
      <c r="GFJ1720" s="227"/>
      <c r="GFK1720" s="227"/>
      <c r="GFL1720" s="227"/>
      <c r="GFM1720" s="227"/>
      <c r="GFN1720" s="227"/>
      <c r="GFO1720" s="227"/>
      <c r="GFP1720" s="227"/>
      <c r="GFQ1720" s="227"/>
      <c r="GFR1720" s="227"/>
      <c r="GFS1720" s="227"/>
      <c r="GFT1720" s="227"/>
      <c r="GFU1720" s="227"/>
      <c r="GFV1720" s="227"/>
      <c r="GFW1720" s="227"/>
      <c r="GFX1720" s="227"/>
      <c r="GFY1720" s="227"/>
      <c r="GFZ1720" s="227"/>
      <c r="GGA1720" s="227"/>
      <c r="GGB1720" s="227"/>
      <c r="GGC1720" s="227"/>
      <c r="GGD1720" s="227"/>
      <c r="GGE1720" s="227"/>
      <c r="GGF1720" s="227"/>
      <c r="GGG1720" s="227"/>
      <c r="GGH1720" s="227"/>
      <c r="GGI1720" s="227"/>
      <c r="GGJ1720" s="227"/>
      <c r="GGK1720" s="227"/>
      <c r="GGL1720" s="227"/>
      <c r="GGM1720" s="227"/>
      <c r="GGN1720" s="227"/>
      <c r="GGO1720" s="227"/>
      <c r="GGP1720" s="227"/>
      <c r="GGQ1720" s="227"/>
      <c r="GGR1720" s="227"/>
      <c r="GGS1720" s="227"/>
      <c r="GGT1720" s="227"/>
      <c r="GGU1720" s="227"/>
      <c r="GGV1720" s="227"/>
      <c r="GGW1720" s="227"/>
      <c r="GGX1720" s="227"/>
      <c r="GGY1720" s="227"/>
      <c r="GGZ1720" s="227"/>
      <c r="GHA1720" s="227"/>
      <c r="GHB1720" s="227"/>
      <c r="GHC1720" s="227"/>
      <c r="GHD1720" s="227"/>
      <c r="GHE1720" s="227"/>
      <c r="GHF1720" s="227"/>
      <c r="GHG1720" s="227"/>
      <c r="GHH1720" s="227"/>
      <c r="GHI1720" s="227"/>
      <c r="GHJ1720" s="227"/>
      <c r="GHK1720" s="227"/>
      <c r="GHL1720" s="227"/>
      <c r="GHM1720" s="227"/>
      <c r="GHN1720" s="227"/>
      <c r="GHO1720" s="227"/>
      <c r="GHP1720" s="227"/>
      <c r="GHQ1720" s="227"/>
      <c r="GHR1720" s="227"/>
      <c r="GHS1720" s="227"/>
      <c r="GHT1720" s="227"/>
      <c r="GHU1720" s="227"/>
      <c r="GHV1720" s="227"/>
      <c r="GHW1720" s="227"/>
      <c r="GHX1720" s="227"/>
      <c r="GHY1720" s="227"/>
      <c r="GHZ1720" s="227"/>
      <c r="GIA1720" s="227"/>
      <c r="GIB1720" s="227"/>
      <c r="GIC1720" s="227"/>
      <c r="GID1720" s="227"/>
      <c r="GIE1720" s="227"/>
      <c r="GIF1720" s="227"/>
      <c r="GIG1720" s="227"/>
      <c r="GIH1720" s="227"/>
      <c r="GII1720" s="227"/>
      <c r="GIJ1720" s="227"/>
      <c r="GIK1720" s="227"/>
      <c r="GIL1720" s="227"/>
      <c r="GIM1720" s="227"/>
      <c r="GIN1720" s="227"/>
      <c r="GIO1720" s="227"/>
      <c r="GIP1720" s="227"/>
      <c r="GIQ1720" s="227"/>
      <c r="GIR1720" s="227"/>
      <c r="GIS1720" s="227"/>
      <c r="GIT1720" s="227"/>
      <c r="GIU1720" s="227"/>
      <c r="GIV1720" s="227"/>
      <c r="GIW1720" s="227"/>
      <c r="GIX1720" s="227"/>
      <c r="GIY1720" s="227"/>
      <c r="GIZ1720" s="227"/>
      <c r="GJA1720" s="227"/>
      <c r="GJB1720" s="227"/>
      <c r="GJC1720" s="227"/>
      <c r="GJD1720" s="227"/>
      <c r="GJE1720" s="227"/>
      <c r="GJF1720" s="227"/>
      <c r="GJG1720" s="227"/>
      <c r="GJH1720" s="227"/>
      <c r="GJI1720" s="227"/>
      <c r="GJJ1720" s="227"/>
      <c r="GJK1720" s="227"/>
      <c r="GJL1720" s="227"/>
      <c r="GJM1720" s="227"/>
      <c r="GJN1720" s="227"/>
      <c r="GJO1720" s="227"/>
      <c r="GJP1720" s="227"/>
      <c r="GJQ1720" s="227"/>
      <c r="GJR1720" s="227"/>
      <c r="GJS1720" s="227"/>
      <c r="GJT1720" s="227"/>
      <c r="GJU1720" s="227"/>
      <c r="GJV1720" s="227"/>
      <c r="GJW1720" s="227"/>
      <c r="GJX1720" s="227"/>
      <c r="GJY1720" s="227"/>
      <c r="GJZ1720" s="227"/>
      <c r="GKA1720" s="227"/>
      <c r="GKB1720" s="227"/>
      <c r="GKC1720" s="227"/>
      <c r="GKD1720" s="227"/>
      <c r="GKE1720" s="227"/>
      <c r="GKF1720" s="227"/>
      <c r="GKG1720" s="227"/>
      <c r="GKH1720" s="227"/>
      <c r="GKI1720" s="227"/>
      <c r="GKJ1720" s="227"/>
      <c r="GKK1720" s="227"/>
      <c r="GKL1720" s="227"/>
      <c r="GKM1720" s="227"/>
      <c r="GKN1720" s="227"/>
      <c r="GKO1720" s="227"/>
      <c r="GKP1720" s="227"/>
      <c r="GKQ1720" s="227"/>
      <c r="GKR1720" s="227"/>
      <c r="GKS1720" s="227"/>
      <c r="GKT1720" s="227"/>
      <c r="GKU1720" s="227"/>
      <c r="GKV1720" s="227"/>
      <c r="GKW1720" s="227"/>
      <c r="GKX1720" s="227"/>
      <c r="GKY1720" s="227"/>
      <c r="GKZ1720" s="227"/>
      <c r="GLA1720" s="227"/>
      <c r="GLB1720" s="227"/>
      <c r="GLC1720" s="227"/>
      <c r="GLD1720" s="227"/>
      <c r="GLE1720" s="227"/>
      <c r="GLF1720" s="227"/>
      <c r="GLG1720" s="227"/>
      <c r="GLH1720" s="227"/>
      <c r="GLI1720" s="227"/>
      <c r="GLJ1720" s="227"/>
      <c r="GLK1720" s="227"/>
      <c r="GLL1720" s="227"/>
      <c r="GLM1720" s="227"/>
      <c r="GLN1720" s="227"/>
      <c r="GLO1720" s="227"/>
      <c r="GLP1720" s="227"/>
      <c r="GLQ1720" s="227"/>
      <c r="GLR1720" s="227"/>
      <c r="GLS1720" s="227"/>
      <c r="GLT1720" s="227"/>
      <c r="GLU1720" s="227"/>
      <c r="GLV1720" s="227"/>
      <c r="GLW1720" s="227"/>
      <c r="GLX1720" s="227"/>
      <c r="GLY1720" s="227"/>
      <c r="GLZ1720" s="227"/>
      <c r="GMA1720" s="227"/>
      <c r="GMB1720" s="227"/>
      <c r="GMC1720" s="227"/>
      <c r="GMD1720" s="227"/>
      <c r="GME1720" s="227"/>
      <c r="GMF1720" s="227"/>
      <c r="GMG1720" s="227"/>
      <c r="GMH1720" s="227"/>
      <c r="GMI1720" s="227"/>
      <c r="GMJ1720" s="227"/>
      <c r="GMK1720" s="227"/>
      <c r="GML1720" s="227"/>
      <c r="GMM1720" s="227"/>
      <c r="GMN1720" s="227"/>
      <c r="GMO1720" s="227"/>
      <c r="GMP1720" s="227"/>
      <c r="GMQ1720" s="227"/>
      <c r="GMR1720" s="227"/>
      <c r="GMS1720" s="227"/>
      <c r="GMT1720" s="227"/>
      <c r="GMU1720" s="227"/>
      <c r="GMV1720" s="227"/>
      <c r="GMW1720" s="227"/>
      <c r="GMX1720" s="227"/>
      <c r="GMY1720" s="227"/>
      <c r="GMZ1720" s="227"/>
      <c r="GNA1720" s="227"/>
      <c r="GNB1720" s="227"/>
      <c r="GNC1720" s="227"/>
      <c r="GND1720" s="227"/>
      <c r="GNE1720" s="227"/>
      <c r="GNF1720" s="227"/>
      <c r="GNG1720" s="227"/>
      <c r="GNH1720" s="227"/>
      <c r="GNI1720" s="227"/>
      <c r="GNJ1720" s="227"/>
      <c r="GNK1720" s="227"/>
      <c r="GNL1720" s="227"/>
      <c r="GNM1720" s="227"/>
      <c r="GNN1720" s="227"/>
      <c r="GNO1720" s="227"/>
      <c r="GNP1720" s="227"/>
      <c r="GNQ1720" s="227"/>
      <c r="GNR1720" s="227"/>
      <c r="GNS1720" s="227"/>
      <c r="GNT1720" s="227"/>
      <c r="GNU1720" s="227"/>
      <c r="GNV1720" s="227"/>
      <c r="GNW1720" s="227"/>
      <c r="GNX1720" s="227"/>
      <c r="GNY1720" s="227"/>
      <c r="GNZ1720" s="227"/>
      <c r="GOA1720" s="227"/>
      <c r="GOB1720" s="227"/>
      <c r="GOC1720" s="227"/>
      <c r="GOD1720" s="227"/>
      <c r="GOE1720" s="227"/>
      <c r="GOF1720" s="227"/>
      <c r="GOG1720" s="227"/>
      <c r="GOH1720" s="227"/>
      <c r="GOI1720" s="227"/>
      <c r="GOJ1720" s="227"/>
      <c r="GOK1720" s="227"/>
      <c r="GOL1720" s="227"/>
      <c r="GOM1720" s="227"/>
      <c r="GON1720" s="227"/>
      <c r="GOO1720" s="227"/>
      <c r="GOP1720" s="227"/>
      <c r="GOQ1720" s="227"/>
      <c r="GOR1720" s="227"/>
      <c r="GOS1720" s="227"/>
      <c r="GOT1720" s="227"/>
      <c r="GOU1720" s="227"/>
      <c r="GOV1720" s="227"/>
      <c r="GOW1720" s="227"/>
      <c r="GOX1720" s="227"/>
      <c r="GOY1720" s="227"/>
      <c r="GOZ1720" s="227"/>
      <c r="GPA1720" s="227"/>
      <c r="GPB1720" s="227"/>
      <c r="GPC1720" s="227"/>
      <c r="GPD1720" s="227"/>
      <c r="GPE1720" s="227"/>
      <c r="GPF1720" s="227"/>
      <c r="GPG1720" s="227"/>
      <c r="GPH1720" s="227"/>
      <c r="GPI1720" s="227"/>
      <c r="GPJ1720" s="227"/>
      <c r="GPK1720" s="227"/>
      <c r="GPL1720" s="227"/>
      <c r="GPM1720" s="227"/>
      <c r="GPN1720" s="227"/>
      <c r="GPO1720" s="227"/>
      <c r="GPP1720" s="227"/>
      <c r="GPQ1720" s="227"/>
      <c r="GPR1720" s="227"/>
      <c r="GPS1720" s="227"/>
      <c r="GPT1720" s="227"/>
      <c r="GPU1720" s="227"/>
      <c r="GPV1720" s="227"/>
      <c r="GPW1720" s="227"/>
      <c r="GPX1720" s="227"/>
      <c r="GPY1720" s="227"/>
      <c r="GPZ1720" s="227"/>
      <c r="GQA1720" s="227"/>
      <c r="GQB1720" s="227"/>
      <c r="GQC1720" s="227"/>
      <c r="GQD1720" s="227"/>
      <c r="GQE1720" s="227"/>
      <c r="GQF1720" s="227"/>
      <c r="GQG1720" s="227"/>
      <c r="GQH1720" s="227"/>
      <c r="GQI1720" s="227"/>
      <c r="GQJ1720" s="227"/>
      <c r="GQK1720" s="227"/>
      <c r="GQL1720" s="227"/>
      <c r="GQM1720" s="227"/>
      <c r="GQN1720" s="227"/>
      <c r="GQO1720" s="227"/>
      <c r="GQP1720" s="227"/>
      <c r="GQQ1720" s="227"/>
      <c r="GQR1720" s="227"/>
      <c r="GQS1720" s="227"/>
      <c r="GQT1720" s="227"/>
      <c r="GQU1720" s="227"/>
      <c r="GQV1720" s="227"/>
      <c r="GQW1720" s="227"/>
      <c r="GQX1720" s="227"/>
      <c r="GQY1720" s="227"/>
      <c r="GQZ1720" s="227"/>
      <c r="GRA1720" s="227"/>
      <c r="GRB1720" s="227"/>
      <c r="GRC1720" s="227"/>
      <c r="GRD1720" s="227"/>
      <c r="GRE1720" s="227"/>
      <c r="GRF1720" s="227"/>
      <c r="GRG1720" s="227"/>
      <c r="GRH1720" s="227"/>
      <c r="GRI1720" s="227"/>
      <c r="GRJ1720" s="227"/>
      <c r="GRK1720" s="227"/>
      <c r="GRL1720" s="227"/>
      <c r="GRM1720" s="227"/>
      <c r="GRN1720" s="227"/>
      <c r="GRO1720" s="227"/>
      <c r="GRP1720" s="227"/>
      <c r="GRQ1720" s="227"/>
      <c r="GRR1720" s="227"/>
      <c r="GRS1720" s="227"/>
      <c r="GRT1720" s="227"/>
      <c r="GRU1720" s="227"/>
      <c r="GRV1720" s="227"/>
      <c r="GRW1720" s="227"/>
      <c r="GRX1720" s="227"/>
      <c r="GRY1720" s="227"/>
      <c r="GRZ1720" s="227"/>
      <c r="GSA1720" s="227"/>
      <c r="GSB1720" s="227"/>
      <c r="GSC1720" s="227"/>
      <c r="GSD1720" s="227"/>
      <c r="GSE1720" s="227"/>
      <c r="GSF1720" s="227"/>
      <c r="GSG1720" s="227"/>
      <c r="GSH1720" s="227"/>
      <c r="GSI1720" s="227"/>
      <c r="GSJ1720" s="227"/>
      <c r="GSK1720" s="227"/>
      <c r="GSL1720" s="227"/>
      <c r="GSM1720" s="227"/>
      <c r="GSN1720" s="227"/>
      <c r="GSO1720" s="227"/>
      <c r="GSP1720" s="227"/>
      <c r="GSQ1720" s="227"/>
      <c r="GSR1720" s="227"/>
      <c r="GSS1720" s="227"/>
      <c r="GST1720" s="227"/>
      <c r="GSU1720" s="227"/>
      <c r="GSV1720" s="227"/>
      <c r="GSW1720" s="227"/>
      <c r="GSX1720" s="227"/>
      <c r="GSY1720" s="227"/>
      <c r="GSZ1720" s="227"/>
      <c r="GTA1720" s="227"/>
      <c r="GTB1720" s="227"/>
      <c r="GTC1720" s="227"/>
      <c r="GTD1720" s="227"/>
      <c r="GTE1720" s="227"/>
      <c r="GTF1720" s="227"/>
      <c r="GTG1720" s="227"/>
      <c r="GTH1720" s="227"/>
      <c r="GTI1720" s="227"/>
      <c r="GTJ1720" s="227"/>
      <c r="GTK1720" s="227"/>
      <c r="GTL1720" s="227"/>
      <c r="GTM1720" s="227"/>
      <c r="GTN1720" s="227"/>
      <c r="GTO1720" s="227"/>
      <c r="GTP1720" s="227"/>
      <c r="GTQ1720" s="227"/>
      <c r="GTR1720" s="227"/>
      <c r="GTS1720" s="227"/>
      <c r="GTT1720" s="227"/>
      <c r="GTU1720" s="227"/>
      <c r="GTV1720" s="227"/>
      <c r="GTW1720" s="227"/>
      <c r="GTX1720" s="227"/>
      <c r="GTY1720" s="227"/>
      <c r="GTZ1720" s="227"/>
      <c r="GUA1720" s="227"/>
      <c r="GUB1720" s="227"/>
      <c r="GUC1720" s="227"/>
      <c r="GUD1720" s="227"/>
      <c r="GUE1720" s="227"/>
      <c r="GUF1720" s="227"/>
      <c r="GUG1720" s="227"/>
      <c r="GUH1720" s="227"/>
      <c r="GUI1720" s="227"/>
      <c r="GUJ1720" s="227"/>
      <c r="GUK1720" s="227"/>
      <c r="GUL1720" s="227"/>
      <c r="GUM1720" s="227"/>
      <c r="GUN1720" s="227"/>
      <c r="GUO1720" s="227"/>
      <c r="GUP1720" s="227"/>
      <c r="GUQ1720" s="227"/>
      <c r="GUR1720" s="227"/>
      <c r="GUS1720" s="227"/>
      <c r="GUT1720" s="227"/>
      <c r="GUU1720" s="227"/>
      <c r="GUV1720" s="227"/>
      <c r="GUW1720" s="227"/>
      <c r="GUX1720" s="227"/>
      <c r="GUY1720" s="227"/>
      <c r="GUZ1720" s="227"/>
      <c r="GVA1720" s="227"/>
      <c r="GVB1720" s="227"/>
      <c r="GVC1720" s="227"/>
      <c r="GVD1720" s="227"/>
      <c r="GVE1720" s="227"/>
      <c r="GVF1720" s="227"/>
      <c r="GVG1720" s="227"/>
      <c r="GVH1720" s="227"/>
      <c r="GVI1720" s="227"/>
      <c r="GVJ1720" s="227"/>
      <c r="GVK1720" s="227"/>
      <c r="GVL1720" s="227"/>
      <c r="GVM1720" s="227"/>
      <c r="GVN1720" s="227"/>
      <c r="GVO1720" s="227"/>
      <c r="GVP1720" s="227"/>
      <c r="GVQ1720" s="227"/>
      <c r="GVR1720" s="227"/>
      <c r="GVS1720" s="227"/>
      <c r="GVT1720" s="227"/>
      <c r="GVU1720" s="227"/>
      <c r="GVV1720" s="227"/>
      <c r="GVW1720" s="227"/>
      <c r="GVX1720" s="227"/>
      <c r="GVY1720" s="227"/>
      <c r="GVZ1720" s="227"/>
      <c r="GWA1720" s="227"/>
      <c r="GWB1720" s="227"/>
      <c r="GWC1720" s="227"/>
      <c r="GWD1720" s="227"/>
      <c r="GWE1720" s="227"/>
      <c r="GWF1720" s="227"/>
      <c r="GWG1720" s="227"/>
      <c r="GWH1720" s="227"/>
      <c r="GWI1720" s="227"/>
      <c r="GWJ1720" s="227"/>
      <c r="GWK1720" s="227"/>
      <c r="GWL1720" s="227"/>
      <c r="GWM1720" s="227"/>
      <c r="GWN1720" s="227"/>
      <c r="GWO1720" s="227"/>
      <c r="GWP1720" s="227"/>
      <c r="GWQ1720" s="227"/>
      <c r="GWR1720" s="227"/>
      <c r="GWS1720" s="227"/>
      <c r="GWT1720" s="227"/>
      <c r="GWU1720" s="227"/>
      <c r="GWV1720" s="227"/>
      <c r="GWW1720" s="227"/>
      <c r="GWX1720" s="227"/>
      <c r="GWY1720" s="227"/>
      <c r="GWZ1720" s="227"/>
      <c r="GXA1720" s="227"/>
      <c r="GXB1720" s="227"/>
      <c r="GXC1720" s="227"/>
      <c r="GXD1720" s="227"/>
      <c r="GXE1720" s="227"/>
      <c r="GXF1720" s="227"/>
      <c r="GXG1720" s="227"/>
      <c r="GXH1720" s="227"/>
      <c r="GXI1720" s="227"/>
      <c r="GXJ1720" s="227"/>
      <c r="GXK1720" s="227"/>
      <c r="GXL1720" s="227"/>
      <c r="GXM1720" s="227"/>
      <c r="GXN1720" s="227"/>
      <c r="GXO1720" s="227"/>
      <c r="GXP1720" s="227"/>
      <c r="GXQ1720" s="227"/>
      <c r="GXR1720" s="227"/>
      <c r="GXS1720" s="227"/>
      <c r="GXT1720" s="227"/>
      <c r="GXU1720" s="227"/>
      <c r="GXV1720" s="227"/>
      <c r="GXW1720" s="227"/>
      <c r="GXX1720" s="227"/>
      <c r="GXY1720" s="227"/>
      <c r="GXZ1720" s="227"/>
      <c r="GYA1720" s="227"/>
      <c r="GYB1720" s="227"/>
      <c r="GYC1720" s="227"/>
      <c r="GYD1720" s="227"/>
      <c r="GYE1720" s="227"/>
      <c r="GYF1720" s="227"/>
      <c r="GYG1720" s="227"/>
      <c r="GYH1720" s="227"/>
      <c r="GYI1720" s="227"/>
      <c r="GYJ1720" s="227"/>
      <c r="GYK1720" s="227"/>
      <c r="GYL1720" s="227"/>
      <c r="GYM1720" s="227"/>
      <c r="GYN1720" s="227"/>
      <c r="GYO1720" s="227"/>
      <c r="GYP1720" s="227"/>
      <c r="GYQ1720" s="227"/>
      <c r="GYR1720" s="227"/>
      <c r="GYS1720" s="227"/>
      <c r="GYT1720" s="227"/>
      <c r="GYU1720" s="227"/>
      <c r="GYV1720" s="227"/>
      <c r="GYW1720" s="227"/>
      <c r="GYX1720" s="227"/>
      <c r="GYY1720" s="227"/>
      <c r="GYZ1720" s="227"/>
      <c r="GZA1720" s="227"/>
      <c r="GZB1720" s="227"/>
      <c r="GZC1720" s="227"/>
      <c r="GZD1720" s="227"/>
      <c r="GZE1720" s="227"/>
      <c r="GZF1720" s="227"/>
      <c r="GZG1720" s="227"/>
      <c r="GZH1720" s="227"/>
      <c r="GZI1720" s="227"/>
      <c r="GZJ1720" s="227"/>
      <c r="GZK1720" s="227"/>
      <c r="GZL1720" s="227"/>
      <c r="GZM1720" s="227"/>
      <c r="GZN1720" s="227"/>
      <c r="GZO1720" s="227"/>
      <c r="GZP1720" s="227"/>
      <c r="GZQ1720" s="227"/>
      <c r="GZR1720" s="227"/>
      <c r="GZS1720" s="227"/>
      <c r="GZT1720" s="227"/>
      <c r="GZU1720" s="227"/>
      <c r="GZV1720" s="227"/>
      <c r="GZW1720" s="227"/>
      <c r="GZX1720" s="227"/>
      <c r="GZY1720" s="227"/>
      <c r="GZZ1720" s="227"/>
      <c r="HAA1720" s="227"/>
      <c r="HAB1720" s="227"/>
      <c r="HAC1720" s="227"/>
      <c r="HAD1720" s="227"/>
      <c r="HAE1720" s="227"/>
      <c r="HAF1720" s="227"/>
      <c r="HAG1720" s="227"/>
      <c r="HAH1720" s="227"/>
      <c r="HAI1720" s="227"/>
      <c r="HAJ1720" s="227"/>
      <c r="HAK1720" s="227"/>
      <c r="HAL1720" s="227"/>
      <c r="HAM1720" s="227"/>
      <c r="HAN1720" s="227"/>
      <c r="HAO1720" s="227"/>
      <c r="HAP1720" s="227"/>
      <c r="HAQ1720" s="227"/>
      <c r="HAR1720" s="227"/>
      <c r="HAS1720" s="227"/>
      <c r="HAT1720" s="227"/>
      <c r="HAU1720" s="227"/>
      <c r="HAV1720" s="227"/>
      <c r="HAW1720" s="227"/>
      <c r="HAX1720" s="227"/>
      <c r="HAY1720" s="227"/>
      <c r="HAZ1720" s="227"/>
      <c r="HBA1720" s="227"/>
      <c r="HBB1720" s="227"/>
      <c r="HBC1720" s="227"/>
      <c r="HBD1720" s="227"/>
      <c r="HBE1720" s="227"/>
      <c r="HBF1720" s="227"/>
      <c r="HBG1720" s="227"/>
      <c r="HBH1720" s="227"/>
      <c r="HBI1720" s="227"/>
      <c r="HBJ1720" s="227"/>
      <c r="HBK1720" s="227"/>
      <c r="HBL1720" s="227"/>
      <c r="HBM1720" s="227"/>
      <c r="HBN1720" s="227"/>
      <c r="HBO1720" s="227"/>
      <c r="HBP1720" s="227"/>
      <c r="HBQ1720" s="227"/>
      <c r="HBR1720" s="227"/>
      <c r="HBS1720" s="227"/>
      <c r="HBT1720" s="227"/>
      <c r="HBU1720" s="227"/>
      <c r="HBV1720" s="227"/>
      <c r="HBW1720" s="227"/>
      <c r="HBX1720" s="227"/>
      <c r="HBY1720" s="227"/>
      <c r="HBZ1720" s="227"/>
      <c r="HCA1720" s="227"/>
      <c r="HCB1720" s="227"/>
      <c r="HCC1720" s="227"/>
      <c r="HCD1720" s="227"/>
      <c r="HCE1720" s="227"/>
      <c r="HCF1720" s="227"/>
      <c r="HCG1720" s="227"/>
      <c r="HCH1720" s="227"/>
      <c r="HCI1720" s="227"/>
      <c r="HCJ1720" s="227"/>
      <c r="HCK1720" s="227"/>
      <c r="HCL1720" s="227"/>
      <c r="HCM1720" s="227"/>
      <c r="HCN1720" s="227"/>
      <c r="HCO1720" s="227"/>
      <c r="HCP1720" s="227"/>
      <c r="HCQ1720" s="227"/>
      <c r="HCR1720" s="227"/>
      <c r="HCS1720" s="227"/>
      <c r="HCT1720" s="227"/>
      <c r="HCU1720" s="227"/>
      <c r="HCV1720" s="227"/>
      <c r="HCW1720" s="227"/>
      <c r="HCX1720" s="227"/>
      <c r="HCY1720" s="227"/>
      <c r="HCZ1720" s="227"/>
      <c r="HDA1720" s="227"/>
      <c r="HDB1720" s="227"/>
      <c r="HDC1720" s="227"/>
      <c r="HDD1720" s="227"/>
      <c r="HDE1720" s="227"/>
      <c r="HDF1720" s="227"/>
      <c r="HDG1720" s="227"/>
      <c r="HDH1720" s="227"/>
      <c r="HDI1720" s="227"/>
      <c r="HDJ1720" s="227"/>
      <c r="HDK1720" s="227"/>
      <c r="HDL1720" s="227"/>
      <c r="HDM1720" s="227"/>
      <c r="HDN1720" s="227"/>
      <c r="HDO1720" s="227"/>
      <c r="HDP1720" s="227"/>
      <c r="HDQ1720" s="227"/>
      <c r="HDR1720" s="227"/>
      <c r="HDS1720" s="227"/>
      <c r="HDT1720" s="227"/>
      <c r="HDU1720" s="227"/>
      <c r="HDV1720" s="227"/>
      <c r="HDW1720" s="227"/>
      <c r="HDX1720" s="227"/>
      <c r="HDY1720" s="227"/>
      <c r="HDZ1720" s="227"/>
      <c r="HEA1720" s="227"/>
      <c r="HEB1720" s="227"/>
      <c r="HEC1720" s="227"/>
      <c r="HED1720" s="227"/>
      <c r="HEE1720" s="227"/>
      <c r="HEF1720" s="227"/>
      <c r="HEG1720" s="227"/>
      <c r="HEH1720" s="227"/>
      <c r="HEI1720" s="227"/>
      <c r="HEJ1720" s="227"/>
      <c r="HEK1720" s="227"/>
      <c r="HEL1720" s="227"/>
      <c r="HEM1720" s="227"/>
      <c r="HEN1720" s="227"/>
      <c r="HEO1720" s="227"/>
      <c r="HEP1720" s="227"/>
      <c r="HEQ1720" s="227"/>
      <c r="HER1720" s="227"/>
      <c r="HES1720" s="227"/>
      <c r="HET1720" s="227"/>
      <c r="HEU1720" s="227"/>
      <c r="HEV1720" s="227"/>
      <c r="HEW1720" s="227"/>
      <c r="HEX1720" s="227"/>
      <c r="HEY1720" s="227"/>
      <c r="HEZ1720" s="227"/>
      <c r="HFA1720" s="227"/>
      <c r="HFB1720" s="227"/>
      <c r="HFC1720" s="227"/>
      <c r="HFD1720" s="227"/>
      <c r="HFE1720" s="227"/>
      <c r="HFF1720" s="227"/>
      <c r="HFG1720" s="227"/>
      <c r="HFH1720" s="227"/>
      <c r="HFI1720" s="227"/>
      <c r="HFJ1720" s="227"/>
      <c r="HFK1720" s="227"/>
      <c r="HFL1720" s="227"/>
      <c r="HFM1720" s="227"/>
      <c r="HFN1720" s="227"/>
      <c r="HFO1720" s="227"/>
      <c r="HFP1720" s="227"/>
      <c r="HFQ1720" s="227"/>
      <c r="HFR1720" s="227"/>
      <c r="HFS1720" s="227"/>
      <c r="HFT1720" s="227"/>
      <c r="HFU1720" s="227"/>
      <c r="HFV1720" s="227"/>
      <c r="HFW1720" s="227"/>
      <c r="HFX1720" s="227"/>
      <c r="HFY1720" s="227"/>
      <c r="HFZ1720" s="227"/>
      <c r="HGA1720" s="227"/>
      <c r="HGB1720" s="227"/>
      <c r="HGC1720" s="227"/>
      <c r="HGD1720" s="227"/>
      <c r="HGE1720" s="227"/>
      <c r="HGF1720" s="227"/>
      <c r="HGG1720" s="227"/>
      <c r="HGH1720" s="227"/>
      <c r="HGI1720" s="227"/>
      <c r="HGJ1720" s="227"/>
      <c r="HGK1720" s="227"/>
      <c r="HGL1720" s="227"/>
      <c r="HGM1720" s="227"/>
      <c r="HGN1720" s="227"/>
      <c r="HGO1720" s="227"/>
      <c r="HGP1720" s="227"/>
      <c r="HGQ1720" s="227"/>
      <c r="HGR1720" s="227"/>
      <c r="HGS1720" s="227"/>
      <c r="HGT1720" s="227"/>
      <c r="HGU1720" s="227"/>
      <c r="HGV1720" s="227"/>
      <c r="HGW1720" s="227"/>
      <c r="HGX1720" s="227"/>
      <c r="HGY1720" s="227"/>
      <c r="HGZ1720" s="227"/>
      <c r="HHA1720" s="227"/>
      <c r="HHB1720" s="227"/>
      <c r="HHC1720" s="227"/>
      <c r="HHD1720" s="227"/>
      <c r="HHE1720" s="227"/>
      <c r="HHF1720" s="227"/>
      <c r="HHG1720" s="227"/>
      <c r="HHH1720" s="227"/>
      <c r="HHI1720" s="227"/>
      <c r="HHJ1720" s="227"/>
      <c r="HHK1720" s="227"/>
      <c r="HHL1720" s="227"/>
      <c r="HHM1720" s="227"/>
      <c r="HHN1720" s="227"/>
      <c r="HHO1720" s="227"/>
      <c r="HHP1720" s="227"/>
      <c r="HHQ1720" s="227"/>
      <c r="HHR1720" s="227"/>
      <c r="HHS1720" s="227"/>
      <c r="HHT1720" s="227"/>
      <c r="HHU1720" s="227"/>
      <c r="HHV1720" s="227"/>
      <c r="HHW1720" s="227"/>
      <c r="HHX1720" s="227"/>
      <c r="HHY1720" s="227"/>
      <c r="HHZ1720" s="227"/>
      <c r="HIA1720" s="227"/>
      <c r="HIB1720" s="227"/>
      <c r="HIC1720" s="227"/>
      <c r="HID1720" s="227"/>
      <c r="HIE1720" s="227"/>
      <c r="HIF1720" s="227"/>
      <c r="HIG1720" s="227"/>
      <c r="HIH1720" s="227"/>
      <c r="HII1720" s="227"/>
      <c r="HIJ1720" s="227"/>
      <c r="HIK1720" s="227"/>
      <c r="HIL1720" s="227"/>
      <c r="HIM1720" s="227"/>
      <c r="HIN1720" s="227"/>
      <c r="HIO1720" s="227"/>
      <c r="HIP1720" s="227"/>
      <c r="HIQ1720" s="227"/>
      <c r="HIR1720" s="227"/>
      <c r="HIS1720" s="227"/>
      <c r="HIT1720" s="227"/>
      <c r="HIU1720" s="227"/>
      <c r="HIV1720" s="227"/>
      <c r="HIW1720" s="227"/>
      <c r="HIX1720" s="227"/>
      <c r="HIY1720" s="227"/>
      <c r="HIZ1720" s="227"/>
      <c r="HJA1720" s="227"/>
      <c r="HJB1720" s="227"/>
      <c r="HJC1720" s="227"/>
      <c r="HJD1720" s="227"/>
      <c r="HJE1720" s="227"/>
      <c r="HJF1720" s="227"/>
      <c r="HJG1720" s="227"/>
      <c r="HJH1720" s="227"/>
      <c r="HJI1720" s="227"/>
      <c r="HJJ1720" s="227"/>
      <c r="HJK1720" s="227"/>
      <c r="HJL1720" s="227"/>
      <c r="HJM1720" s="227"/>
      <c r="HJN1720" s="227"/>
      <c r="HJO1720" s="227"/>
      <c r="HJP1720" s="227"/>
      <c r="HJQ1720" s="227"/>
      <c r="HJR1720" s="227"/>
      <c r="HJS1720" s="227"/>
      <c r="HJT1720" s="227"/>
      <c r="HJU1720" s="227"/>
      <c r="HJV1720" s="227"/>
      <c r="HJW1720" s="227"/>
      <c r="HJX1720" s="227"/>
      <c r="HJY1720" s="227"/>
      <c r="HJZ1720" s="227"/>
      <c r="HKA1720" s="227"/>
      <c r="HKB1720" s="227"/>
      <c r="HKC1720" s="227"/>
      <c r="HKD1720" s="227"/>
      <c r="HKE1720" s="227"/>
      <c r="HKF1720" s="227"/>
      <c r="HKG1720" s="227"/>
      <c r="HKH1720" s="227"/>
      <c r="HKI1720" s="227"/>
      <c r="HKJ1720" s="227"/>
      <c r="HKK1720" s="227"/>
      <c r="HKL1720" s="227"/>
      <c r="HKM1720" s="227"/>
      <c r="HKN1720" s="227"/>
      <c r="HKO1720" s="227"/>
      <c r="HKP1720" s="227"/>
      <c r="HKQ1720" s="227"/>
      <c r="HKR1720" s="227"/>
      <c r="HKS1720" s="227"/>
      <c r="HKT1720" s="227"/>
      <c r="HKU1720" s="227"/>
      <c r="HKV1720" s="227"/>
      <c r="HKW1720" s="227"/>
      <c r="HKX1720" s="227"/>
      <c r="HKY1720" s="227"/>
      <c r="HKZ1720" s="227"/>
      <c r="HLA1720" s="227"/>
      <c r="HLB1720" s="227"/>
      <c r="HLC1720" s="227"/>
      <c r="HLD1720" s="227"/>
      <c r="HLE1720" s="227"/>
      <c r="HLF1720" s="227"/>
      <c r="HLG1720" s="227"/>
      <c r="HLH1720" s="227"/>
      <c r="HLI1720" s="227"/>
      <c r="HLJ1720" s="227"/>
      <c r="HLK1720" s="227"/>
      <c r="HLL1720" s="227"/>
      <c r="HLM1720" s="227"/>
      <c r="HLN1720" s="227"/>
      <c r="HLO1720" s="227"/>
      <c r="HLP1720" s="227"/>
      <c r="HLQ1720" s="227"/>
      <c r="HLR1720" s="227"/>
      <c r="HLS1720" s="227"/>
      <c r="HLT1720" s="227"/>
      <c r="HLU1720" s="227"/>
      <c r="HLV1720" s="227"/>
      <c r="HLW1720" s="227"/>
      <c r="HLX1720" s="227"/>
      <c r="HLY1720" s="227"/>
      <c r="HLZ1720" s="227"/>
      <c r="HMA1720" s="227"/>
      <c r="HMB1720" s="227"/>
      <c r="HMC1720" s="227"/>
      <c r="HMD1720" s="227"/>
      <c r="HME1720" s="227"/>
      <c r="HMF1720" s="227"/>
      <c r="HMG1720" s="227"/>
      <c r="HMH1720" s="227"/>
      <c r="HMI1720" s="227"/>
      <c r="HMJ1720" s="227"/>
      <c r="HMK1720" s="227"/>
      <c r="HML1720" s="227"/>
      <c r="HMM1720" s="227"/>
      <c r="HMN1720" s="227"/>
      <c r="HMO1720" s="227"/>
      <c r="HMP1720" s="227"/>
      <c r="HMQ1720" s="227"/>
      <c r="HMR1720" s="227"/>
      <c r="HMS1720" s="227"/>
      <c r="HMT1720" s="227"/>
      <c r="HMU1720" s="227"/>
      <c r="HMV1720" s="227"/>
      <c r="HMW1720" s="227"/>
      <c r="HMX1720" s="227"/>
      <c r="HMY1720" s="227"/>
      <c r="HMZ1720" s="227"/>
      <c r="HNA1720" s="227"/>
      <c r="HNB1720" s="227"/>
      <c r="HNC1720" s="227"/>
      <c r="HND1720" s="227"/>
      <c r="HNE1720" s="227"/>
      <c r="HNF1720" s="227"/>
      <c r="HNG1720" s="227"/>
      <c r="HNH1720" s="227"/>
      <c r="HNI1720" s="227"/>
      <c r="HNJ1720" s="227"/>
      <c r="HNK1720" s="227"/>
      <c r="HNL1720" s="227"/>
      <c r="HNM1720" s="227"/>
      <c r="HNN1720" s="227"/>
      <c r="HNO1720" s="227"/>
      <c r="HNP1720" s="227"/>
      <c r="HNQ1720" s="227"/>
      <c r="HNR1720" s="227"/>
      <c r="HNS1720" s="227"/>
      <c r="HNT1720" s="227"/>
      <c r="HNU1720" s="227"/>
      <c r="HNV1720" s="227"/>
      <c r="HNW1720" s="227"/>
      <c r="HNX1720" s="227"/>
      <c r="HNY1720" s="227"/>
      <c r="HNZ1720" s="227"/>
      <c r="HOA1720" s="227"/>
      <c r="HOB1720" s="227"/>
      <c r="HOC1720" s="227"/>
      <c r="HOD1720" s="227"/>
      <c r="HOE1720" s="227"/>
      <c r="HOF1720" s="227"/>
      <c r="HOG1720" s="227"/>
      <c r="HOH1720" s="227"/>
      <c r="HOI1720" s="227"/>
      <c r="HOJ1720" s="227"/>
      <c r="HOK1720" s="227"/>
      <c r="HOL1720" s="227"/>
      <c r="HOM1720" s="227"/>
      <c r="HON1720" s="227"/>
      <c r="HOO1720" s="227"/>
      <c r="HOP1720" s="227"/>
      <c r="HOQ1720" s="227"/>
      <c r="HOR1720" s="227"/>
      <c r="HOS1720" s="227"/>
      <c r="HOT1720" s="227"/>
      <c r="HOU1720" s="227"/>
      <c r="HOV1720" s="227"/>
      <c r="HOW1720" s="227"/>
      <c r="HOX1720" s="227"/>
      <c r="HOY1720" s="227"/>
      <c r="HOZ1720" s="227"/>
      <c r="HPA1720" s="227"/>
      <c r="HPB1720" s="227"/>
      <c r="HPC1720" s="227"/>
      <c r="HPD1720" s="227"/>
      <c r="HPE1720" s="227"/>
      <c r="HPF1720" s="227"/>
      <c r="HPG1720" s="227"/>
      <c r="HPH1720" s="227"/>
      <c r="HPI1720" s="227"/>
      <c r="HPJ1720" s="227"/>
      <c r="HPK1720" s="227"/>
      <c r="HPL1720" s="227"/>
      <c r="HPM1720" s="227"/>
      <c r="HPN1720" s="227"/>
      <c r="HPO1720" s="227"/>
      <c r="HPP1720" s="227"/>
      <c r="HPQ1720" s="227"/>
      <c r="HPR1720" s="227"/>
      <c r="HPS1720" s="227"/>
      <c r="HPT1720" s="227"/>
      <c r="HPU1720" s="227"/>
      <c r="HPV1720" s="227"/>
      <c r="HPW1720" s="227"/>
      <c r="HPX1720" s="227"/>
      <c r="HPY1720" s="227"/>
      <c r="HPZ1720" s="227"/>
      <c r="HQA1720" s="227"/>
      <c r="HQB1720" s="227"/>
      <c r="HQC1720" s="227"/>
      <c r="HQD1720" s="227"/>
      <c r="HQE1720" s="227"/>
      <c r="HQF1720" s="227"/>
      <c r="HQG1720" s="227"/>
      <c r="HQH1720" s="227"/>
      <c r="HQI1720" s="227"/>
      <c r="HQJ1720" s="227"/>
      <c r="HQK1720" s="227"/>
      <c r="HQL1720" s="227"/>
      <c r="HQM1720" s="227"/>
      <c r="HQN1720" s="227"/>
      <c r="HQO1720" s="227"/>
      <c r="HQP1720" s="227"/>
      <c r="HQQ1720" s="227"/>
      <c r="HQR1720" s="227"/>
      <c r="HQS1720" s="227"/>
      <c r="HQT1720" s="227"/>
      <c r="HQU1720" s="227"/>
      <c r="HQV1720" s="227"/>
      <c r="HQW1720" s="227"/>
      <c r="HQX1720" s="227"/>
      <c r="HQY1720" s="227"/>
      <c r="HQZ1720" s="227"/>
      <c r="HRA1720" s="227"/>
      <c r="HRB1720" s="227"/>
      <c r="HRC1720" s="227"/>
      <c r="HRD1720" s="227"/>
      <c r="HRE1720" s="227"/>
      <c r="HRF1720" s="227"/>
      <c r="HRG1720" s="227"/>
      <c r="HRH1720" s="227"/>
      <c r="HRI1720" s="227"/>
      <c r="HRJ1720" s="227"/>
      <c r="HRK1720" s="227"/>
      <c r="HRL1720" s="227"/>
      <c r="HRM1720" s="227"/>
      <c r="HRN1720" s="227"/>
      <c r="HRO1720" s="227"/>
      <c r="HRP1720" s="227"/>
      <c r="HRQ1720" s="227"/>
      <c r="HRR1720" s="227"/>
      <c r="HRS1720" s="227"/>
      <c r="HRT1720" s="227"/>
      <c r="HRU1720" s="227"/>
      <c r="HRV1720" s="227"/>
      <c r="HRW1720" s="227"/>
      <c r="HRX1720" s="227"/>
      <c r="HRY1720" s="227"/>
      <c r="HRZ1720" s="227"/>
      <c r="HSA1720" s="227"/>
      <c r="HSB1720" s="227"/>
      <c r="HSC1720" s="227"/>
      <c r="HSD1720" s="227"/>
      <c r="HSE1720" s="227"/>
      <c r="HSF1720" s="227"/>
      <c r="HSG1720" s="227"/>
      <c r="HSH1720" s="227"/>
      <c r="HSI1720" s="227"/>
      <c r="HSJ1720" s="227"/>
      <c r="HSK1720" s="227"/>
      <c r="HSL1720" s="227"/>
      <c r="HSM1720" s="227"/>
      <c r="HSN1720" s="227"/>
      <c r="HSO1720" s="227"/>
      <c r="HSP1720" s="227"/>
      <c r="HSQ1720" s="227"/>
      <c r="HSR1720" s="227"/>
      <c r="HSS1720" s="227"/>
      <c r="HST1720" s="227"/>
      <c r="HSU1720" s="227"/>
      <c r="HSV1720" s="227"/>
      <c r="HSW1720" s="227"/>
      <c r="HSX1720" s="227"/>
      <c r="HSY1720" s="227"/>
      <c r="HSZ1720" s="227"/>
      <c r="HTA1720" s="227"/>
      <c r="HTB1720" s="227"/>
      <c r="HTC1720" s="227"/>
      <c r="HTD1720" s="227"/>
      <c r="HTE1720" s="227"/>
      <c r="HTF1720" s="227"/>
      <c r="HTG1720" s="227"/>
      <c r="HTH1720" s="227"/>
      <c r="HTI1720" s="227"/>
      <c r="HTJ1720" s="227"/>
      <c r="HTK1720" s="227"/>
      <c r="HTL1720" s="227"/>
      <c r="HTM1720" s="227"/>
      <c r="HTN1720" s="227"/>
      <c r="HTO1720" s="227"/>
      <c r="HTP1720" s="227"/>
      <c r="HTQ1720" s="227"/>
      <c r="HTR1720" s="227"/>
      <c r="HTS1720" s="227"/>
      <c r="HTT1720" s="227"/>
      <c r="HTU1720" s="227"/>
      <c r="HTV1720" s="227"/>
      <c r="HTW1720" s="227"/>
      <c r="HTX1720" s="227"/>
      <c r="HTY1720" s="227"/>
      <c r="HTZ1720" s="227"/>
      <c r="HUA1720" s="227"/>
      <c r="HUB1720" s="227"/>
      <c r="HUC1720" s="227"/>
      <c r="HUD1720" s="227"/>
      <c r="HUE1720" s="227"/>
      <c r="HUF1720" s="227"/>
      <c r="HUG1720" s="227"/>
      <c r="HUH1720" s="227"/>
      <c r="HUI1720" s="227"/>
      <c r="HUJ1720" s="227"/>
      <c r="HUK1720" s="227"/>
      <c r="HUL1720" s="227"/>
      <c r="HUM1720" s="227"/>
      <c r="HUN1720" s="227"/>
      <c r="HUO1720" s="227"/>
      <c r="HUP1720" s="227"/>
      <c r="HUQ1720" s="227"/>
      <c r="HUR1720" s="227"/>
      <c r="HUS1720" s="227"/>
      <c r="HUT1720" s="227"/>
      <c r="HUU1720" s="227"/>
      <c r="HUV1720" s="227"/>
      <c r="HUW1720" s="227"/>
      <c r="HUX1720" s="227"/>
      <c r="HUY1720" s="227"/>
      <c r="HUZ1720" s="227"/>
      <c r="HVA1720" s="227"/>
      <c r="HVB1720" s="227"/>
      <c r="HVC1720" s="227"/>
      <c r="HVD1720" s="227"/>
      <c r="HVE1720" s="227"/>
      <c r="HVF1720" s="227"/>
      <c r="HVG1720" s="227"/>
      <c r="HVH1720" s="227"/>
      <c r="HVI1720" s="227"/>
      <c r="HVJ1720" s="227"/>
      <c r="HVK1720" s="227"/>
      <c r="HVL1720" s="227"/>
      <c r="HVM1720" s="227"/>
      <c r="HVN1720" s="227"/>
      <c r="HVO1720" s="227"/>
      <c r="HVP1720" s="227"/>
      <c r="HVQ1720" s="227"/>
      <c r="HVR1720" s="227"/>
      <c r="HVS1720" s="227"/>
      <c r="HVT1720" s="227"/>
      <c r="HVU1720" s="227"/>
      <c r="HVV1720" s="227"/>
      <c r="HVW1720" s="227"/>
      <c r="HVX1720" s="227"/>
      <c r="HVY1720" s="227"/>
      <c r="HVZ1720" s="227"/>
      <c r="HWA1720" s="227"/>
      <c r="HWB1720" s="227"/>
      <c r="HWC1720" s="227"/>
      <c r="HWD1720" s="227"/>
      <c r="HWE1720" s="227"/>
      <c r="HWF1720" s="227"/>
      <c r="HWG1720" s="227"/>
      <c r="HWH1720" s="227"/>
      <c r="HWI1720" s="227"/>
      <c r="HWJ1720" s="227"/>
      <c r="HWK1720" s="227"/>
      <c r="HWL1720" s="227"/>
      <c r="HWM1720" s="227"/>
      <c r="HWN1720" s="227"/>
      <c r="HWO1720" s="227"/>
      <c r="HWP1720" s="227"/>
      <c r="HWQ1720" s="227"/>
      <c r="HWR1720" s="227"/>
      <c r="HWS1720" s="227"/>
      <c r="HWT1720" s="227"/>
      <c r="HWU1720" s="227"/>
      <c r="HWV1720" s="227"/>
      <c r="HWW1720" s="227"/>
      <c r="HWX1720" s="227"/>
      <c r="HWY1720" s="227"/>
      <c r="HWZ1720" s="227"/>
      <c r="HXA1720" s="227"/>
      <c r="HXB1720" s="227"/>
      <c r="HXC1720" s="227"/>
      <c r="HXD1720" s="227"/>
      <c r="HXE1720" s="227"/>
      <c r="HXF1720" s="227"/>
      <c r="HXG1720" s="227"/>
      <c r="HXH1720" s="227"/>
      <c r="HXI1720" s="227"/>
      <c r="HXJ1720" s="227"/>
      <c r="HXK1720" s="227"/>
      <c r="HXL1720" s="227"/>
      <c r="HXM1720" s="227"/>
      <c r="HXN1720" s="227"/>
      <c r="HXO1720" s="227"/>
      <c r="HXP1720" s="227"/>
      <c r="HXQ1720" s="227"/>
      <c r="HXR1720" s="227"/>
      <c r="HXS1720" s="227"/>
      <c r="HXT1720" s="227"/>
      <c r="HXU1720" s="227"/>
      <c r="HXV1720" s="227"/>
      <c r="HXW1720" s="227"/>
      <c r="HXX1720" s="227"/>
      <c r="HXY1720" s="227"/>
      <c r="HXZ1720" s="227"/>
      <c r="HYA1720" s="227"/>
      <c r="HYB1720" s="227"/>
      <c r="HYC1720" s="227"/>
      <c r="HYD1720" s="227"/>
      <c r="HYE1720" s="227"/>
      <c r="HYF1720" s="227"/>
      <c r="HYG1720" s="227"/>
      <c r="HYH1720" s="227"/>
      <c r="HYI1720" s="227"/>
      <c r="HYJ1720" s="227"/>
      <c r="HYK1720" s="227"/>
      <c r="HYL1720" s="227"/>
      <c r="HYM1720" s="227"/>
      <c r="HYN1720" s="227"/>
      <c r="HYO1720" s="227"/>
      <c r="HYP1720" s="227"/>
      <c r="HYQ1720" s="227"/>
      <c r="HYR1720" s="227"/>
      <c r="HYS1720" s="227"/>
      <c r="HYT1720" s="227"/>
      <c r="HYU1720" s="227"/>
      <c r="HYV1720" s="227"/>
      <c r="HYW1720" s="227"/>
      <c r="HYX1720" s="227"/>
      <c r="HYY1720" s="227"/>
      <c r="HYZ1720" s="227"/>
      <c r="HZA1720" s="227"/>
      <c r="HZB1720" s="227"/>
      <c r="HZC1720" s="227"/>
      <c r="HZD1720" s="227"/>
      <c r="HZE1720" s="227"/>
      <c r="HZF1720" s="227"/>
      <c r="HZG1720" s="227"/>
      <c r="HZH1720" s="227"/>
      <c r="HZI1720" s="227"/>
      <c r="HZJ1720" s="227"/>
      <c r="HZK1720" s="227"/>
      <c r="HZL1720" s="227"/>
      <c r="HZM1720" s="227"/>
      <c r="HZN1720" s="227"/>
      <c r="HZO1720" s="227"/>
      <c r="HZP1720" s="227"/>
      <c r="HZQ1720" s="227"/>
      <c r="HZR1720" s="227"/>
      <c r="HZS1720" s="227"/>
      <c r="HZT1720" s="227"/>
      <c r="HZU1720" s="227"/>
      <c r="HZV1720" s="227"/>
      <c r="HZW1720" s="227"/>
      <c r="HZX1720" s="227"/>
      <c r="HZY1720" s="227"/>
      <c r="HZZ1720" s="227"/>
      <c r="IAA1720" s="227"/>
      <c r="IAB1720" s="227"/>
      <c r="IAC1720" s="227"/>
      <c r="IAD1720" s="227"/>
      <c r="IAE1720" s="227"/>
      <c r="IAF1720" s="227"/>
      <c r="IAG1720" s="227"/>
      <c r="IAH1720" s="227"/>
      <c r="IAI1720" s="227"/>
      <c r="IAJ1720" s="227"/>
      <c r="IAK1720" s="227"/>
      <c r="IAL1720" s="227"/>
      <c r="IAM1720" s="227"/>
      <c r="IAN1720" s="227"/>
      <c r="IAO1720" s="227"/>
      <c r="IAP1720" s="227"/>
      <c r="IAQ1720" s="227"/>
      <c r="IAR1720" s="227"/>
      <c r="IAS1720" s="227"/>
      <c r="IAT1720" s="227"/>
      <c r="IAU1720" s="227"/>
      <c r="IAV1720" s="227"/>
      <c r="IAW1720" s="227"/>
      <c r="IAX1720" s="227"/>
      <c r="IAY1720" s="227"/>
      <c r="IAZ1720" s="227"/>
      <c r="IBA1720" s="227"/>
      <c r="IBB1720" s="227"/>
      <c r="IBC1720" s="227"/>
      <c r="IBD1720" s="227"/>
      <c r="IBE1720" s="227"/>
      <c r="IBF1720" s="227"/>
      <c r="IBG1720" s="227"/>
      <c r="IBH1720" s="227"/>
      <c r="IBI1720" s="227"/>
      <c r="IBJ1720" s="227"/>
      <c r="IBK1720" s="227"/>
      <c r="IBL1720" s="227"/>
      <c r="IBM1720" s="227"/>
      <c r="IBN1720" s="227"/>
      <c r="IBO1720" s="227"/>
      <c r="IBP1720" s="227"/>
      <c r="IBQ1720" s="227"/>
      <c r="IBR1720" s="227"/>
      <c r="IBS1720" s="227"/>
      <c r="IBT1720" s="227"/>
      <c r="IBU1720" s="227"/>
      <c r="IBV1720" s="227"/>
      <c r="IBW1720" s="227"/>
      <c r="IBX1720" s="227"/>
      <c r="IBY1720" s="227"/>
      <c r="IBZ1720" s="227"/>
      <c r="ICA1720" s="227"/>
      <c r="ICB1720" s="227"/>
      <c r="ICC1720" s="227"/>
      <c r="ICD1720" s="227"/>
      <c r="ICE1720" s="227"/>
      <c r="ICF1720" s="227"/>
      <c r="ICG1720" s="227"/>
      <c r="ICH1720" s="227"/>
      <c r="ICI1720" s="227"/>
      <c r="ICJ1720" s="227"/>
      <c r="ICK1720" s="227"/>
      <c r="ICL1720" s="227"/>
      <c r="ICM1720" s="227"/>
      <c r="ICN1720" s="227"/>
      <c r="ICO1720" s="227"/>
      <c r="ICP1720" s="227"/>
      <c r="ICQ1720" s="227"/>
      <c r="ICR1720" s="227"/>
      <c r="ICS1720" s="227"/>
      <c r="ICT1720" s="227"/>
      <c r="ICU1720" s="227"/>
      <c r="ICV1720" s="227"/>
      <c r="ICW1720" s="227"/>
      <c r="ICX1720" s="227"/>
      <c r="ICY1720" s="227"/>
      <c r="ICZ1720" s="227"/>
      <c r="IDA1720" s="227"/>
      <c r="IDB1720" s="227"/>
      <c r="IDC1720" s="227"/>
      <c r="IDD1720" s="227"/>
      <c r="IDE1720" s="227"/>
      <c r="IDF1720" s="227"/>
      <c r="IDG1720" s="227"/>
      <c r="IDH1720" s="227"/>
      <c r="IDI1720" s="227"/>
      <c r="IDJ1720" s="227"/>
      <c r="IDK1720" s="227"/>
      <c r="IDL1720" s="227"/>
      <c r="IDM1720" s="227"/>
      <c r="IDN1720" s="227"/>
      <c r="IDO1720" s="227"/>
      <c r="IDP1720" s="227"/>
      <c r="IDQ1720" s="227"/>
      <c r="IDR1720" s="227"/>
      <c r="IDS1720" s="227"/>
      <c r="IDT1720" s="227"/>
      <c r="IDU1720" s="227"/>
      <c r="IDV1720" s="227"/>
      <c r="IDW1720" s="227"/>
      <c r="IDX1720" s="227"/>
      <c r="IDY1720" s="227"/>
      <c r="IDZ1720" s="227"/>
      <c r="IEA1720" s="227"/>
      <c r="IEB1720" s="227"/>
      <c r="IEC1720" s="227"/>
      <c r="IED1720" s="227"/>
      <c r="IEE1720" s="227"/>
      <c r="IEF1720" s="227"/>
      <c r="IEG1720" s="227"/>
      <c r="IEH1720" s="227"/>
      <c r="IEI1720" s="227"/>
      <c r="IEJ1720" s="227"/>
      <c r="IEK1720" s="227"/>
      <c r="IEL1720" s="227"/>
      <c r="IEM1720" s="227"/>
      <c r="IEN1720" s="227"/>
      <c r="IEO1720" s="227"/>
      <c r="IEP1720" s="227"/>
      <c r="IEQ1720" s="227"/>
      <c r="IER1720" s="227"/>
      <c r="IES1720" s="227"/>
      <c r="IET1720" s="227"/>
      <c r="IEU1720" s="227"/>
      <c r="IEV1720" s="227"/>
      <c r="IEW1720" s="227"/>
      <c r="IEX1720" s="227"/>
      <c r="IEY1720" s="227"/>
      <c r="IEZ1720" s="227"/>
      <c r="IFA1720" s="227"/>
      <c r="IFB1720" s="227"/>
      <c r="IFC1720" s="227"/>
      <c r="IFD1720" s="227"/>
      <c r="IFE1720" s="227"/>
      <c r="IFF1720" s="227"/>
      <c r="IFG1720" s="227"/>
      <c r="IFH1720" s="227"/>
      <c r="IFI1720" s="227"/>
      <c r="IFJ1720" s="227"/>
      <c r="IFK1720" s="227"/>
      <c r="IFL1720" s="227"/>
      <c r="IFM1720" s="227"/>
      <c r="IFN1720" s="227"/>
      <c r="IFO1720" s="227"/>
      <c r="IFP1720" s="227"/>
      <c r="IFQ1720" s="227"/>
      <c r="IFR1720" s="227"/>
      <c r="IFS1720" s="227"/>
      <c r="IFT1720" s="227"/>
      <c r="IFU1720" s="227"/>
      <c r="IFV1720" s="227"/>
      <c r="IFW1720" s="227"/>
      <c r="IFX1720" s="227"/>
      <c r="IFY1720" s="227"/>
      <c r="IFZ1720" s="227"/>
      <c r="IGA1720" s="227"/>
      <c r="IGB1720" s="227"/>
      <c r="IGC1720" s="227"/>
      <c r="IGD1720" s="227"/>
      <c r="IGE1720" s="227"/>
      <c r="IGF1720" s="227"/>
      <c r="IGG1720" s="227"/>
      <c r="IGH1720" s="227"/>
      <c r="IGI1720" s="227"/>
      <c r="IGJ1720" s="227"/>
      <c r="IGK1720" s="227"/>
      <c r="IGL1720" s="227"/>
      <c r="IGM1720" s="227"/>
      <c r="IGN1720" s="227"/>
      <c r="IGO1720" s="227"/>
      <c r="IGP1720" s="227"/>
      <c r="IGQ1720" s="227"/>
      <c r="IGR1720" s="227"/>
      <c r="IGS1720" s="227"/>
      <c r="IGT1720" s="227"/>
      <c r="IGU1720" s="227"/>
      <c r="IGV1720" s="227"/>
      <c r="IGW1720" s="227"/>
      <c r="IGX1720" s="227"/>
      <c r="IGY1720" s="227"/>
      <c r="IGZ1720" s="227"/>
      <c r="IHA1720" s="227"/>
      <c r="IHB1720" s="227"/>
      <c r="IHC1720" s="227"/>
      <c r="IHD1720" s="227"/>
      <c r="IHE1720" s="227"/>
      <c r="IHF1720" s="227"/>
      <c r="IHG1720" s="227"/>
      <c r="IHH1720" s="227"/>
      <c r="IHI1720" s="227"/>
      <c r="IHJ1720" s="227"/>
      <c r="IHK1720" s="227"/>
      <c r="IHL1720" s="227"/>
      <c r="IHM1720" s="227"/>
      <c r="IHN1720" s="227"/>
      <c r="IHO1720" s="227"/>
      <c r="IHP1720" s="227"/>
      <c r="IHQ1720" s="227"/>
      <c r="IHR1720" s="227"/>
      <c r="IHS1720" s="227"/>
      <c r="IHT1720" s="227"/>
      <c r="IHU1720" s="227"/>
      <c r="IHV1720" s="227"/>
      <c r="IHW1720" s="227"/>
      <c r="IHX1720" s="227"/>
      <c r="IHY1720" s="227"/>
      <c r="IHZ1720" s="227"/>
      <c r="IIA1720" s="227"/>
      <c r="IIB1720" s="227"/>
      <c r="IIC1720" s="227"/>
      <c r="IID1720" s="227"/>
      <c r="IIE1720" s="227"/>
      <c r="IIF1720" s="227"/>
      <c r="IIG1720" s="227"/>
      <c r="IIH1720" s="227"/>
      <c r="III1720" s="227"/>
      <c r="IIJ1720" s="227"/>
      <c r="IIK1720" s="227"/>
      <c r="IIL1720" s="227"/>
      <c r="IIM1720" s="227"/>
      <c r="IIN1720" s="227"/>
      <c r="IIO1720" s="227"/>
      <c r="IIP1720" s="227"/>
      <c r="IIQ1720" s="227"/>
      <c r="IIR1720" s="227"/>
      <c r="IIS1720" s="227"/>
      <c r="IIT1720" s="227"/>
      <c r="IIU1720" s="227"/>
      <c r="IIV1720" s="227"/>
      <c r="IIW1720" s="227"/>
      <c r="IIX1720" s="227"/>
      <c r="IIY1720" s="227"/>
      <c r="IIZ1720" s="227"/>
      <c r="IJA1720" s="227"/>
      <c r="IJB1720" s="227"/>
      <c r="IJC1720" s="227"/>
      <c r="IJD1720" s="227"/>
      <c r="IJE1720" s="227"/>
      <c r="IJF1720" s="227"/>
      <c r="IJG1720" s="227"/>
      <c r="IJH1720" s="227"/>
      <c r="IJI1720" s="227"/>
      <c r="IJJ1720" s="227"/>
      <c r="IJK1720" s="227"/>
      <c r="IJL1720" s="227"/>
      <c r="IJM1720" s="227"/>
      <c r="IJN1720" s="227"/>
      <c r="IJO1720" s="227"/>
      <c r="IJP1720" s="227"/>
      <c r="IJQ1720" s="227"/>
      <c r="IJR1720" s="227"/>
      <c r="IJS1720" s="227"/>
      <c r="IJT1720" s="227"/>
      <c r="IJU1720" s="227"/>
      <c r="IJV1720" s="227"/>
      <c r="IJW1720" s="227"/>
      <c r="IJX1720" s="227"/>
      <c r="IJY1720" s="227"/>
      <c r="IJZ1720" s="227"/>
      <c r="IKA1720" s="227"/>
      <c r="IKB1720" s="227"/>
      <c r="IKC1720" s="227"/>
      <c r="IKD1720" s="227"/>
      <c r="IKE1720" s="227"/>
      <c r="IKF1720" s="227"/>
      <c r="IKG1720" s="227"/>
      <c r="IKH1720" s="227"/>
      <c r="IKI1720" s="227"/>
      <c r="IKJ1720" s="227"/>
      <c r="IKK1720" s="227"/>
      <c r="IKL1720" s="227"/>
      <c r="IKM1720" s="227"/>
      <c r="IKN1720" s="227"/>
      <c r="IKO1720" s="227"/>
      <c r="IKP1720" s="227"/>
      <c r="IKQ1720" s="227"/>
      <c r="IKR1720" s="227"/>
      <c r="IKS1720" s="227"/>
      <c r="IKT1720" s="227"/>
      <c r="IKU1720" s="227"/>
      <c r="IKV1720" s="227"/>
      <c r="IKW1720" s="227"/>
      <c r="IKX1720" s="227"/>
      <c r="IKY1720" s="227"/>
      <c r="IKZ1720" s="227"/>
      <c r="ILA1720" s="227"/>
      <c r="ILB1720" s="227"/>
      <c r="ILC1720" s="227"/>
      <c r="ILD1720" s="227"/>
      <c r="ILE1720" s="227"/>
      <c r="ILF1720" s="227"/>
      <c r="ILG1720" s="227"/>
      <c r="ILH1720" s="227"/>
      <c r="ILI1720" s="227"/>
      <c r="ILJ1720" s="227"/>
      <c r="ILK1720" s="227"/>
      <c r="ILL1720" s="227"/>
      <c r="ILM1720" s="227"/>
      <c r="ILN1720" s="227"/>
      <c r="ILO1720" s="227"/>
      <c r="ILP1720" s="227"/>
      <c r="ILQ1720" s="227"/>
      <c r="ILR1720" s="227"/>
      <c r="ILS1720" s="227"/>
      <c r="ILT1720" s="227"/>
      <c r="ILU1720" s="227"/>
      <c r="ILV1720" s="227"/>
      <c r="ILW1720" s="227"/>
      <c r="ILX1720" s="227"/>
      <c r="ILY1720" s="227"/>
      <c r="ILZ1720" s="227"/>
      <c r="IMA1720" s="227"/>
      <c r="IMB1720" s="227"/>
      <c r="IMC1720" s="227"/>
      <c r="IMD1720" s="227"/>
      <c r="IME1720" s="227"/>
      <c r="IMF1720" s="227"/>
      <c r="IMG1720" s="227"/>
      <c r="IMH1720" s="227"/>
      <c r="IMI1720" s="227"/>
      <c r="IMJ1720" s="227"/>
      <c r="IMK1720" s="227"/>
      <c r="IML1720" s="227"/>
      <c r="IMM1720" s="227"/>
      <c r="IMN1720" s="227"/>
      <c r="IMO1720" s="227"/>
      <c r="IMP1720" s="227"/>
      <c r="IMQ1720" s="227"/>
      <c r="IMR1720" s="227"/>
      <c r="IMS1720" s="227"/>
      <c r="IMT1720" s="227"/>
      <c r="IMU1720" s="227"/>
      <c r="IMV1720" s="227"/>
      <c r="IMW1720" s="227"/>
      <c r="IMX1720" s="227"/>
      <c r="IMY1720" s="227"/>
      <c r="IMZ1720" s="227"/>
      <c r="INA1720" s="227"/>
      <c r="INB1720" s="227"/>
      <c r="INC1720" s="227"/>
      <c r="IND1720" s="227"/>
      <c r="INE1720" s="227"/>
      <c r="INF1720" s="227"/>
      <c r="ING1720" s="227"/>
      <c r="INH1720" s="227"/>
      <c r="INI1720" s="227"/>
      <c r="INJ1720" s="227"/>
      <c r="INK1720" s="227"/>
      <c r="INL1720" s="227"/>
      <c r="INM1720" s="227"/>
      <c r="INN1720" s="227"/>
      <c r="INO1720" s="227"/>
      <c r="INP1720" s="227"/>
      <c r="INQ1720" s="227"/>
      <c r="INR1720" s="227"/>
      <c r="INS1720" s="227"/>
      <c r="INT1720" s="227"/>
      <c r="INU1720" s="227"/>
      <c r="INV1720" s="227"/>
      <c r="INW1720" s="227"/>
      <c r="INX1720" s="227"/>
      <c r="INY1720" s="227"/>
      <c r="INZ1720" s="227"/>
      <c r="IOA1720" s="227"/>
      <c r="IOB1720" s="227"/>
      <c r="IOC1720" s="227"/>
      <c r="IOD1720" s="227"/>
      <c r="IOE1720" s="227"/>
      <c r="IOF1720" s="227"/>
      <c r="IOG1720" s="227"/>
      <c r="IOH1720" s="227"/>
      <c r="IOI1720" s="227"/>
      <c r="IOJ1720" s="227"/>
      <c r="IOK1720" s="227"/>
      <c r="IOL1720" s="227"/>
      <c r="IOM1720" s="227"/>
      <c r="ION1720" s="227"/>
      <c r="IOO1720" s="227"/>
      <c r="IOP1720" s="227"/>
      <c r="IOQ1720" s="227"/>
      <c r="IOR1720" s="227"/>
      <c r="IOS1720" s="227"/>
      <c r="IOT1720" s="227"/>
      <c r="IOU1720" s="227"/>
      <c r="IOV1720" s="227"/>
      <c r="IOW1720" s="227"/>
      <c r="IOX1720" s="227"/>
      <c r="IOY1720" s="227"/>
      <c r="IOZ1720" s="227"/>
      <c r="IPA1720" s="227"/>
      <c r="IPB1720" s="227"/>
      <c r="IPC1720" s="227"/>
      <c r="IPD1720" s="227"/>
      <c r="IPE1720" s="227"/>
      <c r="IPF1720" s="227"/>
      <c r="IPG1720" s="227"/>
      <c r="IPH1720" s="227"/>
      <c r="IPI1720" s="227"/>
      <c r="IPJ1720" s="227"/>
      <c r="IPK1720" s="227"/>
      <c r="IPL1720" s="227"/>
      <c r="IPM1720" s="227"/>
      <c r="IPN1720" s="227"/>
      <c r="IPO1720" s="227"/>
      <c r="IPP1720" s="227"/>
      <c r="IPQ1720" s="227"/>
      <c r="IPR1720" s="227"/>
      <c r="IPS1720" s="227"/>
      <c r="IPT1720" s="227"/>
      <c r="IPU1720" s="227"/>
      <c r="IPV1720" s="227"/>
      <c r="IPW1720" s="227"/>
      <c r="IPX1720" s="227"/>
      <c r="IPY1720" s="227"/>
      <c r="IPZ1720" s="227"/>
      <c r="IQA1720" s="227"/>
      <c r="IQB1720" s="227"/>
      <c r="IQC1720" s="227"/>
      <c r="IQD1720" s="227"/>
      <c r="IQE1720" s="227"/>
      <c r="IQF1720" s="227"/>
      <c r="IQG1720" s="227"/>
      <c r="IQH1720" s="227"/>
      <c r="IQI1720" s="227"/>
      <c r="IQJ1720" s="227"/>
      <c r="IQK1720" s="227"/>
      <c r="IQL1720" s="227"/>
      <c r="IQM1720" s="227"/>
      <c r="IQN1720" s="227"/>
      <c r="IQO1720" s="227"/>
      <c r="IQP1720" s="227"/>
      <c r="IQQ1720" s="227"/>
      <c r="IQR1720" s="227"/>
      <c r="IQS1720" s="227"/>
      <c r="IQT1720" s="227"/>
      <c r="IQU1720" s="227"/>
      <c r="IQV1720" s="227"/>
      <c r="IQW1720" s="227"/>
      <c r="IQX1720" s="227"/>
      <c r="IQY1720" s="227"/>
      <c r="IQZ1720" s="227"/>
      <c r="IRA1720" s="227"/>
      <c r="IRB1720" s="227"/>
      <c r="IRC1720" s="227"/>
      <c r="IRD1720" s="227"/>
      <c r="IRE1720" s="227"/>
      <c r="IRF1720" s="227"/>
      <c r="IRG1720" s="227"/>
      <c r="IRH1720" s="227"/>
      <c r="IRI1720" s="227"/>
      <c r="IRJ1720" s="227"/>
      <c r="IRK1720" s="227"/>
      <c r="IRL1720" s="227"/>
      <c r="IRM1720" s="227"/>
      <c r="IRN1720" s="227"/>
      <c r="IRO1720" s="227"/>
      <c r="IRP1720" s="227"/>
      <c r="IRQ1720" s="227"/>
      <c r="IRR1720" s="227"/>
      <c r="IRS1720" s="227"/>
      <c r="IRT1720" s="227"/>
      <c r="IRU1720" s="227"/>
      <c r="IRV1720" s="227"/>
      <c r="IRW1720" s="227"/>
      <c r="IRX1720" s="227"/>
      <c r="IRY1720" s="227"/>
      <c r="IRZ1720" s="227"/>
      <c r="ISA1720" s="227"/>
      <c r="ISB1720" s="227"/>
      <c r="ISC1720" s="227"/>
      <c r="ISD1720" s="227"/>
      <c r="ISE1720" s="227"/>
      <c r="ISF1720" s="227"/>
      <c r="ISG1720" s="227"/>
      <c r="ISH1720" s="227"/>
      <c r="ISI1720" s="227"/>
      <c r="ISJ1720" s="227"/>
      <c r="ISK1720" s="227"/>
      <c r="ISL1720" s="227"/>
      <c r="ISM1720" s="227"/>
      <c r="ISN1720" s="227"/>
      <c r="ISO1720" s="227"/>
      <c r="ISP1720" s="227"/>
      <c r="ISQ1720" s="227"/>
      <c r="ISR1720" s="227"/>
      <c r="ISS1720" s="227"/>
      <c r="IST1720" s="227"/>
      <c r="ISU1720" s="227"/>
      <c r="ISV1720" s="227"/>
      <c r="ISW1720" s="227"/>
      <c r="ISX1720" s="227"/>
      <c r="ISY1720" s="227"/>
      <c r="ISZ1720" s="227"/>
      <c r="ITA1720" s="227"/>
      <c r="ITB1720" s="227"/>
      <c r="ITC1720" s="227"/>
      <c r="ITD1720" s="227"/>
      <c r="ITE1720" s="227"/>
      <c r="ITF1720" s="227"/>
      <c r="ITG1720" s="227"/>
      <c r="ITH1720" s="227"/>
      <c r="ITI1720" s="227"/>
      <c r="ITJ1720" s="227"/>
      <c r="ITK1720" s="227"/>
      <c r="ITL1720" s="227"/>
      <c r="ITM1720" s="227"/>
      <c r="ITN1720" s="227"/>
      <c r="ITO1720" s="227"/>
      <c r="ITP1720" s="227"/>
      <c r="ITQ1720" s="227"/>
      <c r="ITR1720" s="227"/>
      <c r="ITS1720" s="227"/>
      <c r="ITT1720" s="227"/>
      <c r="ITU1720" s="227"/>
      <c r="ITV1720" s="227"/>
      <c r="ITW1720" s="227"/>
      <c r="ITX1720" s="227"/>
      <c r="ITY1720" s="227"/>
      <c r="ITZ1720" s="227"/>
      <c r="IUA1720" s="227"/>
      <c r="IUB1720" s="227"/>
      <c r="IUC1720" s="227"/>
      <c r="IUD1720" s="227"/>
      <c r="IUE1720" s="227"/>
      <c r="IUF1720" s="227"/>
      <c r="IUG1720" s="227"/>
      <c r="IUH1720" s="227"/>
      <c r="IUI1720" s="227"/>
      <c r="IUJ1720" s="227"/>
      <c r="IUK1720" s="227"/>
      <c r="IUL1720" s="227"/>
      <c r="IUM1720" s="227"/>
      <c r="IUN1720" s="227"/>
      <c r="IUO1720" s="227"/>
      <c r="IUP1720" s="227"/>
      <c r="IUQ1720" s="227"/>
      <c r="IUR1720" s="227"/>
      <c r="IUS1720" s="227"/>
      <c r="IUT1720" s="227"/>
      <c r="IUU1720" s="227"/>
      <c r="IUV1720" s="227"/>
      <c r="IUW1720" s="227"/>
      <c r="IUX1720" s="227"/>
      <c r="IUY1720" s="227"/>
      <c r="IUZ1720" s="227"/>
      <c r="IVA1720" s="227"/>
      <c r="IVB1720" s="227"/>
      <c r="IVC1720" s="227"/>
      <c r="IVD1720" s="227"/>
      <c r="IVE1720" s="227"/>
      <c r="IVF1720" s="227"/>
      <c r="IVG1720" s="227"/>
      <c r="IVH1720" s="227"/>
      <c r="IVI1720" s="227"/>
      <c r="IVJ1720" s="227"/>
      <c r="IVK1720" s="227"/>
      <c r="IVL1720" s="227"/>
      <c r="IVM1720" s="227"/>
      <c r="IVN1720" s="227"/>
      <c r="IVO1720" s="227"/>
      <c r="IVP1720" s="227"/>
      <c r="IVQ1720" s="227"/>
      <c r="IVR1720" s="227"/>
      <c r="IVS1720" s="227"/>
      <c r="IVT1720" s="227"/>
      <c r="IVU1720" s="227"/>
      <c r="IVV1720" s="227"/>
      <c r="IVW1720" s="227"/>
      <c r="IVX1720" s="227"/>
      <c r="IVY1720" s="227"/>
      <c r="IVZ1720" s="227"/>
      <c r="IWA1720" s="227"/>
      <c r="IWB1720" s="227"/>
      <c r="IWC1720" s="227"/>
      <c r="IWD1720" s="227"/>
      <c r="IWE1720" s="227"/>
      <c r="IWF1720" s="227"/>
      <c r="IWG1720" s="227"/>
      <c r="IWH1720" s="227"/>
      <c r="IWI1720" s="227"/>
      <c r="IWJ1720" s="227"/>
      <c r="IWK1720" s="227"/>
      <c r="IWL1720" s="227"/>
      <c r="IWM1720" s="227"/>
      <c r="IWN1720" s="227"/>
      <c r="IWO1720" s="227"/>
      <c r="IWP1720" s="227"/>
      <c r="IWQ1720" s="227"/>
      <c r="IWR1720" s="227"/>
      <c r="IWS1720" s="227"/>
      <c r="IWT1720" s="227"/>
      <c r="IWU1720" s="227"/>
      <c r="IWV1720" s="227"/>
      <c r="IWW1720" s="227"/>
      <c r="IWX1720" s="227"/>
      <c r="IWY1720" s="227"/>
      <c r="IWZ1720" s="227"/>
      <c r="IXA1720" s="227"/>
      <c r="IXB1720" s="227"/>
      <c r="IXC1720" s="227"/>
      <c r="IXD1720" s="227"/>
      <c r="IXE1720" s="227"/>
      <c r="IXF1720" s="227"/>
      <c r="IXG1720" s="227"/>
      <c r="IXH1720" s="227"/>
      <c r="IXI1720" s="227"/>
      <c r="IXJ1720" s="227"/>
      <c r="IXK1720" s="227"/>
      <c r="IXL1720" s="227"/>
      <c r="IXM1720" s="227"/>
      <c r="IXN1720" s="227"/>
      <c r="IXO1720" s="227"/>
      <c r="IXP1720" s="227"/>
      <c r="IXQ1720" s="227"/>
      <c r="IXR1720" s="227"/>
      <c r="IXS1720" s="227"/>
      <c r="IXT1720" s="227"/>
      <c r="IXU1720" s="227"/>
      <c r="IXV1720" s="227"/>
      <c r="IXW1720" s="227"/>
      <c r="IXX1720" s="227"/>
      <c r="IXY1720" s="227"/>
      <c r="IXZ1720" s="227"/>
      <c r="IYA1720" s="227"/>
      <c r="IYB1720" s="227"/>
      <c r="IYC1720" s="227"/>
      <c r="IYD1720" s="227"/>
      <c r="IYE1720" s="227"/>
      <c r="IYF1720" s="227"/>
      <c r="IYG1720" s="227"/>
      <c r="IYH1720" s="227"/>
      <c r="IYI1720" s="227"/>
      <c r="IYJ1720" s="227"/>
      <c r="IYK1720" s="227"/>
      <c r="IYL1720" s="227"/>
      <c r="IYM1720" s="227"/>
      <c r="IYN1720" s="227"/>
      <c r="IYO1720" s="227"/>
      <c r="IYP1720" s="227"/>
      <c r="IYQ1720" s="227"/>
      <c r="IYR1720" s="227"/>
      <c r="IYS1720" s="227"/>
      <c r="IYT1720" s="227"/>
      <c r="IYU1720" s="227"/>
      <c r="IYV1720" s="227"/>
      <c r="IYW1720" s="227"/>
      <c r="IYX1720" s="227"/>
      <c r="IYY1720" s="227"/>
      <c r="IYZ1720" s="227"/>
      <c r="IZA1720" s="227"/>
      <c r="IZB1720" s="227"/>
      <c r="IZC1720" s="227"/>
      <c r="IZD1720" s="227"/>
      <c r="IZE1720" s="227"/>
      <c r="IZF1720" s="227"/>
      <c r="IZG1720" s="227"/>
      <c r="IZH1720" s="227"/>
      <c r="IZI1720" s="227"/>
      <c r="IZJ1720" s="227"/>
      <c r="IZK1720" s="227"/>
      <c r="IZL1720" s="227"/>
      <c r="IZM1720" s="227"/>
      <c r="IZN1720" s="227"/>
      <c r="IZO1720" s="227"/>
      <c r="IZP1720" s="227"/>
      <c r="IZQ1720" s="227"/>
      <c r="IZR1720" s="227"/>
      <c r="IZS1720" s="227"/>
      <c r="IZT1720" s="227"/>
      <c r="IZU1720" s="227"/>
      <c r="IZV1720" s="227"/>
      <c r="IZW1720" s="227"/>
      <c r="IZX1720" s="227"/>
      <c r="IZY1720" s="227"/>
      <c r="IZZ1720" s="227"/>
      <c r="JAA1720" s="227"/>
      <c r="JAB1720" s="227"/>
      <c r="JAC1720" s="227"/>
      <c r="JAD1720" s="227"/>
      <c r="JAE1720" s="227"/>
      <c r="JAF1720" s="227"/>
      <c r="JAG1720" s="227"/>
      <c r="JAH1720" s="227"/>
      <c r="JAI1720" s="227"/>
      <c r="JAJ1720" s="227"/>
      <c r="JAK1720" s="227"/>
      <c r="JAL1720" s="227"/>
      <c r="JAM1720" s="227"/>
      <c r="JAN1720" s="227"/>
      <c r="JAO1720" s="227"/>
      <c r="JAP1720" s="227"/>
      <c r="JAQ1720" s="227"/>
      <c r="JAR1720" s="227"/>
      <c r="JAS1720" s="227"/>
      <c r="JAT1720" s="227"/>
      <c r="JAU1720" s="227"/>
      <c r="JAV1720" s="227"/>
      <c r="JAW1720" s="227"/>
      <c r="JAX1720" s="227"/>
      <c r="JAY1720" s="227"/>
      <c r="JAZ1720" s="227"/>
      <c r="JBA1720" s="227"/>
      <c r="JBB1720" s="227"/>
      <c r="JBC1720" s="227"/>
      <c r="JBD1720" s="227"/>
      <c r="JBE1720" s="227"/>
      <c r="JBF1720" s="227"/>
      <c r="JBG1720" s="227"/>
      <c r="JBH1720" s="227"/>
      <c r="JBI1720" s="227"/>
      <c r="JBJ1720" s="227"/>
      <c r="JBK1720" s="227"/>
      <c r="JBL1720" s="227"/>
      <c r="JBM1720" s="227"/>
      <c r="JBN1720" s="227"/>
      <c r="JBO1720" s="227"/>
      <c r="JBP1720" s="227"/>
      <c r="JBQ1720" s="227"/>
      <c r="JBR1720" s="227"/>
      <c r="JBS1720" s="227"/>
      <c r="JBT1720" s="227"/>
      <c r="JBU1720" s="227"/>
      <c r="JBV1720" s="227"/>
      <c r="JBW1720" s="227"/>
      <c r="JBX1720" s="227"/>
      <c r="JBY1720" s="227"/>
      <c r="JBZ1720" s="227"/>
      <c r="JCA1720" s="227"/>
      <c r="JCB1720" s="227"/>
      <c r="JCC1720" s="227"/>
      <c r="JCD1720" s="227"/>
      <c r="JCE1720" s="227"/>
      <c r="JCF1720" s="227"/>
      <c r="JCG1720" s="227"/>
      <c r="JCH1720" s="227"/>
      <c r="JCI1720" s="227"/>
      <c r="JCJ1720" s="227"/>
      <c r="JCK1720" s="227"/>
      <c r="JCL1720" s="227"/>
      <c r="JCM1720" s="227"/>
      <c r="JCN1720" s="227"/>
      <c r="JCO1720" s="227"/>
      <c r="JCP1720" s="227"/>
      <c r="JCQ1720" s="227"/>
      <c r="JCR1720" s="227"/>
      <c r="JCS1720" s="227"/>
      <c r="JCT1720" s="227"/>
      <c r="JCU1720" s="227"/>
      <c r="JCV1720" s="227"/>
      <c r="JCW1720" s="227"/>
      <c r="JCX1720" s="227"/>
      <c r="JCY1720" s="227"/>
      <c r="JCZ1720" s="227"/>
      <c r="JDA1720" s="227"/>
      <c r="JDB1720" s="227"/>
      <c r="JDC1720" s="227"/>
      <c r="JDD1720" s="227"/>
      <c r="JDE1720" s="227"/>
      <c r="JDF1720" s="227"/>
      <c r="JDG1720" s="227"/>
      <c r="JDH1720" s="227"/>
      <c r="JDI1720" s="227"/>
      <c r="JDJ1720" s="227"/>
      <c r="JDK1720" s="227"/>
      <c r="JDL1720" s="227"/>
      <c r="JDM1720" s="227"/>
      <c r="JDN1720" s="227"/>
      <c r="JDO1720" s="227"/>
      <c r="JDP1720" s="227"/>
      <c r="JDQ1720" s="227"/>
      <c r="JDR1720" s="227"/>
      <c r="JDS1720" s="227"/>
      <c r="JDT1720" s="227"/>
      <c r="JDU1720" s="227"/>
      <c r="JDV1720" s="227"/>
      <c r="JDW1720" s="227"/>
      <c r="JDX1720" s="227"/>
      <c r="JDY1720" s="227"/>
      <c r="JDZ1720" s="227"/>
      <c r="JEA1720" s="227"/>
      <c r="JEB1720" s="227"/>
      <c r="JEC1720" s="227"/>
      <c r="JED1720" s="227"/>
      <c r="JEE1720" s="227"/>
      <c r="JEF1720" s="227"/>
      <c r="JEG1720" s="227"/>
      <c r="JEH1720" s="227"/>
      <c r="JEI1720" s="227"/>
      <c r="JEJ1720" s="227"/>
      <c r="JEK1720" s="227"/>
      <c r="JEL1720" s="227"/>
      <c r="JEM1720" s="227"/>
      <c r="JEN1720" s="227"/>
      <c r="JEO1720" s="227"/>
      <c r="JEP1720" s="227"/>
      <c r="JEQ1720" s="227"/>
      <c r="JER1720" s="227"/>
      <c r="JES1720" s="227"/>
      <c r="JET1720" s="227"/>
      <c r="JEU1720" s="227"/>
      <c r="JEV1720" s="227"/>
      <c r="JEW1720" s="227"/>
      <c r="JEX1720" s="227"/>
      <c r="JEY1720" s="227"/>
      <c r="JEZ1720" s="227"/>
      <c r="JFA1720" s="227"/>
      <c r="JFB1720" s="227"/>
      <c r="JFC1720" s="227"/>
      <c r="JFD1720" s="227"/>
      <c r="JFE1720" s="227"/>
      <c r="JFF1720" s="227"/>
      <c r="JFG1720" s="227"/>
      <c r="JFH1720" s="227"/>
      <c r="JFI1720" s="227"/>
      <c r="JFJ1720" s="227"/>
      <c r="JFK1720" s="227"/>
      <c r="JFL1720" s="227"/>
      <c r="JFM1720" s="227"/>
      <c r="JFN1720" s="227"/>
      <c r="JFO1720" s="227"/>
      <c r="JFP1720" s="227"/>
      <c r="JFQ1720" s="227"/>
      <c r="JFR1720" s="227"/>
      <c r="JFS1720" s="227"/>
      <c r="JFT1720" s="227"/>
      <c r="JFU1720" s="227"/>
      <c r="JFV1720" s="227"/>
      <c r="JFW1720" s="227"/>
      <c r="JFX1720" s="227"/>
      <c r="JFY1720" s="227"/>
      <c r="JFZ1720" s="227"/>
      <c r="JGA1720" s="227"/>
      <c r="JGB1720" s="227"/>
      <c r="JGC1720" s="227"/>
      <c r="JGD1720" s="227"/>
      <c r="JGE1720" s="227"/>
      <c r="JGF1720" s="227"/>
      <c r="JGG1720" s="227"/>
      <c r="JGH1720" s="227"/>
      <c r="JGI1720" s="227"/>
      <c r="JGJ1720" s="227"/>
      <c r="JGK1720" s="227"/>
      <c r="JGL1720" s="227"/>
      <c r="JGM1720" s="227"/>
      <c r="JGN1720" s="227"/>
      <c r="JGO1720" s="227"/>
      <c r="JGP1720" s="227"/>
      <c r="JGQ1720" s="227"/>
      <c r="JGR1720" s="227"/>
      <c r="JGS1720" s="227"/>
      <c r="JGT1720" s="227"/>
      <c r="JGU1720" s="227"/>
      <c r="JGV1720" s="227"/>
      <c r="JGW1720" s="227"/>
      <c r="JGX1720" s="227"/>
      <c r="JGY1720" s="227"/>
      <c r="JGZ1720" s="227"/>
      <c r="JHA1720" s="227"/>
      <c r="JHB1720" s="227"/>
      <c r="JHC1720" s="227"/>
      <c r="JHD1720" s="227"/>
      <c r="JHE1720" s="227"/>
      <c r="JHF1720" s="227"/>
      <c r="JHG1720" s="227"/>
      <c r="JHH1720" s="227"/>
      <c r="JHI1720" s="227"/>
      <c r="JHJ1720" s="227"/>
      <c r="JHK1720" s="227"/>
      <c r="JHL1720" s="227"/>
      <c r="JHM1720" s="227"/>
      <c r="JHN1720" s="227"/>
      <c r="JHO1720" s="227"/>
      <c r="JHP1720" s="227"/>
      <c r="JHQ1720" s="227"/>
      <c r="JHR1720" s="227"/>
      <c r="JHS1720" s="227"/>
      <c r="JHT1720" s="227"/>
      <c r="JHU1720" s="227"/>
      <c r="JHV1720" s="227"/>
      <c r="JHW1720" s="227"/>
      <c r="JHX1720" s="227"/>
      <c r="JHY1720" s="227"/>
      <c r="JHZ1720" s="227"/>
      <c r="JIA1720" s="227"/>
      <c r="JIB1720" s="227"/>
      <c r="JIC1720" s="227"/>
      <c r="JID1720" s="227"/>
      <c r="JIE1720" s="227"/>
      <c r="JIF1720" s="227"/>
      <c r="JIG1720" s="227"/>
      <c r="JIH1720" s="227"/>
      <c r="JII1720" s="227"/>
      <c r="JIJ1720" s="227"/>
      <c r="JIK1720" s="227"/>
      <c r="JIL1720" s="227"/>
      <c r="JIM1720" s="227"/>
      <c r="JIN1720" s="227"/>
      <c r="JIO1720" s="227"/>
      <c r="JIP1720" s="227"/>
      <c r="JIQ1720" s="227"/>
      <c r="JIR1720" s="227"/>
      <c r="JIS1720" s="227"/>
      <c r="JIT1720" s="227"/>
      <c r="JIU1720" s="227"/>
      <c r="JIV1720" s="227"/>
      <c r="JIW1720" s="227"/>
      <c r="JIX1720" s="227"/>
      <c r="JIY1720" s="227"/>
      <c r="JIZ1720" s="227"/>
      <c r="JJA1720" s="227"/>
      <c r="JJB1720" s="227"/>
      <c r="JJC1720" s="227"/>
      <c r="JJD1720" s="227"/>
      <c r="JJE1720" s="227"/>
      <c r="JJF1720" s="227"/>
      <c r="JJG1720" s="227"/>
      <c r="JJH1720" s="227"/>
      <c r="JJI1720" s="227"/>
      <c r="JJJ1720" s="227"/>
      <c r="JJK1720" s="227"/>
      <c r="JJL1720" s="227"/>
      <c r="JJM1720" s="227"/>
      <c r="JJN1720" s="227"/>
      <c r="JJO1720" s="227"/>
      <c r="JJP1720" s="227"/>
      <c r="JJQ1720" s="227"/>
      <c r="JJR1720" s="227"/>
      <c r="JJS1720" s="227"/>
      <c r="JJT1720" s="227"/>
      <c r="JJU1720" s="227"/>
      <c r="JJV1720" s="227"/>
      <c r="JJW1720" s="227"/>
      <c r="JJX1720" s="227"/>
      <c r="JJY1720" s="227"/>
      <c r="JJZ1720" s="227"/>
      <c r="JKA1720" s="227"/>
      <c r="JKB1720" s="227"/>
      <c r="JKC1720" s="227"/>
      <c r="JKD1720" s="227"/>
      <c r="JKE1720" s="227"/>
      <c r="JKF1720" s="227"/>
      <c r="JKG1720" s="227"/>
      <c r="JKH1720" s="227"/>
      <c r="JKI1720" s="227"/>
      <c r="JKJ1720" s="227"/>
      <c r="JKK1720" s="227"/>
      <c r="JKL1720" s="227"/>
      <c r="JKM1720" s="227"/>
      <c r="JKN1720" s="227"/>
      <c r="JKO1720" s="227"/>
      <c r="JKP1720" s="227"/>
      <c r="JKQ1720" s="227"/>
      <c r="JKR1720" s="227"/>
      <c r="JKS1720" s="227"/>
      <c r="JKT1720" s="227"/>
      <c r="JKU1720" s="227"/>
      <c r="JKV1720" s="227"/>
      <c r="JKW1720" s="227"/>
      <c r="JKX1720" s="227"/>
      <c r="JKY1720" s="227"/>
      <c r="JKZ1720" s="227"/>
      <c r="JLA1720" s="227"/>
      <c r="JLB1720" s="227"/>
      <c r="JLC1720" s="227"/>
      <c r="JLD1720" s="227"/>
      <c r="JLE1720" s="227"/>
      <c r="JLF1720" s="227"/>
      <c r="JLG1720" s="227"/>
      <c r="JLH1720" s="227"/>
      <c r="JLI1720" s="227"/>
      <c r="JLJ1720" s="227"/>
      <c r="JLK1720" s="227"/>
      <c r="JLL1720" s="227"/>
      <c r="JLM1720" s="227"/>
      <c r="JLN1720" s="227"/>
      <c r="JLO1720" s="227"/>
      <c r="JLP1720" s="227"/>
      <c r="JLQ1720" s="227"/>
      <c r="JLR1720" s="227"/>
      <c r="JLS1720" s="227"/>
      <c r="JLT1720" s="227"/>
      <c r="JLU1720" s="227"/>
      <c r="JLV1720" s="227"/>
      <c r="JLW1720" s="227"/>
      <c r="JLX1720" s="227"/>
      <c r="JLY1720" s="227"/>
      <c r="JLZ1720" s="227"/>
      <c r="JMA1720" s="227"/>
      <c r="JMB1720" s="227"/>
      <c r="JMC1720" s="227"/>
      <c r="JMD1720" s="227"/>
      <c r="JME1720" s="227"/>
      <c r="JMF1720" s="227"/>
      <c r="JMG1720" s="227"/>
      <c r="JMH1720" s="227"/>
      <c r="JMI1720" s="227"/>
      <c r="JMJ1720" s="227"/>
      <c r="JMK1720" s="227"/>
      <c r="JML1720" s="227"/>
      <c r="JMM1720" s="227"/>
      <c r="JMN1720" s="227"/>
      <c r="JMO1720" s="227"/>
      <c r="JMP1720" s="227"/>
      <c r="JMQ1720" s="227"/>
      <c r="JMR1720" s="227"/>
      <c r="JMS1720" s="227"/>
      <c r="JMT1720" s="227"/>
      <c r="JMU1720" s="227"/>
      <c r="JMV1720" s="227"/>
      <c r="JMW1720" s="227"/>
      <c r="JMX1720" s="227"/>
      <c r="JMY1720" s="227"/>
      <c r="JMZ1720" s="227"/>
      <c r="JNA1720" s="227"/>
      <c r="JNB1720" s="227"/>
      <c r="JNC1720" s="227"/>
      <c r="JND1720" s="227"/>
      <c r="JNE1720" s="227"/>
      <c r="JNF1720" s="227"/>
      <c r="JNG1720" s="227"/>
      <c r="JNH1720" s="227"/>
      <c r="JNI1720" s="227"/>
      <c r="JNJ1720" s="227"/>
      <c r="JNK1720" s="227"/>
      <c r="JNL1720" s="227"/>
      <c r="JNM1720" s="227"/>
      <c r="JNN1720" s="227"/>
      <c r="JNO1720" s="227"/>
      <c r="JNP1720" s="227"/>
      <c r="JNQ1720" s="227"/>
      <c r="JNR1720" s="227"/>
      <c r="JNS1720" s="227"/>
      <c r="JNT1720" s="227"/>
      <c r="JNU1720" s="227"/>
      <c r="JNV1720" s="227"/>
      <c r="JNW1720" s="227"/>
      <c r="JNX1720" s="227"/>
      <c r="JNY1720" s="227"/>
      <c r="JNZ1720" s="227"/>
      <c r="JOA1720" s="227"/>
      <c r="JOB1720" s="227"/>
      <c r="JOC1720" s="227"/>
      <c r="JOD1720" s="227"/>
      <c r="JOE1720" s="227"/>
      <c r="JOF1720" s="227"/>
      <c r="JOG1720" s="227"/>
      <c r="JOH1720" s="227"/>
      <c r="JOI1720" s="227"/>
      <c r="JOJ1720" s="227"/>
      <c r="JOK1720" s="227"/>
      <c r="JOL1720" s="227"/>
      <c r="JOM1720" s="227"/>
      <c r="JON1720" s="227"/>
      <c r="JOO1720" s="227"/>
      <c r="JOP1720" s="227"/>
      <c r="JOQ1720" s="227"/>
      <c r="JOR1720" s="227"/>
      <c r="JOS1720" s="227"/>
      <c r="JOT1720" s="227"/>
      <c r="JOU1720" s="227"/>
      <c r="JOV1720" s="227"/>
      <c r="JOW1720" s="227"/>
      <c r="JOX1720" s="227"/>
      <c r="JOY1720" s="227"/>
      <c r="JOZ1720" s="227"/>
      <c r="JPA1720" s="227"/>
      <c r="JPB1720" s="227"/>
      <c r="JPC1720" s="227"/>
      <c r="JPD1720" s="227"/>
      <c r="JPE1720" s="227"/>
      <c r="JPF1720" s="227"/>
      <c r="JPG1720" s="227"/>
      <c r="JPH1720" s="227"/>
      <c r="JPI1720" s="227"/>
      <c r="JPJ1720" s="227"/>
      <c r="JPK1720" s="227"/>
      <c r="JPL1720" s="227"/>
      <c r="JPM1720" s="227"/>
      <c r="JPN1720" s="227"/>
      <c r="JPO1720" s="227"/>
      <c r="JPP1720" s="227"/>
      <c r="JPQ1720" s="227"/>
      <c r="JPR1720" s="227"/>
      <c r="JPS1720" s="227"/>
      <c r="JPT1720" s="227"/>
      <c r="JPU1720" s="227"/>
      <c r="JPV1720" s="227"/>
      <c r="JPW1720" s="227"/>
      <c r="JPX1720" s="227"/>
      <c r="JPY1720" s="227"/>
      <c r="JPZ1720" s="227"/>
      <c r="JQA1720" s="227"/>
      <c r="JQB1720" s="227"/>
      <c r="JQC1720" s="227"/>
      <c r="JQD1720" s="227"/>
      <c r="JQE1720" s="227"/>
      <c r="JQF1720" s="227"/>
      <c r="JQG1720" s="227"/>
      <c r="JQH1720" s="227"/>
      <c r="JQI1720" s="227"/>
      <c r="JQJ1720" s="227"/>
      <c r="JQK1720" s="227"/>
      <c r="JQL1720" s="227"/>
      <c r="JQM1720" s="227"/>
      <c r="JQN1720" s="227"/>
      <c r="JQO1720" s="227"/>
      <c r="JQP1720" s="227"/>
      <c r="JQQ1720" s="227"/>
      <c r="JQR1720" s="227"/>
      <c r="JQS1720" s="227"/>
      <c r="JQT1720" s="227"/>
      <c r="JQU1720" s="227"/>
      <c r="JQV1720" s="227"/>
      <c r="JQW1720" s="227"/>
      <c r="JQX1720" s="227"/>
      <c r="JQY1720" s="227"/>
      <c r="JQZ1720" s="227"/>
      <c r="JRA1720" s="227"/>
      <c r="JRB1720" s="227"/>
      <c r="JRC1720" s="227"/>
      <c r="JRD1720" s="227"/>
      <c r="JRE1720" s="227"/>
      <c r="JRF1720" s="227"/>
      <c r="JRG1720" s="227"/>
      <c r="JRH1720" s="227"/>
      <c r="JRI1720" s="227"/>
      <c r="JRJ1720" s="227"/>
      <c r="JRK1720" s="227"/>
      <c r="JRL1720" s="227"/>
      <c r="JRM1720" s="227"/>
      <c r="JRN1720" s="227"/>
      <c r="JRO1720" s="227"/>
      <c r="JRP1720" s="227"/>
      <c r="JRQ1720" s="227"/>
      <c r="JRR1720" s="227"/>
      <c r="JRS1720" s="227"/>
      <c r="JRT1720" s="227"/>
      <c r="JRU1720" s="227"/>
      <c r="JRV1720" s="227"/>
      <c r="JRW1720" s="227"/>
      <c r="JRX1720" s="227"/>
      <c r="JRY1720" s="227"/>
      <c r="JRZ1720" s="227"/>
      <c r="JSA1720" s="227"/>
      <c r="JSB1720" s="227"/>
      <c r="JSC1720" s="227"/>
      <c r="JSD1720" s="227"/>
      <c r="JSE1720" s="227"/>
      <c r="JSF1720" s="227"/>
      <c r="JSG1720" s="227"/>
      <c r="JSH1720" s="227"/>
      <c r="JSI1720" s="227"/>
      <c r="JSJ1720" s="227"/>
      <c r="JSK1720" s="227"/>
      <c r="JSL1720" s="227"/>
      <c r="JSM1720" s="227"/>
      <c r="JSN1720" s="227"/>
      <c r="JSO1720" s="227"/>
      <c r="JSP1720" s="227"/>
      <c r="JSQ1720" s="227"/>
      <c r="JSR1720" s="227"/>
      <c r="JSS1720" s="227"/>
      <c r="JST1720" s="227"/>
      <c r="JSU1720" s="227"/>
      <c r="JSV1720" s="227"/>
      <c r="JSW1720" s="227"/>
      <c r="JSX1720" s="227"/>
      <c r="JSY1720" s="227"/>
      <c r="JSZ1720" s="227"/>
      <c r="JTA1720" s="227"/>
      <c r="JTB1720" s="227"/>
      <c r="JTC1720" s="227"/>
      <c r="JTD1720" s="227"/>
      <c r="JTE1720" s="227"/>
      <c r="JTF1720" s="227"/>
      <c r="JTG1720" s="227"/>
      <c r="JTH1720" s="227"/>
      <c r="JTI1720" s="227"/>
      <c r="JTJ1720" s="227"/>
      <c r="JTK1720" s="227"/>
      <c r="JTL1720" s="227"/>
      <c r="JTM1720" s="227"/>
      <c r="JTN1720" s="227"/>
      <c r="JTO1720" s="227"/>
      <c r="JTP1720" s="227"/>
      <c r="JTQ1720" s="227"/>
      <c r="JTR1720" s="227"/>
      <c r="JTS1720" s="227"/>
      <c r="JTT1720" s="227"/>
      <c r="JTU1720" s="227"/>
      <c r="JTV1720" s="227"/>
      <c r="JTW1720" s="227"/>
      <c r="JTX1720" s="227"/>
      <c r="JTY1720" s="227"/>
      <c r="JTZ1720" s="227"/>
      <c r="JUA1720" s="227"/>
      <c r="JUB1720" s="227"/>
      <c r="JUC1720" s="227"/>
      <c r="JUD1720" s="227"/>
      <c r="JUE1720" s="227"/>
      <c r="JUF1720" s="227"/>
      <c r="JUG1720" s="227"/>
      <c r="JUH1720" s="227"/>
      <c r="JUI1720" s="227"/>
      <c r="JUJ1720" s="227"/>
      <c r="JUK1720" s="227"/>
      <c r="JUL1720" s="227"/>
      <c r="JUM1720" s="227"/>
      <c r="JUN1720" s="227"/>
      <c r="JUO1720" s="227"/>
      <c r="JUP1720" s="227"/>
      <c r="JUQ1720" s="227"/>
      <c r="JUR1720" s="227"/>
      <c r="JUS1720" s="227"/>
      <c r="JUT1720" s="227"/>
      <c r="JUU1720" s="227"/>
      <c r="JUV1720" s="227"/>
      <c r="JUW1720" s="227"/>
      <c r="JUX1720" s="227"/>
      <c r="JUY1720" s="227"/>
      <c r="JUZ1720" s="227"/>
      <c r="JVA1720" s="227"/>
      <c r="JVB1720" s="227"/>
      <c r="JVC1720" s="227"/>
      <c r="JVD1720" s="227"/>
      <c r="JVE1720" s="227"/>
      <c r="JVF1720" s="227"/>
      <c r="JVG1720" s="227"/>
      <c r="JVH1720" s="227"/>
      <c r="JVI1720" s="227"/>
      <c r="JVJ1720" s="227"/>
      <c r="JVK1720" s="227"/>
      <c r="JVL1720" s="227"/>
      <c r="JVM1720" s="227"/>
      <c r="JVN1720" s="227"/>
      <c r="JVO1720" s="227"/>
      <c r="JVP1720" s="227"/>
      <c r="JVQ1720" s="227"/>
      <c r="JVR1720" s="227"/>
      <c r="JVS1720" s="227"/>
      <c r="JVT1720" s="227"/>
      <c r="JVU1720" s="227"/>
      <c r="JVV1720" s="227"/>
      <c r="JVW1720" s="227"/>
      <c r="JVX1720" s="227"/>
      <c r="JVY1720" s="227"/>
      <c r="JVZ1720" s="227"/>
      <c r="JWA1720" s="227"/>
      <c r="JWB1720" s="227"/>
      <c r="JWC1720" s="227"/>
      <c r="JWD1720" s="227"/>
      <c r="JWE1720" s="227"/>
      <c r="JWF1720" s="227"/>
      <c r="JWG1720" s="227"/>
      <c r="JWH1720" s="227"/>
      <c r="JWI1720" s="227"/>
      <c r="JWJ1720" s="227"/>
      <c r="JWK1720" s="227"/>
      <c r="JWL1720" s="227"/>
      <c r="JWM1720" s="227"/>
      <c r="JWN1720" s="227"/>
      <c r="JWO1720" s="227"/>
      <c r="JWP1720" s="227"/>
      <c r="JWQ1720" s="227"/>
      <c r="JWR1720" s="227"/>
      <c r="JWS1720" s="227"/>
      <c r="JWT1720" s="227"/>
      <c r="JWU1720" s="227"/>
      <c r="JWV1720" s="227"/>
      <c r="JWW1720" s="227"/>
      <c r="JWX1720" s="227"/>
      <c r="JWY1720" s="227"/>
      <c r="JWZ1720" s="227"/>
      <c r="JXA1720" s="227"/>
      <c r="JXB1720" s="227"/>
      <c r="JXC1720" s="227"/>
      <c r="JXD1720" s="227"/>
      <c r="JXE1720" s="227"/>
      <c r="JXF1720" s="227"/>
      <c r="JXG1720" s="227"/>
      <c r="JXH1720" s="227"/>
      <c r="JXI1720" s="227"/>
      <c r="JXJ1720" s="227"/>
      <c r="JXK1720" s="227"/>
      <c r="JXL1720" s="227"/>
      <c r="JXM1720" s="227"/>
      <c r="JXN1720" s="227"/>
      <c r="JXO1720" s="227"/>
      <c r="JXP1720" s="227"/>
      <c r="JXQ1720" s="227"/>
      <c r="JXR1720" s="227"/>
      <c r="JXS1720" s="227"/>
      <c r="JXT1720" s="227"/>
      <c r="JXU1720" s="227"/>
      <c r="JXV1720" s="227"/>
      <c r="JXW1720" s="227"/>
      <c r="JXX1720" s="227"/>
      <c r="JXY1720" s="227"/>
      <c r="JXZ1720" s="227"/>
      <c r="JYA1720" s="227"/>
      <c r="JYB1720" s="227"/>
      <c r="JYC1720" s="227"/>
      <c r="JYD1720" s="227"/>
      <c r="JYE1720" s="227"/>
      <c r="JYF1720" s="227"/>
      <c r="JYG1720" s="227"/>
      <c r="JYH1720" s="227"/>
      <c r="JYI1720" s="227"/>
      <c r="JYJ1720" s="227"/>
      <c r="JYK1720" s="227"/>
      <c r="JYL1720" s="227"/>
      <c r="JYM1720" s="227"/>
      <c r="JYN1720" s="227"/>
      <c r="JYO1720" s="227"/>
      <c r="JYP1720" s="227"/>
      <c r="JYQ1720" s="227"/>
      <c r="JYR1720" s="227"/>
      <c r="JYS1720" s="227"/>
      <c r="JYT1720" s="227"/>
      <c r="JYU1720" s="227"/>
      <c r="JYV1720" s="227"/>
      <c r="JYW1720" s="227"/>
      <c r="JYX1720" s="227"/>
      <c r="JYY1720" s="227"/>
      <c r="JYZ1720" s="227"/>
      <c r="JZA1720" s="227"/>
      <c r="JZB1720" s="227"/>
      <c r="JZC1720" s="227"/>
      <c r="JZD1720" s="227"/>
      <c r="JZE1720" s="227"/>
      <c r="JZF1720" s="227"/>
      <c r="JZG1720" s="227"/>
      <c r="JZH1720" s="227"/>
      <c r="JZI1720" s="227"/>
      <c r="JZJ1720" s="227"/>
      <c r="JZK1720" s="227"/>
      <c r="JZL1720" s="227"/>
      <c r="JZM1720" s="227"/>
      <c r="JZN1720" s="227"/>
      <c r="JZO1720" s="227"/>
      <c r="JZP1720" s="227"/>
      <c r="JZQ1720" s="227"/>
      <c r="JZR1720" s="227"/>
      <c r="JZS1720" s="227"/>
      <c r="JZT1720" s="227"/>
      <c r="JZU1720" s="227"/>
      <c r="JZV1720" s="227"/>
      <c r="JZW1720" s="227"/>
      <c r="JZX1720" s="227"/>
      <c r="JZY1720" s="227"/>
      <c r="JZZ1720" s="227"/>
      <c r="KAA1720" s="227"/>
      <c r="KAB1720" s="227"/>
      <c r="KAC1720" s="227"/>
      <c r="KAD1720" s="227"/>
      <c r="KAE1720" s="227"/>
      <c r="KAF1720" s="227"/>
      <c r="KAG1720" s="227"/>
      <c r="KAH1720" s="227"/>
      <c r="KAI1720" s="227"/>
      <c r="KAJ1720" s="227"/>
      <c r="KAK1720" s="227"/>
      <c r="KAL1720" s="227"/>
      <c r="KAM1720" s="227"/>
      <c r="KAN1720" s="227"/>
      <c r="KAO1720" s="227"/>
      <c r="KAP1720" s="227"/>
      <c r="KAQ1720" s="227"/>
      <c r="KAR1720" s="227"/>
      <c r="KAS1720" s="227"/>
      <c r="KAT1720" s="227"/>
      <c r="KAU1720" s="227"/>
      <c r="KAV1720" s="227"/>
      <c r="KAW1720" s="227"/>
      <c r="KAX1720" s="227"/>
      <c r="KAY1720" s="227"/>
      <c r="KAZ1720" s="227"/>
      <c r="KBA1720" s="227"/>
      <c r="KBB1720" s="227"/>
      <c r="KBC1720" s="227"/>
      <c r="KBD1720" s="227"/>
      <c r="KBE1720" s="227"/>
      <c r="KBF1720" s="227"/>
      <c r="KBG1720" s="227"/>
      <c r="KBH1720" s="227"/>
      <c r="KBI1720" s="227"/>
      <c r="KBJ1720" s="227"/>
      <c r="KBK1720" s="227"/>
      <c r="KBL1720" s="227"/>
      <c r="KBM1720" s="227"/>
      <c r="KBN1720" s="227"/>
      <c r="KBO1720" s="227"/>
      <c r="KBP1720" s="227"/>
      <c r="KBQ1720" s="227"/>
      <c r="KBR1720" s="227"/>
      <c r="KBS1720" s="227"/>
      <c r="KBT1720" s="227"/>
      <c r="KBU1720" s="227"/>
      <c r="KBV1720" s="227"/>
      <c r="KBW1720" s="227"/>
      <c r="KBX1720" s="227"/>
      <c r="KBY1720" s="227"/>
      <c r="KBZ1720" s="227"/>
      <c r="KCA1720" s="227"/>
      <c r="KCB1720" s="227"/>
      <c r="KCC1720" s="227"/>
      <c r="KCD1720" s="227"/>
      <c r="KCE1720" s="227"/>
      <c r="KCF1720" s="227"/>
      <c r="KCG1720" s="227"/>
      <c r="KCH1720" s="227"/>
      <c r="KCI1720" s="227"/>
      <c r="KCJ1720" s="227"/>
      <c r="KCK1720" s="227"/>
      <c r="KCL1720" s="227"/>
      <c r="KCM1720" s="227"/>
      <c r="KCN1720" s="227"/>
      <c r="KCO1720" s="227"/>
      <c r="KCP1720" s="227"/>
      <c r="KCQ1720" s="227"/>
      <c r="KCR1720" s="227"/>
      <c r="KCS1720" s="227"/>
      <c r="KCT1720" s="227"/>
      <c r="KCU1720" s="227"/>
      <c r="KCV1720" s="227"/>
      <c r="KCW1720" s="227"/>
      <c r="KCX1720" s="227"/>
      <c r="KCY1720" s="227"/>
      <c r="KCZ1720" s="227"/>
      <c r="KDA1720" s="227"/>
      <c r="KDB1720" s="227"/>
      <c r="KDC1720" s="227"/>
      <c r="KDD1720" s="227"/>
      <c r="KDE1720" s="227"/>
      <c r="KDF1720" s="227"/>
      <c r="KDG1720" s="227"/>
      <c r="KDH1720" s="227"/>
      <c r="KDI1720" s="227"/>
      <c r="KDJ1720" s="227"/>
      <c r="KDK1720" s="227"/>
      <c r="KDL1720" s="227"/>
      <c r="KDM1720" s="227"/>
      <c r="KDN1720" s="227"/>
      <c r="KDO1720" s="227"/>
      <c r="KDP1720" s="227"/>
      <c r="KDQ1720" s="227"/>
      <c r="KDR1720" s="227"/>
      <c r="KDS1720" s="227"/>
      <c r="KDT1720" s="227"/>
      <c r="KDU1720" s="227"/>
      <c r="KDV1720" s="227"/>
      <c r="KDW1720" s="227"/>
      <c r="KDX1720" s="227"/>
      <c r="KDY1720" s="227"/>
      <c r="KDZ1720" s="227"/>
      <c r="KEA1720" s="227"/>
      <c r="KEB1720" s="227"/>
      <c r="KEC1720" s="227"/>
      <c r="KED1720" s="227"/>
      <c r="KEE1720" s="227"/>
      <c r="KEF1720" s="227"/>
      <c r="KEG1720" s="227"/>
      <c r="KEH1720" s="227"/>
      <c r="KEI1720" s="227"/>
      <c r="KEJ1720" s="227"/>
      <c r="KEK1720" s="227"/>
      <c r="KEL1720" s="227"/>
      <c r="KEM1720" s="227"/>
      <c r="KEN1720" s="227"/>
      <c r="KEO1720" s="227"/>
      <c r="KEP1720" s="227"/>
      <c r="KEQ1720" s="227"/>
      <c r="KER1720" s="227"/>
      <c r="KES1720" s="227"/>
      <c r="KET1720" s="227"/>
      <c r="KEU1720" s="227"/>
      <c r="KEV1720" s="227"/>
      <c r="KEW1720" s="227"/>
      <c r="KEX1720" s="227"/>
      <c r="KEY1720" s="227"/>
      <c r="KEZ1720" s="227"/>
      <c r="KFA1720" s="227"/>
      <c r="KFB1720" s="227"/>
      <c r="KFC1720" s="227"/>
      <c r="KFD1720" s="227"/>
      <c r="KFE1720" s="227"/>
      <c r="KFF1720" s="227"/>
      <c r="KFG1720" s="227"/>
      <c r="KFH1720" s="227"/>
      <c r="KFI1720" s="227"/>
      <c r="KFJ1720" s="227"/>
      <c r="KFK1720" s="227"/>
      <c r="KFL1720" s="227"/>
      <c r="KFM1720" s="227"/>
      <c r="KFN1720" s="227"/>
      <c r="KFO1720" s="227"/>
      <c r="KFP1720" s="227"/>
      <c r="KFQ1720" s="227"/>
      <c r="KFR1720" s="227"/>
      <c r="KFS1720" s="227"/>
      <c r="KFT1720" s="227"/>
      <c r="KFU1720" s="227"/>
      <c r="KFV1720" s="227"/>
      <c r="KFW1720" s="227"/>
      <c r="KFX1720" s="227"/>
      <c r="KFY1720" s="227"/>
      <c r="KFZ1720" s="227"/>
      <c r="KGA1720" s="227"/>
      <c r="KGB1720" s="227"/>
      <c r="KGC1720" s="227"/>
      <c r="KGD1720" s="227"/>
      <c r="KGE1720" s="227"/>
      <c r="KGF1720" s="227"/>
      <c r="KGG1720" s="227"/>
      <c r="KGH1720" s="227"/>
      <c r="KGI1720" s="227"/>
      <c r="KGJ1720" s="227"/>
      <c r="KGK1720" s="227"/>
      <c r="KGL1720" s="227"/>
      <c r="KGM1720" s="227"/>
      <c r="KGN1720" s="227"/>
      <c r="KGO1720" s="227"/>
      <c r="KGP1720" s="227"/>
      <c r="KGQ1720" s="227"/>
      <c r="KGR1720" s="227"/>
      <c r="KGS1720" s="227"/>
      <c r="KGT1720" s="227"/>
      <c r="KGU1720" s="227"/>
      <c r="KGV1720" s="227"/>
      <c r="KGW1720" s="227"/>
      <c r="KGX1720" s="227"/>
      <c r="KGY1720" s="227"/>
      <c r="KGZ1720" s="227"/>
      <c r="KHA1720" s="227"/>
      <c r="KHB1720" s="227"/>
      <c r="KHC1720" s="227"/>
      <c r="KHD1720" s="227"/>
      <c r="KHE1720" s="227"/>
      <c r="KHF1720" s="227"/>
      <c r="KHG1720" s="227"/>
      <c r="KHH1720" s="227"/>
      <c r="KHI1720" s="227"/>
      <c r="KHJ1720" s="227"/>
      <c r="KHK1720" s="227"/>
      <c r="KHL1720" s="227"/>
      <c r="KHM1720" s="227"/>
      <c r="KHN1720" s="227"/>
      <c r="KHO1720" s="227"/>
      <c r="KHP1720" s="227"/>
      <c r="KHQ1720" s="227"/>
      <c r="KHR1720" s="227"/>
      <c r="KHS1720" s="227"/>
      <c r="KHT1720" s="227"/>
      <c r="KHU1720" s="227"/>
      <c r="KHV1720" s="227"/>
      <c r="KHW1720" s="227"/>
      <c r="KHX1720" s="227"/>
      <c r="KHY1720" s="227"/>
      <c r="KHZ1720" s="227"/>
      <c r="KIA1720" s="227"/>
      <c r="KIB1720" s="227"/>
      <c r="KIC1720" s="227"/>
      <c r="KID1720" s="227"/>
      <c r="KIE1720" s="227"/>
      <c r="KIF1720" s="227"/>
      <c r="KIG1720" s="227"/>
      <c r="KIH1720" s="227"/>
      <c r="KII1720" s="227"/>
      <c r="KIJ1720" s="227"/>
      <c r="KIK1720" s="227"/>
      <c r="KIL1720" s="227"/>
      <c r="KIM1720" s="227"/>
      <c r="KIN1720" s="227"/>
      <c r="KIO1720" s="227"/>
      <c r="KIP1720" s="227"/>
      <c r="KIQ1720" s="227"/>
      <c r="KIR1720" s="227"/>
      <c r="KIS1720" s="227"/>
      <c r="KIT1720" s="227"/>
      <c r="KIU1720" s="227"/>
      <c r="KIV1720" s="227"/>
      <c r="KIW1720" s="227"/>
      <c r="KIX1720" s="227"/>
      <c r="KIY1720" s="227"/>
      <c r="KIZ1720" s="227"/>
      <c r="KJA1720" s="227"/>
      <c r="KJB1720" s="227"/>
      <c r="KJC1720" s="227"/>
      <c r="KJD1720" s="227"/>
      <c r="KJE1720" s="227"/>
      <c r="KJF1720" s="227"/>
      <c r="KJG1720" s="227"/>
      <c r="KJH1720" s="227"/>
      <c r="KJI1720" s="227"/>
      <c r="KJJ1720" s="227"/>
      <c r="KJK1720" s="227"/>
      <c r="KJL1720" s="227"/>
      <c r="KJM1720" s="227"/>
      <c r="KJN1720" s="227"/>
      <c r="KJO1720" s="227"/>
      <c r="KJP1720" s="227"/>
      <c r="KJQ1720" s="227"/>
      <c r="KJR1720" s="227"/>
      <c r="KJS1720" s="227"/>
      <c r="KJT1720" s="227"/>
      <c r="KJU1720" s="227"/>
      <c r="KJV1720" s="227"/>
      <c r="KJW1720" s="227"/>
      <c r="KJX1720" s="227"/>
      <c r="KJY1720" s="227"/>
      <c r="KJZ1720" s="227"/>
      <c r="KKA1720" s="227"/>
      <c r="KKB1720" s="227"/>
      <c r="KKC1720" s="227"/>
      <c r="KKD1720" s="227"/>
      <c r="KKE1720" s="227"/>
      <c r="KKF1720" s="227"/>
      <c r="KKG1720" s="227"/>
      <c r="KKH1720" s="227"/>
      <c r="KKI1720" s="227"/>
      <c r="KKJ1720" s="227"/>
      <c r="KKK1720" s="227"/>
      <c r="KKL1720" s="227"/>
      <c r="KKM1720" s="227"/>
      <c r="KKN1720" s="227"/>
      <c r="KKO1720" s="227"/>
      <c r="KKP1720" s="227"/>
      <c r="KKQ1720" s="227"/>
      <c r="KKR1720" s="227"/>
      <c r="KKS1720" s="227"/>
      <c r="KKT1720" s="227"/>
      <c r="KKU1720" s="227"/>
      <c r="KKV1720" s="227"/>
      <c r="KKW1720" s="227"/>
      <c r="KKX1720" s="227"/>
      <c r="KKY1720" s="227"/>
      <c r="KKZ1720" s="227"/>
      <c r="KLA1720" s="227"/>
      <c r="KLB1720" s="227"/>
      <c r="KLC1720" s="227"/>
      <c r="KLD1720" s="227"/>
      <c r="KLE1720" s="227"/>
      <c r="KLF1720" s="227"/>
      <c r="KLG1720" s="227"/>
      <c r="KLH1720" s="227"/>
      <c r="KLI1720" s="227"/>
      <c r="KLJ1720" s="227"/>
      <c r="KLK1720" s="227"/>
      <c r="KLL1720" s="227"/>
      <c r="KLM1720" s="227"/>
      <c r="KLN1720" s="227"/>
      <c r="KLO1720" s="227"/>
      <c r="KLP1720" s="227"/>
      <c r="KLQ1720" s="227"/>
      <c r="KLR1720" s="227"/>
      <c r="KLS1720" s="227"/>
      <c r="KLT1720" s="227"/>
      <c r="KLU1720" s="227"/>
      <c r="KLV1720" s="227"/>
      <c r="KLW1720" s="227"/>
      <c r="KLX1720" s="227"/>
      <c r="KLY1720" s="227"/>
      <c r="KLZ1720" s="227"/>
      <c r="KMA1720" s="227"/>
      <c r="KMB1720" s="227"/>
      <c r="KMC1720" s="227"/>
      <c r="KMD1720" s="227"/>
      <c r="KME1720" s="227"/>
      <c r="KMF1720" s="227"/>
      <c r="KMG1720" s="227"/>
      <c r="KMH1720" s="227"/>
      <c r="KMI1720" s="227"/>
      <c r="KMJ1720" s="227"/>
      <c r="KMK1720" s="227"/>
      <c r="KML1720" s="227"/>
      <c r="KMM1720" s="227"/>
      <c r="KMN1720" s="227"/>
      <c r="KMO1720" s="227"/>
      <c r="KMP1720" s="227"/>
      <c r="KMQ1720" s="227"/>
      <c r="KMR1720" s="227"/>
      <c r="KMS1720" s="227"/>
      <c r="KMT1720" s="227"/>
      <c r="KMU1720" s="227"/>
      <c r="KMV1720" s="227"/>
      <c r="KMW1720" s="227"/>
      <c r="KMX1720" s="227"/>
      <c r="KMY1720" s="227"/>
      <c r="KMZ1720" s="227"/>
      <c r="KNA1720" s="227"/>
      <c r="KNB1720" s="227"/>
      <c r="KNC1720" s="227"/>
      <c r="KND1720" s="227"/>
      <c r="KNE1720" s="227"/>
      <c r="KNF1720" s="227"/>
      <c r="KNG1720" s="227"/>
      <c r="KNH1720" s="227"/>
      <c r="KNI1720" s="227"/>
      <c r="KNJ1720" s="227"/>
      <c r="KNK1720" s="227"/>
      <c r="KNL1720" s="227"/>
      <c r="KNM1720" s="227"/>
      <c r="KNN1720" s="227"/>
      <c r="KNO1720" s="227"/>
      <c r="KNP1720" s="227"/>
      <c r="KNQ1720" s="227"/>
      <c r="KNR1720" s="227"/>
      <c r="KNS1720" s="227"/>
      <c r="KNT1720" s="227"/>
      <c r="KNU1720" s="227"/>
      <c r="KNV1720" s="227"/>
      <c r="KNW1720" s="227"/>
      <c r="KNX1720" s="227"/>
      <c r="KNY1720" s="227"/>
      <c r="KNZ1720" s="227"/>
      <c r="KOA1720" s="227"/>
      <c r="KOB1720" s="227"/>
      <c r="KOC1720" s="227"/>
      <c r="KOD1720" s="227"/>
      <c r="KOE1720" s="227"/>
      <c r="KOF1720" s="227"/>
      <c r="KOG1720" s="227"/>
      <c r="KOH1720" s="227"/>
      <c r="KOI1720" s="227"/>
      <c r="KOJ1720" s="227"/>
      <c r="KOK1720" s="227"/>
      <c r="KOL1720" s="227"/>
      <c r="KOM1720" s="227"/>
      <c r="KON1720" s="227"/>
      <c r="KOO1720" s="227"/>
      <c r="KOP1720" s="227"/>
      <c r="KOQ1720" s="227"/>
      <c r="KOR1720" s="227"/>
      <c r="KOS1720" s="227"/>
      <c r="KOT1720" s="227"/>
      <c r="KOU1720" s="227"/>
      <c r="KOV1720" s="227"/>
      <c r="KOW1720" s="227"/>
      <c r="KOX1720" s="227"/>
      <c r="KOY1720" s="227"/>
      <c r="KOZ1720" s="227"/>
      <c r="KPA1720" s="227"/>
      <c r="KPB1720" s="227"/>
      <c r="KPC1720" s="227"/>
      <c r="KPD1720" s="227"/>
      <c r="KPE1720" s="227"/>
      <c r="KPF1720" s="227"/>
      <c r="KPG1720" s="227"/>
      <c r="KPH1720" s="227"/>
      <c r="KPI1720" s="227"/>
      <c r="KPJ1720" s="227"/>
      <c r="KPK1720" s="227"/>
      <c r="KPL1720" s="227"/>
      <c r="KPM1720" s="227"/>
      <c r="KPN1720" s="227"/>
      <c r="KPO1720" s="227"/>
      <c r="KPP1720" s="227"/>
      <c r="KPQ1720" s="227"/>
      <c r="KPR1720" s="227"/>
      <c r="KPS1720" s="227"/>
      <c r="KPT1720" s="227"/>
      <c r="KPU1720" s="227"/>
      <c r="KPV1720" s="227"/>
      <c r="KPW1720" s="227"/>
      <c r="KPX1720" s="227"/>
      <c r="KPY1720" s="227"/>
      <c r="KPZ1720" s="227"/>
      <c r="KQA1720" s="227"/>
      <c r="KQB1720" s="227"/>
      <c r="KQC1720" s="227"/>
      <c r="KQD1720" s="227"/>
      <c r="KQE1720" s="227"/>
      <c r="KQF1720" s="227"/>
      <c r="KQG1720" s="227"/>
      <c r="KQH1720" s="227"/>
      <c r="KQI1720" s="227"/>
      <c r="KQJ1720" s="227"/>
      <c r="KQK1720" s="227"/>
      <c r="KQL1720" s="227"/>
      <c r="KQM1720" s="227"/>
      <c r="KQN1720" s="227"/>
      <c r="KQO1720" s="227"/>
      <c r="KQP1720" s="227"/>
      <c r="KQQ1720" s="227"/>
      <c r="KQR1720" s="227"/>
      <c r="KQS1720" s="227"/>
      <c r="KQT1720" s="227"/>
      <c r="KQU1720" s="227"/>
      <c r="KQV1720" s="227"/>
      <c r="KQW1720" s="227"/>
      <c r="KQX1720" s="227"/>
      <c r="KQY1720" s="227"/>
      <c r="KQZ1720" s="227"/>
      <c r="KRA1720" s="227"/>
      <c r="KRB1720" s="227"/>
      <c r="KRC1720" s="227"/>
      <c r="KRD1720" s="227"/>
      <c r="KRE1720" s="227"/>
      <c r="KRF1720" s="227"/>
      <c r="KRG1720" s="227"/>
      <c r="KRH1720" s="227"/>
      <c r="KRI1720" s="227"/>
      <c r="KRJ1720" s="227"/>
      <c r="KRK1720" s="227"/>
      <c r="KRL1720" s="227"/>
      <c r="KRM1720" s="227"/>
      <c r="KRN1720" s="227"/>
      <c r="KRO1720" s="227"/>
      <c r="KRP1720" s="227"/>
      <c r="KRQ1720" s="227"/>
      <c r="KRR1720" s="227"/>
      <c r="KRS1720" s="227"/>
      <c r="KRT1720" s="227"/>
      <c r="KRU1720" s="227"/>
      <c r="KRV1720" s="227"/>
      <c r="KRW1720" s="227"/>
      <c r="KRX1720" s="227"/>
      <c r="KRY1720" s="227"/>
      <c r="KRZ1720" s="227"/>
      <c r="KSA1720" s="227"/>
      <c r="KSB1720" s="227"/>
      <c r="KSC1720" s="227"/>
      <c r="KSD1720" s="227"/>
      <c r="KSE1720" s="227"/>
      <c r="KSF1720" s="227"/>
      <c r="KSG1720" s="227"/>
      <c r="KSH1720" s="227"/>
      <c r="KSI1720" s="227"/>
      <c r="KSJ1720" s="227"/>
      <c r="KSK1720" s="227"/>
      <c r="KSL1720" s="227"/>
      <c r="KSM1720" s="227"/>
      <c r="KSN1720" s="227"/>
      <c r="KSO1720" s="227"/>
      <c r="KSP1720" s="227"/>
      <c r="KSQ1720" s="227"/>
      <c r="KSR1720" s="227"/>
      <c r="KSS1720" s="227"/>
      <c r="KST1720" s="227"/>
      <c r="KSU1720" s="227"/>
      <c r="KSV1720" s="227"/>
      <c r="KSW1720" s="227"/>
      <c r="KSX1720" s="227"/>
      <c r="KSY1720" s="227"/>
      <c r="KSZ1720" s="227"/>
      <c r="KTA1720" s="227"/>
      <c r="KTB1720" s="227"/>
      <c r="KTC1720" s="227"/>
      <c r="KTD1720" s="227"/>
      <c r="KTE1720" s="227"/>
      <c r="KTF1720" s="227"/>
      <c r="KTG1720" s="227"/>
      <c r="KTH1720" s="227"/>
      <c r="KTI1720" s="227"/>
      <c r="KTJ1720" s="227"/>
      <c r="KTK1720" s="227"/>
      <c r="KTL1720" s="227"/>
      <c r="KTM1720" s="227"/>
      <c r="KTN1720" s="227"/>
      <c r="KTO1720" s="227"/>
      <c r="KTP1720" s="227"/>
      <c r="KTQ1720" s="227"/>
      <c r="KTR1720" s="227"/>
      <c r="KTS1720" s="227"/>
      <c r="KTT1720" s="227"/>
      <c r="KTU1720" s="227"/>
      <c r="KTV1720" s="227"/>
      <c r="KTW1720" s="227"/>
      <c r="KTX1720" s="227"/>
      <c r="KTY1720" s="227"/>
      <c r="KTZ1720" s="227"/>
      <c r="KUA1720" s="227"/>
      <c r="KUB1720" s="227"/>
      <c r="KUC1720" s="227"/>
      <c r="KUD1720" s="227"/>
      <c r="KUE1720" s="227"/>
      <c r="KUF1720" s="227"/>
      <c r="KUG1720" s="227"/>
      <c r="KUH1720" s="227"/>
      <c r="KUI1720" s="227"/>
      <c r="KUJ1720" s="227"/>
      <c r="KUK1720" s="227"/>
      <c r="KUL1720" s="227"/>
      <c r="KUM1720" s="227"/>
      <c r="KUN1720" s="227"/>
      <c r="KUO1720" s="227"/>
      <c r="KUP1720" s="227"/>
      <c r="KUQ1720" s="227"/>
      <c r="KUR1720" s="227"/>
      <c r="KUS1720" s="227"/>
      <c r="KUT1720" s="227"/>
      <c r="KUU1720" s="227"/>
      <c r="KUV1720" s="227"/>
      <c r="KUW1720" s="227"/>
      <c r="KUX1720" s="227"/>
      <c r="KUY1720" s="227"/>
      <c r="KUZ1720" s="227"/>
      <c r="KVA1720" s="227"/>
      <c r="KVB1720" s="227"/>
      <c r="KVC1720" s="227"/>
      <c r="KVD1720" s="227"/>
      <c r="KVE1720" s="227"/>
      <c r="KVF1720" s="227"/>
      <c r="KVG1720" s="227"/>
      <c r="KVH1720" s="227"/>
      <c r="KVI1720" s="227"/>
      <c r="KVJ1720" s="227"/>
      <c r="KVK1720" s="227"/>
      <c r="KVL1720" s="227"/>
      <c r="KVM1720" s="227"/>
      <c r="KVN1720" s="227"/>
      <c r="KVO1720" s="227"/>
      <c r="KVP1720" s="227"/>
      <c r="KVQ1720" s="227"/>
      <c r="KVR1720" s="227"/>
      <c r="KVS1720" s="227"/>
      <c r="KVT1720" s="227"/>
      <c r="KVU1720" s="227"/>
      <c r="KVV1720" s="227"/>
      <c r="KVW1720" s="227"/>
      <c r="KVX1720" s="227"/>
      <c r="KVY1720" s="227"/>
      <c r="KVZ1720" s="227"/>
      <c r="KWA1720" s="227"/>
      <c r="KWB1720" s="227"/>
      <c r="KWC1720" s="227"/>
      <c r="KWD1720" s="227"/>
      <c r="KWE1720" s="227"/>
      <c r="KWF1720" s="227"/>
      <c r="KWG1720" s="227"/>
      <c r="KWH1720" s="227"/>
      <c r="KWI1720" s="227"/>
      <c r="KWJ1720" s="227"/>
      <c r="KWK1720" s="227"/>
      <c r="KWL1720" s="227"/>
      <c r="KWM1720" s="227"/>
      <c r="KWN1720" s="227"/>
      <c r="KWO1720" s="227"/>
      <c r="KWP1720" s="227"/>
      <c r="KWQ1720" s="227"/>
      <c r="KWR1720" s="227"/>
      <c r="KWS1720" s="227"/>
      <c r="KWT1720" s="227"/>
      <c r="KWU1720" s="227"/>
      <c r="KWV1720" s="227"/>
      <c r="KWW1720" s="227"/>
      <c r="KWX1720" s="227"/>
      <c r="KWY1720" s="227"/>
      <c r="KWZ1720" s="227"/>
      <c r="KXA1720" s="227"/>
      <c r="KXB1720" s="227"/>
      <c r="KXC1720" s="227"/>
      <c r="KXD1720" s="227"/>
      <c r="KXE1720" s="227"/>
      <c r="KXF1720" s="227"/>
      <c r="KXG1720" s="227"/>
      <c r="KXH1720" s="227"/>
      <c r="KXI1720" s="227"/>
      <c r="KXJ1720" s="227"/>
      <c r="KXK1720" s="227"/>
      <c r="KXL1720" s="227"/>
      <c r="KXM1720" s="227"/>
      <c r="KXN1720" s="227"/>
      <c r="KXO1720" s="227"/>
      <c r="KXP1720" s="227"/>
      <c r="KXQ1720" s="227"/>
      <c r="KXR1720" s="227"/>
      <c r="KXS1720" s="227"/>
      <c r="KXT1720" s="227"/>
      <c r="KXU1720" s="227"/>
      <c r="KXV1720" s="227"/>
      <c r="KXW1720" s="227"/>
      <c r="KXX1720" s="227"/>
      <c r="KXY1720" s="227"/>
      <c r="KXZ1720" s="227"/>
      <c r="KYA1720" s="227"/>
      <c r="KYB1720" s="227"/>
      <c r="KYC1720" s="227"/>
      <c r="KYD1720" s="227"/>
      <c r="KYE1720" s="227"/>
      <c r="KYF1720" s="227"/>
      <c r="KYG1720" s="227"/>
      <c r="KYH1720" s="227"/>
      <c r="KYI1720" s="227"/>
      <c r="KYJ1720" s="227"/>
      <c r="KYK1720" s="227"/>
      <c r="KYL1720" s="227"/>
      <c r="KYM1720" s="227"/>
      <c r="KYN1720" s="227"/>
      <c r="KYO1720" s="227"/>
      <c r="KYP1720" s="227"/>
      <c r="KYQ1720" s="227"/>
      <c r="KYR1720" s="227"/>
      <c r="KYS1720" s="227"/>
      <c r="KYT1720" s="227"/>
      <c r="KYU1720" s="227"/>
      <c r="KYV1720" s="227"/>
      <c r="KYW1720" s="227"/>
      <c r="KYX1720" s="227"/>
      <c r="KYY1720" s="227"/>
      <c r="KYZ1720" s="227"/>
      <c r="KZA1720" s="227"/>
      <c r="KZB1720" s="227"/>
      <c r="KZC1720" s="227"/>
      <c r="KZD1720" s="227"/>
      <c r="KZE1720" s="227"/>
      <c r="KZF1720" s="227"/>
      <c r="KZG1720" s="227"/>
      <c r="KZH1720" s="227"/>
      <c r="KZI1720" s="227"/>
      <c r="KZJ1720" s="227"/>
      <c r="KZK1720" s="227"/>
      <c r="KZL1720" s="227"/>
      <c r="KZM1720" s="227"/>
      <c r="KZN1720" s="227"/>
      <c r="KZO1720" s="227"/>
      <c r="KZP1720" s="227"/>
      <c r="KZQ1720" s="227"/>
      <c r="KZR1720" s="227"/>
      <c r="KZS1720" s="227"/>
      <c r="KZT1720" s="227"/>
      <c r="KZU1720" s="227"/>
      <c r="KZV1720" s="227"/>
      <c r="KZW1720" s="227"/>
      <c r="KZX1720" s="227"/>
      <c r="KZY1720" s="227"/>
      <c r="KZZ1720" s="227"/>
      <c r="LAA1720" s="227"/>
      <c r="LAB1720" s="227"/>
      <c r="LAC1720" s="227"/>
      <c r="LAD1720" s="227"/>
      <c r="LAE1720" s="227"/>
      <c r="LAF1720" s="227"/>
      <c r="LAG1720" s="227"/>
      <c r="LAH1720" s="227"/>
      <c r="LAI1720" s="227"/>
      <c r="LAJ1720" s="227"/>
      <c r="LAK1720" s="227"/>
      <c r="LAL1720" s="227"/>
      <c r="LAM1720" s="227"/>
      <c r="LAN1720" s="227"/>
      <c r="LAO1720" s="227"/>
      <c r="LAP1720" s="227"/>
      <c r="LAQ1720" s="227"/>
      <c r="LAR1720" s="227"/>
      <c r="LAS1720" s="227"/>
      <c r="LAT1720" s="227"/>
      <c r="LAU1720" s="227"/>
      <c r="LAV1720" s="227"/>
      <c r="LAW1720" s="227"/>
      <c r="LAX1720" s="227"/>
      <c r="LAY1720" s="227"/>
      <c r="LAZ1720" s="227"/>
      <c r="LBA1720" s="227"/>
      <c r="LBB1720" s="227"/>
      <c r="LBC1720" s="227"/>
      <c r="LBD1720" s="227"/>
      <c r="LBE1720" s="227"/>
      <c r="LBF1720" s="227"/>
      <c r="LBG1720" s="227"/>
      <c r="LBH1720" s="227"/>
      <c r="LBI1720" s="227"/>
      <c r="LBJ1720" s="227"/>
      <c r="LBK1720" s="227"/>
      <c r="LBL1720" s="227"/>
      <c r="LBM1720" s="227"/>
      <c r="LBN1720" s="227"/>
      <c r="LBO1720" s="227"/>
      <c r="LBP1720" s="227"/>
      <c r="LBQ1720" s="227"/>
      <c r="LBR1720" s="227"/>
      <c r="LBS1720" s="227"/>
      <c r="LBT1720" s="227"/>
      <c r="LBU1720" s="227"/>
      <c r="LBV1720" s="227"/>
      <c r="LBW1720" s="227"/>
      <c r="LBX1720" s="227"/>
      <c r="LBY1720" s="227"/>
      <c r="LBZ1720" s="227"/>
      <c r="LCA1720" s="227"/>
      <c r="LCB1720" s="227"/>
      <c r="LCC1720" s="227"/>
      <c r="LCD1720" s="227"/>
      <c r="LCE1720" s="227"/>
      <c r="LCF1720" s="227"/>
      <c r="LCG1720" s="227"/>
      <c r="LCH1720" s="227"/>
      <c r="LCI1720" s="227"/>
      <c r="LCJ1720" s="227"/>
      <c r="LCK1720" s="227"/>
      <c r="LCL1720" s="227"/>
      <c r="LCM1720" s="227"/>
      <c r="LCN1720" s="227"/>
      <c r="LCO1720" s="227"/>
      <c r="LCP1720" s="227"/>
      <c r="LCQ1720" s="227"/>
      <c r="LCR1720" s="227"/>
      <c r="LCS1720" s="227"/>
      <c r="LCT1720" s="227"/>
      <c r="LCU1720" s="227"/>
      <c r="LCV1720" s="227"/>
      <c r="LCW1720" s="227"/>
      <c r="LCX1720" s="227"/>
      <c r="LCY1720" s="227"/>
      <c r="LCZ1720" s="227"/>
      <c r="LDA1720" s="227"/>
      <c r="LDB1720" s="227"/>
      <c r="LDC1720" s="227"/>
      <c r="LDD1720" s="227"/>
      <c r="LDE1720" s="227"/>
      <c r="LDF1720" s="227"/>
      <c r="LDG1720" s="227"/>
      <c r="LDH1720" s="227"/>
      <c r="LDI1720" s="227"/>
      <c r="LDJ1720" s="227"/>
      <c r="LDK1720" s="227"/>
      <c r="LDL1720" s="227"/>
      <c r="LDM1720" s="227"/>
      <c r="LDN1720" s="227"/>
      <c r="LDO1720" s="227"/>
      <c r="LDP1720" s="227"/>
      <c r="LDQ1720" s="227"/>
      <c r="LDR1720" s="227"/>
      <c r="LDS1720" s="227"/>
      <c r="LDT1720" s="227"/>
      <c r="LDU1720" s="227"/>
      <c r="LDV1720" s="227"/>
      <c r="LDW1720" s="227"/>
      <c r="LDX1720" s="227"/>
      <c r="LDY1720" s="227"/>
      <c r="LDZ1720" s="227"/>
      <c r="LEA1720" s="227"/>
      <c r="LEB1720" s="227"/>
      <c r="LEC1720" s="227"/>
      <c r="LED1720" s="227"/>
      <c r="LEE1720" s="227"/>
      <c r="LEF1720" s="227"/>
      <c r="LEG1720" s="227"/>
      <c r="LEH1720" s="227"/>
      <c r="LEI1720" s="227"/>
      <c r="LEJ1720" s="227"/>
      <c r="LEK1720" s="227"/>
      <c r="LEL1720" s="227"/>
      <c r="LEM1720" s="227"/>
      <c r="LEN1720" s="227"/>
      <c r="LEO1720" s="227"/>
      <c r="LEP1720" s="227"/>
      <c r="LEQ1720" s="227"/>
      <c r="LER1720" s="227"/>
      <c r="LES1720" s="227"/>
      <c r="LET1720" s="227"/>
      <c r="LEU1720" s="227"/>
      <c r="LEV1720" s="227"/>
      <c r="LEW1720" s="227"/>
      <c r="LEX1720" s="227"/>
      <c r="LEY1720" s="227"/>
      <c r="LEZ1720" s="227"/>
      <c r="LFA1720" s="227"/>
      <c r="LFB1720" s="227"/>
      <c r="LFC1720" s="227"/>
      <c r="LFD1720" s="227"/>
      <c r="LFE1720" s="227"/>
      <c r="LFF1720" s="227"/>
      <c r="LFG1720" s="227"/>
      <c r="LFH1720" s="227"/>
      <c r="LFI1720" s="227"/>
      <c r="LFJ1720" s="227"/>
      <c r="LFK1720" s="227"/>
      <c r="LFL1720" s="227"/>
      <c r="LFM1720" s="227"/>
      <c r="LFN1720" s="227"/>
      <c r="LFO1720" s="227"/>
      <c r="LFP1720" s="227"/>
      <c r="LFQ1720" s="227"/>
      <c r="LFR1720" s="227"/>
      <c r="LFS1720" s="227"/>
      <c r="LFT1720" s="227"/>
      <c r="LFU1720" s="227"/>
      <c r="LFV1720" s="227"/>
      <c r="LFW1720" s="227"/>
      <c r="LFX1720" s="227"/>
      <c r="LFY1720" s="227"/>
      <c r="LFZ1720" s="227"/>
      <c r="LGA1720" s="227"/>
      <c r="LGB1720" s="227"/>
      <c r="LGC1720" s="227"/>
      <c r="LGD1720" s="227"/>
      <c r="LGE1720" s="227"/>
      <c r="LGF1720" s="227"/>
      <c r="LGG1720" s="227"/>
      <c r="LGH1720" s="227"/>
      <c r="LGI1720" s="227"/>
      <c r="LGJ1720" s="227"/>
      <c r="LGK1720" s="227"/>
      <c r="LGL1720" s="227"/>
      <c r="LGM1720" s="227"/>
      <c r="LGN1720" s="227"/>
      <c r="LGO1720" s="227"/>
      <c r="LGP1720" s="227"/>
      <c r="LGQ1720" s="227"/>
      <c r="LGR1720" s="227"/>
      <c r="LGS1720" s="227"/>
      <c r="LGT1720" s="227"/>
      <c r="LGU1720" s="227"/>
      <c r="LGV1720" s="227"/>
      <c r="LGW1720" s="227"/>
      <c r="LGX1720" s="227"/>
      <c r="LGY1720" s="227"/>
      <c r="LGZ1720" s="227"/>
      <c r="LHA1720" s="227"/>
      <c r="LHB1720" s="227"/>
      <c r="LHC1720" s="227"/>
      <c r="LHD1720" s="227"/>
      <c r="LHE1720" s="227"/>
      <c r="LHF1720" s="227"/>
      <c r="LHG1720" s="227"/>
      <c r="LHH1720" s="227"/>
      <c r="LHI1720" s="227"/>
      <c r="LHJ1720" s="227"/>
      <c r="LHK1720" s="227"/>
      <c r="LHL1720" s="227"/>
      <c r="LHM1720" s="227"/>
      <c r="LHN1720" s="227"/>
      <c r="LHO1720" s="227"/>
      <c r="LHP1720" s="227"/>
      <c r="LHQ1720" s="227"/>
      <c r="LHR1720" s="227"/>
      <c r="LHS1720" s="227"/>
      <c r="LHT1720" s="227"/>
      <c r="LHU1720" s="227"/>
      <c r="LHV1720" s="227"/>
      <c r="LHW1720" s="227"/>
      <c r="LHX1720" s="227"/>
      <c r="LHY1720" s="227"/>
      <c r="LHZ1720" s="227"/>
      <c r="LIA1720" s="227"/>
      <c r="LIB1720" s="227"/>
      <c r="LIC1720" s="227"/>
      <c r="LID1720" s="227"/>
      <c r="LIE1720" s="227"/>
      <c r="LIF1720" s="227"/>
      <c r="LIG1720" s="227"/>
      <c r="LIH1720" s="227"/>
      <c r="LII1720" s="227"/>
      <c r="LIJ1720" s="227"/>
      <c r="LIK1720" s="227"/>
      <c r="LIL1720" s="227"/>
      <c r="LIM1720" s="227"/>
      <c r="LIN1720" s="227"/>
      <c r="LIO1720" s="227"/>
      <c r="LIP1720" s="227"/>
      <c r="LIQ1720" s="227"/>
      <c r="LIR1720" s="227"/>
      <c r="LIS1720" s="227"/>
      <c r="LIT1720" s="227"/>
      <c r="LIU1720" s="227"/>
      <c r="LIV1720" s="227"/>
      <c r="LIW1720" s="227"/>
      <c r="LIX1720" s="227"/>
      <c r="LIY1720" s="227"/>
      <c r="LIZ1720" s="227"/>
      <c r="LJA1720" s="227"/>
      <c r="LJB1720" s="227"/>
      <c r="LJC1720" s="227"/>
      <c r="LJD1720" s="227"/>
      <c r="LJE1720" s="227"/>
      <c r="LJF1720" s="227"/>
      <c r="LJG1720" s="227"/>
      <c r="LJH1720" s="227"/>
      <c r="LJI1720" s="227"/>
      <c r="LJJ1720" s="227"/>
      <c r="LJK1720" s="227"/>
      <c r="LJL1720" s="227"/>
      <c r="LJM1720" s="227"/>
      <c r="LJN1720" s="227"/>
      <c r="LJO1720" s="227"/>
      <c r="LJP1720" s="227"/>
      <c r="LJQ1720" s="227"/>
      <c r="LJR1720" s="227"/>
      <c r="LJS1720" s="227"/>
      <c r="LJT1720" s="227"/>
      <c r="LJU1720" s="227"/>
      <c r="LJV1720" s="227"/>
      <c r="LJW1720" s="227"/>
      <c r="LJX1720" s="227"/>
      <c r="LJY1720" s="227"/>
      <c r="LJZ1720" s="227"/>
      <c r="LKA1720" s="227"/>
      <c r="LKB1720" s="227"/>
      <c r="LKC1720" s="227"/>
      <c r="LKD1720" s="227"/>
      <c r="LKE1720" s="227"/>
      <c r="LKF1720" s="227"/>
      <c r="LKG1720" s="227"/>
      <c r="LKH1720" s="227"/>
      <c r="LKI1720" s="227"/>
      <c r="LKJ1720" s="227"/>
      <c r="LKK1720" s="227"/>
      <c r="LKL1720" s="227"/>
      <c r="LKM1720" s="227"/>
      <c r="LKN1720" s="227"/>
      <c r="LKO1720" s="227"/>
      <c r="LKP1720" s="227"/>
      <c r="LKQ1720" s="227"/>
      <c r="LKR1720" s="227"/>
      <c r="LKS1720" s="227"/>
      <c r="LKT1720" s="227"/>
      <c r="LKU1720" s="227"/>
      <c r="LKV1720" s="227"/>
      <c r="LKW1720" s="227"/>
      <c r="LKX1720" s="227"/>
      <c r="LKY1720" s="227"/>
      <c r="LKZ1720" s="227"/>
      <c r="LLA1720" s="227"/>
      <c r="LLB1720" s="227"/>
      <c r="LLC1720" s="227"/>
      <c r="LLD1720" s="227"/>
      <c r="LLE1720" s="227"/>
      <c r="LLF1720" s="227"/>
      <c r="LLG1720" s="227"/>
      <c r="LLH1720" s="227"/>
      <c r="LLI1720" s="227"/>
      <c r="LLJ1720" s="227"/>
      <c r="LLK1720" s="227"/>
      <c r="LLL1720" s="227"/>
      <c r="LLM1720" s="227"/>
      <c r="LLN1720" s="227"/>
      <c r="LLO1720" s="227"/>
      <c r="LLP1720" s="227"/>
      <c r="LLQ1720" s="227"/>
      <c r="LLR1720" s="227"/>
      <c r="LLS1720" s="227"/>
      <c r="LLT1720" s="227"/>
      <c r="LLU1720" s="227"/>
      <c r="LLV1720" s="227"/>
      <c r="LLW1720" s="227"/>
      <c r="LLX1720" s="227"/>
      <c r="LLY1720" s="227"/>
      <c r="LLZ1720" s="227"/>
      <c r="LMA1720" s="227"/>
      <c r="LMB1720" s="227"/>
      <c r="LMC1720" s="227"/>
      <c r="LMD1720" s="227"/>
      <c r="LME1720" s="227"/>
      <c r="LMF1720" s="227"/>
      <c r="LMG1720" s="227"/>
      <c r="LMH1720" s="227"/>
      <c r="LMI1720" s="227"/>
      <c r="LMJ1720" s="227"/>
      <c r="LMK1720" s="227"/>
      <c r="LML1720" s="227"/>
      <c r="LMM1720" s="227"/>
      <c r="LMN1720" s="227"/>
      <c r="LMO1720" s="227"/>
      <c r="LMP1720" s="227"/>
      <c r="LMQ1720" s="227"/>
      <c r="LMR1720" s="227"/>
      <c r="LMS1720" s="227"/>
      <c r="LMT1720" s="227"/>
      <c r="LMU1720" s="227"/>
      <c r="LMV1720" s="227"/>
      <c r="LMW1720" s="227"/>
      <c r="LMX1720" s="227"/>
      <c r="LMY1720" s="227"/>
      <c r="LMZ1720" s="227"/>
      <c r="LNA1720" s="227"/>
      <c r="LNB1720" s="227"/>
      <c r="LNC1720" s="227"/>
      <c r="LND1720" s="227"/>
      <c r="LNE1720" s="227"/>
      <c r="LNF1720" s="227"/>
      <c r="LNG1720" s="227"/>
      <c r="LNH1720" s="227"/>
      <c r="LNI1720" s="227"/>
      <c r="LNJ1720" s="227"/>
      <c r="LNK1720" s="227"/>
      <c r="LNL1720" s="227"/>
      <c r="LNM1720" s="227"/>
      <c r="LNN1720" s="227"/>
      <c r="LNO1720" s="227"/>
      <c r="LNP1720" s="227"/>
      <c r="LNQ1720" s="227"/>
      <c r="LNR1720" s="227"/>
      <c r="LNS1720" s="227"/>
      <c r="LNT1720" s="227"/>
      <c r="LNU1720" s="227"/>
      <c r="LNV1720" s="227"/>
      <c r="LNW1720" s="227"/>
      <c r="LNX1720" s="227"/>
      <c r="LNY1720" s="227"/>
      <c r="LNZ1720" s="227"/>
      <c r="LOA1720" s="227"/>
      <c r="LOB1720" s="227"/>
      <c r="LOC1720" s="227"/>
      <c r="LOD1720" s="227"/>
      <c r="LOE1720" s="227"/>
      <c r="LOF1720" s="227"/>
      <c r="LOG1720" s="227"/>
      <c r="LOH1720" s="227"/>
      <c r="LOI1720" s="227"/>
      <c r="LOJ1720" s="227"/>
      <c r="LOK1720" s="227"/>
      <c r="LOL1720" s="227"/>
      <c r="LOM1720" s="227"/>
      <c r="LON1720" s="227"/>
      <c r="LOO1720" s="227"/>
      <c r="LOP1720" s="227"/>
      <c r="LOQ1720" s="227"/>
      <c r="LOR1720" s="227"/>
      <c r="LOS1720" s="227"/>
      <c r="LOT1720" s="227"/>
      <c r="LOU1720" s="227"/>
      <c r="LOV1720" s="227"/>
      <c r="LOW1720" s="227"/>
      <c r="LOX1720" s="227"/>
      <c r="LOY1720" s="227"/>
      <c r="LOZ1720" s="227"/>
      <c r="LPA1720" s="227"/>
      <c r="LPB1720" s="227"/>
      <c r="LPC1720" s="227"/>
      <c r="LPD1720" s="227"/>
      <c r="LPE1720" s="227"/>
      <c r="LPF1720" s="227"/>
      <c r="LPG1720" s="227"/>
      <c r="LPH1720" s="227"/>
      <c r="LPI1720" s="227"/>
      <c r="LPJ1720" s="227"/>
      <c r="LPK1720" s="227"/>
      <c r="LPL1720" s="227"/>
      <c r="LPM1720" s="227"/>
      <c r="LPN1720" s="227"/>
      <c r="LPO1720" s="227"/>
      <c r="LPP1720" s="227"/>
      <c r="LPQ1720" s="227"/>
      <c r="LPR1720" s="227"/>
      <c r="LPS1720" s="227"/>
      <c r="LPT1720" s="227"/>
      <c r="LPU1720" s="227"/>
      <c r="LPV1720" s="227"/>
      <c r="LPW1720" s="227"/>
      <c r="LPX1720" s="227"/>
      <c r="LPY1720" s="227"/>
      <c r="LPZ1720" s="227"/>
      <c r="LQA1720" s="227"/>
      <c r="LQB1720" s="227"/>
      <c r="LQC1720" s="227"/>
      <c r="LQD1720" s="227"/>
      <c r="LQE1720" s="227"/>
      <c r="LQF1720" s="227"/>
      <c r="LQG1720" s="227"/>
      <c r="LQH1720" s="227"/>
      <c r="LQI1720" s="227"/>
      <c r="LQJ1720" s="227"/>
      <c r="LQK1720" s="227"/>
      <c r="LQL1720" s="227"/>
      <c r="LQM1720" s="227"/>
      <c r="LQN1720" s="227"/>
      <c r="LQO1720" s="227"/>
      <c r="LQP1720" s="227"/>
      <c r="LQQ1720" s="227"/>
      <c r="LQR1720" s="227"/>
      <c r="LQS1720" s="227"/>
      <c r="LQT1720" s="227"/>
      <c r="LQU1720" s="227"/>
      <c r="LQV1720" s="227"/>
      <c r="LQW1720" s="227"/>
      <c r="LQX1720" s="227"/>
      <c r="LQY1720" s="227"/>
      <c r="LQZ1720" s="227"/>
      <c r="LRA1720" s="227"/>
      <c r="LRB1720" s="227"/>
      <c r="LRC1720" s="227"/>
      <c r="LRD1720" s="227"/>
      <c r="LRE1720" s="227"/>
      <c r="LRF1720" s="227"/>
      <c r="LRG1720" s="227"/>
      <c r="LRH1720" s="227"/>
      <c r="LRI1720" s="227"/>
      <c r="LRJ1720" s="227"/>
      <c r="LRK1720" s="227"/>
      <c r="LRL1720" s="227"/>
      <c r="LRM1720" s="227"/>
      <c r="LRN1720" s="227"/>
      <c r="LRO1720" s="227"/>
      <c r="LRP1720" s="227"/>
      <c r="LRQ1720" s="227"/>
      <c r="LRR1720" s="227"/>
      <c r="LRS1720" s="227"/>
      <c r="LRT1720" s="227"/>
      <c r="LRU1720" s="227"/>
      <c r="LRV1720" s="227"/>
      <c r="LRW1720" s="227"/>
      <c r="LRX1720" s="227"/>
      <c r="LRY1720" s="227"/>
      <c r="LRZ1720" s="227"/>
      <c r="LSA1720" s="227"/>
      <c r="LSB1720" s="227"/>
      <c r="LSC1720" s="227"/>
      <c r="LSD1720" s="227"/>
      <c r="LSE1720" s="227"/>
      <c r="LSF1720" s="227"/>
      <c r="LSG1720" s="227"/>
      <c r="LSH1720" s="227"/>
      <c r="LSI1720" s="227"/>
      <c r="LSJ1720" s="227"/>
      <c r="LSK1720" s="227"/>
      <c r="LSL1720" s="227"/>
      <c r="LSM1720" s="227"/>
      <c r="LSN1720" s="227"/>
      <c r="LSO1720" s="227"/>
      <c r="LSP1720" s="227"/>
      <c r="LSQ1720" s="227"/>
      <c r="LSR1720" s="227"/>
      <c r="LSS1720" s="227"/>
      <c r="LST1720" s="227"/>
      <c r="LSU1720" s="227"/>
      <c r="LSV1720" s="227"/>
      <c r="LSW1720" s="227"/>
      <c r="LSX1720" s="227"/>
      <c r="LSY1720" s="227"/>
      <c r="LSZ1720" s="227"/>
      <c r="LTA1720" s="227"/>
      <c r="LTB1720" s="227"/>
      <c r="LTC1720" s="227"/>
      <c r="LTD1720" s="227"/>
      <c r="LTE1720" s="227"/>
      <c r="LTF1720" s="227"/>
      <c r="LTG1720" s="227"/>
      <c r="LTH1720" s="227"/>
      <c r="LTI1720" s="227"/>
      <c r="LTJ1720" s="227"/>
      <c r="LTK1720" s="227"/>
      <c r="LTL1720" s="227"/>
      <c r="LTM1720" s="227"/>
      <c r="LTN1720" s="227"/>
      <c r="LTO1720" s="227"/>
      <c r="LTP1720" s="227"/>
      <c r="LTQ1720" s="227"/>
      <c r="LTR1720" s="227"/>
      <c r="LTS1720" s="227"/>
      <c r="LTT1720" s="227"/>
      <c r="LTU1720" s="227"/>
      <c r="LTV1720" s="227"/>
      <c r="LTW1720" s="227"/>
      <c r="LTX1720" s="227"/>
      <c r="LTY1720" s="227"/>
      <c r="LTZ1720" s="227"/>
      <c r="LUA1720" s="227"/>
      <c r="LUB1720" s="227"/>
      <c r="LUC1720" s="227"/>
      <c r="LUD1720" s="227"/>
      <c r="LUE1720" s="227"/>
      <c r="LUF1720" s="227"/>
      <c r="LUG1720" s="227"/>
      <c r="LUH1720" s="227"/>
      <c r="LUI1720" s="227"/>
      <c r="LUJ1720" s="227"/>
      <c r="LUK1720" s="227"/>
      <c r="LUL1720" s="227"/>
      <c r="LUM1720" s="227"/>
      <c r="LUN1720" s="227"/>
      <c r="LUO1720" s="227"/>
      <c r="LUP1720" s="227"/>
      <c r="LUQ1720" s="227"/>
      <c r="LUR1720" s="227"/>
      <c r="LUS1720" s="227"/>
      <c r="LUT1720" s="227"/>
      <c r="LUU1720" s="227"/>
      <c r="LUV1720" s="227"/>
      <c r="LUW1720" s="227"/>
      <c r="LUX1720" s="227"/>
      <c r="LUY1720" s="227"/>
      <c r="LUZ1720" s="227"/>
      <c r="LVA1720" s="227"/>
      <c r="LVB1720" s="227"/>
      <c r="LVC1720" s="227"/>
      <c r="LVD1720" s="227"/>
      <c r="LVE1720" s="227"/>
      <c r="LVF1720" s="227"/>
      <c r="LVG1720" s="227"/>
      <c r="LVH1720" s="227"/>
      <c r="LVI1720" s="227"/>
      <c r="LVJ1720" s="227"/>
      <c r="LVK1720" s="227"/>
      <c r="LVL1720" s="227"/>
      <c r="LVM1720" s="227"/>
      <c r="LVN1720" s="227"/>
      <c r="LVO1720" s="227"/>
      <c r="LVP1720" s="227"/>
      <c r="LVQ1720" s="227"/>
      <c r="LVR1720" s="227"/>
      <c r="LVS1720" s="227"/>
      <c r="LVT1720" s="227"/>
      <c r="LVU1720" s="227"/>
      <c r="LVV1720" s="227"/>
      <c r="LVW1720" s="227"/>
      <c r="LVX1720" s="227"/>
      <c r="LVY1720" s="227"/>
      <c r="LVZ1720" s="227"/>
      <c r="LWA1720" s="227"/>
      <c r="LWB1720" s="227"/>
      <c r="LWC1720" s="227"/>
      <c r="LWD1720" s="227"/>
      <c r="LWE1720" s="227"/>
      <c r="LWF1720" s="227"/>
      <c r="LWG1720" s="227"/>
      <c r="LWH1720" s="227"/>
      <c r="LWI1720" s="227"/>
      <c r="LWJ1720" s="227"/>
      <c r="LWK1720" s="227"/>
      <c r="LWL1720" s="227"/>
      <c r="LWM1720" s="227"/>
      <c r="LWN1720" s="227"/>
      <c r="LWO1720" s="227"/>
      <c r="LWP1720" s="227"/>
      <c r="LWQ1720" s="227"/>
      <c r="LWR1720" s="227"/>
      <c r="LWS1720" s="227"/>
      <c r="LWT1720" s="227"/>
      <c r="LWU1720" s="227"/>
      <c r="LWV1720" s="227"/>
      <c r="LWW1720" s="227"/>
      <c r="LWX1720" s="227"/>
      <c r="LWY1720" s="227"/>
      <c r="LWZ1720" s="227"/>
      <c r="LXA1720" s="227"/>
      <c r="LXB1720" s="227"/>
      <c r="LXC1720" s="227"/>
      <c r="LXD1720" s="227"/>
      <c r="LXE1720" s="227"/>
      <c r="LXF1720" s="227"/>
      <c r="LXG1720" s="227"/>
      <c r="LXH1720" s="227"/>
      <c r="LXI1720" s="227"/>
      <c r="LXJ1720" s="227"/>
      <c r="LXK1720" s="227"/>
      <c r="LXL1720" s="227"/>
      <c r="LXM1720" s="227"/>
      <c r="LXN1720" s="227"/>
      <c r="LXO1720" s="227"/>
      <c r="LXP1720" s="227"/>
      <c r="LXQ1720" s="227"/>
      <c r="LXR1720" s="227"/>
      <c r="LXS1720" s="227"/>
      <c r="LXT1720" s="227"/>
      <c r="LXU1720" s="227"/>
      <c r="LXV1720" s="227"/>
      <c r="LXW1720" s="227"/>
      <c r="LXX1720" s="227"/>
      <c r="LXY1720" s="227"/>
      <c r="LXZ1720" s="227"/>
      <c r="LYA1720" s="227"/>
      <c r="LYB1720" s="227"/>
      <c r="LYC1720" s="227"/>
      <c r="LYD1720" s="227"/>
      <c r="LYE1720" s="227"/>
      <c r="LYF1720" s="227"/>
      <c r="LYG1720" s="227"/>
      <c r="LYH1720" s="227"/>
      <c r="LYI1720" s="227"/>
      <c r="LYJ1720" s="227"/>
      <c r="LYK1720" s="227"/>
      <c r="LYL1720" s="227"/>
      <c r="LYM1720" s="227"/>
      <c r="LYN1720" s="227"/>
      <c r="LYO1720" s="227"/>
      <c r="LYP1720" s="227"/>
      <c r="LYQ1720" s="227"/>
      <c r="LYR1720" s="227"/>
      <c r="LYS1720" s="227"/>
      <c r="LYT1720" s="227"/>
      <c r="LYU1720" s="227"/>
      <c r="LYV1720" s="227"/>
      <c r="LYW1720" s="227"/>
      <c r="LYX1720" s="227"/>
      <c r="LYY1720" s="227"/>
      <c r="LYZ1720" s="227"/>
      <c r="LZA1720" s="227"/>
      <c r="LZB1720" s="227"/>
      <c r="LZC1720" s="227"/>
      <c r="LZD1720" s="227"/>
      <c r="LZE1720" s="227"/>
      <c r="LZF1720" s="227"/>
      <c r="LZG1720" s="227"/>
      <c r="LZH1720" s="227"/>
      <c r="LZI1720" s="227"/>
      <c r="LZJ1720" s="227"/>
      <c r="LZK1720" s="227"/>
      <c r="LZL1720" s="227"/>
      <c r="LZM1720" s="227"/>
      <c r="LZN1720" s="227"/>
      <c r="LZO1720" s="227"/>
      <c r="LZP1720" s="227"/>
      <c r="LZQ1720" s="227"/>
      <c r="LZR1720" s="227"/>
      <c r="LZS1720" s="227"/>
      <c r="LZT1720" s="227"/>
      <c r="LZU1720" s="227"/>
      <c r="LZV1720" s="227"/>
      <c r="LZW1720" s="227"/>
      <c r="LZX1720" s="227"/>
      <c r="LZY1720" s="227"/>
      <c r="LZZ1720" s="227"/>
      <c r="MAA1720" s="227"/>
      <c r="MAB1720" s="227"/>
      <c r="MAC1720" s="227"/>
      <c r="MAD1720" s="227"/>
      <c r="MAE1720" s="227"/>
      <c r="MAF1720" s="227"/>
      <c r="MAG1720" s="227"/>
      <c r="MAH1720" s="227"/>
      <c r="MAI1720" s="227"/>
      <c r="MAJ1720" s="227"/>
      <c r="MAK1720" s="227"/>
      <c r="MAL1720" s="227"/>
      <c r="MAM1720" s="227"/>
      <c r="MAN1720" s="227"/>
      <c r="MAO1720" s="227"/>
      <c r="MAP1720" s="227"/>
      <c r="MAQ1720" s="227"/>
      <c r="MAR1720" s="227"/>
      <c r="MAS1720" s="227"/>
      <c r="MAT1720" s="227"/>
      <c r="MAU1720" s="227"/>
      <c r="MAV1720" s="227"/>
      <c r="MAW1720" s="227"/>
      <c r="MAX1720" s="227"/>
      <c r="MAY1720" s="227"/>
      <c r="MAZ1720" s="227"/>
      <c r="MBA1720" s="227"/>
      <c r="MBB1720" s="227"/>
      <c r="MBC1720" s="227"/>
      <c r="MBD1720" s="227"/>
      <c r="MBE1720" s="227"/>
      <c r="MBF1720" s="227"/>
      <c r="MBG1720" s="227"/>
      <c r="MBH1720" s="227"/>
      <c r="MBI1720" s="227"/>
      <c r="MBJ1720" s="227"/>
      <c r="MBK1720" s="227"/>
      <c r="MBL1720" s="227"/>
      <c r="MBM1720" s="227"/>
      <c r="MBN1720" s="227"/>
      <c r="MBO1720" s="227"/>
      <c r="MBP1720" s="227"/>
      <c r="MBQ1720" s="227"/>
      <c r="MBR1720" s="227"/>
      <c r="MBS1720" s="227"/>
      <c r="MBT1720" s="227"/>
      <c r="MBU1720" s="227"/>
      <c r="MBV1720" s="227"/>
      <c r="MBW1720" s="227"/>
      <c r="MBX1720" s="227"/>
      <c r="MBY1720" s="227"/>
      <c r="MBZ1720" s="227"/>
      <c r="MCA1720" s="227"/>
      <c r="MCB1720" s="227"/>
      <c r="MCC1720" s="227"/>
      <c r="MCD1720" s="227"/>
      <c r="MCE1720" s="227"/>
      <c r="MCF1720" s="227"/>
      <c r="MCG1720" s="227"/>
      <c r="MCH1720" s="227"/>
      <c r="MCI1720" s="227"/>
      <c r="MCJ1720" s="227"/>
      <c r="MCK1720" s="227"/>
      <c r="MCL1720" s="227"/>
      <c r="MCM1720" s="227"/>
      <c r="MCN1720" s="227"/>
      <c r="MCO1720" s="227"/>
      <c r="MCP1720" s="227"/>
      <c r="MCQ1720" s="227"/>
      <c r="MCR1720" s="227"/>
      <c r="MCS1720" s="227"/>
      <c r="MCT1720" s="227"/>
      <c r="MCU1720" s="227"/>
      <c r="MCV1720" s="227"/>
      <c r="MCW1720" s="227"/>
      <c r="MCX1720" s="227"/>
      <c r="MCY1720" s="227"/>
      <c r="MCZ1720" s="227"/>
      <c r="MDA1720" s="227"/>
      <c r="MDB1720" s="227"/>
      <c r="MDC1720" s="227"/>
      <c r="MDD1720" s="227"/>
      <c r="MDE1720" s="227"/>
      <c r="MDF1720" s="227"/>
      <c r="MDG1720" s="227"/>
      <c r="MDH1720" s="227"/>
      <c r="MDI1720" s="227"/>
      <c r="MDJ1720" s="227"/>
      <c r="MDK1720" s="227"/>
      <c r="MDL1720" s="227"/>
      <c r="MDM1720" s="227"/>
      <c r="MDN1720" s="227"/>
      <c r="MDO1720" s="227"/>
      <c r="MDP1720" s="227"/>
      <c r="MDQ1720" s="227"/>
      <c r="MDR1720" s="227"/>
      <c r="MDS1720" s="227"/>
      <c r="MDT1720" s="227"/>
      <c r="MDU1720" s="227"/>
      <c r="MDV1720" s="227"/>
      <c r="MDW1720" s="227"/>
      <c r="MDX1720" s="227"/>
      <c r="MDY1720" s="227"/>
      <c r="MDZ1720" s="227"/>
      <c r="MEA1720" s="227"/>
      <c r="MEB1720" s="227"/>
      <c r="MEC1720" s="227"/>
      <c r="MED1720" s="227"/>
      <c r="MEE1720" s="227"/>
      <c r="MEF1720" s="227"/>
      <c r="MEG1720" s="227"/>
      <c r="MEH1720" s="227"/>
      <c r="MEI1720" s="227"/>
      <c r="MEJ1720" s="227"/>
      <c r="MEK1720" s="227"/>
      <c r="MEL1720" s="227"/>
      <c r="MEM1720" s="227"/>
      <c r="MEN1720" s="227"/>
      <c r="MEO1720" s="227"/>
      <c r="MEP1720" s="227"/>
      <c r="MEQ1720" s="227"/>
      <c r="MER1720" s="227"/>
      <c r="MES1720" s="227"/>
      <c r="MET1720" s="227"/>
      <c r="MEU1720" s="227"/>
      <c r="MEV1720" s="227"/>
      <c r="MEW1720" s="227"/>
      <c r="MEX1720" s="227"/>
      <c r="MEY1720" s="227"/>
      <c r="MEZ1720" s="227"/>
      <c r="MFA1720" s="227"/>
      <c r="MFB1720" s="227"/>
      <c r="MFC1720" s="227"/>
      <c r="MFD1720" s="227"/>
      <c r="MFE1720" s="227"/>
      <c r="MFF1720" s="227"/>
      <c r="MFG1720" s="227"/>
      <c r="MFH1720" s="227"/>
      <c r="MFI1720" s="227"/>
      <c r="MFJ1720" s="227"/>
      <c r="MFK1720" s="227"/>
      <c r="MFL1720" s="227"/>
      <c r="MFM1720" s="227"/>
      <c r="MFN1720" s="227"/>
      <c r="MFO1720" s="227"/>
      <c r="MFP1720" s="227"/>
      <c r="MFQ1720" s="227"/>
      <c r="MFR1720" s="227"/>
      <c r="MFS1720" s="227"/>
      <c r="MFT1720" s="227"/>
      <c r="MFU1720" s="227"/>
      <c r="MFV1720" s="227"/>
      <c r="MFW1720" s="227"/>
      <c r="MFX1720" s="227"/>
      <c r="MFY1720" s="227"/>
      <c r="MFZ1720" s="227"/>
      <c r="MGA1720" s="227"/>
      <c r="MGB1720" s="227"/>
      <c r="MGC1720" s="227"/>
      <c r="MGD1720" s="227"/>
      <c r="MGE1720" s="227"/>
      <c r="MGF1720" s="227"/>
      <c r="MGG1720" s="227"/>
      <c r="MGH1720" s="227"/>
      <c r="MGI1720" s="227"/>
      <c r="MGJ1720" s="227"/>
      <c r="MGK1720" s="227"/>
      <c r="MGL1720" s="227"/>
      <c r="MGM1720" s="227"/>
      <c r="MGN1720" s="227"/>
      <c r="MGO1720" s="227"/>
      <c r="MGP1720" s="227"/>
      <c r="MGQ1720" s="227"/>
      <c r="MGR1720" s="227"/>
      <c r="MGS1720" s="227"/>
      <c r="MGT1720" s="227"/>
      <c r="MGU1720" s="227"/>
      <c r="MGV1720" s="227"/>
      <c r="MGW1720" s="227"/>
      <c r="MGX1720" s="227"/>
      <c r="MGY1720" s="227"/>
      <c r="MGZ1720" s="227"/>
      <c r="MHA1720" s="227"/>
      <c r="MHB1720" s="227"/>
      <c r="MHC1720" s="227"/>
      <c r="MHD1720" s="227"/>
      <c r="MHE1720" s="227"/>
      <c r="MHF1720" s="227"/>
      <c r="MHG1720" s="227"/>
      <c r="MHH1720" s="227"/>
      <c r="MHI1720" s="227"/>
      <c r="MHJ1720" s="227"/>
      <c r="MHK1720" s="227"/>
      <c r="MHL1720" s="227"/>
      <c r="MHM1720" s="227"/>
      <c r="MHN1720" s="227"/>
      <c r="MHO1720" s="227"/>
      <c r="MHP1720" s="227"/>
      <c r="MHQ1720" s="227"/>
      <c r="MHR1720" s="227"/>
      <c r="MHS1720" s="227"/>
      <c r="MHT1720" s="227"/>
      <c r="MHU1720" s="227"/>
      <c r="MHV1720" s="227"/>
      <c r="MHW1720" s="227"/>
      <c r="MHX1720" s="227"/>
      <c r="MHY1720" s="227"/>
      <c r="MHZ1720" s="227"/>
      <c r="MIA1720" s="227"/>
      <c r="MIB1720" s="227"/>
      <c r="MIC1720" s="227"/>
      <c r="MID1720" s="227"/>
      <c r="MIE1720" s="227"/>
      <c r="MIF1720" s="227"/>
      <c r="MIG1720" s="227"/>
      <c r="MIH1720" s="227"/>
      <c r="MII1720" s="227"/>
      <c r="MIJ1720" s="227"/>
      <c r="MIK1720" s="227"/>
      <c r="MIL1720" s="227"/>
      <c r="MIM1720" s="227"/>
      <c r="MIN1720" s="227"/>
      <c r="MIO1720" s="227"/>
      <c r="MIP1720" s="227"/>
      <c r="MIQ1720" s="227"/>
      <c r="MIR1720" s="227"/>
      <c r="MIS1720" s="227"/>
      <c r="MIT1720" s="227"/>
      <c r="MIU1720" s="227"/>
      <c r="MIV1720" s="227"/>
      <c r="MIW1720" s="227"/>
      <c r="MIX1720" s="227"/>
      <c r="MIY1720" s="227"/>
      <c r="MIZ1720" s="227"/>
      <c r="MJA1720" s="227"/>
      <c r="MJB1720" s="227"/>
      <c r="MJC1720" s="227"/>
      <c r="MJD1720" s="227"/>
      <c r="MJE1720" s="227"/>
      <c r="MJF1720" s="227"/>
      <c r="MJG1720" s="227"/>
      <c r="MJH1720" s="227"/>
      <c r="MJI1720" s="227"/>
      <c r="MJJ1720" s="227"/>
      <c r="MJK1720" s="227"/>
      <c r="MJL1720" s="227"/>
      <c r="MJM1720" s="227"/>
      <c r="MJN1720" s="227"/>
      <c r="MJO1720" s="227"/>
      <c r="MJP1720" s="227"/>
      <c r="MJQ1720" s="227"/>
      <c r="MJR1720" s="227"/>
      <c r="MJS1720" s="227"/>
      <c r="MJT1720" s="227"/>
      <c r="MJU1720" s="227"/>
      <c r="MJV1720" s="227"/>
      <c r="MJW1720" s="227"/>
      <c r="MJX1720" s="227"/>
      <c r="MJY1720" s="227"/>
      <c r="MJZ1720" s="227"/>
      <c r="MKA1720" s="227"/>
      <c r="MKB1720" s="227"/>
      <c r="MKC1720" s="227"/>
      <c r="MKD1720" s="227"/>
      <c r="MKE1720" s="227"/>
      <c r="MKF1720" s="227"/>
      <c r="MKG1720" s="227"/>
      <c r="MKH1720" s="227"/>
      <c r="MKI1720" s="227"/>
      <c r="MKJ1720" s="227"/>
      <c r="MKK1720" s="227"/>
      <c r="MKL1720" s="227"/>
      <c r="MKM1720" s="227"/>
      <c r="MKN1720" s="227"/>
      <c r="MKO1720" s="227"/>
      <c r="MKP1720" s="227"/>
      <c r="MKQ1720" s="227"/>
      <c r="MKR1720" s="227"/>
      <c r="MKS1720" s="227"/>
      <c r="MKT1720" s="227"/>
      <c r="MKU1720" s="227"/>
      <c r="MKV1720" s="227"/>
      <c r="MKW1720" s="227"/>
      <c r="MKX1720" s="227"/>
      <c r="MKY1720" s="227"/>
      <c r="MKZ1720" s="227"/>
      <c r="MLA1720" s="227"/>
      <c r="MLB1720" s="227"/>
      <c r="MLC1720" s="227"/>
      <c r="MLD1720" s="227"/>
      <c r="MLE1720" s="227"/>
      <c r="MLF1720" s="227"/>
      <c r="MLG1720" s="227"/>
      <c r="MLH1720" s="227"/>
      <c r="MLI1720" s="227"/>
      <c r="MLJ1720" s="227"/>
      <c r="MLK1720" s="227"/>
      <c r="MLL1720" s="227"/>
      <c r="MLM1720" s="227"/>
      <c r="MLN1720" s="227"/>
      <c r="MLO1720" s="227"/>
      <c r="MLP1720" s="227"/>
      <c r="MLQ1720" s="227"/>
      <c r="MLR1720" s="227"/>
      <c r="MLS1720" s="227"/>
      <c r="MLT1720" s="227"/>
      <c r="MLU1720" s="227"/>
      <c r="MLV1720" s="227"/>
      <c r="MLW1720" s="227"/>
      <c r="MLX1720" s="227"/>
      <c r="MLY1720" s="227"/>
      <c r="MLZ1720" s="227"/>
      <c r="MMA1720" s="227"/>
      <c r="MMB1720" s="227"/>
      <c r="MMC1720" s="227"/>
      <c r="MMD1720" s="227"/>
      <c r="MME1720" s="227"/>
      <c r="MMF1720" s="227"/>
      <c r="MMG1720" s="227"/>
      <c r="MMH1720" s="227"/>
      <c r="MMI1720" s="227"/>
      <c r="MMJ1720" s="227"/>
      <c r="MMK1720" s="227"/>
      <c r="MML1720" s="227"/>
      <c r="MMM1720" s="227"/>
      <c r="MMN1720" s="227"/>
      <c r="MMO1720" s="227"/>
      <c r="MMP1720" s="227"/>
      <c r="MMQ1720" s="227"/>
      <c r="MMR1720" s="227"/>
      <c r="MMS1720" s="227"/>
      <c r="MMT1720" s="227"/>
      <c r="MMU1720" s="227"/>
      <c r="MMV1720" s="227"/>
      <c r="MMW1720" s="227"/>
      <c r="MMX1720" s="227"/>
      <c r="MMY1720" s="227"/>
      <c r="MMZ1720" s="227"/>
      <c r="MNA1720" s="227"/>
      <c r="MNB1720" s="227"/>
      <c r="MNC1720" s="227"/>
      <c r="MND1720" s="227"/>
      <c r="MNE1720" s="227"/>
      <c r="MNF1720" s="227"/>
      <c r="MNG1720" s="227"/>
      <c r="MNH1720" s="227"/>
      <c r="MNI1720" s="227"/>
      <c r="MNJ1720" s="227"/>
      <c r="MNK1720" s="227"/>
      <c r="MNL1720" s="227"/>
      <c r="MNM1720" s="227"/>
      <c r="MNN1720" s="227"/>
      <c r="MNO1720" s="227"/>
      <c r="MNP1720" s="227"/>
      <c r="MNQ1720" s="227"/>
      <c r="MNR1720" s="227"/>
      <c r="MNS1720" s="227"/>
      <c r="MNT1720" s="227"/>
      <c r="MNU1720" s="227"/>
      <c r="MNV1720" s="227"/>
      <c r="MNW1720" s="227"/>
      <c r="MNX1720" s="227"/>
      <c r="MNY1720" s="227"/>
      <c r="MNZ1720" s="227"/>
      <c r="MOA1720" s="227"/>
      <c r="MOB1720" s="227"/>
      <c r="MOC1720" s="227"/>
      <c r="MOD1720" s="227"/>
      <c r="MOE1720" s="227"/>
      <c r="MOF1720" s="227"/>
      <c r="MOG1720" s="227"/>
      <c r="MOH1720" s="227"/>
      <c r="MOI1720" s="227"/>
      <c r="MOJ1720" s="227"/>
      <c r="MOK1720" s="227"/>
      <c r="MOL1720" s="227"/>
      <c r="MOM1720" s="227"/>
      <c r="MON1720" s="227"/>
      <c r="MOO1720" s="227"/>
      <c r="MOP1720" s="227"/>
      <c r="MOQ1720" s="227"/>
      <c r="MOR1720" s="227"/>
      <c r="MOS1720" s="227"/>
      <c r="MOT1720" s="227"/>
      <c r="MOU1720" s="227"/>
      <c r="MOV1720" s="227"/>
      <c r="MOW1720" s="227"/>
      <c r="MOX1720" s="227"/>
      <c r="MOY1720" s="227"/>
      <c r="MOZ1720" s="227"/>
      <c r="MPA1720" s="227"/>
      <c r="MPB1720" s="227"/>
      <c r="MPC1720" s="227"/>
      <c r="MPD1720" s="227"/>
      <c r="MPE1720" s="227"/>
      <c r="MPF1720" s="227"/>
      <c r="MPG1720" s="227"/>
      <c r="MPH1720" s="227"/>
      <c r="MPI1720" s="227"/>
      <c r="MPJ1720" s="227"/>
      <c r="MPK1720" s="227"/>
      <c r="MPL1720" s="227"/>
      <c r="MPM1720" s="227"/>
      <c r="MPN1720" s="227"/>
      <c r="MPO1720" s="227"/>
      <c r="MPP1720" s="227"/>
      <c r="MPQ1720" s="227"/>
      <c r="MPR1720" s="227"/>
      <c r="MPS1720" s="227"/>
      <c r="MPT1720" s="227"/>
      <c r="MPU1720" s="227"/>
      <c r="MPV1720" s="227"/>
      <c r="MPW1720" s="227"/>
      <c r="MPX1720" s="227"/>
      <c r="MPY1720" s="227"/>
      <c r="MPZ1720" s="227"/>
      <c r="MQA1720" s="227"/>
      <c r="MQB1720" s="227"/>
      <c r="MQC1720" s="227"/>
      <c r="MQD1720" s="227"/>
      <c r="MQE1720" s="227"/>
      <c r="MQF1720" s="227"/>
      <c r="MQG1720" s="227"/>
      <c r="MQH1720" s="227"/>
      <c r="MQI1720" s="227"/>
      <c r="MQJ1720" s="227"/>
      <c r="MQK1720" s="227"/>
      <c r="MQL1720" s="227"/>
      <c r="MQM1720" s="227"/>
      <c r="MQN1720" s="227"/>
      <c r="MQO1720" s="227"/>
      <c r="MQP1720" s="227"/>
      <c r="MQQ1720" s="227"/>
      <c r="MQR1720" s="227"/>
      <c r="MQS1720" s="227"/>
      <c r="MQT1720" s="227"/>
      <c r="MQU1720" s="227"/>
      <c r="MQV1720" s="227"/>
      <c r="MQW1720" s="227"/>
      <c r="MQX1720" s="227"/>
      <c r="MQY1720" s="227"/>
      <c r="MQZ1720" s="227"/>
      <c r="MRA1720" s="227"/>
      <c r="MRB1720" s="227"/>
      <c r="MRC1720" s="227"/>
      <c r="MRD1720" s="227"/>
      <c r="MRE1720" s="227"/>
      <c r="MRF1720" s="227"/>
      <c r="MRG1720" s="227"/>
      <c r="MRH1720" s="227"/>
      <c r="MRI1720" s="227"/>
      <c r="MRJ1720" s="227"/>
      <c r="MRK1720" s="227"/>
      <c r="MRL1720" s="227"/>
      <c r="MRM1720" s="227"/>
      <c r="MRN1720" s="227"/>
      <c r="MRO1720" s="227"/>
      <c r="MRP1720" s="227"/>
      <c r="MRQ1720" s="227"/>
      <c r="MRR1720" s="227"/>
      <c r="MRS1720" s="227"/>
      <c r="MRT1720" s="227"/>
      <c r="MRU1720" s="227"/>
      <c r="MRV1720" s="227"/>
      <c r="MRW1720" s="227"/>
      <c r="MRX1720" s="227"/>
      <c r="MRY1720" s="227"/>
      <c r="MRZ1720" s="227"/>
      <c r="MSA1720" s="227"/>
      <c r="MSB1720" s="227"/>
      <c r="MSC1720" s="227"/>
      <c r="MSD1720" s="227"/>
      <c r="MSE1720" s="227"/>
      <c r="MSF1720" s="227"/>
      <c r="MSG1720" s="227"/>
      <c r="MSH1720" s="227"/>
      <c r="MSI1720" s="227"/>
      <c r="MSJ1720" s="227"/>
      <c r="MSK1720" s="227"/>
      <c r="MSL1720" s="227"/>
      <c r="MSM1720" s="227"/>
      <c r="MSN1720" s="227"/>
      <c r="MSO1720" s="227"/>
      <c r="MSP1720" s="227"/>
      <c r="MSQ1720" s="227"/>
      <c r="MSR1720" s="227"/>
      <c r="MSS1720" s="227"/>
      <c r="MST1720" s="227"/>
      <c r="MSU1720" s="227"/>
      <c r="MSV1720" s="227"/>
      <c r="MSW1720" s="227"/>
      <c r="MSX1720" s="227"/>
      <c r="MSY1720" s="227"/>
      <c r="MSZ1720" s="227"/>
      <c r="MTA1720" s="227"/>
      <c r="MTB1720" s="227"/>
      <c r="MTC1720" s="227"/>
      <c r="MTD1720" s="227"/>
      <c r="MTE1720" s="227"/>
      <c r="MTF1720" s="227"/>
      <c r="MTG1720" s="227"/>
      <c r="MTH1720" s="227"/>
      <c r="MTI1720" s="227"/>
      <c r="MTJ1720" s="227"/>
      <c r="MTK1720" s="227"/>
      <c r="MTL1720" s="227"/>
      <c r="MTM1720" s="227"/>
      <c r="MTN1720" s="227"/>
      <c r="MTO1720" s="227"/>
      <c r="MTP1720" s="227"/>
      <c r="MTQ1720" s="227"/>
      <c r="MTR1720" s="227"/>
      <c r="MTS1720" s="227"/>
      <c r="MTT1720" s="227"/>
      <c r="MTU1720" s="227"/>
      <c r="MTV1720" s="227"/>
      <c r="MTW1720" s="227"/>
      <c r="MTX1720" s="227"/>
      <c r="MTY1720" s="227"/>
      <c r="MTZ1720" s="227"/>
      <c r="MUA1720" s="227"/>
      <c r="MUB1720" s="227"/>
      <c r="MUC1720" s="227"/>
      <c r="MUD1720" s="227"/>
      <c r="MUE1720" s="227"/>
      <c r="MUF1720" s="227"/>
      <c r="MUG1720" s="227"/>
      <c r="MUH1720" s="227"/>
      <c r="MUI1720" s="227"/>
      <c r="MUJ1720" s="227"/>
      <c r="MUK1720" s="227"/>
      <c r="MUL1720" s="227"/>
      <c r="MUM1720" s="227"/>
      <c r="MUN1720" s="227"/>
      <c r="MUO1720" s="227"/>
      <c r="MUP1720" s="227"/>
      <c r="MUQ1720" s="227"/>
      <c r="MUR1720" s="227"/>
      <c r="MUS1720" s="227"/>
      <c r="MUT1720" s="227"/>
      <c r="MUU1720" s="227"/>
      <c r="MUV1720" s="227"/>
      <c r="MUW1720" s="227"/>
      <c r="MUX1720" s="227"/>
      <c r="MUY1720" s="227"/>
      <c r="MUZ1720" s="227"/>
      <c r="MVA1720" s="227"/>
      <c r="MVB1720" s="227"/>
      <c r="MVC1720" s="227"/>
      <c r="MVD1720" s="227"/>
      <c r="MVE1720" s="227"/>
      <c r="MVF1720" s="227"/>
      <c r="MVG1720" s="227"/>
      <c r="MVH1720" s="227"/>
      <c r="MVI1720" s="227"/>
      <c r="MVJ1720" s="227"/>
      <c r="MVK1720" s="227"/>
      <c r="MVL1720" s="227"/>
      <c r="MVM1720" s="227"/>
      <c r="MVN1720" s="227"/>
      <c r="MVO1720" s="227"/>
      <c r="MVP1720" s="227"/>
      <c r="MVQ1720" s="227"/>
      <c r="MVR1720" s="227"/>
      <c r="MVS1720" s="227"/>
      <c r="MVT1720" s="227"/>
      <c r="MVU1720" s="227"/>
      <c r="MVV1720" s="227"/>
      <c r="MVW1720" s="227"/>
      <c r="MVX1720" s="227"/>
      <c r="MVY1720" s="227"/>
      <c r="MVZ1720" s="227"/>
      <c r="MWA1720" s="227"/>
      <c r="MWB1720" s="227"/>
      <c r="MWC1720" s="227"/>
      <c r="MWD1720" s="227"/>
      <c r="MWE1720" s="227"/>
      <c r="MWF1720" s="227"/>
      <c r="MWG1720" s="227"/>
      <c r="MWH1720" s="227"/>
      <c r="MWI1720" s="227"/>
      <c r="MWJ1720" s="227"/>
      <c r="MWK1720" s="227"/>
      <c r="MWL1720" s="227"/>
      <c r="MWM1720" s="227"/>
      <c r="MWN1720" s="227"/>
      <c r="MWO1720" s="227"/>
      <c r="MWP1720" s="227"/>
      <c r="MWQ1720" s="227"/>
      <c r="MWR1720" s="227"/>
      <c r="MWS1720" s="227"/>
      <c r="MWT1720" s="227"/>
      <c r="MWU1720" s="227"/>
      <c r="MWV1720" s="227"/>
      <c r="MWW1720" s="227"/>
      <c r="MWX1720" s="227"/>
      <c r="MWY1720" s="227"/>
      <c r="MWZ1720" s="227"/>
      <c r="MXA1720" s="227"/>
      <c r="MXB1720" s="227"/>
      <c r="MXC1720" s="227"/>
      <c r="MXD1720" s="227"/>
      <c r="MXE1720" s="227"/>
      <c r="MXF1720" s="227"/>
      <c r="MXG1720" s="227"/>
      <c r="MXH1720" s="227"/>
      <c r="MXI1720" s="227"/>
      <c r="MXJ1720" s="227"/>
      <c r="MXK1720" s="227"/>
      <c r="MXL1720" s="227"/>
      <c r="MXM1720" s="227"/>
      <c r="MXN1720" s="227"/>
      <c r="MXO1720" s="227"/>
      <c r="MXP1720" s="227"/>
      <c r="MXQ1720" s="227"/>
      <c r="MXR1720" s="227"/>
      <c r="MXS1720" s="227"/>
      <c r="MXT1720" s="227"/>
      <c r="MXU1720" s="227"/>
      <c r="MXV1720" s="227"/>
      <c r="MXW1720" s="227"/>
      <c r="MXX1720" s="227"/>
      <c r="MXY1720" s="227"/>
      <c r="MXZ1720" s="227"/>
      <c r="MYA1720" s="227"/>
      <c r="MYB1720" s="227"/>
      <c r="MYC1720" s="227"/>
      <c r="MYD1720" s="227"/>
      <c r="MYE1720" s="227"/>
      <c r="MYF1720" s="227"/>
      <c r="MYG1720" s="227"/>
      <c r="MYH1720" s="227"/>
      <c r="MYI1720" s="227"/>
      <c r="MYJ1720" s="227"/>
      <c r="MYK1720" s="227"/>
      <c r="MYL1720" s="227"/>
      <c r="MYM1720" s="227"/>
      <c r="MYN1720" s="227"/>
      <c r="MYO1720" s="227"/>
      <c r="MYP1720" s="227"/>
      <c r="MYQ1720" s="227"/>
      <c r="MYR1720" s="227"/>
      <c r="MYS1720" s="227"/>
      <c r="MYT1720" s="227"/>
      <c r="MYU1720" s="227"/>
      <c r="MYV1720" s="227"/>
      <c r="MYW1720" s="227"/>
      <c r="MYX1720" s="227"/>
      <c r="MYY1720" s="227"/>
      <c r="MYZ1720" s="227"/>
      <c r="MZA1720" s="227"/>
      <c r="MZB1720" s="227"/>
      <c r="MZC1720" s="227"/>
      <c r="MZD1720" s="227"/>
      <c r="MZE1720" s="227"/>
      <c r="MZF1720" s="227"/>
      <c r="MZG1720" s="227"/>
      <c r="MZH1720" s="227"/>
      <c r="MZI1720" s="227"/>
      <c r="MZJ1720" s="227"/>
      <c r="MZK1720" s="227"/>
      <c r="MZL1720" s="227"/>
      <c r="MZM1720" s="227"/>
      <c r="MZN1720" s="227"/>
      <c r="MZO1720" s="227"/>
      <c r="MZP1720" s="227"/>
      <c r="MZQ1720" s="227"/>
      <c r="MZR1720" s="227"/>
      <c r="MZS1720" s="227"/>
      <c r="MZT1720" s="227"/>
      <c r="MZU1720" s="227"/>
      <c r="MZV1720" s="227"/>
      <c r="MZW1720" s="227"/>
      <c r="MZX1720" s="227"/>
      <c r="MZY1720" s="227"/>
      <c r="MZZ1720" s="227"/>
      <c r="NAA1720" s="227"/>
      <c r="NAB1720" s="227"/>
      <c r="NAC1720" s="227"/>
      <c r="NAD1720" s="227"/>
      <c r="NAE1720" s="227"/>
      <c r="NAF1720" s="227"/>
      <c r="NAG1720" s="227"/>
      <c r="NAH1720" s="227"/>
      <c r="NAI1720" s="227"/>
      <c r="NAJ1720" s="227"/>
      <c r="NAK1720" s="227"/>
      <c r="NAL1720" s="227"/>
      <c r="NAM1720" s="227"/>
      <c r="NAN1720" s="227"/>
      <c r="NAO1720" s="227"/>
      <c r="NAP1720" s="227"/>
      <c r="NAQ1720" s="227"/>
      <c r="NAR1720" s="227"/>
      <c r="NAS1720" s="227"/>
      <c r="NAT1720" s="227"/>
      <c r="NAU1720" s="227"/>
      <c r="NAV1720" s="227"/>
      <c r="NAW1720" s="227"/>
      <c r="NAX1720" s="227"/>
      <c r="NAY1720" s="227"/>
      <c r="NAZ1720" s="227"/>
      <c r="NBA1720" s="227"/>
      <c r="NBB1720" s="227"/>
      <c r="NBC1720" s="227"/>
      <c r="NBD1720" s="227"/>
      <c r="NBE1720" s="227"/>
      <c r="NBF1720" s="227"/>
      <c r="NBG1720" s="227"/>
      <c r="NBH1720" s="227"/>
      <c r="NBI1720" s="227"/>
      <c r="NBJ1720" s="227"/>
      <c r="NBK1720" s="227"/>
      <c r="NBL1720" s="227"/>
      <c r="NBM1720" s="227"/>
      <c r="NBN1720" s="227"/>
      <c r="NBO1720" s="227"/>
      <c r="NBP1720" s="227"/>
      <c r="NBQ1720" s="227"/>
      <c r="NBR1720" s="227"/>
      <c r="NBS1720" s="227"/>
      <c r="NBT1720" s="227"/>
      <c r="NBU1720" s="227"/>
      <c r="NBV1720" s="227"/>
      <c r="NBW1720" s="227"/>
      <c r="NBX1720" s="227"/>
      <c r="NBY1720" s="227"/>
      <c r="NBZ1720" s="227"/>
      <c r="NCA1720" s="227"/>
      <c r="NCB1720" s="227"/>
      <c r="NCC1720" s="227"/>
      <c r="NCD1720" s="227"/>
      <c r="NCE1720" s="227"/>
      <c r="NCF1720" s="227"/>
      <c r="NCG1720" s="227"/>
      <c r="NCH1720" s="227"/>
      <c r="NCI1720" s="227"/>
      <c r="NCJ1720" s="227"/>
      <c r="NCK1720" s="227"/>
      <c r="NCL1720" s="227"/>
      <c r="NCM1720" s="227"/>
      <c r="NCN1720" s="227"/>
      <c r="NCO1720" s="227"/>
      <c r="NCP1720" s="227"/>
      <c r="NCQ1720" s="227"/>
      <c r="NCR1720" s="227"/>
      <c r="NCS1720" s="227"/>
      <c r="NCT1720" s="227"/>
      <c r="NCU1720" s="227"/>
      <c r="NCV1720" s="227"/>
      <c r="NCW1720" s="227"/>
      <c r="NCX1720" s="227"/>
      <c r="NCY1720" s="227"/>
      <c r="NCZ1720" s="227"/>
      <c r="NDA1720" s="227"/>
      <c r="NDB1720" s="227"/>
      <c r="NDC1720" s="227"/>
      <c r="NDD1720" s="227"/>
      <c r="NDE1720" s="227"/>
      <c r="NDF1720" s="227"/>
      <c r="NDG1720" s="227"/>
      <c r="NDH1720" s="227"/>
      <c r="NDI1720" s="227"/>
      <c r="NDJ1720" s="227"/>
      <c r="NDK1720" s="227"/>
      <c r="NDL1720" s="227"/>
      <c r="NDM1720" s="227"/>
      <c r="NDN1720" s="227"/>
      <c r="NDO1720" s="227"/>
      <c r="NDP1720" s="227"/>
      <c r="NDQ1720" s="227"/>
      <c r="NDR1720" s="227"/>
      <c r="NDS1720" s="227"/>
      <c r="NDT1720" s="227"/>
      <c r="NDU1720" s="227"/>
      <c r="NDV1720" s="227"/>
      <c r="NDW1720" s="227"/>
      <c r="NDX1720" s="227"/>
      <c r="NDY1720" s="227"/>
      <c r="NDZ1720" s="227"/>
      <c r="NEA1720" s="227"/>
      <c r="NEB1720" s="227"/>
      <c r="NEC1720" s="227"/>
      <c r="NED1720" s="227"/>
      <c r="NEE1720" s="227"/>
      <c r="NEF1720" s="227"/>
      <c r="NEG1720" s="227"/>
      <c r="NEH1720" s="227"/>
      <c r="NEI1720" s="227"/>
      <c r="NEJ1720" s="227"/>
      <c r="NEK1720" s="227"/>
      <c r="NEL1720" s="227"/>
      <c r="NEM1720" s="227"/>
      <c r="NEN1720" s="227"/>
      <c r="NEO1720" s="227"/>
      <c r="NEP1720" s="227"/>
      <c r="NEQ1720" s="227"/>
      <c r="NER1720" s="227"/>
      <c r="NES1720" s="227"/>
      <c r="NET1720" s="227"/>
      <c r="NEU1720" s="227"/>
      <c r="NEV1720" s="227"/>
      <c r="NEW1720" s="227"/>
      <c r="NEX1720" s="227"/>
      <c r="NEY1720" s="227"/>
      <c r="NEZ1720" s="227"/>
      <c r="NFA1720" s="227"/>
      <c r="NFB1720" s="227"/>
      <c r="NFC1720" s="227"/>
      <c r="NFD1720" s="227"/>
      <c r="NFE1720" s="227"/>
      <c r="NFF1720" s="227"/>
      <c r="NFG1720" s="227"/>
      <c r="NFH1720" s="227"/>
      <c r="NFI1720" s="227"/>
      <c r="NFJ1720" s="227"/>
      <c r="NFK1720" s="227"/>
      <c r="NFL1720" s="227"/>
      <c r="NFM1720" s="227"/>
      <c r="NFN1720" s="227"/>
      <c r="NFO1720" s="227"/>
      <c r="NFP1720" s="227"/>
      <c r="NFQ1720" s="227"/>
      <c r="NFR1720" s="227"/>
      <c r="NFS1720" s="227"/>
      <c r="NFT1720" s="227"/>
      <c r="NFU1720" s="227"/>
      <c r="NFV1720" s="227"/>
      <c r="NFW1720" s="227"/>
      <c r="NFX1720" s="227"/>
      <c r="NFY1720" s="227"/>
      <c r="NFZ1720" s="227"/>
      <c r="NGA1720" s="227"/>
      <c r="NGB1720" s="227"/>
      <c r="NGC1720" s="227"/>
      <c r="NGD1720" s="227"/>
      <c r="NGE1720" s="227"/>
      <c r="NGF1720" s="227"/>
      <c r="NGG1720" s="227"/>
      <c r="NGH1720" s="227"/>
      <c r="NGI1720" s="227"/>
      <c r="NGJ1720" s="227"/>
      <c r="NGK1720" s="227"/>
      <c r="NGL1720" s="227"/>
      <c r="NGM1720" s="227"/>
      <c r="NGN1720" s="227"/>
      <c r="NGO1720" s="227"/>
      <c r="NGP1720" s="227"/>
      <c r="NGQ1720" s="227"/>
      <c r="NGR1720" s="227"/>
      <c r="NGS1720" s="227"/>
      <c r="NGT1720" s="227"/>
      <c r="NGU1720" s="227"/>
      <c r="NGV1720" s="227"/>
      <c r="NGW1720" s="227"/>
      <c r="NGX1720" s="227"/>
      <c r="NGY1720" s="227"/>
      <c r="NGZ1720" s="227"/>
      <c r="NHA1720" s="227"/>
      <c r="NHB1720" s="227"/>
      <c r="NHC1720" s="227"/>
      <c r="NHD1720" s="227"/>
      <c r="NHE1720" s="227"/>
      <c r="NHF1720" s="227"/>
      <c r="NHG1720" s="227"/>
      <c r="NHH1720" s="227"/>
      <c r="NHI1720" s="227"/>
      <c r="NHJ1720" s="227"/>
      <c r="NHK1720" s="227"/>
      <c r="NHL1720" s="227"/>
      <c r="NHM1720" s="227"/>
      <c r="NHN1720" s="227"/>
      <c r="NHO1720" s="227"/>
      <c r="NHP1720" s="227"/>
      <c r="NHQ1720" s="227"/>
      <c r="NHR1720" s="227"/>
      <c r="NHS1720" s="227"/>
      <c r="NHT1720" s="227"/>
      <c r="NHU1720" s="227"/>
      <c r="NHV1720" s="227"/>
      <c r="NHW1720" s="227"/>
      <c r="NHX1720" s="227"/>
      <c r="NHY1720" s="227"/>
      <c r="NHZ1720" s="227"/>
      <c r="NIA1720" s="227"/>
      <c r="NIB1720" s="227"/>
      <c r="NIC1720" s="227"/>
      <c r="NID1720" s="227"/>
      <c r="NIE1720" s="227"/>
      <c r="NIF1720" s="227"/>
      <c r="NIG1720" s="227"/>
      <c r="NIH1720" s="227"/>
      <c r="NII1720" s="227"/>
      <c r="NIJ1720" s="227"/>
      <c r="NIK1720" s="227"/>
      <c r="NIL1720" s="227"/>
      <c r="NIM1720" s="227"/>
      <c r="NIN1720" s="227"/>
      <c r="NIO1720" s="227"/>
      <c r="NIP1720" s="227"/>
      <c r="NIQ1720" s="227"/>
      <c r="NIR1720" s="227"/>
      <c r="NIS1720" s="227"/>
      <c r="NIT1720" s="227"/>
      <c r="NIU1720" s="227"/>
      <c r="NIV1720" s="227"/>
      <c r="NIW1720" s="227"/>
      <c r="NIX1720" s="227"/>
      <c r="NIY1720" s="227"/>
      <c r="NIZ1720" s="227"/>
      <c r="NJA1720" s="227"/>
      <c r="NJB1720" s="227"/>
      <c r="NJC1720" s="227"/>
      <c r="NJD1720" s="227"/>
      <c r="NJE1720" s="227"/>
      <c r="NJF1720" s="227"/>
      <c r="NJG1720" s="227"/>
      <c r="NJH1720" s="227"/>
      <c r="NJI1720" s="227"/>
      <c r="NJJ1720" s="227"/>
      <c r="NJK1720" s="227"/>
      <c r="NJL1720" s="227"/>
      <c r="NJM1720" s="227"/>
      <c r="NJN1720" s="227"/>
      <c r="NJO1720" s="227"/>
      <c r="NJP1720" s="227"/>
      <c r="NJQ1720" s="227"/>
      <c r="NJR1720" s="227"/>
      <c r="NJS1720" s="227"/>
      <c r="NJT1720" s="227"/>
      <c r="NJU1720" s="227"/>
      <c r="NJV1720" s="227"/>
      <c r="NJW1720" s="227"/>
      <c r="NJX1720" s="227"/>
      <c r="NJY1720" s="227"/>
      <c r="NJZ1720" s="227"/>
      <c r="NKA1720" s="227"/>
      <c r="NKB1720" s="227"/>
      <c r="NKC1720" s="227"/>
      <c r="NKD1720" s="227"/>
      <c r="NKE1720" s="227"/>
      <c r="NKF1720" s="227"/>
      <c r="NKG1720" s="227"/>
      <c r="NKH1720" s="227"/>
      <c r="NKI1720" s="227"/>
      <c r="NKJ1720" s="227"/>
      <c r="NKK1720" s="227"/>
      <c r="NKL1720" s="227"/>
      <c r="NKM1720" s="227"/>
      <c r="NKN1720" s="227"/>
      <c r="NKO1720" s="227"/>
      <c r="NKP1720" s="227"/>
      <c r="NKQ1720" s="227"/>
      <c r="NKR1720" s="227"/>
      <c r="NKS1720" s="227"/>
      <c r="NKT1720" s="227"/>
      <c r="NKU1720" s="227"/>
      <c r="NKV1720" s="227"/>
      <c r="NKW1720" s="227"/>
      <c r="NKX1720" s="227"/>
      <c r="NKY1720" s="227"/>
      <c r="NKZ1720" s="227"/>
      <c r="NLA1720" s="227"/>
      <c r="NLB1720" s="227"/>
      <c r="NLC1720" s="227"/>
      <c r="NLD1720" s="227"/>
      <c r="NLE1720" s="227"/>
      <c r="NLF1720" s="227"/>
      <c r="NLG1720" s="227"/>
      <c r="NLH1720" s="227"/>
      <c r="NLI1720" s="227"/>
      <c r="NLJ1720" s="227"/>
      <c r="NLK1720" s="227"/>
      <c r="NLL1720" s="227"/>
      <c r="NLM1720" s="227"/>
      <c r="NLN1720" s="227"/>
      <c r="NLO1720" s="227"/>
      <c r="NLP1720" s="227"/>
      <c r="NLQ1720" s="227"/>
      <c r="NLR1720" s="227"/>
      <c r="NLS1720" s="227"/>
      <c r="NLT1720" s="227"/>
      <c r="NLU1720" s="227"/>
      <c r="NLV1720" s="227"/>
      <c r="NLW1720" s="227"/>
      <c r="NLX1720" s="227"/>
      <c r="NLY1720" s="227"/>
      <c r="NLZ1720" s="227"/>
      <c r="NMA1720" s="227"/>
      <c r="NMB1720" s="227"/>
      <c r="NMC1720" s="227"/>
      <c r="NMD1720" s="227"/>
      <c r="NME1720" s="227"/>
      <c r="NMF1720" s="227"/>
      <c r="NMG1720" s="227"/>
      <c r="NMH1720" s="227"/>
      <c r="NMI1720" s="227"/>
      <c r="NMJ1720" s="227"/>
      <c r="NMK1720" s="227"/>
      <c r="NML1720" s="227"/>
      <c r="NMM1720" s="227"/>
      <c r="NMN1720" s="227"/>
      <c r="NMO1720" s="227"/>
      <c r="NMP1720" s="227"/>
      <c r="NMQ1720" s="227"/>
      <c r="NMR1720" s="227"/>
      <c r="NMS1720" s="227"/>
      <c r="NMT1720" s="227"/>
      <c r="NMU1720" s="227"/>
      <c r="NMV1720" s="227"/>
      <c r="NMW1720" s="227"/>
      <c r="NMX1720" s="227"/>
      <c r="NMY1720" s="227"/>
      <c r="NMZ1720" s="227"/>
      <c r="NNA1720" s="227"/>
      <c r="NNB1720" s="227"/>
      <c r="NNC1720" s="227"/>
      <c r="NND1720" s="227"/>
      <c r="NNE1720" s="227"/>
      <c r="NNF1720" s="227"/>
      <c r="NNG1720" s="227"/>
      <c r="NNH1720" s="227"/>
      <c r="NNI1720" s="227"/>
      <c r="NNJ1720" s="227"/>
      <c r="NNK1720" s="227"/>
      <c r="NNL1720" s="227"/>
      <c r="NNM1720" s="227"/>
      <c r="NNN1720" s="227"/>
      <c r="NNO1720" s="227"/>
      <c r="NNP1720" s="227"/>
      <c r="NNQ1720" s="227"/>
      <c r="NNR1720" s="227"/>
      <c r="NNS1720" s="227"/>
      <c r="NNT1720" s="227"/>
      <c r="NNU1720" s="227"/>
      <c r="NNV1720" s="227"/>
      <c r="NNW1720" s="227"/>
      <c r="NNX1720" s="227"/>
      <c r="NNY1720" s="227"/>
      <c r="NNZ1720" s="227"/>
      <c r="NOA1720" s="227"/>
      <c r="NOB1720" s="227"/>
      <c r="NOC1720" s="227"/>
      <c r="NOD1720" s="227"/>
      <c r="NOE1720" s="227"/>
      <c r="NOF1720" s="227"/>
      <c r="NOG1720" s="227"/>
      <c r="NOH1720" s="227"/>
      <c r="NOI1720" s="227"/>
      <c r="NOJ1720" s="227"/>
      <c r="NOK1720" s="227"/>
      <c r="NOL1720" s="227"/>
      <c r="NOM1720" s="227"/>
      <c r="NON1720" s="227"/>
      <c r="NOO1720" s="227"/>
      <c r="NOP1720" s="227"/>
      <c r="NOQ1720" s="227"/>
      <c r="NOR1720" s="227"/>
      <c r="NOS1720" s="227"/>
      <c r="NOT1720" s="227"/>
      <c r="NOU1720" s="227"/>
      <c r="NOV1720" s="227"/>
      <c r="NOW1720" s="227"/>
      <c r="NOX1720" s="227"/>
      <c r="NOY1720" s="227"/>
      <c r="NOZ1720" s="227"/>
      <c r="NPA1720" s="227"/>
      <c r="NPB1720" s="227"/>
      <c r="NPC1720" s="227"/>
      <c r="NPD1720" s="227"/>
      <c r="NPE1720" s="227"/>
      <c r="NPF1720" s="227"/>
      <c r="NPG1720" s="227"/>
      <c r="NPH1720" s="227"/>
      <c r="NPI1720" s="227"/>
      <c r="NPJ1720" s="227"/>
      <c r="NPK1720" s="227"/>
      <c r="NPL1720" s="227"/>
      <c r="NPM1720" s="227"/>
      <c r="NPN1720" s="227"/>
      <c r="NPO1720" s="227"/>
      <c r="NPP1720" s="227"/>
      <c r="NPQ1720" s="227"/>
      <c r="NPR1720" s="227"/>
      <c r="NPS1720" s="227"/>
      <c r="NPT1720" s="227"/>
      <c r="NPU1720" s="227"/>
      <c r="NPV1720" s="227"/>
      <c r="NPW1720" s="227"/>
      <c r="NPX1720" s="227"/>
      <c r="NPY1720" s="227"/>
      <c r="NPZ1720" s="227"/>
      <c r="NQA1720" s="227"/>
      <c r="NQB1720" s="227"/>
      <c r="NQC1720" s="227"/>
      <c r="NQD1720" s="227"/>
      <c r="NQE1720" s="227"/>
      <c r="NQF1720" s="227"/>
      <c r="NQG1720" s="227"/>
      <c r="NQH1720" s="227"/>
      <c r="NQI1720" s="227"/>
      <c r="NQJ1720" s="227"/>
      <c r="NQK1720" s="227"/>
      <c r="NQL1720" s="227"/>
      <c r="NQM1720" s="227"/>
      <c r="NQN1720" s="227"/>
      <c r="NQO1720" s="227"/>
      <c r="NQP1720" s="227"/>
      <c r="NQQ1720" s="227"/>
      <c r="NQR1720" s="227"/>
      <c r="NQS1720" s="227"/>
      <c r="NQT1720" s="227"/>
      <c r="NQU1720" s="227"/>
      <c r="NQV1720" s="227"/>
      <c r="NQW1720" s="227"/>
      <c r="NQX1720" s="227"/>
      <c r="NQY1720" s="227"/>
      <c r="NQZ1720" s="227"/>
      <c r="NRA1720" s="227"/>
      <c r="NRB1720" s="227"/>
      <c r="NRC1720" s="227"/>
      <c r="NRD1720" s="227"/>
      <c r="NRE1720" s="227"/>
      <c r="NRF1720" s="227"/>
      <c r="NRG1720" s="227"/>
      <c r="NRH1720" s="227"/>
      <c r="NRI1720" s="227"/>
      <c r="NRJ1720" s="227"/>
      <c r="NRK1720" s="227"/>
      <c r="NRL1720" s="227"/>
      <c r="NRM1720" s="227"/>
      <c r="NRN1720" s="227"/>
      <c r="NRO1720" s="227"/>
      <c r="NRP1720" s="227"/>
      <c r="NRQ1720" s="227"/>
      <c r="NRR1720" s="227"/>
      <c r="NRS1720" s="227"/>
      <c r="NRT1720" s="227"/>
      <c r="NRU1720" s="227"/>
      <c r="NRV1720" s="227"/>
      <c r="NRW1720" s="227"/>
      <c r="NRX1720" s="227"/>
      <c r="NRY1720" s="227"/>
      <c r="NRZ1720" s="227"/>
      <c r="NSA1720" s="227"/>
      <c r="NSB1720" s="227"/>
      <c r="NSC1720" s="227"/>
      <c r="NSD1720" s="227"/>
      <c r="NSE1720" s="227"/>
      <c r="NSF1720" s="227"/>
      <c r="NSG1720" s="227"/>
      <c r="NSH1720" s="227"/>
      <c r="NSI1720" s="227"/>
      <c r="NSJ1720" s="227"/>
      <c r="NSK1720" s="227"/>
      <c r="NSL1720" s="227"/>
      <c r="NSM1720" s="227"/>
      <c r="NSN1720" s="227"/>
      <c r="NSO1720" s="227"/>
      <c r="NSP1720" s="227"/>
      <c r="NSQ1720" s="227"/>
      <c r="NSR1720" s="227"/>
      <c r="NSS1720" s="227"/>
      <c r="NST1720" s="227"/>
      <c r="NSU1720" s="227"/>
      <c r="NSV1720" s="227"/>
      <c r="NSW1720" s="227"/>
      <c r="NSX1720" s="227"/>
      <c r="NSY1720" s="227"/>
      <c r="NSZ1720" s="227"/>
      <c r="NTA1720" s="227"/>
      <c r="NTB1720" s="227"/>
      <c r="NTC1720" s="227"/>
      <c r="NTD1720" s="227"/>
      <c r="NTE1720" s="227"/>
      <c r="NTF1720" s="227"/>
      <c r="NTG1720" s="227"/>
      <c r="NTH1720" s="227"/>
      <c r="NTI1720" s="227"/>
      <c r="NTJ1720" s="227"/>
      <c r="NTK1720" s="227"/>
      <c r="NTL1720" s="227"/>
      <c r="NTM1720" s="227"/>
      <c r="NTN1720" s="227"/>
      <c r="NTO1720" s="227"/>
      <c r="NTP1720" s="227"/>
      <c r="NTQ1720" s="227"/>
      <c r="NTR1720" s="227"/>
      <c r="NTS1720" s="227"/>
      <c r="NTT1720" s="227"/>
      <c r="NTU1720" s="227"/>
      <c r="NTV1720" s="227"/>
      <c r="NTW1720" s="227"/>
      <c r="NTX1720" s="227"/>
      <c r="NTY1720" s="227"/>
      <c r="NTZ1720" s="227"/>
      <c r="NUA1720" s="227"/>
      <c r="NUB1720" s="227"/>
      <c r="NUC1720" s="227"/>
      <c r="NUD1720" s="227"/>
      <c r="NUE1720" s="227"/>
      <c r="NUF1720" s="227"/>
      <c r="NUG1720" s="227"/>
      <c r="NUH1720" s="227"/>
      <c r="NUI1720" s="227"/>
      <c r="NUJ1720" s="227"/>
      <c r="NUK1720" s="227"/>
      <c r="NUL1720" s="227"/>
      <c r="NUM1720" s="227"/>
      <c r="NUN1720" s="227"/>
      <c r="NUO1720" s="227"/>
      <c r="NUP1720" s="227"/>
      <c r="NUQ1720" s="227"/>
      <c r="NUR1720" s="227"/>
      <c r="NUS1720" s="227"/>
      <c r="NUT1720" s="227"/>
      <c r="NUU1720" s="227"/>
      <c r="NUV1720" s="227"/>
      <c r="NUW1720" s="227"/>
      <c r="NUX1720" s="227"/>
      <c r="NUY1720" s="227"/>
      <c r="NUZ1720" s="227"/>
      <c r="NVA1720" s="227"/>
      <c r="NVB1720" s="227"/>
      <c r="NVC1720" s="227"/>
      <c r="NVD1720" s="227"/>
      <c r="NVE1720" s="227"/>
      <c r="NVF1720" s="227"/>
      <c r="NVG1720" s="227"/>
      <c r="NVH1720" s="227"/>
      <c r="NVI1720" s="227"/>
      <c r="NVJ1720" s="227"/>
      <c r="NVK1720" s="227"/>
      <c r="NVL1720" s="227"/>
      <c r="NVM1720" s="227"/>
      <c r="NVN1720" s="227"/>
      <c r="NVO1720" s="227"/>
      <c r="NVP1720" s="227"/>
      <c r="NVQ1720" s="227"/>
      <c r="NVR1720" s="227"/>
      <c r="NVS1720" s="227"/>
      <c r="NVT1720" s="227"/>
      <c r="NVU1720" s="227"/>
      <c r="NVV1720" s="227"/>
      <c r="NVW1720" s="227"/>
      <c r="NVX1720" s="227"/>
      <c r="NVY1720" s="227"/>
      <c r="NVZ1720" s="227"/>
      <c r="NWA1720" s="227"/>
      <c r="NWB1720" s="227"/>
      <c r="NWC1720" s="227"/>
      <c r="NWD1720" s="227"/>
      <c r="NWE1720" s="227"/>
      <c r="NWF1720" s="227"/>
      <c r="NWG1720" s="227"/>
      <c r="NWH1720" s="227"/>
      <c r="NWI1720" s="227"/>
      <c r="NWJ1720" s="227"/>
      <c r="NWK1720" s="227"/>
      <c r="NWL1720" s="227"/>
      <c r="NWM1720" s="227"/>
      <c r="NWN1720" s="227"/>
      <c r="NWO1720" s="227"/>
      <c r="NWP1720" s="227"/>
      <c r="NWQ1720" s="227"/>
      <c r="NWR1720" s="227"/>
      <c r="NWS1720" s="227"/>
      <c r="NWT1720" s="227"/>
      <c r="NWU1720" s="227"/>
      <c r="NWV1720" s="227"/>
      <c r="NWW1720" s="227"/>
      <c r="NWX1720" s="227"/>
      <c r="NWY1720" s="227"/>
      <c r="NWZ1720" s="227"/>
      <c r="NXA1720" s="227"/>
      <c r="NXB1720" s="227"/>
      <c r="NXC1720" s="227"/>
      <c r="NXD1720" s="227"/>
      <c r="NXE1720" s="227"/>
      <c r="NXF1720" s="227"/>
      <c r="NXG1720" s="227"/>
      <c r="NXH1720" s="227"/>
      <c r="NXI1720" s="227"/>
      <c r="NXJ1720" s="227"/>
      <c r="NXK1720" s="227"/>
      <c r="NXL1720" s="227"/>
      <c r="NXM1720" s="227"/>
      <c r="NXN1720" s="227"/>
      <c r="NXO1720" s="227"/>
      <c r="NXP1720" s="227"/>
      <c r="NXQ1720" s="227"/>
      <c r="NXR1720" s="227"/>
      <c r="NXS1720" s="227"/>
      <c r="NXT1720" s="227"/>
      <c r="NXU1720" s="227"/>
      <c r="NXV1720" s="227"/>
      <c r="NXW1720" s="227"/>
      <c r="NXX1720" s="227"/>
      <c r="NXY1720" s="227"/>
      <c r="NXZ1720" s="227"/>
      <c r="NYA1720" s="227"/>
      <c r="NYB1720" s="227"/>
      <c r="NYC1720" s="227"/>
      <c r="NYD1720" s="227"/>
      <c r="NYE1720" s="227"/>
      <c r="NYF1720" s="227"/>
      <c r="NYG1720" s="227"/>
      <c r="NYH1720" s="227"/>
      <c r="NYI1720" s="227"/>
      <c r="NYJ1720" s="227"/>
      <c r="NYK1720" s="227"/>
      <c r="NYL1720" s="227"/>
      <c r="NYM1720" s="227"/>
      <c r="NYN1720" s="227"/>
      <c r="NYO1720" s="227"/>
      <c r="NYP1720" s="227"/>
      <c r="NYQ1720" s="227"/>
      <c r="NYR1720" s="227"/>
      <c r="NYS1720" s="227"/>
      <c r="NYT1720" s="227"/>
      <c r="NYU1720" s="227"/>
      <c r="NYV1720" s="227"/>
      <c r="NYW1720" s="227"/>
      <c r="NYX1720" s="227"/>
      <c r="NYY1720" s="227"/>
      <c r="NYZ1720" s="227"/>
      <c r="NZA1720" s="227"/>
      <c r="NZB1720" s="227"/>
      <c r="NZC1720" s="227"/>
      <c r="NZD1720" s="227"/>
      <c r="NZE1720" s="227"/>
      <c r="NZF1720" s="227"/>
      <c r="NZG1720" s="227"/>
      <c r="NZH1720" s="227"/>
      <c r="NZI1720" s="227"/>
      <c r="NZJ1720" s="227"/>
      <c r="NZK1720" s="227"/>
      <c r="NZL1720" s="227"/>
      <c r="NZM1720" s="227"/>
      <c r="NZN1720" s="227"/>
      <c r="NZO1720" s="227"/>
      <c r="NZP1720" s="227"/>
      <c r="NZQ1720" s="227"/>
      <c r="NZR1720" s="227"/>
      <c r="NZS1720" s="227"/>
      <c r="NZT1720" s="227"/>
      <c r="NZU1720" s="227"/>
      <c r="NZV1720" s="227"/>
      <c r="NZW1720" s="227"/>
      <c r="NZX1720" s="227"/>
      <c r="NZY1720" s="227"/>
      <c r="NZZ1720" s="227"/>
      <c r="OAA1720" s="227"/>
      <c r="OAB1720" s="227"/>
      <c r="OAC1720" s="227"/>
      <c r="OAD1720" s="227"/>
      <c r="OAE1720" s="227"/>
      <c r="OAF1720" s="227"/>
      <c r="OAG1720" s="227"/>
      <c r="OAH1720" s="227"/>
      <c r="OAI1720" s="227"/>
      <c r="OAJ1720" s="227"/>
      <c r="OAK1720" s="227"/>
      <c r="OAL1720" s="227"/>
      <c r="OAM1720" s="227"/>
      <c r="OAN1720" s="227"/>
      <c r="OAO1720" s="227"/>
      <c r="OAP1720" s="227"/>
      <c r="OAQ1720" s="227"/>
      <c r="OAR1720" s="227"/>
      <c r="OAS1720" s="227"/>
      <c r="OAT1720" s="227"/>
      <c r="OAU1720" s="227"/>
      <c r="OAV1720" s="227"/>
      <c r="OAW1720" s="227"/>
      <c r="OAX1720" s="227"/>
      <c r="OAY1720" s="227"/>
      <c r="OAZ1720" s="227"/>
      <c r="OBA1720" s="227"/>
      <c r="OBB1720" s="227"/>
      <c r="OBC1720" s="227"/>
      <c r="OBD1720" s="227"/>
      <c r="OBE1720" s="227"/>
      <c r="OBF1720" s="227"/>
      <c r="OBG1720" s="227"/>
      <c r="OBH1720" s="227"/>
      <c r="OBI1720" s="227"/>
      <c r="OBJ1720" s="227"/>
      <c r="OBK1720" s="227"/>
      <c r="OBL1720" s="227"/>
      <c r="OBM1720" s="227"/>
      <c r="OBN1720" s="227"/>
      <c r="OBO1720" s="227"/>
      <c r="OBP1720" s="227"/>
      <c r="OBQ1720" s="227"/>
      <c r="OBR1720" s="227"/>
      <c r="OBS1720" s="227"/>
      <c r="OBT1720" s="227"/>
      <c r="OBU1720" s="227"/>
      <c r="OBV1720" s="227"/>
      <c r="OBW1720" s="227"/>
      <c r="OBX1720" s="227"/>
      <c r="OBY1720" s="227"/>
      <c r="OBZ1720" s="227"/>
      <c r="OCA1720" s="227"/>
      <c r="OCB1720" s="227"/>
      <c r="OCC1720" s="227"/>
      <c r="OCD1720" s="227"/>
      <c r="OCE1720" s="227"/>
      <c r="OCF1720" s="227"/>
      <c r="OCG1720" s="227"/>
      <c r="OCH1720" s="227"/>
      <c r="OCI1720" s="227"/>
      <c r="OCJ1720" s="227"/>
      <c r="OCK1720" s="227"/>
      <c r="OCL1720" s="227"/>
      <c r="OCM1720" s="227"/>
      <c r="OCN1720" s="227"/>
      <c r="OCO1720" s="227"/>
      <c r="OCP1720" s="227"/>
      <c r="OCQ1720" s="227"/>
      <c r="OCR1720" s="227"/>
      <c r="OCS1720" s="227"/>
      <c r="OCT1720" s="227"/>
      <c r="OCU1720" s="227"/>
      <c r="OCV1720" s="227"/>
      <c r="OCW1720" s="227"/>
      <c r="OCX1720" s="227"/>
      <c r="OCY1720" s="227"/>
      <c r="OCZ1720" s="227"/>
      <c r="ODA1720" s="227"/>
      <c r="ODB1720" s="227"/>
      <c r="ODC1720" s="227"/>
      <c r="ODD1720" s="227"/>
      <c r="ODE1720" s="227"/>
      <c r="ODF1720" s="227"/>
      <c r="ODG1720" s="227"/>
      <c r="ODH1720" s="227"/>
      <c r="ODI1720" s="227"/>
      <c r="ODJ1720" s="227"/>
      <c r="ODK1720" s="227"/>
      <c r="ODL1720" s="227"/>
      <c r="ODM1720" s="227"/>
      <c r="ODN1720" s="227"/>
      <c r="ODO1720" s="227"/>
      <c r="ODP1720" s="227"/>
      <c r="ODQ1720" s="227"/>
      <c r="ODR1720" s="227"/>
      <c r="ODS1720" s="227"/>
      <c r="ODT1720" s="227"/>
      <c r="ODU1720" s="227"/>
      <c r="ODV1720" s="227"/>
      <c r="ODW1720" s="227"/>
      <c r="ODX1720" s="227"/>
      <c r="ODY1720" s="227"/>
      <c r="ODZ1720" s="227"/>
      <c r="OEA1720" s="227"/>
      <c r="OEB1720" s="227"/>
      <c r="OEC1720" s="227"/>
      <c r="OED1720" s="227"/>
      <c r="OEE1720" s="227"/>
      <c r="OEF1720" s="227"/>
      <c r="OEG1720" s="227"/>
      <c r="OEH1720" s="227"/>
      <c r="OEI1720" s="227"/>
      <c r="OEJ1720" s="227"/>
      <c r="OEK1720" s="227"/>
      <c r="OEL1720" s="227"/>
      <c r="OEM1720" s="227"/>
      <c r="OEN1720" s="227"/>
      <c r="OEO1720" s="227"/>
      <c r="OEP1720" s="227"/>
      <c r="OEQ1720" s="227"/>
      <c r="OER1720" s="227"/>
      <c r="OES1720" s="227"/>
      <c r="OET1720" s="227"/>
      <c r="OEU1720" s="227"/>
      <c r="OEV1720" s="227"/>
      <c r="OEW1720" s="227"/>
      <c r="OEX1720" s="227"/>
      <c r="OEY1720" s="227"/>
      <c r="OEZ1720" s="227"/>
      <c r="OFA1720" s="227"/>
      <c r="OFB1720" s="227"/>
      <c r="OFC1720" s="227"/>
      <c r="OFD1720" s="227"/>
      <c r="OFE1720" s="227"/>
      <c r="OFF1720" s="227"/>
      <c r="OFG1720" s="227"/>
      <c r="OFH1720" s="227"/>
      <c r="OFI1720" s="227"/>
      <c r="OFJ1720" s="227"/>
      <c r="OFK1720" s="227"/>
      <c r="OFL1720" s="227"/>
      <c r="OFM1720" s="227"/>
      <c r="OFN1720" s="227"/>
      <c r="OFO1720" s="227"/>
      <c r="OFP1720" s="227"/>
      <c r="OFQ1720" s="227"/>
      <c r="OFR1720" s="227"/>
      <c r="OFS1720" s="227"/>
      <c r="OFT1720" s="227"/>
      <c r="OFU1720" s="227"/>
      <c r="OFV1720" s="227"/>
      <c r="OFW1720" s="227"/>
      <c r="OFX1720" s="227"/>
      <c r="OFY1720" s="227"/>
      <c r="OFZ1720" s="227"/>
      <c r="OGA1720" s="227"/>
      <c r="OGB1720" s="227"/>
      <c r="OGC1720" s="227"/>
      <c r="OGD1720" s="227"/>
      <c r="OGE1720" s="227"/>
      <c r="OGF1720" s="227"/>
      <c r="OGG1720" s="227"/>
      <c r="OGH1720" s="227"/>
      <c r="OGI1720" s="227"/>
      <c r="OGJ1720" s="227"/>
      <c r="OGK1720" s="227"/>
      <c r="OGL1720" s="227"/>
      <c r="OGM1720" s="227"/>
      <c r="OGN1720" s="227"/>
      <c r="OGO1720" s="227"/>
      <c r="OGP1720" s="227"/>
      <c r="OGQ1720" s="227"/>
      <c r="OGR1720" s="227"/>
      <c r="OGS1720" s="227"/>
      <c r="OGT1720" s="227"/>
      <c r="OGU1720" s="227"/>
      <c r="OGV1720" s="227"/>
      <c r="OGW1720" s="227"/>
      <c r="OGX1720" s="227"/>
      <c r="OGY1720" s="227"/>
      <c r="OGZ1720" s="227"/>
      <c r="OHA1720" s="227"/>
      <c r="OHB1720" s="227"/>
      <c r="OHC1720" s="227"/>
      <c r="OHD1720" s="227"/>
      <c r="OHE1720" s="227"/>
      <c r="OHF1720" s="227"/>
      <c r="OHG1720" s="227"/>
      <c r="OHH1720" s="227"/>
      <c r="OHI1720" s="227"/>
      <c r="OHJ1720" s="227"/>
      <c r="OHK1720" s="227"/>
      <c r="OHL1720" s="227"/>
      <c r="OHM1720" s="227"/>
      <c r="OHN1720" s="227"/>
      <c r="OHO1720" s="227"/>
      <c r="OHP1720" s="227"/>
      <c r="OHQ1720" s="227"/>
      <c r="OHR1720" s="227"/>
      <c r="OHS1720" s="227"/>
      <c r="OHT1720" s="227"/>
      <c r="OHU1720" s="227"/>
      <c r="OHV1720" s="227"/>
      <c r="OHW1720" s="227"/>
      <c r="OHX1720" s="227"/>
      <c r="OHY1720" s="227"/>
      <c r="OHZ1720" s="227"/>
      <c r="OIA1720" s="227"/>
      <c r="OIB1720" s="227"/>
      <c r="OIC1720" s="227"/>
      <c r="OID1720" s="227"/>
      <c r="OIE1720" s="227"/>
      <c r="OIF1720" s="227"/>
      <c r="OIG1720" s="227"/>
      <c r="OIH1720" s="227"/>
      <c r="OII1720" s="227"/>
      <c r="OIJ1720" s="227"/>
      <c r="OIK1720" s="227"/>
      <c r="OIL1720" s="227"/>
      <c r="OIM1720" s="227"/>
      <c r="OIN1720" s="227"/>
      <c r="OIO1720" s="227"/>
      <c r="OIP1720" s="227"/>
      <c r="OIQ1720" s="227"/>
      <c r="OIR1720" s="227"/>
      <c r="OIS1720" s="227"/>
      <c r="OIT1720" s="227"/>
      <c r="OIU1720" s="227"/>
      <c r="OIV1720" s="227"/>
      <c r="OIW1720" s="227"/>
      <c r="OIX1720" s="227"/>
      <c r="OIY1720" s="227"/>
      <c r="OIZ1720" s="227"/>
      <c r="OJA1720" s="227"/>
      <c r="OJB1720" s="227"/>
      <c r="OJC1720" s="227"/>
      <c r="OJD1720" s="227"/>
      <c r="OJE1720" s="227"/>
      <c r="OJF1720" s="227"/>
      <c r="OJG1720" s="227"/>
      <c r="OJH1720" s="227"/>
      <c r="OJI1720" s="227"/>
      <c r="OJJ1720" s="227"/>
      <c r="OJK1720" s="227"/>
      <c r="OJL1720" s="227"/>
      <c r="OJM1720" s="227"/>
      <c r="OJN1720" s="227"/>
      <c r="OJO1720" s="227"/>
      <c r="OJP1720" s="227"/>
      <c r="OJQ1720" s="227"/>
      <c r="OJR1720" s="227"/>
      <c r="OJS1720" s="227"/>
      <c r="OJT1720" s="227"/>
      <c r="OJU1720" s="227"/>
      <c r="OJV1720" s="227"/>
      <c r="OJW1720" s="227"/>
      <c r="OJX1720" s="227"/>
      <c r="OJY1720" s="227"/>
      <c r="OJZ1720" s="227"/>
      <c r="OKA1720" s="227"/>
      <c r="OKB1720" s="227"/>
      <c r="OKC1720" s="227"/>
      <c r="OKD1720" s="227"/>
      <c r="OKE1720" s="227"/>
      <c r="OKF1720" s="227"/>
      <c r="OKG1720" s="227"/>
      <c r="OKH1720" s="227"/>
      <c r="OKI1720" s="227"/>
      <c r="OKJ1720" s="227"/>
      <c r="OKK1720" s="227"/>
      <c r="OKL1720" s="227"/>
      <c r="OKM1720" s="227"/>
      <c r="OKN1720" s="227"/>
      <c r="OKO1720" s="227"/>
      <c r="OKP1720" s="227"/>
      <c r="OKQ1720" s="227"/>
      <c r="OKR1720" s="227"/>
      <c r="OKS1720" s="227"/>
      <c r="OKT1720" s="227"/>
      <c r="OKU1720" s="227"/>
      <c r="OKV1720" s="227"/>
      <c r="OKW1720" s="227"/>
      <c r="OKX1720" s="227"/>
      <c r="OKY1720" s="227"/>
      <c r="OKZ1720" s="227"/>
      <c r="OLA1720" s="227"/>
      <c r="OLB1720" s="227"/>
      <c r="OLC1720" s="227"/>
      <c r="OLD1720" s="227"/>
      <c r="OLE1720" s="227"/>
      <c r="OLF1720" s="227"/>
      <c r="OLG1720" s="227"/>
      <c r="OLH1720" s="227"/>
      <c r="OLI1720" s="227"/>
      <c r="OLJ1720" s="227"/>
      <c r="OLK1720" s="227"/>
      <c r="OLL1720" s="227"/>
      <c r="OLM1720" s="227"/>
      <c r="OLN1720" s="227"/>
      <c r="OLO1720" s="227"/>
      <c r="OLP1720" s="227"/>
      <c r="OLQ1720" s="227"/>
      <c r="OLR1720" s="227"/>
      <c r="OLS1720" s="227"/>
      <c r="OLT1720" s="227"/>
      <c r="OLU1720" s="227"/>
      <c r="OLV1720" s="227"/>
      <c r="OLW1720" s="227"/>
      <c r="OLX1720" s="227"/>
      <c r="OLY1720" s="227"/>
      <c r="OLZ1720" s="227"/>
      <c r="OMA1720" s="227"/>
      <c r="OMB1720" s="227"/>
      <c r="OMC1720" s="227"/>
      <c r="OMD1720" s="227"/>
      <c r="OME1720" s="227"/>
      <c r="OMF1720" s="227"/>
      <c r="OMG1720" s="227"/>
      <c r="OMH1720" s="227"/>
      <c r="OMI1720" s="227"/>
      <c r="OMJ1720" s="227"/>
      <c r="OMK1720" s="227"/>
      <c r="OML1720" s="227"/>
      <c r="OMM1720" s="227"/>
      <c r="OMN1720" s="227"/>
      <c r="OMO1720" s="227"/>
      <c r="OMP1720" s="227"/>
      <c r="OMQ1720" s="227"/>
      <c r="OMR1720" s="227"/>
      <c r="OMS1720" s="227"/>
      <c r="OMT1720" s="227"/>
      <c r="OMU1720" s="227"/>
      <c r="OMV1720" s="227"/>
      <c r="OMW1720" s="227"/>
      <c r="OMX1720" s="227"/>
      <c r="OMY1720" s="227"/>
      <c r="OMZ1720" s="227"/>
      <c r="ONA1720" s="227"/>
      <c r="ONB1720" s="227"/>
      <c r="ONC1720" s="227"/>
      <c r="OND1720" s="227"/>
      <c r="ONE1720" s="227"/>
      <c r="ONF1720" s="227"/>
      <c r="ONG1720" s="227"/>
      <c r="ONH1720" s="227"/>
      <c r="ONI1720" s="227"/>
      <c r="ONJ1720" s="227"/>
      <c r="ONK1720" s="227"/>
      <c r="ONL1720" s="227"/>
      <c r="ONM1720" s="227"/>
      <c r="ONN1720" s="227"/>
      <c r="ONO1720" s="227"/>
      <c r="ONP1720" s="227"/>
      <c r="ONQ1720" s="227"/>
      <c r="ONR1720" s="227"/>
      <c r="ONS1720" s="227"/>
      <c r="ONT1720" s="227"/>
      <c r="ONU1720" s="227"/>
      <c r="ONV1720" s="227"/>
      <c r="ONW1720" s="227"/>
      <c r="ONX1720" s="227"/>
      <c r="ONY1720" s="227"/>
      <c r="ONZ1720" s="227"/>
      <c r="OOA1720" s="227"/>
      <c r="OOB1720" s="227"/>
      <c r="OOC1720" s="227"/>
      <c r="OOD1720" s="227"/>
      <c r="OOE1720" s="227"/>
      <c r="OOF1720" s="227"/>
      <c r="OOG1720" s="227"/>
      <c r="OOH1720" s="227"/>
      <c r="OOI1720" s="227"/>
      <c r="OOJ1720" s="227"/>
      <c r="OOK1720" s="227"/>
      <c r="OOL1720" s="227"/>
      <c r="OOM1720" s="227"/>
      <c r="OON1720" s="227"/>
      <c r="OOO1720" s="227"/>
      <c r="OOP1720" s="227"/>
      <c r="OOQ1720" s="227"/>
      <c r="OOR1720" s="227"/>
      <c r="OOS1720" s="227"/>
      <c r="OOT1720" s="227"/>
      <c r="OOU1720" s="227"/>
      <c r="OOV1720" s="227"/>
      <c r="OOW1720" s="227"/>
      <c r="OOX1720" s="227"/>
      <c r="OOY1720" s="227"/>
      <c r="OOZ1720" s="227"/>
      <c r="OPA1720" s="227"/>
      <c r="OPB1720" s="227"/>
      <c r="OPC1720" s="227"/>
      <c r="OPD1720" s="227"/>
      <c r="OPE1720" s="227"/>
      <c r="OPF1720" s="227"/>
      <c r="OPG1720" s="227"/>
      <c r="OPH1720" s="227"/>
      <c r="OPI1720" s="227"/>
      <c r="OPJ1720" s="227"/>
      <c r="OPK1720" s="227"/>
      <c r="OPL1720" s="227"/>
      <c r="OPM1720" s="227"/>
      <c r="OPN1720" s="227"/>
      <c r="OPO1720" s="227"/>
      <c r="OPP1720" s="227"/>
      <c r="OPQ1720" s="227"/>
      <c r="OPR1720" s="227"/>
      <c r="OPS1720" s="227"/>
      <c r="OPT1720" s="227"/>
      <c r="OPU1720" s="227"/>
      <c r="OPV1720" s="227"/>
      <c r="OPW1720" s="227"/>
      <c r="OPX1720" s="227"/>
      <c r="OPY1720" s="227"/>
      <c r="OPZ1720" s="227"/>
      <c r="OQA1720" s="227"/>
      <c r="OQB1720" s="227"/>
      <c r="OQC1720" s="227"/>
      <c r="OQD1720" s="227"/>
      <c r="OQE1720" s="227"/>
      <c r="OQF1720" s="227"/>
      <c r="OQG1720" s="227"/>
      <c r="OQH1720" s="227"/>
      <c r="OQI1720" s="227"/>
      <c r="OQJ1720" s="227"/>
      <c r="OQK1720" s="227"/>
      <c r="OQL1720" s="227"/>
      <c r="OQM1720" s="227"/>
      <c r="OQN1720" s="227"/>
      <c r="OQO1720" s="227"/>
      <c r="OQP1720" s="227"/>
      <c r="OQQ1720" s="227"/>
      <c r="OQR1720" s="227"/>
      <c r="OQS1720" s="227"/>
      <c r="OQT1720" s="227"/>
      <c r="OQU1720" s="227"/>
      <c r="OQV1720" s="227"/>
      <c r="OQW1720" s="227"/>
      <c r="OQX1720" s="227"/>
      <c r="OQY1720" s="227"/>
      <c r="OQZ1720" s="227"/>
      <c r="ORA1720" s="227"/>
      <c r="ORB1720" s="227"/>
      <c r="ORC1720" s="227"/>
      <c r="ORD1720" s="227"/>
      <c r="ORE1720" s="227"/>
      <c r="ORF1720" s="227"/>
      <c r="ORG1720" s="227"/>
      <c r="ORH1720" s="227"/>
      <c r="ORI1720" s="227"/>
      <c r="ORJ1720" s="227"/>
      <c r="ORK1720" s="227"/>
      <c r="ORL1720" s="227"/>
      <c r="ORM1720" s="227"/>
      <c r="ORN1720" s="227"/>
      <c r="ORO1720" s="227"/>
      <c r="ORP1720" s="227"/>
      <c r="ORQ1720" s="227"/>
      <c r="ORR1720" s="227"/>
      <c r="ORS1720" s="227"/>
      <c r="ORT1720" s="227"/>
      <c r="ORU1720" s="227"/>
      <c r="ORV1720" s="227"/>
      <c r="ORW1720" s="227"/>
      <c r="ORX1720" s="227"/>
      <c r="ORY1720" s="227"/>
      <c r="ORZ1720" s="227"/>
      <c r="OSA1720" s="227"/>
      <c r="OSB1720" s="227"/>
      <c r="OSC1720" s="227"/>
      <c r="OSD1720" s="227"/>
      <c r="OSE1720" s="227"/>
      <c r="OSF1720" s="227"/>
      <c r="OSG1720" s="227"/>
      <c r="OSH1720" s="227"/>
      <c r="OSI1720" s="227"/>
      <c r="OSJ1720" s="227"/>
      <c r="OSK1720" s="227"/>
      <c r="OSL1720" s="227"/>
      <c r="OSM1720" s="227"/>
      <c r="OSN1720" s="227"/>
      <c r="OSO1720" s="227"/>
      <c r="OSP1720" s="227"/>
      <c r="OSQ1720" s="227"/>
      <c r="OSR1720" s="227"/>
      <c r="OSS1720" s="227"/>
      <c r="OST1720" s="227"/>
      <c r="OSU1720" s="227"/>
      <c r="OSV1720" s="227"/>
      <c r="OSW1720" s="227"/>
      <c r="OSX1720" s="227"/>
      <c r="OSY1720" s="227"/>
      <c r="OSZ1720" s="227"/>
      <c r="OTA1720" s="227"/>
      <c r="OTB1720" s="227"/>
      <c r="OTC1720" s="227"/>
      <c r="OTD1720" s="227"/>
      <c r="OTE1720" s="227"/>
      <c r="OTF1720" s="227"/>
      <c r="OTG1720" s="227"/>
      <c r="OTH1720" s="227"/>
      <c r="OTI1720" s="227"/>
      <c r="OTJ1720" s="227"/>
      <c r="OTK1720" s="227"/>
      <c r="OTL1720" s="227"/>
      <c r="OTM1720" s="227"/>
      <c r="OTN1720" s="227"/>
      <c r="OTO1720" s="227"/>
      <c r="OTP1720" s="227"/>
      <c r="OTQ1720" s="227"/>
      <c r="OTR1720" s="227"/>
      <c r="OTS1720" s="227"/>
      <c r="OTT1720" s="227"/>
      <c r="OTU1720" s="227"/>
      <c r="OTV1720" s="227"/>
      <c r="OTW1720" s="227"/>
      <c r="OTX1720" s="227"/>
      <c r="OTY1720" s="227"/>
      <c r="OTZ1720" s="227"/>
      <c r="OUA1720" s="227"/>
      <c r="OUB1720" s="227"/>
      <c r="OUC1720" s="227"/>
      <c r="OUD1720" s="227"/>
      <c r="OUE1720" s="227"/>
      <c r="OUF1720" s="227"/>
      <c r="OUG1720" s="227"/>
      <c r="OUH1720" s="227"/>
      <c r="OUI1720" s="227"/>
      <c r="OUJ1720" s="227"/>
      <c r="OUK1720" s="227"/>
      <c r="OUL1720" s="227"/>
      <c r="OUM1720" s="227"/>
      <c r="OUN1720" s="227"/>
      <c r="OUO1720" s="227"/>
      <c r="OUP1720" s="227"/>
      <c r="OUQ1720" s="227"/>
      <c r="OUR1720" s="227"/>
      <c r="OUS1720" s="227"/>
      <c r="OUT1720" s="227"/>
      <c r="OUU1720" s="227"/>
      <c r="OUV1720" s="227"/>
      <c r="OUW1720" s="227"/>
      <c r="OUX1720" s="227"/>
      <c r="OUY1720" s="227"/>
      <c r="OUZ1720" s="227"/>
      <c r="OVA1720" s="227"/>
      <c r="OVB1720" s="227"/>
      <c r="OVC1720" s="227"/>
      <c r="OVD1720" s="227"/>
      <c r="OVE1720" s="227"/>
      <c r="OVF1720" s="227"/>
      <c r="OVG1720" s="227"/>
      <c r="OVH1720" s="227"/>
      <c r="OVI1720" s="227"/>
      <c r="OVJ1720" s="227"/>
      <c r="OVK1720" s="227"/>
      <c r="OVL1720" s="227"/>
      <c r="OVM1720" s="227"/>
      <c r="OVN1720" s="227"/>
      <c r="OVO1720" s="227"/>
      <c r="OVP1720" s="227"/>
      <c r="OVQ1720" s="227"/>
      <c r="OVR1720" s="227"/>
      <c r="OVS1720" s="227"/>
      <c r="OVT1720" s="227"/>
      <c r="OVU1720" s="227"/>
      <c r="OVV1720" s="227"/>
      <c r="OVW1720" s="227"/>
      <c r="OVX1720" s="227"/>
      <c r="OVY1720" s="227"/>
      <c r="OVZ1720" s="227"/>
      <c r="OWA1720" s="227"/>
      <c r="OWB1720" s="227"/>
      <c r="OWC1720" s="227"/>
      <c r="OWD1720" s="227"/>
      <c r="OWE1720" s="227"/>
      <c r="OWF1720" s="227"/>
      <c r="OWG1720" s="227"/>
      <c r="OWH1720" s="227"/>
      <c r="OWI1720" s="227"/>
      <c r="OWJ1720" s="227"/>
      <c r="OWK1720" s="227"/>
      <c r="OWL1720" s="227"/>
      <c r="OWM1720" s="227"/>
      <c r="OWN1720" s="227"/>
      <c r="OWO1720" s="227"/>
      <c r="OWP1720" s="227"/>
      <c r="OWQ1720" s="227"/>
      <c r="OWR1720" s="227"/>
      <c r="OWS1720" s="227"/>
      <c r="OWT1720" s="227"/>
      <c r="OWU1720" s="227"/>
      <c r="OWV1720" s="227"/>
      <c r="OWW1720" s="227"/>
      <c r="OWX1720" s="227"/>
      <c r="OWY1720" s="227"/>
      <c r="OWZ1720" s="227"/>
      <c r="OXA1720" s="227"/>
      <c r="OXB1720" s="227"/>
      <c r="OXC1720" s="227"/>
      <c r="OXD1720" s="227"/>
      <c r="OXE1720" s="227"/>
      <c r="OXF1720" s="227"/>
      <c r="OXG1720" s="227"/>
      <c r="OXH1720" s="227"/>
      <c r="OXI1720" s="227"/>
      <c r="OXJ1720" s="227"/>
      <c r="OXK1720" s="227"/>
      <c r="OXL1720" s="227"/>
      <c r="OXM1720" s="227"/>
      <c r="OXN1720" s="227"/>
      <c r="OXO1720" s="227"/>
      <c r="OXP1720" s="227"/>
      <c r="OXQ1720" s="227"/>
      <c r="OXR1720" s="227"/>
      <c r="OXS1720" s="227"/>
      <c r="OXT1720" s="227"/>
      <c r="OXU1720" s="227"/>
      <c r="OXV1720" s="227"/>
      <c r="OXW1720" s="227"/>
      <c r="OXX1720" s="227"/>
      <c r="OXY1720" s="227"/>
      <c r="OXZ1720" s="227"/>
      <c r="OYA1720" s="227"/>
      <c r="OYB1720" s="227"/>
      <c r="OYC1720" s="227"/>
      <c r="OYD1720" s="227"/>
      <c r="OYE1720" s="227"/>
      <c r="OYF1720" s="227"/>
      <c r="OYG1720" s="227"/>
      <c r="OYH1720" s="227"/>
      <c r="OYI1720" s="227"/>
      <c r="OYJ1720" s="227"/>
      <c r="OYK1720" s="227"/>
      <c r="OYL1720" s="227"/>
      <c r="OYM1720" s="227"/>
      <c r="OYN1720" s="227"/>
      <c r="OYO1720" s="227"/>
      <c r="OYP1720" s="227"/>
      <c r="OYQ1720" s="227"/>
      <c r="OYR1720" s="227"/>
      <c r="OYS1720" s="227"/>
      <c r="OYT1720" s="227"/>
      <c r="OYU1720" s="227"/>
      <c r="OYV1720" s="227"/>
      <c r="OYW1720" s="227"/>
      <c r="OYX1720" s="227"/>
      <c r="OYY1720" s="227"/>
      <c r="OYZ1720" s="227"/>
      <c r="OZA1720" s="227"/>
      <c r="OZB1720" s="227"/>
      <c r="OZC1720" s="227"/>
      <c r="OZD1720" s="227"/>
      <c r="OZE1720" s="227"/>
      <c r="OZF1720" s="227"/>
      <c r="OZG1720" s="227"/>
      <c r="OZH1720" s="227"/>
      <c r="OZI1720" s="227"/>
      <c r="OZJ1720" s="227"/>
      <c r="OZK1720" s="227"/>
      <c r="OZL1720" s="227"/>
      <c r="OZM1720" s="227"/>
      <c r="OZN1720" s="227"/>
      <c r="OZO1720" s="227"/>
      <c r="OZP1720" s="227"/>
      <c r="OZQ1720" s="227"/>
      <c r="OZR1720" s="227"/>
      <c r="OZS1720" s="227"/>
      <c r="OZT1720" s="227"/>
      <c r="OZU1720" s="227"/>
      <c r="OZV1720" s="227"/>
      <c r="OZW1720" s="227"/>
      <c r="OZX1720" s="227"/>
      <c r="OZY1720" s="227"/>
      <c r="OZZ1720" s="227"/>
      <c r="PAA1720" s="227"/>
      <c r="PAB1720" s="227"/>
      <c r="PAC1720" s="227"/>
      <c r="PAD1720" s="227"/>
      <c r="PAE1720" s="227"/>
      <c r="PAF1720" s="227"/>
      <c r="PAG1720" s="227"/>
      <c r="PAH1720" s="227"/>
      <c r="PAI1720" s="227"/>
      <c r="PAJ1720" s="227"/>
      <c r="PAK1720" s="227"/>
      <c r="PAL1720" s="227"/>
      <c r="PAM1720" s="227"/>
      <c r="PAN1720" s="227"/>
      <c r="PAO1720" s="227"/>
      <c r="PAP1720" s="227"/>
      <c r="PAQ1720" s="227"/>
      <c r="PAR1720" s="227"/>
      <c r="PAS1720" s="227"/>
      <c r="PAT1720" s="227"/>
      <c r="PAU1720" s="227"/>
      <c r="PAV1720" s="227"/>
      <c r="PAW1720" s="227"/>
      <c r="PAX1720" s="227"/>
      <c r="PAY1720" s="227"/>
      <c r="PAZ1720" s="227"/>
      <c r="PBA1720" s="227"/>
      <c r="PBB1720" s="227"/>
      <c r="PBC1720" s="227"/>
      <c r="PBD1720" s="227"/>
      <c r="PBE1720" s="227"/>
      <c r="PBF1720" s="227"/>
      <c r="PBG1720" s="227"/>
      <c r="PBH1720" s="227"/>
      <c r="PBI1720" s="227"/>
      <c r="PBJ1720" s="227"/>
      <c r="PBK1720" s="227"/>
      <c r="PBL1720" s="227"/>
      <c r="PBM1720" s="227"/>
      <c r="PBN1720" s="227"/>
      <c r="PBO1720" s="227"/>
      <c r="PBP1720" s="227"/>
      <c r="PBQ1720" s="227"/>
      <c r="PBR1720" s="227"/>
      <c r="PBS1720" s="227"/>
      <c r="PBT1720" s="227"/>
      <c r="PBU1720" s="227"/>
      <c r="PBV1720" s="227"/>
      <c r="PBW1720" s="227"/>
      <c r="PBX1720" s="227"/>
      <c r="PBY1720" s="227"/>
      <c r="PBZ1720" s="227"/>
      <c r="PCA1720" s="227"/>
      <c r="PCB1720" s="227"/>
      <c r="PCC1720" s="227"/>
      <c r="PCD1720" s="227"/>
      <c r="PCE1720" s="227"/>
      <c r="PCF1720" s="227"/>
      <c r="PCG1720" s="227"/>
      <c r="PCH1720" s="227"/>
      <c r="PCI1720" s="227"/>
      <c r="PCJ1720" s="227"/>
      <c r="PCK1720" s="227"/>
      <c r="PCL1720" s="227"/>
      <c r="PCM1720" s="227"/>
      <c r="PCN1720" s="227"/>
      <c r="PCO1720" s="227"/>
      <c r="PCP1720" s="227"/>
      <c r="PCQ1720" s="227"/>
      <c r="PCR1720" s="227"/>
      <c r="PCS1720" s="227"/>
      <c r="PCT1720" s="227"/>
      <c r="PCU1720" s="227"/>
      <c r="PCV1720" s="227"/>
      <c r="PCW1720" s="227"/>
      <c r="PCX1720" s="227"/>
      <c r="PCY1720" s="227"/>
      <c r="PCZ1720" s="227"/>
      <c r="PDA1720" s="227"/>
      <c r="PDB1720" s="227"/>
      <c r="PDC1720" s="227"/>
      <c r="PDD1720" s="227"/>
      <c r="PDE1720" s="227"/>
      <c r="PDF1720" s="227"/>
      <c r="PDG1720" s="227"/>
      <c r="PDH1720" s="227"/>
      <c r="PDI1720" s="227"/>
      <c r="PDJ1720" s="227"/>
      <c r="PDK1720" s="227"/>
      <c r="PDL1720" s="227"/>
      <c r="PDM1720" s="227"/>
      <c r="PDN1720" s="227"/>
      <c r="PDO1720" s="227"/>
      <c r="PDP1720" s="227"/>
      <c r="PDQ1720" s="227"/>
      <c r="PDR1720" s="227"/>
      <c r="PDS1720" s="227"/>
      <c r="PDT1720" s="227"/>
      <c r="PDU1720" s="227"/>
      <c r="PDV1720" s="227"/>
      <c r="PDW1720" s="227"/>
      <c r="PDX1720" s="227"/>
      <c r="PDY1720" s="227"/>
      <c r="PDZ1720" s="227"/>
      <c r="PEA1720" s="227"/>
      <c r="PEB1720" s="227"/>
      <c r="PEC1720" s="227"/>
      <c r="PED1720" s="227"/>
      <c r="PEE1720" s="227"/>
      <c r="PEF1720" s="227"/>
      <c r="PEG1720" s="227"/>
      <c r="PEH1720" s="227"/>
      <c r="PEI1720" s="227"/>
      <c r="PEJ1720" s="227"/>
      <c r="PEK1720" s="227"/>
      <c r="PEL1720" s="227"/>
      <c r="PEM1720" s="227"/>
      <c r="PEN1720" s="227"/>
      <c r="PEO1720" s="227"/>
      <c r="PEP1720" s="227"/>
      <c r="PEQ1720" s="227"/>
      <c r="PER1720" s="227"/>
      <c r="PES1720" s="227"/>
      <c r="PET1720" s="227"/>
      <c r="PEU1720" s="227"/>
      <c r="PEV1720" s="227"/>
      <c r="PEW1720" s="227"/>
      <c r="PEX1720" s="227"/>
      <c r="PEY1720" s="227"/>
      <c r="PEZ1720" s="227"/>
      <c r="PFA1720" s="227"/>
      <c r="PFB1720" s="227"/>
      <c r="PFC1720" s="227"/>
      <c r="PFD1720" s="227"/>
      <c r="PFE1720" s="227"/>
      <c r="PFF1720" s="227"/>
      <c r="PFG1720" s="227"/>
      <c r="PFH1720" s="227"/>
      <c r="PFI1720" s="227"/>
      <c r="PFJ1720" s="227"/>
      <c r="PFK1720" s="227"/>
      <c r="PFL1720" s="227"/>
      <c r="PFM1720" s="227"/>
      <c r="PFN1720" s="227"/>
      <c r="PFO1720" s="227"/>
      <c r="PFP1720" s="227"/>
      <c r="PFQ1720" s="227"/>
      <c r="PFR1720" s="227"/>
      <c r="PFS1720" s="227"/>
      <c r="PFT1720" s="227"/>
      <c r="PFU1720" s="227"/>
      <c r="PFV1720" s="227"/>
      <c r="PFW1720" s="227"/>
      <c r="PFX1720" s="227"/>
      <c r="PFY1720" s="227"/>
      <c r="PFZ1720" s="227"/>
      <c r="PGA1720" s="227"/>
      <c r="PGB1720" s="227"/>
      <c r="PGC1720" s="227"/>
      <c r="PGD1720" s="227"/>
      <c r="PGE1720" s="227"/>
      <c r="PGF1720" s="227"/>
      <c r="PGG1720" s="227"/>
      <c r="PGH1720" s="227"/>
      <c r="PGI1720" s="227"/>
      <c r="PGJ1720" s="227"/>
      <c r="PGK1720" s="227"/>
      <c r="PGL1720" s="227"/>
      <c r="PGM1720" s="227"/>
      <c r="PGN1720" s="227"/>
      <c r="PGO1720" s="227"/>
      <c r="PGP1720" s="227"/>
      <c r="PGQ1720" s="227"/>
      <c r="PGR1720" s="227"/>
      <c r="PGS1720" s="227"/>
      <c r="PGT1720" s="227"/>
      <c r="PGU1720" s="227"/>
      <c r="PGV1720" s="227"/>
      <c r="PGW1720" s="227"/>
      <c r="PGX1720" s="227"/>
      <c r="PGY1720" s="227"/>
      <c r="PGZ1720" s="227"/>
      <c r="PHA1720" s="227"/>
      <c r="PHB1720" s="227"/>
      <c r="PHC1720" s="227"/>
      <c r="PHD1720" s="227"/>
      <c r="PHE1720" s="227"/>
      <c r="PHF1720" s="227"/>
      <c r="PHG1720" s="227"/>
      <c r="PHH1720" s="227"/>
      <c r="PHI1720" s="227"/>
      <c r="PHJ1720" s="227"/>
      <c r="PHK1720" s="227"/>
      <c r="PHL1720" s="227"/>
      <c r="PHM1720" s="227"/>
      <c r="PHN1720" s="227"/>
      <c r="PHO1720" s="227"/>
      <c r="PHP1720" s="227"/>
      <c r="PHQ1720" s="227"/>
      <c r="PHR1720" s="227"/>
      <c r="PHS1720" s="227"/>
      <c r="PHT1720" s="227"/>
      <c r="PHU1720" s="227"/>
      <c r="PHV1720" s="227"/>
      <c r="PHW1720" s="227"/>
      <c r="PHX1720" s="227"/>
      <c r="PHY1720" s="227"/>
      <c r="PHZ1720" s="227"/>
      <c r="PIA1720" s="227"/>
      <c r="PIB1720" s="227"/>
      <c r="PIC1720" s="227"/>
      <c r="PID1720" s="227"/>
      <c r="PIE1720" s="227"/>
      <c r="PIF1720" s="227"/>
      <c r="PIG1720" s="227"/>
      <c r="PIH1720" s="227"/>
      <c r="PII1720" s="227"/>
      <c r="PIJ1720" s="227"/>
      <c r="PIK1720" s="227"/>
      <c r="PIL1720" s="227"/>
      <c r="PIM1720" s="227"/>
      <c r="PIN1720" s="227"/>
      <c r="PIO1720" s="227"/>
      <c r="PIP1720" s="227"/>
      <c r="PIQ1720" s="227"/>
      <c r="PIR1720" s="227"/>
      <c r="PIS1720" s="227"/>
      <c r="PIT1720" s="227"/>
      <c r="PIU1720" s="227"/>
      <c r="PIV1720" s="227"/>
      <c r="PIW1720" s="227"/>
      <c r="PIX1720" s="227"/>
      <c r="PIY1720" s="227"/>
      <c r="PIZ1720" s="227"/>
      <c r="PJA1720" s="227"/>
      <c r="PJB1720" s="227"/>
      <c r="PJC1720" s="227"/>
      <c r="PJD1720" s="227"/>
      <c r="PJE1720" s="227"/>
      <c r="PJF1720" s="227"/>
      <c r="PJG1720" s="227"/>
      <c r="PJH1720" s="227"/>
      <c r="PJI1720" s="227"/>
      <c r="PJJ1720" s="227"/>
      <c r="PJK1720" s="227"/>
      <c r="PJL1720" s="227"/>
      <c r="PJM1720" s="227"/>
      <c r="PJN1720" s="227"/>
      <c r="PJO1720" s="227"/>
      <c r="PJP1720" s="227"/>
      <c r="PJQ1720" s="227"/>
      <c r="PJR1720" s="227"/>
      <c r="PJS1720" s="227"/>
      <c r="PJT1720" s="227"/>
      <c r="PJU1720" s="227"/>
      <c r="PJV1720" s="227"/>
      <c r="PJW1720" s="227"/>
      <c r="PJX1720" s="227"/>
      <c r="PJY1720" s="227"/>
      <c r="PJZ1720" s="227"/>
      <c r="PKA1720" s="227"/>
      <c r="PKB1720" s="227"/>
      <c r="PKC1720" s="227"/>
      <c r="PKD1720" s="227"/>
      <c r="PKE1720" s="227"/>
      <c r="PKF1720" s="227"/>
      <c r="PKG1720" s="227"/>
      <c r="PKH1720" s="227"/>
      <c r="PKI1720" s="227"/>
      <c r="PKJ1720" s="227"/>
      <c r="PKK1720" s="227"/>
      <c r="PKL1720" s="227"/>
      <c r="PKM1720" s="227"/>
      <c r="PKN1720" s="227"/>
      <c r="PKO1720" s="227"/>
      <c r="PKP1720" s="227"/>
      <c r="PKQ1720" s="227"/>
      <c r="PKR1720" s="227"/>
      <c r="PKS1720" s="227"/>
      <c r="PKT1720" s="227"/>
      <c r="PKU1720" s="227"/>
      <c r="PKV1720" s="227"/>
      <c r="PKW1720" s="227"/>
      <c r="PKX1720" s="227"/>
      <c r="PKY1720" s="227"/>
      <c r="PKZ1720" s="227"/>
      <c r="PLA1720" s="227"/>
      <c r="PLB1720" s="227"/>
      <c r="PLC1720" s="227"/>
      <c r="PLD1720" s="227"/>
      <c r="PLE1720" s="227"/>
      <c r="PLF1720" s="227"/>
      <c r="PLG1720" s="227"/>
      <c r="PLH1720" s="227"/>
      <c r="PLI1720" s="227"/>
      <c r="PLJ1720" s="227"/>
      <c r="PLK1720" s="227"/>
      <c r="PLL1720" s="227"/>
      <c r="PLM1720" s="227"/>
      <c r="PLN1720" s="227"/>
      <c r="PLO1720" s="227"/>
      <c r="PLP1720" s="227"/>
      <c r="PLQ1720" s="227"/>
      <c r="PLR1720" s="227"/>
      <c r="PLS1720" s="227"/>
      <c r="PLT1720" s="227"/>
      <c r="PLU1720" s="227"/>
      <c r="PLV1720" s="227"/>
      <c r="PLW1720" s="227"/>
      <c r="PLX1720" s="227"/>
      <c r="PLY1720" s="227"/>
      <c r="PLZ1720" s="227"/>
      <c r="PMA1720" s="227"/>
      <c r="PMB1720" s="227"/>
      <c r="PMC1720" s="227"/>
      <c r="PMD1720" s="227"/>
      <c r="PME1720" s="227"/>
      <c r="PMF1720" s="227"/>
      <c r="PMG1720" s="227"/>
      <c r="PMH1720" s="227"/>
      <c r="PMI1720" s="227"/>
      <c r="PMJ1720" s="227"/>
      <c r="PMK1720" s="227"/>
      <c r="PML1720" s="227"/>
      <c r="PMM1720" s="227"/>
      <c r="PMN1720" s="227"/>
      <c r="PMO1720" s="227"/>
      <c r="PMP1720" s="227"/>
      <c r="PMQ1720" s="227"/>
      <c r="PMR1720" s="227"/>
      <c r="PMS1720" s="227"/>
      <c r="PMT1720" s="227"/>
      <c r="PMU1720" s="227"/>
      <c r="PMV1720" s="227"/>
      <c r="PMW1720" s="227"/>
      <c r="PMX1720" s="227"/>
      <c r="PMY1720" s="227"/>
      <c r="PMZ1720" s="227"/>
      <c r="PNA1720" s="227"/>
      <c r="PNB1720" s="227"/>
      <c r="PNC1720" s="227"/>
      <c r="PND1720" s="227"/>
      <c r="PNE1720" s="227"/>
      <c r="PNF1720" s="227"/>
      <c r="PNG1720" s="227"/>
      <c r="PNH1720" s="227"/>
      <c r="PNI1720" s="227"/>
      <c r="PNJ1720" s="227"/>
      <c r="PNK1720" s="227"/>
      <c r="PNL1720" s="227"/>
      <c r="PNM1720" s="227"/>
      <c r="PNN1720" s="227"/>
      <c r="PNO1720" s="227"/>
      <c r="PNP1720" s="227"/>
      <c r="PNQ1720" s="227"/>
      <c r="PNR1720" s="227"/>
      <c r="PNS1720" s="227"/>
      <c r="PNT1720" s="227"/>
      <c r="PNU1720" s="227"/>
      <c r="PNV1720" s="227"/>
      <c r="PNW1720" s="227"/>
      <c r="PNX1720" s="227"/>
      <c r="PNY1720" s="227"/>
      <c r="PNZ1720" s="227"/>
      <c r="POA1720" s="227"/>
      <c r="POB1720" s="227"/>
      <c r="POC1720" s="227"/>
      <c r="POD1720" s="227"/>
      <c r="POE1720" s="227"/>
      <c r="POF1720" s="227"/>
      <c r="POG1720" s="227"/>
      <c r="POH1720" s="227"/>
      <c r="POI1720" s="227"/>
      <c r="POJ1720" s="227"/>
      <c r="POK1720" s="227"/>
      <c r="POL1720" s="227"/>
      <c r="POM1720" s="227"/>
      <c r="PON1720" s="227"/>
      <c r="POO1720" s="227"/>
      <c r="POP1720" s="227"/>
      <c r="POQ1720" s="227"/>
      <c r="POR1720" s="227"/>
      <c r="POS1720" s="227"/>
      <c r="POT1720" s="227"/>
      <c r="POU1720" s="227"/>
      <c r="POV1720" s="227"/>
      <c r="POW1720" s="227"/>
      <c r="POX1720" s="227"/>
      <c r="POY1720" s="227"/>
      <c r="POZ1720" s="227"/>
      <c r="PPA1720" s="227"/>
      <c r="PPB1720" s="227"/>
      <c r="PPC1720" s="227"/>
      <c r="PPD1720" s="227"/>
      <c r="PPE1720" s="227"/>
      <c r="PPF1720" s="227"/>
      <c r="PPG1720" s="227"/>
      <c r="PPH1720" s="227"/>
      <c r="PPI1720" s="227"/>
      <c r="PPJ1720" s="227"/>
      <c r="PPK1720" s="227"/>
      <c r="PPL1720" s="227"/>
      <c r="PPM1720" s="227"/>
      <c r="PPN1720" s="227"/>
      <c r="PPO1720" s="227"/>
      <c r="PPP1720" s="227"/>
      <c r="PPQ1720" s="227"/>
      <c r="PPR1720" s="227"/>
      <c r="PPS1720" s="227"/>
      <c r="PPT1720" s="227"/>
      <c r="PPU1720" s="227"/>
      <c r="PPV1720" s="227"/>
      <c r="PPW1720" s="227"/>
      <c r="PPX1720" s="227"/>
      <c r="PPY1720" s="227"/>
      <c r="PPZ1720" s="227"/>
      <c r="PQA1720" s="227"/>
      <c r="PQB1720" s="227"/>
      <c r="PQC1720" s="227"/>
      <c r="PQD1720" s="227"/>
      <c r="PQE1720" s="227"/>
      <c r="PQF1720" s="227"/>
      <c r="PQG1720" s="227"/>
      <c r="PQH1720" s="227"/>
      <c r="PQI1720" s="227"/>
      <c r="PQJ1720" s="227"/>
      <c r="PQK1720" s="227"/>
      <c r="PQL1720" s="227"/>
      <c r="PQM1720" s="227"/>
      <c r="PQN1720" s="227"/>
      <c r="PQO1720" s="227"/>
      <c r="PQP1720" s="227"/>
      <c r="PQQ1720" s="227"/>
      <c r="PQR1720" s="227"/>
      <c r="PQS1720" s="227"/>
      <c r="PQT1720" s="227"/>
      <c r="PQU1720" s="227"/>
      <c r="PQV1720" s="227"/>
      <c r="PQW1720" s="227"/>
      <c r="PQX1720" s="227"/>
      <c r="PQY1720" s="227"/>
      <c r="PQZ1720" s="227"/>
      <c r="PRA1720" s="227"/>
      <c r="PRB1720" s="227"/>
      <c r="PRC1720" s="227"/>
      <c r="PRD1720" s="227"/>
      <c r="PRE1720" s="227"/>
      <c r="PRF1720" s="227"/>
      <c r="PRG1720" s="227"/>
      <c r="PRH1720" s="227"/>
      <c r="PRI1720" s="227"/>
      <c r="PRJ1720" s="227"/>
      <c r="PRK1720" s="227"/>
      <c r="PRL1720" s="227"/>
      <c r="PRM1720" s="227"/>
      <c r="PRN1720" s="227"/>
      <c r="PRO1720" s="227"/>
      <c r="PRP1720" s="227"/>
      <c r="PRQ1720" s="227"/>
      <c r="PRR1720" s="227"/>
      <c r="PRS1720" s="227"/>
      <c r="PRT1720" s="227"/>
      <c r="PRU1720" s="227"/>
      <c r="PRV1720" s="227"/>
      <c r="PRW1720" s="227"/>
      <c r="PRX1720" s="227"/>
      <c r="PRY1720" s="227"/>
      <c r="PRZ1720" s="227"/>
      <c r="PSA1720" s="227"/>
      <c r="PSB1720" s="227"/>
      <c r="PSC1720" s="227"/>
      <c r="PSD1720" s="227"/>
      <c r="PSE1720" s="227"/>
      <c r="PSF1720" s="227"/>
      <c r="PSG1720" s="227"/>
      <c r="PSH1720" s="227"/>
      <c r="PSI1720" s="227"/>
      <c r="PSJ1720" s="227"/>
      <c r="PSK1720" s="227"/>
      <c r="PSL1720" s="227"/>
      <c r="PSM1720" s="227"/>
      <c r="PSN1720" s="227"/>
      <c r="PSO1720" s="227"/>
      <c r="PSP1720" s="227"/>
      <c r="PSQ1720" s="227"/>
      <c r="PSR1720" s="227"/>
      <c r="PSS1720" s="227"/>
      <c r="PST1720" s="227"/>
      <c r="PSU1720" s="227"/>
      <c r="PSV1720" s="227"/>
      <c r="PSW1720" s="227"/>
      <c r="PSX1720" s="227"/>
      <c r="PSY1720" s="227"/>
      <c r="PSZ1720" s="227"/>
      <c r="PTA1720" s="227"/>
      <c r="PTB1720" s="227"/>
      <c r="PTC1720" s="227"/>
      <c r="PTD1720" s="227"/>
      <c r="PTE1720" s="227"/>
      <c r="PTF1720" s="227"/>
      <c r="PTG1720" s="227"/>
      <c r="PTH1720" s="227"/>
      <c r="PTI1720" s="227"/>
      <c r="PTJ1720" s="227"/>
      <c r="PTK1720" s="227"/>
      <c r="PTL1720" s="227"/>
      <c r="PTM1720" s="227"/>
      <c r="PTN1720" s="227"/>
      <c r="PTO1720" s="227"/>
      <c r="PTP1720" s="227"/>
      <c r="PTQ1720" s="227"/>
      <c r="PTR1720" s="227"/>
      <c r="PTS1720" s="227"/>
      <c r="PTT1720" s="227"/>
      <c r="PTU1720" s="227"/>
      <c r="PTV1720" s="227"/>
      <c r="PTW1720" s="227"/>
      <c r="PTX1720" s="227"/>
      <c r="PTY1720" s="227"/>
      <c r="PTZ1720" s="227"/>
      <c r="PUA1720" s="227"/>
      <c r="PUB1720" s="227"/>
      <c r="PUC1720" s="227"/>
      <c r="PUD1720" s="227"/>
      <c r="PUE1720" s="227"/>
      <c r="PUF1720" s="227"/>
      <c r="PUG1720" s="227"/>
      <c r="PUH1720" s="227"/>
      <c r="PUI1720" s="227"/>
      <c r="PUJ1720" s="227"/>
      <c r="PUK1720" s="227"/>
      <c r="PUL1720" s="227"/>
      <c r="PUM1720" s="227"/>
      <c r="PUN1720" s="227"/>
      <c r="PUO1720" s="227"/>
      <c r="PUP1720" s="227"/>
      <c r="PUQ1720" s="227"/>
      <c r="PUR1720" s="227"/>
      <c r="PUS1720" s="227"/>
      <c r="PUT1720" s="227"/>
      <c r="PUU1720" s="227"/>
      <c r="PUV1720" s="227"/>
      <c r="PUW1720" s="227"/>
      <c r="PUX1720" s="227"/>
      <c r="PUY1720" s="227"/>
      <c r="PUZ1720" s="227"/>
      <c r="PVA1720" s="227"/>
      <c r="PVB1720" s="227"/>
      <c r="PVC1720" s="227"/>
      <c r="PVD1720" s="227"/>
      <c r="PVE1720" s="227"/>
      <c r="PVF1720" s="227"/>
      <c r="PVG1720" s="227"/>
      <c r="PVH1720" s="227"/>
      <c r="PVI1720" s="227"/>
      <c r="PVJ1720" s="227"/>
      <c r="PVK1720" s="227"/>
      <c r="PVL1720" s="227"/>
      <c r="PVM1720" s="227"/>
      <c r="PVN1720" s="227"/>
      <c r="PVO1720" s="227"/>
      <c r="PVP1720" s="227"/>
      <c r="PVQ1720" s="227"/>
      <c r="PVR1720" s="227"/>
      <c r="PVS1720" s="227"/>
      <c r="PVT1720" s="227"/>
      <c r="PVU1720" s="227"/>
      <c r="PVV1720" s="227"/>
      <c r="PVW1720" s="227"/>
      <c r="PVX1720" s="227"/>
      <c r="PVY1720" s="227"/>
      <c r="PVZ1720" s="227"/>
      <c r="PWA1720" s="227"/>
      <c r="PWB1720" s="227"/>
      <c r="PWC1720" s="227"/>
      <c r="PWD1720" s="227"/>
      <c r="PWE1720" s="227"/>
      <c r="PWF1720" s="227"/>
      <c r="PWG1720" s="227"/>
      <c r="PWH1720" s="227"/>
      <c r="PWI1720" s="227"/>
      <c r="PWJ1720" s="227"/>
      <c r="PWK1720" s="227"/>
      <c r="PWL1720" s="227"/>
      <c r="PWM1720" s="227"/>
      <c r="PWN1720" s="227"/>
      <c r="PWO1720" s="227"/>
      <c r="PWP1720" s="227"/>
      <c r="PWQ1720" s="227"/>
      <c r="PWR1720" s="227"/>
      <c r="PWS1720" s="227"/>
      <c r="PWT1720" s="227"/>
      <c r="PWU1720" s="227"/>
      <c r="PWV1720" s="227"/>
      <c r="PWW1720" s="227"/>
      <c r="PWX1720" s="227"/>
      <c r="PWY1720" s="227"/>
      <c r="PWZ1720" s="227"/>
      <c r="PXA1720" s="227"/>
      <c r="PXB1720" s="227"/>
      <c r="PXC1720" s="227"/>
      <c r="PXD1720" s="227"/>
      <c r="PXE1720" s="227"/>
      <c r="PXF1720" s="227"/>
      <c r="PXG1720" s="227"/>
      <c r="PXH1720" s="227"/>
      <c r="PXI1720" s="227"/>
      <c r="PXJ1720" s="227"/>
      <c r="PXK1720" s="227"/>
      <c r="PXL1720" s="227"/>
      <c r="PXM1720" s="227"/>
      <c r="PXN1720" s="227"/>
      <c r="PXO1720" s="227"/>
      <c r="PXP1720" s="227"/>
      <c r="PXQ1720" s="227"/>
      <c r="PXR1720" s="227"/>
      <c r="PXS1720" s="227"/>
      <c r="PXT1720" s="227"/>
      <c r="PXU1720" s="227"/>
      <c r="PXV1720" s="227"/>
      <c r="PXW1720" s="227"/>
      <c r="PXX1720" s="227"/>
      <c r="PXY1720" s="227"/>
      <c r="PXZ1720" s="227"/>
      <c r="PYA1720" s="227"/>
      <c r="PYB1720" s="227"/>
      <c r="PYC1720" s="227"/>
      <c r="PYD1720" s="227"/>
      <c r="PYE1720" s="227"/>
      <c r="PYF1720" s="227"/>
      <c r="PYG1720" s="227"/>
      <c r="PYH1720" s="227"/>
      <c r="PYI1720" s="227"/>
      <c r="PYJ1720" s="227"/>
      <c r="PYK1720" s="227"/>
      <c r="PYL1720" s="227"/>
      <c r="PYM1720" s="227"/>
      <c r="PYN1720" s="227"/>
      <c r="PYO1720" s="227"/>
      <c r="PYP1720" s="227"/>
      <c r="PYQ1720" s="227"/>
      <c r="PYR1720" s="227"/>
      <c r="PYS1720" s="227"/>
      <c r="PYT1720" s="227"/>
      <c r="PYU1720" s="227"/>
      <c r="PYV1720" s="227"/>
      <c r="PYW1720" s="227"/>
      <c r="PYX1720" s="227"/>
      <c r="PYY1720" s="227"/>
      <c r="PYZ1720" s="227"/>
      <c r="PZA1720" s="227"/>
      <c r="PZB1720" s="227"/>
      <c r="PZC1720" s="227"/>
      <c r="PZD1720" s="227"/>
      <c r="PZE1720" s="227"/>
      <c r="PZF1720" s="227"/>
      <c r="PZG1720" s="227"/>
      <c r="PZH1720" s="227"/>
      <c r="PZI1720" s="227"/>
      <c r="PZJ1720" s="227"/>
      <c r="PZK1720" s="227"/>
      <c r="PZL1720" s="227"/>
      <c r="PZM1720" s="227"/>
      <c r="PZN1720" s="227"/>
      <c r="PZO1720" s="227"/>
      <c r="PZP1720" s="227"/>
      <c r="PZQ1720" s="227"/>
      <c r="PZR1720" s="227"/>
      <c r="PZS1720" s="227"/>
      <c r="PZT1720" s="227"/>
      <c r="PZU1720" s="227"/>
      <c r="PZV1720" s="227"/>
      <c r="PZW1720" s="227"/>
      <c r="PZX1720" s="227"/>
      <c r="PZY1720" s="227"/>
      <c r="PZZ1720" s="227"/>
      <c r="QAA1720" s="227"/>
      <c r="QAB1720" s="227"/>
      <c r="QAC1720" s="227"/>
      <c r="QAD1720" s="227"/>
      <c r="QAE1720" s="227"/>
      <c r="QAF1720" s="227"/>
      <c r="QAG1720" s="227"/>
      <c r="QAH1720" s="227"/>
      <c r="QAI1720" s="227"/>
      <c r="QAJ1720" s="227"/>
      <c r="QAK1720" s="227"/>
      <c r="QAL1720" s="227"/>
      <c r="QAM1720" s="227"/>
      <c r="QAN1720" s="227"/>
      <c r="QAO1720" s="227"/>
      <c r="QAP1720" s="227"/>
      <c r="QAQ1720" s="227"/>
      <c r="QAR1720" s="227"/>
      <c r="QAS1720" s="227"/>
      <c r="QAT1720" s="227"/>
      <c r="QAU1720" s="227"/>
      <c r="QAV1720" s="227"/>
      <c r="QAW1720" s="227"/>
      <c r="QAX1720" s="227"/>
      <c r="QAY1720" s="227"/>
      <c r="QAZ1720" s="227"/>
      <c r="QBA1720" s="227"/>
      <c r="QBB1720" s="227"/>
      <c r="QBC1720" s="227"/>
      <c r="QBD1720" s="227"/>
      <c r="QBE1720" s="227"/>
      <c r="QBF1720" s="227"/>
      <c r="QBG1720" s="227"/>
      <c r="QBH1720" s="227"/>
      <c r="QBI1720" s="227"/>
      <c r="QBJ1720" s="227"/>
      <c r="QBK1720" s="227"/>
      <c r="QBL1720" s="227"/>
      <c r="QBM1720" s="227"/>
      <c r="QBN1720" s="227"/>
      <c r="QBO1720" s="227"/>
      <c r="QBP1720" s="227"/>
      <c r="QBQ1720" s="227"/>
      <c r="QBR1720" s="227"/>
      <c r="QBS1720" s="227"/>
      <c r="QBT1720" s="227"/>
      <c r="QBU1720" s="227"/>
      <c r="QBV1720" s="227"/>
      <c r="QBW1720" s="227"/>
      <c r="QBX1720" s="227"/>
      <c r="QBY1720" s="227"/>
      <c r="QBZ1720" s="227"/>
      <c r="QCA1720" s="227"/>
      <c r="QCB1720" s="227"/>
      <c r="QCC1720" s="227"/>
      <c r="QCD1720" s="227"/>
      <c r="QCE1720" s="227"/>
      <c r="QCF1720" s="227"/>
      <c r="QCG1720" s="227"/>
      <c r="QCH1720" s="227"/>
      <c r="QCI1720" s="227"/>
      <c r="QCJ1720" s="227"/>
      <c r="QCK1720" s="227"/>
      <c r="QCL1720" s="227"/>
      <c r="QCM1720" s="227"/>
      <c r="QCN1720" s="227"/>
      <c r="QCO1720" s="227"/>
      <c r="QCP1720" s="227"/>
      <c r="QCQ1720" s="227"/>
      <c r="QCR1720" s="227"/>
      <c r="QCS1720" s="227"/>
      <c r="QCT1720" s="227"/>
      <c r="QCU1720" s="227"/>
      <c r="QCV1720" s="227"/>
      <c r="QCW1720" s="227"/>
      <c r="QCX1720" s="227"/>
      <c r="QCY1720" s="227"/>
      <c r="QCZ1720" s="227"/>
      <c r="QDA1720" s="227"/>
      <c r="QDB1720" s="227"/>
      <c r="QDC1720" s="227"/>
      <c r="QDD1720" s="227"/>
      <c r="QDE1720" s="227"/>
      <c r="QDF1720" s="227"/>
      <c r="QDG1720" s="227"/>
      <c r="QDH1720" s="227"/>
      <c r="QDI1720" s="227"/>
      <c r="QDJ1720" s="227"/>
      <c r="QDK1720" s="227"/>
      <c r="QDL1720" s="227"/>
      <c r="QDM1720" s="227"/>
      <c r="QDN1720" s="227"/>
      <c r="QDO1720" s="227"/>
      <c r="QDP1720" s="227"/>
      <c r="QDQ1720" s="227"/>
      <c r="QDR1720" s="227"/>
      <c r="QDS1720" s="227"/>
      <c r="QDT1720" s="227"/>
      <c r="QDU1720" s="227"/>
      <c r="QDV1720" s="227"/>
      <c r="QDW1720" s="227"/>
      <c r="QDX1720" s="227"/>
      <c r="QDY1720" s="227"/>
      <c r="QDZ1720" s="227"/>
      <c r="QEA1720" s="227"/>
      <c r="QEB1720" s="227"/>
      <c r="QEC1720" s="227"/>
      <c r="QED1720" s="227"/>
      <c r="QEE1720" s="227"/>
      <c r="QEF1720" s="227"/>
      <c r="QEG1720" s="227"/>
      <c r="QEH1720" s="227"/>
      <c r="QEI1720" s="227"/>
      <c r="QEJ1720" s="227"/>
      <c r="QEK1720" s="227"/>
      <c r="QEL1720" s="227"/>
      <c r="QEM1720" s="227"/>
      <c r="QEN1720" s="227"/>
      <c r="QEO1720" s="227"/>
      <c r="QEP1720" s="227"/>
      <c r="QEQ1720" s="227"/>
      <c r="QER1720" s="227"/>
      <c r="QES1720" s="227"/>
      <c r="QET1720" s="227"/>
      <c r="QEU1720" s="227"/>
      <c r="QEV1720" s="227"/>
      <c r="QEW1720" s="227"/>
      <c r="QEX1720" s="227"/>
      <c r="QEY1720" s="227"/>
      <c r="QEZ1720" s="227"/>
      <c r="QFA1720" s="227"/>
      <c r="QFB1720" s="227"/>
      <c r="QFC1720" s="227"/>
      <c r="QFD1720" s="227"/>
      <c r="QFE1720" s="227"/>
      <c r="QFF1720" s="227"/>
      <c r="QFG1720" s="227"/>
      <c r="QFH1720" s="227"/>
      <c r="QFI1720" s="227"/>
      <c r="QFJ1720" s="227"/>
      <c r="QFK1720" s="227"/>
      <c r="QFL1720" s="227"/>
      <c r="QFM1720" s="227"/>
      <c r="QFN1720" s="227"/>
      <c r="QFO1720" s="227"/>
      <c r="QFP1720" s="227"/>
      <c r="QFQ1720" s="227"/>
      <c r="QFR1720" s="227"/>
      <c r="QFS1720" s="227"/>
      <c r="QFT1720" s="227"/>
      <c r="QFU1720" s="227"/>
      <c r="QFV1720" s="227"/>
      <c r="QFW1720" s="227"/>
      <c r="QFX1720" s="227"/>
      <c r="QFY1720" s="227"/>
      <c r="QFZ1720" s="227"/>
      <c r="QGA1720" s="227"/>
      <c r="QGB1720" s="227"/>
      <c r="QGC1720" s="227"/>
      <c r="QGD1720" s="227"/>
      <c r="QGE1720" s="227"/>
      <c r="QGF1720" s="227"/>
      <c r="QGG1720" s="227"/>
      <c r="QGH1720" s="227"/>
      <c r="QGI1720" s="227"/>
      <c r="QGJ1720" s="227"/>
      <c r="QGK1720" s="227"/>
      <c r="QGL1720" s="227"/>
      <c r="QGM1720" s="227"/>
      <c r="QGN1720" s="227"/>
      <c r="QGO1720" s="227"/>
      <c r="QGP1720" s="227"/>
      <c r="QGQ1720" s="227"/>
      <c r="QGR1720" s="227"/>
      <c r="QGS1720" s="227"/>
      <c r="QGT1720" s="227"/>
      <c r="QGU1720" s="227"/>
      <c r="QGV1720" s="227"/>
      <c r="QGW1720" s="227"/>
      <c r="QGX1720" s="227"/>
      <c r="QGY1720" s="227"/>
      <c r="QGZ1720" s="227"/>
      <c r="QHA1720" s="227"/>
      <c r="QHB1720" s="227"/>
      <c r="QHC1720" s="227"/>
      <c r="QHD1720" s="227"/>
      <c r="QHE1720" s="227"/>
      <c r="QHF1720" s="227"/>
      <c r="QHG1720" s="227"/>
      <c r="QHH1720" s="227"/>
      <c r="QHI1720" s="227"/>
      <c r="QHJ1720" s="227"/>
      <c r="QHK1720" s="227"/>
      <c r="QHL1720" s="227"/>
      <c r="QHM1720" s="227"/>
      <c r="QHN1720" s="227"/>
      <c r="QHO1720" s="227"/>
      <c r="QHP1720" s="227"/>
      <c r="QHQ1720" s="227"/>
      <c r="QHR1720" s="227"/>
      <c r="QHS1720" s="227"/>
      <c r="QHT1720" s="227"/>
      <c r="QHU1720" s="227"/>
      <c r="QHV1720" s="227"/>
      <c r="QHW1720" s="227"/>
      <c r="QHX1720" s="227"/>
      <c r="QHY1720" s="227"/>
      <c r="QHZ1720" s="227"/>
      <c r="QIA1720" s="227"/>
      <c r="QIB1720" s="227"/>
      <c r="QIC1720" s="227"/>
      <c r="QID1720" s="227"/>
      <c r="QIE1720" s="227"/>
      <c r="QIF1720" s="227"/>
      <c r="QIG1720" s="227"/>
      <c r="QIH1720" s="227"/>
      <c r="QII1720" s="227"/>
      <c r="QIJ1720" s="227"/>
      <c r="QIK1720" s="227"/>
      <c r="QIL1720" s="227"/>
      <c r="QIM1720" s="227"/>
      <c r="QIN1720" s="227"/>
      <c r="QIO1720" s="227"/>
      <c r="QIP1720" s="227"/>
      <c r="QIQ1720" s="227"/>
      <c r="QIR1720" s="227"/>
      <c r="QIS1720" s="227"/>
      <c r="QIT1720" s="227"/>
      <c r="QIU1720" s="227"/>
      <c r="QIV1720" s="227"/>
      <c r="QIW1720" s="227"/>
      <c r="QIX1720" s="227"/>
      <c r="QIY1720" s="227"/>
      <c r="QIZ1720" s="227"/>
      <c r="QJA1720" s="227"/>
      <c r="QJB1720" s="227"/>
      <c r="QJC1720" s="227"/>
      <c r="QJD1720" s="227"/>
      <c r="QJE1720" s="227"/>
      <c r="QJF1720" s="227"/>
      <c r="QJG1720" s="227"/>
      <c r="QJH1720" s="227"/>
      <c r="QJI1720" s="227"/>
      <c r="QJJ1720" s="227"/>
      <c r="QJK1720" s="227"/>
      <c r="QJL1720" s="227"/>
      <c r="QJM1720" s="227"/>
      <c r="QJN1720" s="227"/>
      <c r="QJO1720" s="227"/>
      <c r="QJP1720" s="227"/>
      <c r="QJQ1720" s="227"/>
      <c r="QJR1720" s="227"/>
      <c r="QJS1720" s="227"/>
      <c r="QJT1720" s="227"/>
      <c r="QJU1720" s="227"/>
      <c r="QJV1720" s="227"/>
      <c r="QJW1720" s="227"/>
      <c r="QJX1720" s="227"/>
      <c r="QJY1720" s="227"/>
      <c r="QJZ1720" s="227"/>
      <c r="QKA1720" s="227"/>
      <c r="QKB1720" s="227"/>
      <c r="QKC1720" s="227"/>
      <c r="QKD1720" s="227"/>
      <c r="QKE1720" s="227"/>
      <c r="QKF1720" s="227"/>
      <c r="QKG1720" s="227"/>
      <c r="QKH1720" s="227"/>
      <c r="QKI1720" s="227"/>
      <c r="QKJ1720" s="227"/>
      <c r="QKK1720" s="227"/>
      <c r="QKL1720" s="227"/>
      <c r="QKM1720" s="227"/>
      <c r="QKN1720" s="227"/>
      <c r="QKO1720" s="227"/>
      <c r="QKP1720" s="227"/>
      <c r="QKQ1720" s="227"/>
      <c r="QKR1720" s="227"/>
      <c r="QKS1720" s="227"/>
      <c r="QKT1720" s="227"/>
      <c r="QKU1720" s="227"/>
      <c r="QKV1720" s="227"/>
      <c r="QKW1720" s="227"/>
      <c r="QKX1720" s="227"/>
      <c r="QKY1720" s="227"/>
      <c r="QKZ1720" s="227"/>
      <c r="QLA1720" s="227"/>
      <c r="QLB1720" s="227"/>
      <c r="QLC1720" s="227"/>
      <c r="QLD1720" s="227"/>
      <c r="QLE1720" s="227"/>
      <c r="QLF1720" s="227"/>
      <c r="QLG1720" s="227"/>
      <c r="QLH1720" s="227"/>
      <c r="QLI1720" s="227"/>
      <c r="QLJ1720" s="227"/>
      <c r="QLK1720" s="227"/>
      <c r="QLL1720" s="227"/>
      <c r="QLM1720" s="227"/>
      <c r="QLN1720" s="227"/>
      <c r="QLO1720" s="227"/>
      <c r="QLP1720" s="227"/>
      <c r="QLQ1720" s="227"/>
      <c r="QLR1720" s="227"/>
      <c r="QLS1720" s="227"/>
      <c r="QLT1720" s="227"/>
      <c r="QLU1720" s="227"/>
      <c r="QLV1720" s="227"/>
      <c r="QLW1720" s="227"/>
      <c r="QLX1720" s="227"/>
      <c r="QLY1720" s="227"/>
      <c r="QLZ1720" s="227"/>
      <c r="QMA1720" s="227"/>
      <c r="QMB1720" s="227"/>
      <c r="QMC1720" s="227"/>
      <c r="QMD1720" s="227"/>
      <c r="QME1720" s="227"/>
      <c r="QMF1720" s="227"/>
      <c r="QMG1720" s="227"/>
      <c r="QMH1720" s="227"/>
      <c r="QMI1720" s="227"/>
      <c r="QMJ1720" s="227"/>
      <c r="QMK1720" s="227"/>
      <c r="QML1720" s="227"/>
      <c r="QMM1720" s="227"/>
      <c r="QMN1720" s="227"/>
      <c r="QMO1720" s="227"/>
      <c r="QMP1720" s="227"/>
      <c r="QMQ1720" s="227"/>
      <c r="QMR1720" s="227"/>
      <c r="QMS1720" s="227"/>
      <c r="QMT1720" s="227"/>
      <c r="QMU1720" s="227"/>
      <c r="QMV1720" s="227"/>
      <c r="QMW1720" s="227"/>
      <c r="QMX1720" s="227"/>
      <c r="QMY1720" s="227"/>
      <c r="QMZ1720" s="227"/>
      <c r="QNA1720" s="227"/>
      <c r="QNB1720" s="227"/>
      <c r="QNC1720" s="227"/>
      <c r="QND1720" s="227"/>
      <c r="QNE1720" s="227"/>
      <c r="QNF1720" s="227"/>
      <c r="QNG1720" s="227"/>
      <c r="QNH1720" s="227"/>
      <c r="QNI1720" s="227"/>
      <c r="QNJ1720" s="227"/>
      <c r="QNK1720" s="227"/>
      <c r="QNL1720" s="227"/>
      <c r="QNM1720" s="227"/>
      <c r="QNN1720" s="227"/>
      <c r="QNO1720" s="227"/>
      <c r="QNP1720" s="227"/>
      <c r="QNQ1720" s="227"/>
      <c r="QNR1720" s="227"/>
      <c r="QNS1720" s="227"/>
      <c r="QNT1720" s="227"/>
      <c r="QNU1720" s="227"/>
      <c r="QNV1720" s="227"/>
      <c r="QNW1720" s="227"/>
      <c r="QNX1720" s="227"/>
      <c r="QNY1720" s="227"/>
      <c r="QNZ1720" s="227"/>
      <c r="QOA1720" s="227"/>
      <c r="QOB1720" s="227"/>
      <c r="QOC1720" s="227"/>
      <c r="QOD1720" s="227"/>
      <c r="QOE1720" s="227"/>
      <c r="QOF1720" s="227"/>
      <c r="QOG1720" s="227"/>
      <c r="QOH1720" s="227"/>
      <c r="QOI1720" s="227"/>
      <c r="QOJ1720" s="227"/>
      <c r="QOK1720" s="227"/>
      <c r="QOL1720" s="227"/>
      <c r="QOM1720" s="227"/>
      <c r="QON1720" s="227"/>
      <c r="QOO1720" s="227"/>
      <c r="QOP1720" s="227"/>
      <c r="QOQ1720" s="227"/>
      <c r="QOR1720" s="227"/>
      <c r="QOS1720" s="227"/>
      <c r="QOT1720" s="227"/>
      <c r="QOU1720" s="227"/>
      <c r="QOV1720" s="227"/>
      <c r="QOW1720" s="227"/>
      <c r="QOX1720" s="227"/>
      <c r="QOY1720" s="227"/>
      <c r="QOZ1720" s="227"/>
      <c r="QPA1720" s="227"/>
      <c r="QPB1720" s="227"/>
      <c r="QPC1720" s="227"/>
      <c r="QPD1720" s="227"/>
      <c r="QPE1720" s="227"/>
      <c r="QPF1720" s="227"/>
      <c r="QPG1720" s="227"/>
      <c r="QPH1720" s="227"/>
      <c r="QPI1720" s="227"/>
      <c r="QPJ1720" s="227"/>
      <c r="QPK1720" s="227"/>
      <c r="QPL1720" s="227"/>
      <c r="QPM1720" s="227"/>
      <c r="QPN1720" s="227"/>
      <c r="QPO1720" s="227"/>
      <c r="QPP1720" s="227"/>
      <c r="QPQ1720" s="227"/>
      <c r="QPR1720" s="227"/>
      <c r="QPS1720" s="227"/>
      <c r="QPT1720" s="227"/>
      <c r="QPU1720" s="227"/>
      <c r="QPV1720" s="227"/>
      <c r="QPW1720" s="227"/>
      <c r="QPX1720" s="227"/>
      <c r="QPY1720" s="227"/>
      <c r="QPZ1720" s="227"/>
      <c r="QQA1720" s="227"/>
      <c r="QQB1720" s="227"/>
      <c r="QQC1720" s="227"/>
      <c r="QQD1720" s="227"/>
      <c r="QQE1720" s="227"/>
      <c r="QQF1720" s="227"/>
      <c r="QQG1720" s="227"/>
      <c r="QQH1720" s="227"/>
      <c r="QQI1720" s="227"/>
      <c r="QQJ1720" s="227"/>
      <c r="QQK1720" s="227"/>
      <c r="QQL1720" s="227"/>
      <c r="QQM1720" s="227"/>
      <c r="QQN1720" s="227"/>
      <c r="QQO1720" s="227"/>
      <c r="QQP1720" s="227"/>
      <c r="QQQ1720" s="227"/>
      <c r="QQR1720" s="227"/>
      <c r="QQS1720" s="227"/>
      <c r="QQT1720" s="227"/>
      <c r="QQU1720" s="227"/>
      <c r="QQV1720" s="227"/>
      <c r="QQW1720" s="227"/>
      <c r="QQX1720" s="227"/>
      <c r="QQY1720" s="227"/>
      <c r="QQZ1720" s="227"/>
      <c r="QRA1720" s="227"/>
      <c r="QRB1720" s="227"/>
      <c r="QRC1720" s="227"/>
      <c r="QRD1720" s="227"/>
      <c r="QRE1720" s="227"/>
      <c r="QRF1720" s="227"/>
      <c r="QRG1720" s="227"/>
      <c r="QRH1720" s="227"/>
      <c r="QRI1720" s="227"/>
      <c r="QRJ1720" s="227"/>
      <c r="QRK1720" s="227"/>
      <c r="QRL1720" s="227"/>
      <c r="QRM1720" s="227"/>
      <c r="QRN1720" s="227"/>
      <c r="QRO1720" s="227"/>
      <c r="QRP1720" s="227"/>
      <c r="QRQ1720" s="227"/>
      <c r="QRR1720" s="227"/>
      <c r="QRS1720" s="227"/>
      <c r="QRT1720" s="227"/>
      <c r="QRU1720" s="227"/>
      <c r="QRV1720" s="227"/>
      <c r="QRW1720" s="227"/>
      <c r="QRX1720" s="227"/>
      <c r="QRY1720" s="227"/>
      <c r="QRZ1720" s="227"/>
      <c r="QSA1720" s="227"/>
      <c r="QSB1720" s="227"/>
      <c r="QSC1720" s="227"/>
      <c r="QSD1720" s="227"/>
      <c r="QSE1720" s="227"/>
      <c r="QSF1720" s="227"/>
      <c r="QSG1720" s="227"/>
      <c r="QSH1720" s="227"/>
      <c r="QSI1720" s="227"/>
      <c r="QSJ1720" s="227"/>
      <c r="QSK1720" s="227"/>
      <c r="QSL1720" s="227"/>
      <c r="QSM1720" s="227"/>
      <c r="QSN1720" s="227"/>
      <c r="QSO1720" s="227"/>
      <c r="QSP1720" s="227"/>
      <c r="QSQ1720" s="227"/>
      <c r="QSR1720" s="227"/>
      <c r="QSS1720" s="227"/>
      <c r="QST1720" s="227"/>
      <c r="QSU1720" s="227"/>
      <c r="QSV1720" s="227"/>
      <c r="QSW1720" s="227"/>
      <c r="QSX1720" s="227"/>
      <c r="QSY1720" s="227"/>
      <c r="QSZ1720" s="227"/>
      <c r="QTA1720" s="227"/>
      <c r="QTB1720" s="227"/>
      <c r="QTC1720" s="227"/>
      <c r="QTD1720" s="227"/>
      <c r="QTE1720" s="227"/>
      <c r="QTF1720" s="227"/>
      <c r="QTG1720" s="227"/>
      <c r="QTH1720" s="227"/>
      <c r="QTI1720" s="227"/>
      <c r="QTJ1720" s="227"/>
      <c r="QTK1720" s="227"/>
      <c r="QTL1720" s="227"/>
      <c r="QTM1720" s="227"/>
      <c r="QTN1720" s="227"/>
      <c r="QTO1720" s="227"/>
      <c r="QTP1720" s="227"/>
      <c r="QTQ1720" s="227"/>
      <c r="QTR1720" s="227"/>
      <c r="QTS1720" s="227"/>
      <c r="QTT1720" s="227"/>
      <c r="QTU1720" s="227"/>
      <c r="QTV1720" s="227"/>
      <c r="QTW1720" s="227"/>
      <c r="QTX1720" s="227"/>
      <c r="QTY1720" s="227"/>
      <c r="QTZ1720" s="227"/>
      <c r="QUA1720" s="227"/>
      <c r="QUB1720" s="227"/>
      <c r="QUC1720" s="227"/>
      <c r="QUD1720" s="227"/>
      <c r="QUE1720" s="227"/>
      <c r="QUF1720" s="227"/>
      <c r="QUG1720" s="227"/>
      <c r="QUH1720" s="227"/>
      <c r="QUI1720" s="227"/>
      <c r="QUJ1720" s="227"/>
      <c r="QUK1720" s="227"/>
      <c r="QUL1720" s="227"/>
      <c r="QUM1720" s="227"/>
      <c r="QUN1720" s="227"/>
      <c r="QUO1720" s="227"/>
      <c r="QUP1720" s="227"/>
      <c r="QUQ1720" s="227"/>
      <c r="QUR1720" s="227"/>
      <c r="QUS1720" s="227"/>
      <c r="QUT1720" s="227"/>
      <c r="QUU1720" s="227"/>
      <c r="QUV1720" s="227"/>
      <c r="QUW1720" s="227"/>
      <c r="QUX1720" s="227"/>
      <c r="QUY1720" s="227"/>
      <c r="QUZ1720" s="227"/>
      <c r="QVA1720" s="227"/>
      <c r="QVB1720" s="227"/>
      <c r="QVC1720" s="227"/>
      <c r="QVD1720" s="227"/>
      <c r="QVE1720" s="227"/>
      <c r="QVF1720" s="227"/>
      <c r="QVG1720" s="227"/>
      <c r="QVH1720" s="227"/>
      <c r="QVI1720" s="227"/>
      <c r="QVJ1720" s="227"/>
      <c r="QVK1720" s="227"/>
      <c r="QVL1720" s="227"/>
      <c r="QVM1720" s="227"/>
      <c r="QVN1720" s="227"/>
      <c r="QVO1720" s="227"/>
      <c r="QVP1720" s="227"/>
      <c r="QVQ1720" s="227"/>
      <c r="QVR1720" s="227"/>
      <c r="QVS1720" s="227"/>
      <c r="QVT1720" s="227"/>
      <c r="QVU1720" s="227"/>
      <c r="QVV1720" s="227"/>
      <c r="QVW1720" s="227"/>
      <c r="QVX1720" s="227"/>
      <c r="QVY1720" s="227"/>
      <c r="QVZ1720" s="227"/>
      <c r="QWA1720" s="227"/>
      <c r="QWB1720" s="227"/>
      <c r="QWC1720" s="227"/>
      <c r="QWD1720" s="227"/>
      <c r="QWE1720" s="227"/>
      <c r="QWF1720" s="227"/>
      <c r="QWG1720" s="227"/>
      <c r="QWH1720" s="227"/>
      <c r="QWI1720" s="227"/>
      <c r="QWJ1720" s="227"/>
      <c r="QWK1720" s="227"/>
      <c r="QWL1720" s="227"/>
      <c r="QWM1720" s="227"/>
      <c r="QWN1720" s="227"/>
      <c r="QWO1720" s="227"/>
      <c r="QWP1720" s="227"/>
      <c r="QWQ1720" s="227"/>
      <c r="QWR1720" s="227"/>
      <c r="QWS1720" s="227"/>
      <c r="QWT1720" s="227"/>
      <c r="QWU1720" s="227"/>
      <c r="QWV1720" s="227"/>
      <c r="QWW1720" s="227"/>
      <c r="QWX1720" s="227"/>
      <c r="QWY1720" s="227"/>
      <c r="QWZ1720" s="227"/>
      <c r="QXA1720" s="227"/>
      <c r="QXB1720" s="227"/>
      <c r="QXC1720" s="227"/>
      <c r="QXD1720" s="227"/>
      <c r="QXE1720" s="227"/>
      <c r="QXF1720" s="227"/>
      <c r="QXG1720" s="227"/>
      <c r="QXH1720" s="227"/>
      <c r="QXI1720" s="227"/>
      <c r="QXJ1720" s="227"/>
      <c r="QXK1720" s="227"/>
      <c r="QXL1720" s="227"/>
      <c r="QXM1720" s="227"/>
      <c r="QXN1720" s="227"/>
      <c r="QXO1720" s="227"/>
      <c r="QXP1720" s="227"/>
      <c r="QXQ1720" s="227"/>
      <c r="QXR1720" s="227"/>
      <c r="QXS1720" s="227"/>
      <c r="QXT1720" s="227"/>
      <c r="QXU1720" s="227"/>
      <c r="QXV1720" s="227"/>
      <c r="QXW1720" s="227"/>
      <c r="QXX1720" s="227"/>
      <c r="QXY1720" s="227"/>
      <c r="QXZ1720" s="227"/>
      <c r="QYA1720" s="227"/>
      <c r="QYB1720" s="227"/>
      <c r="QYC1720" s="227"/>
      <c r="QYD1720" s="227"/>
      <c r="QYE1720" s="227"/>
      <c r="QYF1720" s="227"/>
      <c r="QYG1720" s="227"/>
      <c r="QYH1720" s="227"/>
      <c r="QYI1720" s="227"/>
      <c r="QYJ1720" s="227"/>
      <c r="QYK1720" s="227"/>
      <c r="QYL1720" s="227"/>
      <c r="QYM1720" s="227"/>
      <c r="QYN1720" s="227"/>
      <c r="QYO1720" s="227"/>
      <c r="QYP1720" s="227"/>
      <c r="QYQ1720" s="227"/>
      <c r="QYR1720" s="227"/>
      <c r="QYS1720" s="227"/>
      <c r="QYT1720" s="227"/>
      <c r="QYU1720" s="227"/>
      <c r="QYV1720" s="227"/>
      <c r="QYW1720" s="227"/>
      <c r="QYX1720" s="227"/>
      <c r="QYY1720" s="227"/>
      <c r="QYZ1720" s="227"/>
      <c r="QZA1720" s="227"/>
      <c r="QZB1720" s="227"/>
      <c r="QZC1720" s="227"/>
      <c r="QZD1720" s="227"/>
      <c r="QZE1720" s="227"/>
      <c r="QZF1720" s="227"/>
      <c r="QZG1720" s="227"/>
      <c r="QZH1720" s="227"/>
      <c r="QZI1720" s="227"/>
      <c r="QZJ1720" s="227"/>
      <c r="QZK1720" s="227"/>
      <c r="QZL1720" s="227"/>
      <c r="QZM1720" s="227"/>
      <c r="QZN1720" s="227"/>
      <c r="QZO1720" s="227"/>
      <c r="QZP1720" s="227"/>
      <c r="QZQ1720" s="227"/>
      <c r="QZR1720" s="227"/>
      <c r="QZS1720" s="227"/>
      <c r="QZT1720" s="227"/>
      <c r="QZU1720" s="227"/>
      <c r="QZV1720" s="227"/>
      <c r="QZW1720" s="227"/>
      <c r="QZX1720" s="227"/>
      <c r="QZY1720" s="227"/>
      <c r="QZZ1720" s="227"/>
      <c r="RAA1720" s="227"/>
      <c r="RAB1720" s="227"/>
      <c r="RAC1720" s="227"/>
      <c r="RAD1720" s="227"/>
      <c r="RAE1720" s="227"/>
      <c r="RAF1720" s="227"/>
      <c r="RAG1720" s="227"/>
      <c r="RAH1720" s="227"/>
      <c r="RAI1720" s="227"/>
      <c r="RAJ1720" s="227"/>
      <c r="RAK1720" s="227"/>
      <c r="RAL1720" s="227"/>
      <c r="RAM1720" s="227"/>
      <c r="RAN1720" s="227"/>
      <c r="RAO1720" s="227"/>
      <c r="RAP1720" s="227"/>
      <c r="RAQ1720" s="227"/>
      <c r="RAR1720" s="227"/>
      <c r="RAS1720" s="227"/>
      <c r="RAT1720" s="227"/>
      <c r="RAU1720" s="227"/>
      <c r="RAV1720" s="227"/>
      <c r="RAW1720" s="227"/>
      <c r="RAX1720" s="227"/>
      <c r="RAY1720" s="227"/>
      <c r="RAZ1720" s="227"/>
      <c r="RBA1720" s="227"/>
      <c r="RBB1720" s="227"/>
      <c r="RBC1720" s="227"/>
      <c r="RBD1720" s="227"/>
      <c r="RBE1720" s="227"/>
      <c r="RBF1720" s="227"/>
      <c r="RBG1720" s="227"/>
      <c r="RBH1720" s="227"/>
      <c r="RBI1720" s="227"/>
      <c r="RBJ1720" s="227"/>
      <c r="RBK1720" s="227"/>
      <c r="RBL1720" s="227"/>
      <c r="RBM1720" s="227"/>
      <c r="RBN1720" s="227"/>
      <c r="RBO1720" s="227"/>
      <c r="RBP1720" s="227"/>
      <c r="RBQ1720" s="227"/>
      <c r="RBR1720" s="227"/>
      <c r="RBS1720" s="227"/>
      <c r="RBT1720" s="227"/>
      <c r="RBU1720" s="227"/>
      <c r="RBV1720" s="227"/>
      <c r="RBW1720" s="227"/>
      <c r="RBX1720" s="227"/>
      <c r="RBY1720" s="227"/>
      <c r="RBZ1720" s="227"/>
      <c r="RCA1720" s="227"/>
      <c r="RCB1720" s="227"/>
      <c r="RCC1720" s="227"/>
      <c r="RCD1720" s="227"/>
      <c r="RCE1720" s="227"/>
      <c r="RCF1720" s="227"/>
      <c r="RCG1720" s="227"/>
      <c r="RCH1720" s="227"/>
      <c r="RCI1720" s="227"/>
      <c r="RCJ1720" s="227"/>
      <c r="RCK1720" s="227"/>
      <c r="RCL1720" s="227"/>
      <c r="RCM1720" s="227"/>
      <c r="RCN1720" s="227"/>
      <c r="RCO1720" s="227"/>
      <c r="RCP1720" s="227"/>
      <c r="RCQ1720" s="227"/>
      <c r="RCR1720" s="227"/>
      <c r="RCS1720" s="227"/>
      <c r="RCT1720" s="227"/>
      <c r="RCU1720" s="227"/>
      <c r="RCV1720" s="227"/>
      <c r="RCW1720" s="227"/>
      <c r="RCX1720" s="227"/>
      <c r="RCY1720" s="227"/>
      <c r="RCZ1720" s="227"/>
      <c r="RDA1720" s="227"/>
      <c r="RDB1720" s="227"/>
      <c r="RDC1720" s="227"/>
      <c r="RDD1720" s="227"/>
      <c r="RDE1720" s="227"/>
      <c r="RDF1720" s="227"/>
      <c r="RDG1720" s="227"/>
      <c r="RDH1720" s="227"/>
      <c r="RDI1720" s="227"/>
      <c r="RDJ1720" s="227"/>
      <c r="RDK1720" s="227"/>
      <c r="RDL1720" s="227"/>
      <c r="RDM1720" s="227"/>
      <c r="RDN1720" s="227"/>
      <c r="RDO1720" s="227"/>
      <c r="RDP1720" s="227"/>
      <c r="RDQ1720" s="227"/>
      <c r="RDR1720" s="227"/>
      <c r="RDS1720" s="227"/>
      <c r="RDT1720" s="227"/>
      <c r="RDU1720" s="227"/>
      <c r="RDV1720" s="227"/>
      <c r="RDW1720" s="227"/>
      <c r="RDX1720" s="227"/>
      <c r="RDY1720" s="227"/>
      <c r="RDZ1720" s="227"/>
      <c r="REA1720" s="227"/>
      <c r="REB1720" s="227"/>
      <c r="REC1720" s="227"/>
      <c r="RED1720" s="227"/>
      <c r="REE1720" s="227"/>
      <c r="REF1720" s="227"/>
      <c r="REG1720" s="227"/>
      <c r="REH1720" s="227"/>
      <c r="REI1720" s="227"/>
      <c r="REJ1720" s="227"/>
      <c r="REK1720" s="227"/>
      <c r="REL1720" s="227"/>
      <c r="REM1720" s="227"/>
      <c r="REN1720" s="227"/>
      <c r="REO1720" s="227"/>
      <c r="REP1720" s="227"/>
      <c r="REQ1720" s="227"/>
      <c r="RER1720" s="227"/>
      <c r="RES1720" s="227"/>
      <c r="RET1720" s="227"/>
      <c r="REU1720" s="227"/>
      <c r="REV1720" s="227"/>
      <c r="REW1720" s="227"/>
      <c r="REX1720" s="227"/>
      <c r="REY1720" s="227"/>
      <c r="REZ1720" s="227"/>
      <c r="RFA1720" s="227"/>
      <c r="RFB1720" s="227"/>
      <c r="RFC1720" s="227"/>
      <c r="RFD1720" s="227"/>
      <c r="RFE1720" s="227"/>
      <c r="RFF1720" s="227"/>
      <c r="RFG1720" s="227"/>
      <c r="RFH1720" s="227"/>
      <c r="RFI1720" s="227"/>
      <c r="RFJ1720" s="227"/>
      <c r="RFK1720" s="227"/>
      <c r="RFL1720" s="227"/>
      <c r="RFM1720" s="227"/>
      <c r="RFN1720" s="227"/>
      <c r="RFO1720" s="227"/>
      <c r="RFP1720" s="227"/>
      <c r="RFQ1720" s="227"/>
      <c r="RFR1720" s="227"/>
      <c r="RFS1720" s="227"/>
      <c r="RFT1720" s="227"/>
      <c r="RFU1720" s="227"/>
      <c r="RFV1720" s="227"/>
      <c r="RFW1720" s="227"/>
      <c r="RFX1720" s="227"/>
      <c r="RFY1720" s="227"/>
      <c r="RFZ1720" s="227"/>
      <c r="RGA1720" s="227"/>
      <c r="RGB1720" s="227"/>
      <c r="RGC1720" s="227"/>
      <c r="RGD1720" s="227"/>
      <c r="RGE1720" s="227"/>
      <c r="RGF1720" s="227"/>
      <c r="RGG1720" s="227"/>
      <c r="RGH1720" s="227"/>
      <c r="RGI1720" s="227"/>
      <c r="RGJ1720" s="227"/>
      <c r="RGK1720" s="227"/>
      <c r="RGL1720" s="227"/>
      <c r="RGM1720" s="227"/>
      <c r="RGN1720" s="227"/>
      <c r="RGO1720" s="227"/>
      <c r="RGP1720" s="227"/>
      <c r="RGQ1720" s="227"/>
      <c r="RGR1720" s="227"/>
      <c r="RGS1720" s="227"/>
      <c r="RGT1720" s="227"/>
      <c r="RGU1720" s="227"/>
      <c r="RGV1720" s="227"/>
      <c r="RGW1720" s="227"/>
      <c r="RGX1720" s="227"/>
      <c r="RGY1720" s="227"/>
      <c r="RGZ1720" s="227"/>
      <c r="RHA1720" s="227"/>
      <c r="RHB1720" s="227"/>
      <c r="RHC1720" s="227"/>
      <c r="RHD1720" s="227"/>
      <c r="RHE1720" s="227"/>
      <c r="RHF1720" s="227"/>
      <c r="RHG1720" s="227"/>
      <c r="RHH1720" s="227"/>
      <c r="RHI1720" s="227"/>
      <c r="RHJ1720" s="227"/>
      <c r="RHK1720" s="227"/>
      <c r="RHL1720" s="227"/>
      <c r="RHM1720" s="227"/>
      <c r="RHN1720" s="227"/>
      <c r="RHO1720" s="227"/>
      <c r="RHP1720" s="227"/>
      <c r="RHQ1720" s="227"/>
      <c r="RHR1720" s="227"/>
      <c r="RHS1720" s="227"/>
      <c r="RHT1720" s="227"/>
      <c r="RHU1720" s="227"/>
      <c r="RHV1720" s="227"/>
      <c r="RHW1720" s="227"/>
      <c r="RHX1720" s="227"/>
      <c r="RHY1720" s="227"/>
      <c r="RHZ1720" s="227"/>
      <c r="RIA1720" s="227"/>
      <c r="RIB1720" s="227"/>
      <c r="RIC1720" s="227"/>
      <c r="RID1720" s="227"/>
      <c r="RIE1720" s="227"/>
      <c r="RIF1720" s="227"/>
      <c r="RIG1720" s="227"/>
      <c r="RIH1720" s="227"/>
      <c r="RII1720" s="227"/>
      <c r="RIJ1720" s="227"/>
      <c r="RIK1720" s="227"/>
      <c r="RIL1720" s="227"/>
      <c r="RIM1720" s="227"/>
      <c r="RIN1720" s="227"/>
      <c r="RIO1720" s="227"/>
      <c r="RIP1720" s="227"/>
      <c r="RIQ1720" s="227"/>
      <c r="RIR1720" s="227"/>
      <c r="RIS1720" s="227"/>
      <c r="RIT1720" s="227"/>
      <c r="RIU1720" s="227"/>
      <c r="RIV1720" s="227"/>
      <c r="RIW1720" s="227"/>
      <c r="RIX1720" s="227"/>
      <c r="RIY1720" s="227"/>
      <c r="RIZ1720" s="227"/>
      <c r="RJA1720" s="227"/>
      <c r="RJB1720" s="227"/>
      <c r="RJC1720" s="227"/>
      <c r="RJD1720" s="227"/>
      <c r="RJE1720" s="227"/>
      <c r="RJF1720" s="227"/>
      <c r="RJG1720" s="227"/>
      <c r="RJH1720" s="227"/>
      <c r="RJI1720" s="227"/>
      <c r="RJJ1720" s="227"/>
      <c r="RJK1720" s="227"/>
      <c r="RJL1720" s="227"/>
      <c r="RJM1720" s="227"/>
      <c r="RJN1720" s="227"/>
      <c r="RJO1720" s="227"/>
      <c r="RJP1720" s="227"/>
      <c r="RJQ1720" s="227"/>
      <c r="RJR1720" s="227"/>
      <c r="RJS1720" s="227"/>
      <c r="RJT1720" s="227"/>
      <c r="RJU1720" s="227"/>
      <c r="RJV1720" s="227"/>
      <c r="RJW1720" s="227"/>
      <c r="RJX1720" s="227"/>
      <c r="RJY1720" s="227"/>
      <c r="RJZ1720" s="227"/>
      <c r="RKA1720" s="227"/>
      <c r="RKB1720" s="227"/>
      <c r="RKC1720" s="227"/>
      <c r="RKD1720" s="227"/>
      <c r="RKE1720" s="227"/>
      <c r="RKF1720" s="227"/>
      <c r="RKG1720" s="227"/>
      <c r="RKH1720" s="227"/>
      <c r="RKI1720" s="227"/>
      <c r="RKJ1720" s="227"/>
      <c r="RKK1720" s="227"/>
      <c r="RKL1720" s="227"/>
      <c r="RKM1720" s="227"/>
      <c r="RKN1720" s="227"/>
      <c r="RKO1720" s="227"/>
      <c r="RKP1720" s="227"/>
      <c r="RKQ1720" s="227"/>
      <c r="RKR1720" s="227"/>
      <c r="RKS1720" s="227"/>
      <c r="RKT1720" s="227"/>
      <c r="RKU1720" s="227"/>
      <c r="RKV1720" s="227"/>
      <c r="RKW1720" s="227"/>
      <c r="RKX1720" s="227"/>
      <c r="RKY1720" s="227"/>
      <c r="RKZ1720" s="227"/>
      <c r="RLA1720" s="227"/>
      <c r="RLB1720" s="227"/>
      <c r="RLC1720" s="227"/>
      <c r="RLD1720" s="227"/>
      <c r="RLE1720" s="227"/>
      <c r="RLF1720" s="227"/>
      <c r="RLG1720" s="227"/>
      <c r="RLH1720" s="227"/>
      <c r="RLI1720" s="227"/>
      <c r="RLJ1720" s="227"/>
      <c r="RLK1720" s="227"/>
      <c r="RLL1720" s="227"/>
      <c r="RLM1720" s="227"/>
      <c r="RLN1720" s="227"/>
      <c r="RLO1720" s="227"/>
      <c r="RLP1720" s="227"/>
      <c r="RLQ1720" s="227"/>
      <c r="RLR1720" s="227"/>
      <c r="RLS1720" s="227"/>
      <c r="RLT1720" s="227"/>
      <c r="RLU1720" s="227"/>
      <c r="RLV1720" s="227"/>
      <c r="RLW1720" s="227"/>
      <c r="RLX1720" s="227"/>
      <c r="RLY1720" s="227"/>
      <c r="RLZ1720" s="227"/>
      <c r="RMA1720" s="227"/>
      <c r="RMB1720" s="227"/>
      <c r="RMC1720" s="227"/>
      <c r="RMD1720" s="227"/>
      <c r="RME1720" s="227"/>
      <c r="RMF1720" s="227"/>
      <c r="RMG1720" s="227"/>
      <c r="RMH1720" s="227"/>
      <c r="RMI1720" s="227"/>
      <c r="RMJ1720" s="227"/>
      <c r="RMK1720" s="227"/>
      <c r="RML1720" s="227"/>
      <c r="RMM1720" s="227"/>
      <c r="RMN1720" s="227"/>
      <c r="RMO1720" s="227"/>
      <c r="RMP1720" s="227"/>
      <c r="RMQ1720" s="227"/>
      <c r="RMR1720" s="227"/>
      <c r="RMS1720" s="227"/>
      <c r="RMT1720" s="227"/>
      <c r="RMU1720" s="227"/>
      <c r="RMV1720" s="227"/>
      <c r="RMW1720" s="227"/>
      <c r="RMX1720" s="227"/>
      <c r="RMY1720" s="227"/>
      <c r="RMZ1720" s="227"/>
      <c r="RNA1720" s="227"/>
      <c r="RNB1720" s="227"/>
      <c r="RNC1720" s="227"/>
      <c r="RND1720" s="227"/>
      <c r="RNE1720" s="227"/>
      <c r="RNF1720" s="227"/>
      <c r="RNG1720" s="227"/>
      <c r="RNH1720" s="227"/>
      <c r="RNI1720" s="227"/>
      <c r="RNJ1720" s="227"/>
      <c r="RNK1720" s="227"/>
      <c r="RNL1720" s="227"/>
      <c r="RNM1720" s="227"/>
      <c r="RNN1720" s="227"/>
      <c r="RNO1720" s="227"/>
      <c r="RNP1720" s="227"/>
      <c r="RNQ1720" s="227"/>
      <c r="RNR1720" s="227"/>
      <c r="RNS1720" s="227"/>
      <c r="RNT1720" s="227"/>
      <c r="RNU1720" s="227"/>
      <c r="RNV1720" s="227"/>
      <c r="RNW1720" s="227"/>
      <c r="RNX1720" s="227"/>
      <c r="RNY1720" s="227"/>
      <c r="RNZ1720" s="227"/>
      <c r="ROA1720" s="227"/>
      <c r="ROB1720" s="227"/>
      <c r="ROC1720" s="227"/>
      <c r="ROD1720" s="227"/>
      <c r="ROE1720" s="227"/>
      <c r="ROF1720" s="227"/>
      <c r="ROG1720" s="227"/>
      <c r="ROH1720" s="227"/>
      <c r="ROI1720" s="227"/>
      <c r="ROJ1720" s="227"/>
      <c r="ROK1720" s="227"/>
      <c r="ROL1720" s="227"/>
      <c r="ROM1720" s="227"/>
      <c r="RON1720" s="227"/>
      <c r="ROO1720" s="227"/>
      <c r="ROP1720" s="227"/>
      <c r="ROQ1720" s="227"/>
      <c r="ROR1720" s="227"/>
      <c r="ROS1720" s="227"/>
      <c r="ROT1720" s="227"/>
      <c r="ROU1720" s="227"/>
      <c r="ROV1720" s="227"/>
      <c r="ROW1720" s="227"/>
      <c r="ROX1720" s="227"/>
      <c r="ROY1720" s="227"/>
      <c r="ROZ1720" s="227"/>
      <c r="RPA1720" s="227"/>
      <c r="RPB1720" s="227"/>
      <c r="RPC1720" s="227"/>
      <c r="RPD1720" s="227"/>
      <c r="RPE1720" s="227"/>
      <c r="RPF1720" s="227"/>
      <c r="RPG1720" s="227"/>
      <c r="RPH1720" s="227"/>
      <c r="RPI1720" s="227"/>
      <c r="RPJ1720" s="227"/>
      <c r="RPK1720" s="227"/>
      <c r="RPL1720" s="227"/>
      <c r="RPM1720" s="227"/>
      <c r="RPN1720" s="227"/>
      <c r="RPO1720" s="227"/>
      <c r="RPP1720" s="227"/>
      <c r="RPQ1720" s="227"/>
      <c r="RPR1720" s="227"/>
      <c r="RPS1720" s="227"/>
      <c r="RPT1720" s="227"/>
      <c r="RPU1720" s="227"/>
      <c r="RPV1720" s="227"/>
      <c r="RPW1720" s="227"/>
      <c r="RPX1720" s="227"/>
      <c r="RPY1720" s="227"/>
      <c r="RPZ1720" s="227"/>
      <c r="RQA1720" s="227"/>
      <c r="RQB1720" s="227"/>
      <c r="RQC1720" s="227"/>
      <c r="RQD1720" s="227"/>
      <c r="RQE1720" s="227"/>
      <c r="RQF1720" s="227"/>
      <c r="RQG1720" s="227"/>
      <c r="RQH1720" s="227"/>
      <c r="RQI1720" s="227"/>
      <c r="RQJ1720" s="227"/>
      <c r="RQK1720" s="227"/>
      <c r="RQL1720" s="227"/>
      <c r="RQM1720" s="227"/>
      <c r="RQN1720" s="227"/>
      <c r="RQO1720" s="227"/>
      <c r="RQP1720" s="227"/>
      <c r="RQQ1720" s="227"/>
      <c r="RQR1720" s="227"/>
      <c r="RQS1720" s="227"/>
      <c r="RQT1720" s="227"/>
      <c r="RQU1720" s="227"/>
      <c r="RQV1720" s="227"/>
      <c r="RQW1720" s="227"/>
      <c r="RQX1720" s="227"/>
      <c r="RQY1720" s="227"/>
      <c r="RQZ1720" s="227"/>
      <c r="RRA1720" s="227"/>
      <c r="RRB1720" s="227"/>
      <c r="RRC1720" s="227"/>
      <c r="RRD1720" s="227"/>
      <c r="RRE1720" s="227"/>
      <c r="RRF1720" s="227"/>
      <c r="RRG1720" s="227"/>
      <c r="RRH1720" s="227"/>
      <c r="RRI1720" s="227"/>
      <c r="RRJ1720" s="227"/>
      <c r="RRK1720" s="227"/>
      <c r="RRL1720" s="227"/>
      <c r="RRM1720" s="227"/>
      <c r="RRN1720" s="227"/>
      <c r="RRO1720" s="227"/>
      <c r="RRP1720" s="227"/>
      <c r="RRQ1720" s="227"/>
      <c r="RRR1720" s="227"/>
      <c r="RRS1720" s="227"/>
      <c r="RRT1720" s="227"/>
      <c r="RRU1720" s="227"/>
      <c r="RRV1720" s="227"/>
      <c r="RRW1720" s="227"/>
      <c r="RRX1720" s="227"/>
      <c r="RRY1720" s="227"/>
      <c r="RRZ1720" s="227"/>
      <c r="RSA1720" s="227"/>
      <c r="RSB1720" s="227"/>
      <c r="RSC1720" s="227"/>
      <c r="RSD1720" s="227"/>
      <c r="RSE1720" s="227"/>
      <c r="RSF1720" s="227"/>
      <c r="RSG1720" s="227"/>
      <c r="RSH1720" s="227"/>
      <c r="RSI1720" s="227"/>
      <c r="RSJ1720" s="227"/>
      <c r="RSK1720" s="227"/>
      <c r="RSL1720" s="227"/>
      <c r="RSM1720" s="227"/>
      <c r="RSN1720" s="227"/>
      <c r="RSO1720" s="227"/>
      <c r="RSP1720" s="227"/>
      <c r="RSQ1720" s="227"/>
      <c r="RSR1720" s="227"/>
      <c r="RSS1720" s="227"/>
      <c r="RST1720" s="227"/>
      <c r="RSU1720" s="227"/>
      <c r="RSV1720" s="227"/>
      <c r="RSW1720" s="227"/>
      <c r="RSX1720" s="227"/>
      <c r="RSY1720" s="227"/>
      <c r="RSZ1720" s="227"/>
      <c r="RTA1720" s="227"/>
      <c r="RTB1720" s="227"/>
      <c r="RTC1720" s="227"/>
      <c r="RTD1720" s="227"/>
      <c r="RTE1720" s="227"/>
      <c r="RTF1720" s="227"/>
      <c r="RTG1720" s="227"/>
      <c r="RTH1720" s="227"/>
      <c r="RTI1720" s="227"/>
      <c r="RTJ1720" s="227"/>
      <c r="RTK1720" s="227"/>
      <c r="RTL1720" s="227"/>
      <c r="RTM1720" s="227"/>
      <c r="RTN1720" s="227"/>
      <c r="RTO1720" s="227"/>
      <c r="RTP1720" s="227"/>
      <c r="RTQ1720" s="227"/>
      <c r="RTR1720" s="227"/>
      <c r="RTS1720" s="227"/>
      <c r="RTT1720" s="227"/>
      <c r="RTU1720" s="227"/>
      <c r="RTV1720" s="227"/>
      <c r="RTW1720" s="227"/>
      <c r="RTX1720" s="227"/>
      <c r="RTY1720" s="227"/>
      <c r="RTZ1720" s="227"/>
      <c r="RUA1720" s="227"/>
      <c r="RUB1720" s="227"/>
      <c r="RUC1720" s="227"/>
      <c r="RUD1720" s="227"/>
      <c r="RUE1720" s="227"/>
      <c r="RUF1720" s="227"/>
      <c r="RUG1720" s="227"/>
      <c r="RUH1720" s="227"/>
      <c r="RUI1720" s="227"/>
      <c r="RUJ1720" s="227"/>
      <c r="RUK1720" s="227"/>
      <c r="RUL1720" s="227"/>
      <c r="RUM1720" s="227"/>
      <c r="RUN1720" s="227"/>
      <c r="RUO1720" s="227"/>
      <c r="RUP1720" s="227"/>
      <c r="RUQ1720" s="227"/>
      <c r="RUR1720" s="227"/>
      <c r="RUS1720" s="227"/>
      <c r="RUT1720" s="227"/>
      <c r="RUU1720" s="227"/>
      <c r="RUV1720" s="227"/>
      <c r="RUW1720" s="227"/>
      <c r="RUX1720" s="227"/>
      <c r="RUY1720" s="227"/>
      <c r="RUZ1720" s="227"/>
      <c r="RVA1720" s="227"/>
      <c r="RVB1720" s="227"/>
      <c r="RVC1720" s="227"/>
      <c r="RVD1720" s="227"/>
      <c r="RVE1720" s="227"/>
      <c r="RVF1720" s="227"/>
      <c r="RVG1720" s="227"/>
      <c r="RVH1720" s="227"/>
      <c r="RVI1720" s="227"/>
      <c r="RVJ1720" s="227"/>
      <c r="RVK1720" s="227"/>
      <c r="RVL1720" s="227"/>
      <c r="RVM1720" s="227"/>
      <c r="RVN1720" s="227"/>
      <c r="RVO1720" s="227"/>
      <c r="RVP1720" s="227"/>
      <c r="RVQ1720" s="227"/>
      <c r="RVR1720" s="227"/>
      <c r="RVS1720" s="227"/>
      <c r="RVT1720" s="227"/>
      <c r="RVU1720" s="227"/>
      <c r="RVV1720" s="227"/>
      <c r="RVW1720" s="227"/>
      <c r="RVX1720" s="227"/>
      <c r="RVY1720" s="227"/>
      <c r="RVZ1720" s="227"/>
      <c r="RWA1720" s="227"/>
      <c r="RWB1720" s="227"/>
      <c r="RWC1720" s="227"/>
      <c r="RWD1720" s="227"/>
      <c r="RWE1720" s="227"/>
      <c r="RWF1720" s="227"/>
      <c r="RWG1720" s="227"/>
      <c r="RWH1720" s="227"/>
      <c r="RWI1720" s="227"/>
      <c r="RWJ1720" s="227"/>
      <c r="RWK1720" s="227"/>
      <c r="RWL1720" s="227"/>
      <c r="RWM1720" s="227"/>
      <c r="RWN1720" s="227"/>
      <c r="RWO1720" s="227"/>
      <c r="RWP1720" s="227"/>
      <c r="RWQ1720" s="227"/>
      <c r="RWR1720" s="227"/>
      <c r="RWS1720" s="227"/>
      <c r="RWT1720" s="227"/>
      <c r="RWU1720" s="227"/>
      <c r="RWV1720" s="227"/>
      <c r="RWW1720" s="227"/>
      <c r="RWX1720" s="227"/>
      <c r="RWY1720" s="227"/>
      <c r="RWZ1720" s="227"/>
      <c r="RXA1720" s="227"/>
      <c r="RXB1720" s="227"/>
      <c r="RXC1720" s="227"/>
      <c r="RXD1720" s="227"/>
      <c r="RXE1720" s="227"/>
      <c r="RXF1720" s="227"/>
      <c r="RXG1720" s="227"/>
      <c r="RXH1720" s="227"/>
      <c r="RXI1720" s="227"/>
      <c r="RXJ1720" s="227"/>
      <c r="RXK1720" s="227"/>
      <c r="RXL1720" s="227"/>
      <c r="RXM1720" s="227"/>
      <c r="RXN1720" s="227"/>
      <c r="RXO1720" s="227"/>
      <c r="RXP1720" s="227"/>
      <c r="RXQ1720" s="227"/>
      <c r="RXR1720" s="227"/>
      <c r="RXS1720" s="227"/>
      <c r="RXT1720" s="227"/>
      <c r="RXU1720" s="227"/>
      <c r="RXV1720" s="227"/>
      <c r="RXW1720" s="227"/>
      <c r="RXX1720" s="227"/>
      <c r="RXY1720" s="227"/>
      <c r="RXZ1720" s="227"/>
      <c r="RYA1720" s="227"/>
      <c r="RYB1720" s="227"/>
      <c r="RYC1720" s="227"/>
      <c r="RYD1720" s="227"/>
      <c r="RYE1720" s="227"/>
      <c r="RYF1720" s="227"/>
      <c r="RYG1720" s="227"/>
      <c r="RYH1720" s="227"/>
      <c r="RYI1720" s="227"/>
      <c r="RYJ1720" s="227"/>
      <c r="RYK1720" s="227"/>
      <c r="RYL1720" s="227"/>
      <c r="RYM1720" s="227"/>
      <c r="RYN1720" s="227"/>
      <c r="RYO1720" s="227"/>
      <c r="RYP1720" s="227"/>
      <c r="RYQ1720" s="227"/>
      <c r="RYR1720" s="227"/>
      <c r="RYS1720" s="227"/>
      <c r="RYT1720" s="227"/>
      <c r="RYU1720" s="227"/>
      <c r="RYV1720" s="227"/>
      <c r="RYW1720" s="227"/>
      <c r="RYX1720" s="227"/>
      <c r="RYY1720" s="227"/>
      <c r="RYZ1720" s="227"/>
      <c r="RZA1720" s="227"/>
      <c r="RZB1720" s="227"/>
      <c r="RZC1720" s="227"/>
      <c r="RZD1720" s="227"/>
      <c r="RZE1720" s="227"/>
      <c r="RZF1720" s="227"/>
      <c r="RZG1720" s="227"/>
      <c r="RZH1720" s="227"/>
      <c r="RZI1720" s="227"/>
      <c r="RZJ1720" s="227"/>
      <c r="RZK1720" s="227"/>
      <c r="RZL1720" s="227"/>
      <c r="RZM1720" s="227"/>
      <c r="RZN1720" s="227"/>
      <c r="RZO1720" s="227"/>
      <c r="RZP1720" s="227"/>
      <c r="RZQ1720" s="227"/>
      <c r="RZR1720" s="227"/>
      <c r="RZS1720" s="227"/>
      <c r="RZT1720" s="227"/>
      <c r="RZU1720" s="227"/>
      <c r="RZV1720" s="227"/>
      <c r="RZW1720" s="227"/>
      <c r="RZX1720" s="227"/>
      <c r="RZY1720" s="227"/>
      <c r="RZZ1720" s="227"/>
      <c r="SAA1720" s="227"/>
      <c r="SAB1720" s="227"/>
      <c r="SAC1720" s="227"/>
      <c r="SAD1720" s="227"/>
      <c r="SAE1720" s="227"/>
      <c r="SAF1720" s="227"/>
      <c r="SAG1720" s="227"/>
      <c r="SAH1720" s="227"/>
      <c r="SAI1720" s="227"/>
      <c r="SAJ1720" s="227"/>
      <c r="SAK1720" s="227"/>
      <c r="SAL1720" s="227"/>
      <c r="SAM1720" s="227"/>
      <c r="SAN1720" s="227"/>
      <c r="SAO1720" s="227"/>
      <c r="SAP1720" s="227"/>
      <c r="SAQ1720" s="227"/>
      <c r="SAR1720" s="227"/>
      <c r="SAS1720" s="227"/>
      <c r="SAT1720" s="227"/>
      <c r="SAU1720" s="227"/>
      <c r="SAV1720" s="227"/>
      <c r="SAW1720" s="227"/>
      <c r="SAX1720" s="227"/>
      <c r="SAY1720" s="227"/>
      <c r="SAZ1720" s="227"/>
      <c r="SBA1720" s="227"/>
      <c r="SBB1720" s="227"/>
      <c r="SBC1720" s="227"/>
      <c r="SBD1720" s="227"/>
      <c r="SBE1720" s="227"/>
      <c r="SBF1720" s="227"/>
      <c r="SBG1720" s="227"/>
      <c r="SBH1720" s="227"/>
      <c r="SBI1720" s="227"/>
      <c r="SBJ1720" s="227"/>
      <c r="SBK1720" s="227"/>
      <c r="SBL1720" s="227"/>
      <c r="SBM1720" s="227"/>
      <c r="SBN1720" s="227"/>
      <c r="SBO1720" s="227"/>
      <c r="SBP1720" s="227"/>
      <c r="SBQ1720" s="227"/>
      <c r="SBR1720" s="227"/>
      <c r="SBS1720" s="227"/>
      <c r="SBT1720" s="227"/>
      <c r="SBU1720" s="227"/>
      <c r="SBV1720" s="227"/>
      <c r="SBW1720" s="227"/>
      <c r="SBX1720" s="227"/>
      <c r="SBY1720" s="227"/>
      <c r="SBZ1720" s="227"/>
      <c r="SCA1720" s="227"/>
      <c r="SCB1720" s="227"/>
      <c r="SCC1720" s="227"/>
      <c r="SCD1720" s="227"/>
      <c r="SCE1720" s="227"/>
      <c r="SCF1720" s="227"/>
      <c r="SCG1720" s="227"/>
      <c r="SCH1720" s="227"/>
      <c r="SCI1720" s="227"/>
      <c r="SCJ1720" s="227"/>
      <c r="SCK1720" s="227"/>
      <c r="SCL1720" s="227"/>
      <c r="SCM1720" s="227"/>
      <c r="SCN1720" s="227"/>
      <c r="SCO1720" s="227"/>
      <c r="SCP1720" s="227"/>
      <c r="SCQ1720" s="227"/>
      <c r="SCR1720" s="227"/>
      <c r="SCS1720" s="227"/>
      <c r="SCT1720" s="227"/>
      <c r="SCU1720" s="227"/>
      <c r="SCV1720" s="227"/>
      <c r="SCW1720" s="227"/>
      <c r="SCX1720" s="227"/>
      <c r="SCY1720" s="227"/>
      <c r="SCZ1720" s="227"/>
      <c r="SDA1720" s="227"/>
      <c r="SDB1720" s="227"/>
      <c r="SDC1720" s="227"/>
      <c r="SDD1720" s="227"/>
      <c r="SDE1720" s="227"/>
      <c r="SDF1720" s="227"/>
      <c r="SDG1720" s="227"/>
      <c r="SDH1720" s="227"/>
      <c r="SDI1720" s="227"/>
      <c r="SDJ1720" s="227"/>
      <c r="SDK1720" s="227"/>
      <c r="SDL1720" s="227"/>
      <c r="SDM1720" s="227"/>
      <c r="SDN1720" s="227"/>
      <c r="SDO1720" s="227"/>
      <c r="SDP1720" s="227"/>
      <c r="SDQ1720" s="227"/>
      <c r="SDR1720" s="227"/>
      <c r="SDS1720" s="227"/>
      <c r="SDT1720" s="227"/>
      <c r="SDU1720" s="227"/>
      <c r="SDV1720" s="227"/>
      <c r="SDW1720" s="227"/>
      <c r="SDX1720" s="227"/>
      <c r="SDY1720" s="227"/>
      <c r="SDZ1720" s="227"/>
      <c r="SEA1720" s="227"/>
      <c r="SEB1720" s="227"/>
      <c r="SEC1720" s="227"/>
      <c r="SED1720" s="227"/>
      <c r="SEE1720" s="227"/>
      <c r="SEF1720" s="227"/>
      <c r="SEG1720" s="227"/>
      <c r="SEH1720" s="227"/>
      <c r="SEI1720" s="227"/>
      <c r="SEJ1720" s="227"/>
      <c r="SEK1720" s="227"/>
      <c r="SEL1720" s="227"/>
      <c r="SEM1720" s="227"/>
      <c r="SEN1720" s="227"/>
      <c r="SEO1720" s="227"/>
      <c r="SEP1720" s="227"/>
      <c r="SEQ1720" s="227"/>
      <c r="SER1720" s="227"/>
      <c r="SES1720" s="227"/>
      <c r="SET1720" s="227"/>
      <c r="SEU1720" s="227"/>
      <c r="SEV1720" s="227"/>
      <c r="SEW1720" s="227"/>
      <c r="SEX1720" s="227"/>
      <c r="SEY1720" s="227"/>
      <c r="SEZ1720" s="227"/>
      <c r="SFA1720" s="227"/>
      <c r="SFB1720" s="227"/>
      <c r="SFC1720" s="227"/>
      <c r="SFD1720" s="227"/>
      <c r="SFE1720" s="227"/>
      <c r="SFF1720" s="227"/>
      <c r="SFG1720" s="227"/>
      <c r="SFH1720" s="227"/>
      <c r="SFI1720" s="227"/>
      <c r="SFJ1720" s="227"/>
      <c r="SFK1720" s="227"/>
      <c r="SFL1720" s="227"/>
      <c r="SFM1720" s="227"/>
      <c r="SFN1720" s="227"/>
      <c r="SFO1720" s="227"/>
      <c r="SFP1720" s="227"/>
      <c r="SFQ1720" s="227"/>
      <c r="SFR1720" s="227"/>
      <c r="SFS1720" s="227"/>
      <c r="SFT1720" s="227"/>
      <c r="SFU1720" s="227"/>
      <c r="SFV1720" s="227"/>
      <c r="SFW1720" s="227"/>
      <c r="SFX1720" s="227"/>
      <c r="SFY1720" s="227"/>
      <c r="SFZ1720" s="227"/>
      <c r="SGA1720" s="227"/>
      <c r="SGB1720" s="227"/>
      <c r="SGC1720" s="227"/>
      <c r="SGD1720" s="227"/>
      <c r="SGE1720" s="227"/>
      <c r="SGF1720" s="227"/>
      <c r="SGG1720" s="227"/>
      <c r="SGH1720" s="227"/>
      <c r="SGI1720" s="227"/>
      <c r="SGJ1720" s="227"/>
      <c r="SGK1720" s="227"/>
      <c r="SGL1720" s="227"/>
      <c r="SGM1720" s="227"/>
      <c r="SGN1720" s="227"/>
      <c r="SGO1720" s="227"/>
      <c r="SGP1720" s="227"/>
      <c r="SGQ1720" s="227"/>
      <c r="SGR1720" s="227"/>
      <c r="SGS1720" s="227"/>
      <c r="SGT1720" s="227"/>
      <c r="SGU1720" s="227"/>
      <c r="SGV1720" s="227"/>
      <c r="SGW1720" s="227"/>
      <c r="SGX1720" s="227"/>
      <c r="SGY1720" s="227"/>
      <c r="SGZ1720" s="227"/>
      <c r="SHA1720" s="227"/>
      <c r="SHB1720" s="227"/>
      <c r="SHC1720" s="227"/>
      <c r="SHD1720" s="227"/>
      <c r="SHE1720" s="227"/>
      <c r="SHF1720" s="227"/>
      <c r="SHG1720" s="227"/>
      <c r="SHH1720" s="227"/>
      <c r="SHI1720" s="227"/>
      <c r="SHJ1720" s="227"/>
      <c r="SHK1720" s="227"/>
      <c r="SHL1720" s="227"/>
      <c r="SHM1720" s="227"/>
      <c r="SHN1720" s="227"/>
      <c r="SHO1720" s="227"/>
      <c r="SHP1720" s="227"/>
      <c r="SHQ1720" s="227"/>
      <c r="SHR1720" s="227"/>
      <c r="SHS1720" s="227"/>
      <c r="SHT1720" s="227"/>
      <c r="SHU1720" s="227"/>
      <c r="SHV1720" s="227"/>
      <c r="SHW1720" s="227"/>
      <c r="SHX1720" s="227"/>
      <c r="SHY1720" s="227"/>
      <c r="SHZ1720" s="227"/>
      <c r="SIA1720" s="227"/>
      <c r="SIB1720" s="227"/>
      <c r="SIC1720" s="227"/>
      <c r="SID1720" s="227"/>
      <c r="SIE1720" s="227"/>
      <c r="SIF1720" s="227"/>
      <c r="SIG1720" s="227"/>
      <c r="SIH1720" s="227"/>
      <c r="SII1720" s="227"/>
      <c r="SIJ1720" s="227"/>
      <c r="SIK1720" s="227"/>
      <c r="SIL1720" s="227"/>
      <c r="SIM1720" s="227"/>
      <c r="SIN1720" s="227"/>
      <c r="SIO1720" s="227"/>
      <c r="SIP1720" s="227"/>
      <c r="SIQ1720" s="227"/>
      <c r="SIR1720" s="227"/>
      <c r="SIS1720" s="227"/>
      <c r="SIT1720" s="227"/>
      <c r="SIU1720" s="227"/>
      <c r="SIV1720" s="227"/>
      <c r="SIW1720" s="227"/>
      <c r="SIX1720" s="227"/>
      <c r="SIY1720" s="227"/>
      <c r="SIZ1720" s="227"/>
      <c r="SJA1720" s="227"/>
      <c r="SJB1720" s="227"/>
      <c r="SJC1720" s="227"/>
      <c r="SJD1720" s="227"/>
      <c r="SJE1720" s="227"/>
      <c r="SJF1720" s="227"/>
      <c r="SJG1720" s="227"/>
      <c r="SJH1720" s="227"/>
      <c r="SJI1720" s="227"/>
      <c r="SJJ1720" s="227"/>
      <c r="SJK1720" s="227"/>
      <c r="SJL1720" s="227"/>
      <c r="SJM1720" s="227"/>
      <c r="SJN1720" s="227"/>
      <c r="SJO1720" s="227"/>
      <c r="SJP1720" s="227"/>
      <c r="SJQ1720" s="227"/>
      <c r="SJR1720" s="227"/>
      <c r="SJS1720" s="227"/>
      <c r="SJT1720" s="227"/>
      <c r="SJU1720" s="227"/>
      <c r="SJV1720" s="227"/>
      <c r="SJW1720" s="227"/>
      <c r="SJX1720" s="227"/>
      <c r="SJY1720" s="227"/>
      <c r="SJZ1720" s="227"/>
      <c r="SKA1720" s="227"/>
      <c r="SKB1720" s="227"/>
      <c r="SKC1720" s="227"/>
      <c r="SKD1720" s="227"/>
      <c r="SKE1720" s="227"/>
      <c r="SKF1720" s="227"/>
      <c r="SKG1720" s="227"/>
      <c r="SKH1720" s="227"/>
      <c r="SKI1720" s="227"/>
      <c r="SKJ1720" s="227"/>
      <c r="SKK1720" s="227"/>
      <c r="SKL1720" s="227"/>
      <c r="SKM1720" s="227"/>
      <c r="SKN1720" s="227"/>
      <c r="SKO1720" s="227"/>
      <c r="SKP1720" s="227"/>
      <c r="SKQ1720" s="227"/>
      <c r="SKR1720" s="227"/>
      <c r="SKS1720" s="227"/>
      <c r="SKT1720" s="227"/>
      <c r="SKU1720" s="227"/>
      <c r="SKV1720" s="227"/>
      <c r="SKW1720" s="227"/>
      <c r="SKX1720" s="227"/>
      <c r="SKY1720" s="227"/>
      <c r="SKZ1720" s="227"/>
      <c r="SLA1720" s="227"/>
      <c r="SLB1720" s="227"/>
      <c r="SLC1720" s="227"/>
      <c r="SLD1720" s="227"/>
      <c r="SLE1720" s="227"/>
      <c r="SLF1720" s="227"/>
      <c r="SLG1720" s="227"/>
      <c r="SLH1720" s="227"/>
      <c r="SLI1720" s="227"/>
      <c r="SLJ1720" s="227"/>
      <c r="SLK1720" s="227"/>
      <c r="SLL1720" s="227"/>
      <c r="SLM1720" s="227"/>
      <c r="SLN1720" s="227"/>
      <c r="SLO1720" s="227"/>
      <c r="SLP1720" s="227"/>
      <c r="SLQ1720" s="227"/>
      <c r="SLR1720" s="227"/>
      <c r="SLS1720" s="227"/>
      <c r="SLT1720" s="227"/>
      <c r="SLU1720" s="227"/>
      <c r="SLV1720" s="227"/>
      <c r="SLW1720" s="227"/>
      <c r="SLX1720" s="227"/>
      <c r="SLY1720" s="227"/>
      <c r="SLZ1720" s="227"/>
      <c r="SMA1720" s="227"/>
      <c r="SMB1720" s="227"/>
      <c r="SMC1720" s="227"/>
      <c r="SMD1720" s="227"/>
      <c r="SME1720" s="227"/>
      <c r="SMF1720" s="227"/>
      <c r="SMG1720" s="227"/>
      <c r="SMH1720" s="227"/>
      <c r="SMI1720" s="227"/>
      <c r="SMJ1720" s="227"/>
      <c r="SMK1720" s="227"/>
      <c r="SML1720" s="227"/>
      <c r="SMM1720" s="227"/>
      <c r="SMN1720" s="227"/>
      <c r="SMO1720" s="227"/>
      <c r="SMP1720" s="227"/>
      <c r="SMQ1720" s="227"/>
      <c r="SMR1720" s="227"/>
      <c r="SMS1720" s="227"/>
      <c r="SMT1720" s="227"/>
      <c r="SMU1720" s="227"/>
      <c r="SMV1720" s="227"/>
      <c r="SMW1720" s="227"/>
      <c r="SMX1720" s="227"/>
      <c r="SMY1720" s="227"/>
      <c r="SMZ1720" s="227"/>
      <c r="SNA1720" s="227"/>
      <c r="SNB1720" s="227"/>
      <c r="SNC1720" s="227"/>
      <c r="SND1720" s="227"/>
      <c r="SNE1720" s="227"/>
      <c r="SNF1720" s="227"/>
      <c r="SNG1720" s="227"/>
      <c r="SNH1720" s="227"/>
      <c r="SNI1720" s="227"/>
      <c r="SNJ1720" s="227"/>
      <c r="SNK1720" s="227"/>
      <c r="SNL1720" s="227"/>
      <c r="SNM1720" s="227"/>
      <c r="SNN1720" s="227"/>
      <c r="SNO1720" s="227"/>
      <c r="SNP1720" s="227"/>
      <c r="SNQ1720" s="227"/>
      <c r="SNR1720" s="227"/>
      <c r="SNS1720" s="227"/>
      <c r="SNT1720" s="227"/>
      <c r="SNU1720" s="227"/>
      <c r="SNV1720" s="227"/>
      <c r="SNW1720" s="227"/>
      <c r="SNX1720" s="227"/>
      <c r="SNY1720" s="227"/>
      <c r="SNZ1720" s="227"/>
      <c r="SOA1720" s="227"/>
      <c r="SOB1720" s="227"/>
      <c r="SOC1720" s="227"/>
      <c r="SOD1720" s="227"/>
      <c r="SOE1720" s="227"/>
      <c r="SOF1720" s="227"/>
      <c r="SOG1720" s="227"/>
      <c r="SOH1720" s="227"/>
      <c r="SOI1720" s="227"/>
      <c r="SOJ1720" s="227"/>
      <c r="SOK1720" s="227"/>
      <c r="SOL1720" s="227"/>
      <c r="SOM1720" s="227"/>
      <c r="SON1720" s="227"/>
      <c r="SOO1720" s="227"/>
      <c r="SOP1720" s="227"/>
      <c r="SOQ1720" s="227"/>
      <c r="SOR1720" s="227"/>
      <c r="SOS1720" s="227"/>
      <c r="SOT1720" s="227"/>
      <c r="SOU1720" s="227"/>
      <c r="SOV1720" s="227"/>
      <c r="SOW1720" s="227"/>
      <c r="SOX1720" s="227"/>
      <c r="SOY1720" s="227"/>
      <c r="SOZ1720" s="227"/>
      <c r="SPA1720" s="227"/>
      <c r="SPB1720" s="227"/>
      <c r="SPC1720" s="227"/>
      <c r="SPD1720" s="227"/>
      <c r="SPE1720" s="227"/>
      <c r="SPF1720" s="227"/>
      <c r="SPG1720" s="227"/>
      <c r="SPH1720" s="227"/>
      <c r="SPI1720" s="227"/>
      <c r="SPJ1720" s="227"/>
      <c r="SPK1720" s="227"/>
      <c r="SPL1720" s="227"/>
      <c r="SPM1720" s="227"/>
      <c r="SPN1720" s="227"/>
      <c r="SPO1720" s="227"/>
      <c r="SPP1720" s="227"/>
      <c r="SPQ1720" s="227"/>
      <c r="SPR1720" s="227"/>
      <c r="SPS1720" s="227"/>
      <c r="SPT1720" s="227"/>
      <c r="SPU1720" s="227"/>
      <c r="SPV1720" s="227"/>
      <c r="SPW1720" s="227"/>
      <c r="SPX1720" s="227"/>
      <c r="SPY1720" s="227"/>
      <c r="SPZ1720" s="227"/>
      <c r="SQA1720" s="227"/>
      <c r="SQB1720" s="227"/>
      <c r="SQC1720" s="227"/>
      <c r="SQD1720" s="227"/>
      <c r="SQE1720" s="227"/>
      <c r="SQF1720" s="227"/>
      <c r="SQG1720" s="227"/>
      <c r="SQH1720" s="227"/>
      <c r="SQI1720" s="227"/>
      <c r="SQJ1720" s="227"/>
      <c r="SQK1720" s="227"/>
      <c r="SQL1720" s="227"/>
      <c r="SQM1720" s="227"/>
      <c r="SQN1720" s="227"/>
      <c r="SQO1720" s="227"/>
      <c r="SQP1720" s="227"/>
      <c r="SQQ1720" s="227"/>
      <c r="SQR1720" s="227"/>
      <c r="SQS1720" s="227"/>
      <c r="SQT1720" s="227"/>
      <c r="SQU1720" s="227"/>
      <c r="SQV1720" s="227"/>
      <c r="SQW1720" s="227"/>
      <c r="SQX1720" s="227"/>
      <c r="SQY1720" s="227"/>
      <c r="SQZ1720" s="227"/>
      <c r="SRA1720" s="227"/>
      <c r="SRB1720" s="227"/>
      <c r="SRC1720" s="227"/>
      <c r="SRD1720" s="227"/>
      <c r="SRE1720" s="227"/>
      <c r="SRF1720" s="227"/>
      <c r="SRG1720" s="227"/>
      <c r="SRH1720" s="227"/>
      <c r="SRI1720" s="227"/>
      <c r="SRJ1720" s="227"/>
      <c r="SRK1720" s="227"/>
      <c r="SRL1720" s="227"/>
      <c r="SRM1720" s="227"/>
      <c r="SRN1720" s="227"/>
      <c r="SRO1720" s="227"/>
      <c r="SRP1720" s="227"/>
      <c r="SRQ1720" s="227"/>
      <c r="SRR1720" s="227"/>
      <c r="SRS1720" s="227"/>
      <c r="SRT1720" s="227"/>
      <c r="SRU1720" s="227"/>
      <c r="SRV1720" s="227"/>
      <c r="SRW1720" s="227"/>
      <c r="SRX1720" s="227"/>
      <c r="SRY1720" s="227"/>
      <c r="SRZ1720" s="227"/>
      <c r="SSA1720" s="227"/>
      <c r="SSB1720" s="227"/>
      <c r="SSC1720" s="227"/>
      <c r="SSD1720" s="227"/>
      <c r="SSE1720" s="227"/>
      <c r="SSF1720" s="227"/>
      <c r="SSG1720" s="227"/>
      <c r="SSH1720" s="227"/>
      <c r="SSI1720" s="227"/>
      <c r="SSJ1720" s="227"/>
      <c r="SSK1720" s="227"/>
      <c r="SSL1720" s="227"/>
      <c r="SSM1720" s="227"/>
      <c r="SSN1720" s="227"/>
      <c r="SSO1720" s="227"/>
      <c r="SSP1720" s="227"/>
      <c r="SSQ1720" s="227"/>
      <c r="SSR1720" s="227"/>
      <c r="SSS1720" s="227"/>
      <c r="SST1720" s="227"/>
      <c r="SSU1720" s="227"/>
      <c r="SSV1720" s="227"/>
      <c r="SSW1720" s="227"/>
      <c r="SSX1720" s="227"/>
      <c r="SSY1720" s="227"/>
      <c r="SSZ1720" s="227"/>
      <c r="STA1720" s="227"/>
      <c r="STB1720" s="227"/>
      <c r="STC1720" s="227"/>
      <c r="STD1720" s="227"/>
      <c r="STE1720" s="227"/>
      <c r="STF1720" s="227"/>
      <c r="STG1720" s="227"/>
      <c r="STH1720" s="227"/>
      <c r="STI1720" s="227"/>
      <c r="STJ1720" s="227"/>
      <c r="STK1720" s="227"/>
      <c r="STL1720" s="227"/>
      <c r="STM1720" s="227"/>
      <c r="STN1720" s="227"/>
      <c r="STO1720" s="227"/>
      <c r="STP1720" s="227"/>
      <c r="STQ1720" s="227"/>
      <c r="STR1720" s="227"/>
      <c r="STS1720" s="227"/>
      <c r="STT1720" s="227"/>
      <c r="STU1720" s="227"/>
      <c r="STV1720" s="227"/>
      <c r="STW1720" s="227"/>
      <c r="STX1720" s="227"/>
      <c r="STY1720" s="227"/>
      <c r="STZ1720" s="227"/>
      <c r="SUA1720" s="227"/>
      <c r="SUB1720" s="227"/>
      <c r="SUC1720" s="227"/>
      <c r="SUD1720" s="227"/>
      <c r="SUE1720" s="227"/>
      <c r="SUF1720" s="227"/>
      <c r="SUG1720" s="227"/>
      <c r="SUH1720" s="227"/>
      <c r="SUI1720" s="227"/>
      <c r="SUJ1720" s="227"/>
      <c r="SUK1720" s="227"/>
      <c r="SUL1720" s="227"/>
      <c r="SUM1720" s="227"/>
      <c r="SUN1720" s="227"/>
      <c r="SUO1720" s="227"/>
      <c r="SUP1720" s="227"/>
      <c r="SUQ1720" s="227"/>
      <c r="SUR1720" s="227"/>
      <c r="SUS1720" s="227"/>
      <c r="SUT1720" s="227"/>
      <c r="SUU1720" s="227"/>
      <c r="SUV1720" s="227"/>
      <c r="SUW1720" s="227"/>
      <c r="SUX1720" s="227"/>
      <c r="SUY1720" s="227"/>
      <c r="SUZ1720" s="227"/>
      <c r="SVA1720" s="227"/>
      <c r="SVB1720" s="227"/>
      <c r="SVC1720" s="227"/>
      <c r="SVD1720" s="227"/>
      <c r="SVE1720" s="227"/>
      <c r="SVF1720" s="227"/>
      <c r="SVG1720" s="227"/>
      <c r="SVH1720" s="227"/>
      <c r="SVI1720" s="227"/>
      <c r="SVJ1720" s="227"/>
      <c r="SVK1720" s="227"/>
      <c r="SVL1720" s="227"/>
      <c r="SVM1720" s="227"/>
      <c r="SVN1720" s="227"/>
      <c r="SVO1720" s="227"/>
      <c r="SVP1720" s="227"/>
      <c r="SVQ1720" s="227"/>
      <c r="SVR1720" s="227"/>
      <c r="SVS1720" s="227"/>
      <c r="SVT1720" s="227"/>
      <c r="SVU1720" s="227"/>
      <c r="SVV1720" s="227"/>
      <c r="SVW1720" s="227"/>
      <c r="SVX1720" s="227"/>
      <c r="SVY1720" s="227"/>
      <c r="SVZ1720" s="227"/>
      <c r="SWA1720" s="227"/>
      <c r="SWB1720" s="227"/>
      <c r="SWC1720" s="227"/>
      <c r="SWD1720" s="227"/>
      <c r="SWE1720" s="227"/>
      <c r="SWF1720" s="227"/>
      <c r="SWG1720" s="227"/>
      <c r="SWH1720" s="227"/>
      <c r="SWI1720" s="227"/>
      <c r="SWJ1720" s="227"/>
      <c r="SWK1720" s="227"/>
      <c r="SWL1720" s="227"/>
      <c r="SWM1720" s="227"/>
      <c r="SWN1720" s="227"/>
      <c r="SWO1720" s="227"/>
      <c r="SWP1720" s="227"/>
      <c r="SWQ1720" s="227"/>
      <c r="SWR1720" s="227"/>
      <c r="SWS1720" s="227"/>
      <c r="SWT1720" s="227"/>
      <c r="SWU1720" s="227"/>
      <c r="SWV1720" s="227"/>
      <c r="SWW1720" s="227"/>
      <c r="SWX1720" s="227"/>
      <c r="SWY1720" s="227"/>
      <c r="SWZ1720" s="227"/>
      <c r="SXA1720" s="227"/>
      <c r="SXB1720" s="227"/>
      <c r="SXC1720" s="227"/>
      <c r="SXD1720" s="227"/>
      <c r="SXE1720" s="227"/>
      <c r="SXF1720" s="227"/>
      <c r="SXG1720" s="227"/>
      <c r="SXH1720" s="227"/>
      <c r="SXI1720" s="227"/>
      <c r="SXJ1720" s="227"/>
      <c r="SXK1720" s="227"/>
      <c r="SXL1720" s="227"/>
      <c r="SXM1720" s="227"/>
      <c r="SXN1720" s="227"/>
      <c r="SXO1720" s="227"/>
      <c r="SXP1720" s="227"/>
      <c r="SXQ1720" s="227"/>
      <c r="SXR1720" s="227"/>
      <c r="SXS1720" s="227"/>
      <c r="SXT1720" s="227"/>
      <c r="SXU1720" s="227"/>
      <c r="SXV1720" s="227"/>
      <c r="SXW1720" s="227"/>
      <c r="SXX1720" s="227"/>
      <c r="SXY1720" s="227"/>
      <c r="SXZ1720" s="227"/>
      <c r="SYA1720" s="227"/>
      <c r="SYB1720" s="227"/>
      <c r="SYC1720" s="227"/>
      <c r="SYD1720" s="227"/>
      <c r="SYE1720" s="227"/>
      <c r="SYF1720" s="227"/>
      <c r="SYG1720" s="227"/>
      <c r="SYH1720" s="227"/>
      <c r="SYI1720" s="227"/>
      <c r="SYJ1720" s="227"/>
      <c r="SYK1720" s="227"/>
      <c r="SYL1720" s="227"/>
      <c r="SYM1720" s="227"/>
      <c r="SYN1720" s="227"/>
      <c r="SYO1720" s="227"/>
      <c r="SYP1720" s="227"/>
      <c r="SYQ1720" s="227"/>
      <c r="SYR1720" s="227"/>
      <c r="SYS1720" s="227"/>
      <c r="SYT1720" s="227"/>
      <c r="SYU1720" s="227"/>
      <c r="SYV1720" s="227"/>
      <c r="SYW1720" s="227"/>
      <c r="SYX1720" s="227"/>
      <c r="SYY1720" s="227"/>
      <c r="SYZ1720" s="227"/>
      <c r="SZA1720" s="227"/>
      <c r="SZB1720" s="227"/>
      <c r="SZC1720" s="227"/>
      <c r="SZD1720" s="227"/>
      <c r="SZE1720" s="227"/>
      <c r="SZF1720" s="227"/>
      <c r="SZG1720" s="227"/>
      <c r="SZH1720" s="227"/>
      <c r="SZI1720" s="227"/>
      <c r="SZJ1720" s="227"/>
      <c r="SZK1720" s="227"/>
      <c r="SZL1720" s="227"/>
      <c r="SZM1720" s="227"/>
      <c r="SZN1720" s="227"/>
      <c r="SZO1720" s="227"/>
      <c r="SZP1720" s="227"/>
      <c r="SZQ1720" s="227"/>
      <c r="SZR1720" s="227"/>
      <c r="SZS1720" s="227"/>
      <c r="SZT1720" s="227"/>
      <c r="SZU1720" s="227"/>
      <c r="SZV1720" s="227"/>
      <c r="SZW1720" s="227"/>
      <c r="SZX1720" s="227"/>
      <c r="SZY1720" s="227"/>
      <c r="SZZ1720" s="227"/>
      <c r="TAA1720" s="227"/>
      <c r="TAB1720" s="227"/>
      <c r="TAC1720" s="227"/>
      <c r="TAD1720" s="227"/>
      <c r="TAE1720" s="227"/>
      <c r="TAF1720" s="227"/>
      <c r="TAG1720" s="227"/>
      <c r="TAH1720" s="227"/>
      <c r="TAI1720" s="227"/>
      <c r="TAJ1720" s="227"/>
      <c r="TAK1720" s="227"/>
      <c r="TAL1720" s="227"/>
      <c r="TAM1720" s="227"/>
      <c r="TAN1720" s="227"/>
      <c r="TAO1720" s="227"/>
      <c r="TAP1720" s="227"/>
      <c r="TAQ1720" s="227"/>
      <c r="TAR1720" s="227"/>
      <c r="TAS1720" s="227"/>
      <c r="TAT1720" s="227"/>
      <c r="TAU1720" s="227"/>
      <c r="TAV1720" s="227"/>
      <c r="TAW1720" s="227"/>
      <c r="TAX1720" s="227"/>
      <c r="TAY1720" s="227"/>
      <c r="TAZ1720" s="227"/>
      <c r="TBA1720" s="227"/>
      <c r="TBB1720" s="227"/>
      <c r="TBC1720" s="227"/>
      <c r="TBD1720" s="227"/>
      <c r="TBE1720" s="227"/>
      <c r="TBF1720" s="227"/>
      <c r="TBG1720" s="227"/>
      <c r="TBH1720" s="227"/>
      <c r="TBI1720" s="227"/>
      <c r="TBJ1720" s="227"/>
      <c r="TBK1720" s="227"/>
      <c r="TBL1720" s="227"/>
      <c r="TBM1720" s="227"/>
      <c r="TBN1720" s="227"/>
      <c r="TBO1720" s="227"/>
      <c r="TBP1720" s="227"/>
      <c r="TBQ1720" s="227"/>
      <c r="TBR1720" s="227"/>
      <c r="TBS1720" s="227"/>
      <c r="TBT1720" s="227"/>
      <c r="TBU1720" s="227"/>
      <c r="TBV1720" s="227"/>
      <c r="TBW1720" s="227"/>
      <c r="TBX1720" s="227"/>
      <c r="TBY1720" s="227"/>
      <c r="TBZ1720" s="227"/>
      <c r="TCA1720" s="227"/>
      <c r="TCB1720" s="227"/>
      <c r="TCC1720" s="227"/>
      <c r="TCD1720" s="227"/>
      <c r="TCE1720" s="227"/>
      <c r="TCF1720" s="227"/>
      <c r="TCG1720" s="227"/>
      <c r="TCH1720" s="227"/>
      <c r="TCI1720" s="227"/>
      <c r="TCJ1720" s="227"/>
      <c r="TCK1720" s="227"/>
      <c r="TCL1720" s="227"/>
      <c r="TCM1720" s="227"/>
      <c r="TCN1720" s="227"/>
      <c r="TCO1720" s="227"/>
      <c r="TCP1720" s="227"/>
      <c r="TCQ1720" s="227"/>
      <c r="TCR1720" s="227"/>
      <c r="TCS1720" s="227"/>
      <c r="TCT1720" s="227"/>
      <c r="TCU1720" s="227"/>
      <c r="TCV1720" s="227"/>
      <c r="TCW1720" s="227"/>
      <c r="TCX1720" s="227"/>
      <c r="TCY1720" s="227"/>
      <c r="TCZ1720" s="227"/>
      <c r="TDA1720" s="227"/>
      <c r="TDB1720" s="227"/>
      <c r="TDC1720" s="227"/>
      <c r="TDD1720" s="227"/>
      <c r="TDE1720" s="227"/>
      <c r="TDF1720" s="227"/>
      <c r="TDG1720" s="227"/>
      <c r="TDH1720" s="227"/>
      <c r="TDI1720" s="227"/>
      <c r="TDJ1720" s="227"/>
      <c r="TDK1720" s="227"/>
      <c r="TDL1720" s="227"/>
      <c r="TDM1720" s="227"/>
      <c r="TDN1720" s="227"/>
      <c r="TDO1720" s="227"/>
      <c r="TDP1720" s="227"/>
      <c r="TDQ1720" s="227"/>
      <c r="TDR1720" s="227"/>
      <c r="TDS1720" s="227"/>
      <c r="TDT1720" s="227"/>
      <c r="TDU1720" s="227"/>
      <c r="TDV1720" s="227"/>
      <c r="TDW1720" s="227"/>
      <c r="TDX1720" s="227"/>
      <c r="TDY1720" s="227"/>
      <c r="TDZ1720" s="227"/>
      <c r="TEA1720" s="227"/>
      <c r="TEB1720" s="227"/>
      <c r="TEC1720" s="227"/>
      <c r="TED1720" s="227"/>
      <c r="TEE1720" s="227"/>
      <c r="TEF1720" s="227"/>
      <c r="TEG1720" s="227"/>
      <c r="TEH1720" s="227"/>
      <c r="TEI1720" s="227"/>
      <c r="TEJ1720" s="227"/>
      <c r="TEK1720" s="227"/>
      <c r="TEL1720" s="227"/>
      <c r="TEM1720" s="227"/>
      <c r="TEN1720" s="227"/>
      <c r="TEO1720" s="227"/>
      <c r="TEP1720" s="227"/>
      <c r="TEQ1720" s="227"/>
      <c r="TER1720" s="227"/>
      <c r="TES1720" s="227"/>
      <c r="TET1720" s="227"/>
      <c r="TEU1720" s="227"/>
      <c r="TEV1720" s="227"/>
      <c r="TEW1720" s="227"/>
      <c r="TEX1720" s="227"/>
      <c r="TEY1720" s="227"/>
      <c r="TEZ1720" s="227"/>
      <c r="TFA1720" s="227"/>
      <c r="TFB1720" s="227"/>
      <c r="TFC1720" s="227"/>
      <c r="TFD1720" s="227"/>
      <c r="TFE1720" s="227"/>
      <c r="TFF1720" s="227"/>
      <c r="TFG1720" s="227"/>
      <c r="TFH1720" s="227"/>
      <c r="TFI1720" s="227"/>
      <c r="TFJ1720" s="227"/>
      <c r="TFK1720" s="227"/>
      <c r="TFL1720" s="227"/>
      <c r="TFM1720" s="227"/>
      <c r="TFN1720" s="227"/>
      <c r="TFO1720" s="227"/>
      <c r="TFP1720" s="227"/>
      <c r="TFQ1720" s="227"/>
      <c r="TFR1720" s="227"/>
      <c r="TFS1720" s="227"/>
      <c r="TFT1720" s="227"/>
      <c r="TFU1720" s="227"/>
      <c r="TFV1720" s="227"/>
      <c r="TFW1720" s="227"/>
      <c r="TFX1720" s="227"/>
      <c r="TFY1720" s="227"/>
      <c r="TFZ1720" s="227"/>
      <c r="TGA1720" s="227"/>
      <c r="TGB1720" s="227"/>
      <c r="TGC1720" s="227"/>
      <c r="TGD1720" s="227"/>
      <c r="TGE1720" s="227"/>
      <c r="TGF1720" s="227"/>
      <c r="TGG1720" s="227"/>
      <c r="TGH1720" s="227"/>
      <c r="TGI1720" s="227"/>
      <c r="TGJ1720" s="227"/>
      <c r="TGK1720" s="227"/>
      <c r="TGL1720" s="227"/>
      <c r="TGM1720" s="227"/>
      <c r="TGN1720" s="227"/>
      <c r="TGO1720" s="227"/>
      <c r="TGP1720" s="227"/>
      <c r="TGQ1720" s="227"/>
      <c r="TGR1720" s="227"/>
      <c r="TGS1720" s="227"/>
      <c r="TGT1720" s="227"/>
      <c r="TGU1720" s="227"/>
      <c r="TGV1720" s="227"/>
      <c r="TGW1720" s="227"/>
      <c r="TGX1720" s="227"/>
      <c r="TGY1720" s="227"/>
      <c r="TGZ1720" s="227"/>
      <c r="THA1720" s="227"/>
      <c r="THB1720" s="227"/>
      <c r="THC1720" s="227"/>
      <c r="THD1720" s="227"/>
      <c r="THE1720" s="227"/>
      <c r="THF1720" s="227"/>
      <c r="THG1720" s="227"/>
      <c r="THH1720" s="227"/>
      <c r="THI1720" s="227"/>
      <c r="THJ1720" s="227"/>
      <c r="THK1720" s="227"/>
      <c r="THL1720" s="227"/>
      <c r="THM1720" s="227"/>
      <c r="THN1720" s="227"/>
      <c r="THO1720" s="227"/>
      <c r="THP1720" s="227"/>
      <c r="THQ1720" s="227"/>
      <c r="THR1720" s="227"/>
      <c r="THS1720" s="227"/>
      <c r="THT1720" s="227"/>
      <c r="THU1720" s="227"/>
      <c r="THV1720" s="227"/>
      <c r="THW1720" s="227"/>
      <c r="THX1720" s="227"/>
      <c r="THY1720" s="227"/>
      <c r="THZ1720" s="227"/>
      <c r="TIA1720" s="227"/>
      <c r="TIB1720" s="227"/>
      <c r="TIC1720" s="227"/>
      <c r="TID1720" s="227"/>
      <c r="TIE1720" s="227"/>
      <c r="TIF1720" s="227"/>
      <c r="TIG1720" s="227"/>
      <c r="TIH1720" s="227"/>
      <c r="TII1720" s="227"/>
      <c r="TIJ1720" s="227"/>
      <c r="TIK1720" s="227"/>
      <c r="TIL1720" s="227"/>
      <c r="TIM1720" s="227"/>
      <c r="TIN1720" s="227"/>
      <c r="TIO1720" s="227"/>
      <c r="TIP1720" s="227"/>
      <c r="TIQ1720" s="227"/>
      <c r="TIR1720" s="227"/>
      <c r="TIS1720" s="227"/>
      <c r="TIT1720" s="227"/>
      <c r="TIU1720" s="227"/>
      <c r="TIV1720" s="227"/>
      <c r="TIW1720" s="227"/>
      <c r="TIX1720" s="227"/>
      <c r="TIY1720" s="227"/>
      <c r="TIZ1720" s="227"/>
      <c r="TJA1720" s="227"/>
      <c r="TJB1720" s="227"/>
      <c r="TJC1720" s="227"/>
      <c r="TJD1720" s="227"/>
      <c r="TJE1720" s="227"/>
      <c r="TJF1720" s="227"/>
      <c r="TJG1720" s="227"/>
      <c r="TJH1720" s="227"/>
      <c r="TJI1720" s="227"/>
      <c r="TJJ1720" s="227"/>
      <c r="TJK1720" s="227"/>
      <c r="TJL1720" s="227"/>
      <c r="TJM1720" s="227"/>
      <c r="TJN1720" s="227"/>
      <c r="TJO1720" s="227"/>
      <c r="TJP1720" s="227"/>
      <c r="TJQ1720" s="227"/>
      <c r="TJR1720" s="227"/>
      <c r="TJS1720" s="227"/>
      <c r="TJT1720" s="227"/>
      <c r="TJU1720" s="227"/>
      <c r="TJV1720" s="227"/>
      <c r="TJW1720" s="227"/>
      <c r="TJX1720" s="227"/>
      <c r="TJY1720" s="227"/>
      <c r="TJZ1720" s="227"/>
      <c r="TKA1720" s="227"/>
      <c r="TKB1720" s="227"/>
      <c r="TKC1720" s="227"/>
      <c r="TKD1720" s="227"/>
      <c r="TKE1720" s="227"/>
      <c r="TKF1720" s="227"/>
      <c r="TKG1720" s="227"/>
      <c r="TKH1720" s="227"/>
      <c r="TKI1720" s="227"/>
      <c r="TKJ1720" s="227"/>
      <c r="TKK1720" s="227"/>
      <c r="TKL1720" s="227"/>
      <c r="TKM1720" s="227"/>
      <c r="TKN1720" s="227"/>
      <c r="TKO1720" s="227"/>
      <c r="TKP1720" s="227"/>
      <c r="TKQ1720" s="227"/>
      <c r="TKR1720" s="227"/>
      <c r="TKS1720" s="227"/>
      <c r="TKT1720" s="227"/>
      <c r="TKU1720" s="227"/>
      <c r="TKV1720" s="227"/>
      <c r="TKW1720" s="227"/>
      <c r="TKX1720" s="227"/>
      <c r="TKY1720" s="227"/>
      <c r="TKZ1720" s="227"/>
      <c r="TLA1720" s="227"/>
      <c r="TLB1720" s="227"/>
      <c r="TLC1720" s="227"/>
      <c r="TLD1720" s="227"/>
      <c r="TLE1720" s="227"/>
      <c r="TLF1720" s="227"/>
      <c r="TLG1720" s="227"/>
      <c r="TLH1720" s="227"/>
      <c r="TLI1720" s="227"/>
      <c r="TLJ1720" s="227"/>
      <c r="TLK1720" s="227"/>
      <c r="TLL1720" s="227"/>
      <c r="TLM1720" s="227"/>
      <c r="TLN1720" s="227"/>
      <c r="TLO1720" s="227"/>
      <c r="TLP1720" s="227"/>
      <c r="TLQ1720" s="227"/>
      <c r="TLR1720" s="227"/>
      <c r="TLS1720" s="227"/>
      <c r="TLT1720" s="227"/>
      <c r="TLU1720" s="227"/>
      <c r="TLV1720" s="227"/>
      <c r="TLW1720" s="227"/>
      <c r="TLX1720" s="227"/>
      <c r="TLY1720" s="227"/>
      <c r="TLZ1720" s="227"/>
      <c r="TMA1720" s="227"/>
      <c r="TMB1720" s="227"/>
      <c r="TMC1720" s="227"/>
      <c r="TMD1720" s="227"/>
      <c r="TME1720" s="227"/>
      <c r="TMF1720" s="227"/>
      <c r="TMG1720" s="227"/>
      <c r="TMH1720" s="227"/>
      <c r="TMI1720" s="227"/>
      <c r="TMJ1720" s="227"/>
      <c r="TMK1720" s="227"/>
      <c r="TML1720" s="227"/>
      <c r="TMM1720" s="227"/>
      <c r="TMN1720" s="227"/>
      <c r="TMO1720" s="227"/>
      <c r="TMP1720" s="227"/>
      <c r="TMQ1720" s="227"/>
      <c r="TMR1720" s="227"/>
      <c r="TMS1720" s="227"/>
      <c r="TMT1720" s="227"/>
      <c r="TMU1720" s="227"/>
      <c r="TMV1720" s="227"/>
      <c r="TMW1720" s="227"/>
      <c r="TMX1720" s="227"/>
      <c r="TMY1720" s="227"/>
      <c r="TMZ1720" s="227"/>
      <c r="TNA1720" s="227"/>
      <c r="TNB1720" s="227"/>
      <c r="TNC1720" s="227"/>
      <c r="TND1720" s="227"/>
      <c r="TNE1720" s="227"/>
      <c r="TNF1720" s="227"/>
      <c r="TNG1720" s="227"/>
      <c r="TNH1720" s="227"/>
      <c r="TNI1720" s="227"/>
      <c r="TNJ1720" s="227"/>
      <c r="TNK1720" s="227"/>
      <c r="TNL1720" s="227"/>
      <c r="TNM1720" s="227"/>
      <c r="TNN1720" s="227"/>
      <c r="TNO1720" s="227"/>
      <c r="TNP1720" s="227"/>
      <c r="TNQ1720" s="227"/>
      <c r="TNR1720" s="227"/>
      <c r="TNS1720" s="227"/>
      <c r="TNT1720" s="227"/>
      <c r="TNU1720" s="227"/>
      <c r="TNV1720" s="227"/>
      <c r="TNW1720" s="227"/>
      <c r="TNX1720" s="227"/>
      <c r="TNY1720" s="227"/>
      <c r="TNZ1720" s="227"/>
      <c r="TOA1720" s="227"/>
      <c r="TOB1720" s="227"/>
      <c r="TOC1720" s="227"/>
      <c r="TOD1720" s="227"/>
      <c r="TOE1720" s="227"/>
      <c r="TOF1720" s="227"/>
      <c r="TOG1720" s="227"/>
      <c r="TOH1720" s="227"/>
      <c r="TOI1720" s="227"/>
      <c r="TOJ1720" s="227"/>
      <c r="TOK1720" s="227"/>
      <c r="TOL1720" s="227"/>
      <c r="TOM1720" s="227"/>
      <c r="TON1720" s="227"/>
      <c r="TOO1720" s="227"/>
      <c r="TOP1720" s="227"/>
      <c r="TOQ1720" s="227"/>
      <c r="TOR1720" s="227"/>
      <c r="TOS1720" s="227"/>
      <c r="TOT1720" s="227"/>
      <c r="TOU1720" s="227"/>
      <c r="TOV1720" s="227"/>
      <c r="TOW1720" s="227"/>
      <c r="TOX1720" s="227"/>
      <c r="TOY1720" s="227"/>
      <c r="TOZ1720" s="227"/>
      <c r="TPA1720" s="227"/>
      <c r="TPB1720" s="227"/>
      <c r="TPC1720" s="227"/>
      <c r="TPD1720" s="227"/>
      <c r="TPE1720" s="227"/>
      <c r="TPF1720" s="227"/>
      <c r="TPG1720" s="227"/>
      <c r="TPH1720" s="227"/>
      <c r="TPI1720" s="227"/>
      <c r="TPJ1720" s="227"/>
      <c r="TPK1720" s="227"/>
      <c r="TPL1720" s="227"/>
      <c r="TPM1720" s="227"/>
      <c r="TPN1720" s="227"/>
      <c r="TPO1720" s="227"/>
      <c r="TPP1720" s="227"/>
      <c r="TPQ1720" s="227"/>
      <c r="TPR1720" s="227"/>
      <c r="TPS1720" s="227"/>
      <c r="TPT1720" s="227"/>
      <c r="TPU1720" s="227"/>
      <c r="TPV1720" s="227"/>
      <c r="TPW1720" s="227"/>
      <c r="TPX1720" s="227"/>
      <c r="TPY1720" s="227"/>
      <c r="TPZ1720" s="227"/>
      <c r="TQA1720" s="227"/>
      <c r="TQB1720" s="227"/>
      <c r="TQC1720" s="227"/>
      <c r="TQD1720" s="227"/>
      <c r="TQE1720" s="227"/>
      <c r="TQF1720" s="227"/>
      <c r="TQG1720" s="227"/>
      <c r="TQH1720" s="227"/>
      <c r="TQI1720" s="227"/>
      <c r="TQJ1720" s="227"/>
      <c r="TQK1720" s="227"/>
      <c r="TQL1720" s="227"/>
      <c r="TQM1720" s="227"/>
      <c r="TQN1720" s="227"/>
      <c r="TQO1720" s="227"/>
      <c r="TQP1720" s="227"/>
      <c r="TQQ1720" s="227"/>
      <c r="TQR1720" s="227"/>
      <c r="TQS1720" s="227"/>
      <c r="TQT1720" s="227"/>
      <c r="TQU1720" s="227"/>
      <c r="TQV1720" s="227"/>
      <c r="TQW1720" s="227"/>
      <c r="TQX1720" s="227"/>
      <c r="TQY1720" s="227"/>
      <c r="TQZ1720" s="227"/>
      <c r="TRA1720" s="227"/>
      <c r="TRB1720" s="227"/>
      <c r="TRC1720" s="227"/>
      <c r="TRD1720" s="227"/>
      <c r="TRE1720" s="227"/>
      <c r="TRF1720" s="227"/>
      <c r="TRG1720" s="227"/>
      <c r="TRH1720" s="227"/>
      <c r="TRI1720" s="227"/>
      <c r="TRJ1720" s="227"/>
      <c r="TRK1720" s="227"/>
      <c r="TRL1720" s="227"/>
      <c r="TRM1720" s="227"/>
      <c r="TRN1720" s="227"/>
      <c r="TRO1720" s="227"/>
      <c r="TRP1720" s="227"/>
      <c r="TRQ1720" s="227"/>
      <c r="TRR1720" s="227"/>
      <c r="TRS1720" s="227"/>
      <c r="TRT1720" s="227"/>
      <c r="TRU1720" s="227"/>
      <c r="TRV1720" s="227"/>
      <c r="TRW1720" s="227"/>
      <c r="TRX1720" s="227"/>
      <c r="TRY1720" s="227"/>
      <c r="TRZ1720" s="227"/>
      <c r="TSA1720" s="227"/>
      <c r="TSB1720" s="227"/>
      <c r="TSC1720" s="227"/>
      <c r="TSD1720" s="227"/>
      <c r="TSE1720" s="227"/>
      <c r="TSF1720" s="227"/>
      <c r="TSG1720" s="227"/>
      <c r="TSH1720" s="227"/>
      <c r="TSI1720" s="227"/>
      <c r="TSJ1720" s="227"/>
      <c r="TSK1720" s="227"/>
      <c r="TSL1720" s="227"/>
      <c r="TSM1720" s="227"/>
      <c r="TSN1720" s="227"/>
      <c r="TSO1720" s="227"/>
      <c r="TSP1720" s="227"/>
      <c r="TSQ1720" s="227"/>
      <c r="TSR1720" s="227"/>
      <c r="TSS1720" s="227"/>
      <c r="TST1720" s="227"/>
      <c r="TSU1720" s="227"/>
      <c r="TSV1720" s="227"/>
      <c r="TSW1720" s="227"/>
      <c r="TSX1720" s="227"/>
      <c r="TSY1720" s="227"/>
      <c r="TSZ1720" s="227"/>
      <c r="TTA1720" s="227"/>
      <c r="TTB1720" s="227"/>
      <c r="TTC1720" s="227"/>
      <c r="TTD1720" s="227"/>
      <c r="TTE1720" s="227"/>
      <c r="TTF1720" s="227"/>
      <c r="TTG1720" s="227"/>
      <c r="TTH1720" s="227"/>
      <c r="TTI1720" s="227"/>
      <c r="TTJ1720" s="227"/>
      <c r="TTK1720" s="227"/>
      <c r="TTL1720" s="227"/>
      <c r="TTM1720" s="227"/>
      <c r="TTN1720" s="227"/>
      <c r="TTO1720" s="227"/>
      <c r="TTP1720" s="227"/>
      <c r="TTQ1720" s="227"/>
      <c r="TTR1720" s="227"/>
      <c r="TTS1720" s="227"/>
      <c r="TTT1720" s="227"/>
      <c r="TTU1720" s="227"/>
      <c r="TTV1720" s="227"/>
      <c r="TTW1720" s="227"/>
      <c r="TTX1720" s="227"/>
      <c r="TTY1720" s="227"/>
      <c r="TTZ1720" s="227"/>
      <c r="TUA1720" s="227"/>
      <c r="TUB1720" s="227"/>
      <c r="TUC1720" s="227"/>
      <c r="TUD1720" s="227"/>
      <c r="TUE1720" s="227"/>
      <c r="TUF1720" s="227"/>
      <c r="TUG1720" s="227"/>
      <c r="TUH1720" s="227"/>
      <c r="TUI1720" s="227"/>
      <c r="TUJ1720" s="227"/>
      <c r="TUK1720" s="227"/>
      <c r="TUL1720" s="227"/>
      <c r="TUM1720" s="227"/>
      <c r="TUN1720" s="227"/>
      <c r="TUO1720" s="227"/>
      <c r="TUP1720" s="227"/>
      <c r="TUQ1720" s="227"/>
      <c r="TUR1720" s="227"/>
      <c r="TUS1720" s="227"/>
      <c r="TUT1720" s="227"/>
      <c r="TUU1720" s="227"/>
      <c r="TUV1720" s="227"/>
      <c r="TUW1720" s="227"/>
      <c r="TUX1720" s="227"/>
      <c r="TUY1720" s="227"/>
      <c r="TUZ1720" s="227"/>
      <c r="TVA1720" s="227"/>
      <c r="TVB1720" s="227"/>
      <c r="TVC1720" s="227"/>
      <c r="TVD1720" s="227"/>
      <c r="TVE1720" s="227"/>
      <c r="TVF1720" s="227"/>
      <c r="TVG1720" s="227"/>
      <c r="TVH1720" s="227"/>
      <c r="TVI1720" s="227"/>
      <c r="TVJ1720" s="227"/>
      <c r="TVK1720" s="227"/>
      <c r="TVL1720" s="227"/>
      <c r="TVM1720" s="227"/>
      <c r="TVN1720" s="227"/>
      <c r="TVO1720" s="227"/>
      <c r="TVP1720" s="227"/>
      <c r="TVQ1720" s="227"/>
      <c r="TVR1720" s="227"/>
      <c r="TVS1720" s="227"/>
      <c r="TVT1720" s="227"/>
      <c r="TVU1720" s="227"/>
      <c r="TVV1720" s="227"/>
      <c r="TVW1720" s="227"/>
      <c r="TVX1720" s="227"/>
      <c r="TVY1720" s="227"/>
      <c r="TVZ1720" s="227"/>
      <c r="TWA1720" s="227"/>
      <c r="TWB1720" s="227"/>
      <c r="TWC1720" s="227"/>
      <c r="TWD1720" s="227"/>
      <c r="TWE1720" s="227"/>
      <c r="TWF1720" s="227"/>
      <c r="TWG1720" s="227"/>
      <c r="TWH1720" s="227"/>
      <c r="TWI1720" s="227"/>
      <c r="TWJ1720" s="227"/>
      <c r="TWK1720" s="227"/>
      <c r="TWL1720" s="227"/>
      <c r="TWM1720" s="227"/>
      <c r="TWN1720" s="227"/>
      <c r="TWO1720" s="227"/>
      <c r="TWP1720" s="227"/>
      <c r="TWQ1720" s="227"/>
      <c r="TWR1720" s="227"/>
      <c r="TWS1720" s="227"/>
      <c r="TWT1720" s="227"/>
      <c r="TWU1720" s="227"/>
      <c r="TWV1720" s="227"/>
      <c r="TWW1720" s="227"/>
      <c r="TWX1720" s="227"/>
      <c r="TWY1720" s="227"/>
      <c r="TWZ1720" s="227"/>
      <c r="TXA1720" s="227"/>
      <c r="TXB1720" s="227"/>
      <c r="TXC1720" s="227"/>
      <c r="TXD1720" s="227"/>
      <c r="TXE1720" s="227"/>
      <c r="TXF1720" s="227"/>
      <c r="TXG1720" s="227"/>
      <c r="TXH1720" s="227"/>
      <c r="TXI1720" s="227"/>
      <c r="TXJ1720" s="227"/>
      <c r="TXK1720" s="227"/>
      <c r="TXL1720" s="227"/>
      <c r="TXM1720" s="227"/>
      <c r="TXN1720" s="227"/>
      <c r="TXO1720" s="227"/>
      <c r="TXP1720" s="227"/>
      <c r="TXQ1720" s="227"/>
      <c r="TXR1720" s="227"/>
      <c r="TXS1720" s="227"/>
      <c r="TXT1720" s="227"/>
      <c r="TXU1720" s="227"/>
      <c r="TXV1720" s="227"/>
      <c r="TXW1720" s="227"/>
      <c r="TXX1720" s="227"/>
      <c r="TXY1720" s="227"/>
      <c r="TXZ1720" s="227"/>
      <c r="TYA1720" s="227"/>
      <c r="TYB1720" s="227"/>
      <c r="TYC1720" s="227"/>
      <c r="TYD1720" s="227"/>
      <c r="TYE1720" s="227"/>
      <c r="TYF1720" s="227"/>
      <c r="TYG1720" s="227"/>
      <c r="TYH1720" s="227"/>
      <c r="TYI1720" s="227"/>
      <c r="TYJ1720" s="227"/>
      <c r="TYK1720" s="227"/>
      <c r="TYL1720" s="227"/>
      <c r="TYM1720" s="227"/>
      <c r="TYN1720" s="227"/>
      <c r="TYO1720" s="227"/>
      <c r="TYP1720" s="227"/>
      <c r="TYQ1720" s="227"/>
      <c r="TYR1720" s="227"/>
      <c r="TYS1720" s="227"/>
      <c r="TYT1720" s="227"/>
      <c r="TYU1720" s="227"/>
      <c r="TYV1720" s="227"/>
      <c r="TYW1720" s="227"/>
      <c r="TYX1720" s="227"/>
      <c r="TYY1720" s="227"/>
      <c r="TYZ1720" s="227"/>
      <c r="TZA1720" s="227"/>
      <c r="TZB1720" s="227"/>
      <c r="TZC1720" s="227"/>
      <c r="TZD1720" s="227"/>
      <c r="TZE1720" s="227"/>
      <c r="TZF1720" s="227"/>
      <c r="TZG1720" s="227"/>
      <c r="TZH1720" s="227"/>
      <c r="TZI1720" s="227"/>
      <c r="TZJ1720" s="227"/>
      <c r="TZK1720" s="227"/>
      <c r="TZL1720" s="227"/>
      <c r="TZM1720" s="227"/>
      <c r="TZN1720" s="227"/>
      <c r="TZO1720" s="227"/>
      <c r="TZP1720" s="227"/>
      <c r="TZQ1720" s="227"/>
      <c r="TZR1720" s="227"/>
      <c r="TZS1720" s="227"/>
      <c r="TZT1720" s="227"/>
      <c r="TZU1720" s="227"/>
      <c r="TZV1720" s="227"/>
      <c r="TZW1720" s="227"/>
      <c r="TZX1720" s="227"/>
      <c r="TZY1720" s="227"/>
      <c r="TZZ1720" s="227"/>
      <c r="UAA1720" s="227"/>
      <c r="UAB1720" s="227"/>
      <c r="UAC1720" s="227"/>
      <c r="UAD1720" s="227"/>
      <c r="UAE1720" s="227"/>
      <c r="UAF1720" s="227"/>
      <c r="UAG1720" s="227"/>
      <c r="UAH1720" s="227"/>
      <c r="UAI1720" s="227"/>
      <c r="UAJ1720" s="227"/>
      <c r="UAK1720" s="227"/>
      <c r="UAL1720" s="227"/>
      <c r="UAM1720" s="227"/>
      <c r="UAN1720" s="227"/>
      <c r="UAO1720" s="227"/>
      <c r="UAP1720" s="227"/>
      <c r="UAQ1720" s="227"/>
      <c r="UAR1720" s="227"/>
      <c r="UAS1720" s="227"/>
      <c r="UAT1720" s="227"/>
      <c r="UAU1720" s="227"/>
      <c r="UAV1720" s="227"/>
      <c r="UAW1720" s="227"/>
      <c r="UAX1720" s="227"/>
      <c r="UAY1720" s="227"/>
      <c r="UAZ1720" s="227"/>
      <c r="UBA1720" s="227"/>
      <c r="UBB1720" s="227"/>
      <c r="UBC1720" s="227"/>
      <c r="UBD1720" s="227"/>
      <c r="UBE1720" s="227"/>
      <c r="UBF1720" s="227"/>
      <c r="UBG1720" s="227"/>
      <c r="UBH1720" s="227"/>
      <c r="UBI1720" s="227"/>
      <c r="UBJ1720" s="227"/>
      <c r="UBK1720" s="227"/>
      <c r="UBL1720" s="227"/>
      <c r="UBM1720" s="227"/>
      <c r="UBN1720" s="227"/>
      <c r="UBO1720" s="227"/>
      <c r="UBP1720" s="227"/>
      <c r="UBQ1720" s="227"/>
      <c r="UBR1720" s="227"/>
      <c r="UBS1720" s="227"/>
      <c r="UBT1720" s="227"/>
      <c r="UBU1720" s="227"/>
      <c r="UBV1720" s="227"/>
      <c r="UBW1720" s="227"/>
      <c r="UBX1720" s="227"/>
      <c r="UBY1720" s="227"/>
      <c r="UBZ1720" s="227"/>
      <c r="UCA1720" s="227"/>
      <c r="UCB1720" s="227"/>
      <c r="UCC1720" s="227"/>
      <c r="UCD1720" s="227"/>
      <c r="UCE1720" s="227"/>
      <c r="UCF1720" s="227"/>
      <c r="UCG1720" s="227"/>
      <c r="UCH1720" s="227"/>
      <c r="UCI1720" s="227"/>
      <c r="UCJ1720" s="227"/>
      <c r="UCK1720" s="227"/>
      <c r="UCL1720" s="227"/>
      <c r="UCM1720" s="227"/>
      <c r="UCN1720" s="227"/>
      <c r="UCO1720" s="227"/>
      <c r="UCP1720" s="227"/>
      <c r="UCQ1720" s="227"/>
      <c r="UCR1720" s="227"/>
      <c r="UCS1720" s="227"/>
      <c r="UCT1720" s="227"/>
      <c r="UCU1720" s="227"/>
      <c r="UCV1720" s="227"/>
      <c r="UCW1720" s="227"/>
      <c r="UCX1720" s="227"/>
      <c r="UCY1720" s="227"/>
      <c r="UCZ1720" s="227"/>
      <c r="UDA1720" s="227"/>
      <c r="UDB1720" s="227"/>
      <c r="UDC1720" s="227"/>
      <c r="UDD1720" s="227"/>
      <c r="UDE1720" s="227"/>
      <c r="UDF1720" s="227"/>
      <c r="UDG1720" s="227"/>
      <c r="UDH1720" s="227"/>
      <c r="UDI1720" s="227"/>
      <c r="UDJ1720" s="227"/>
      <c r="UDK1720" s="227"/>
      <c r="UDL1720" s="227"/>
      <c r="UDM1720" s="227"/>
      <c r="UDN1720" s="227"/>
      <c r="UDO1720" s="227"/>
      <c r="UDP1720" s="227"/>
      <c r="UDQ1720" s="227"/>
      <c r="UDR1720" s="227"/>
      <c r="UDS1720" s="227"/>
      <c r="UDT1720" s="227"/>
      <c r="UDU1720" s="227"/>
      <c r="UDV1720" s="227"/>
      <c r="UDW1720" s="227"/>
      <c r="UDX1720" s="227"/>
      <c r="UDY1720" s="227"/>
      <c r="UDZ1720" s="227"/>
      <c r="UEA1720" s="227"/>
      <c r="UEB1720" s="227"/>
      <c r="UEC1720" s="227"/>
      <c r="UED1720" s="227"/>
      <c r="UEE1720" s="227"/>
      <c r="UEF1720" s="227"/>
      <c r="UEG1720" s="227"/>
      <c r="UEH1720" s="227"/>
      <c r="UEI1720" s="227"/>
      <c r="UEJ1720" s="227"/>
      <c r="UEK1720" s="227"/>
      <c r="UEL1720" s="227"/>
      <c r="UEM1720" s="227"/>
      <c r="UEN1720" s="227"/>
      <c r="UEO1720" s="227"/>
      <c r="UEP1720" s="227"/>
      <c r="UEQ1720" s="227"/>
      <c r="UER1720" s="227"/>
      <c r="UES1720" s="227"/>
      <c r="UET1720" s="227"/>
      <c r="UEU1720" s="227"/>
      <c r="UEV1720" s="227"/>
      <c r="UEW1720" s="227"/>
      <c r="UEX1720" s="227"/>
      <c r="UEY1720" s="227"/>
      <c r="UEZ1720" s="227"/>
      <c r="UFA1720" s="227"/>
      <c r="UFB1720" s="227"/>
      <c r="UFC1720" s="227"/>
      <c r="UFD1720" s="227"/>
      <c r="UFE1720" s="227"/>
      <c r="UFF1720" s="227"/>
      <c r="UFG1720" s="227"/>
      <c r="UFH1720" s="227"/>
      <c r="UFI1720" s="227"/>
      <c r="UFJ1720" s="227"/>
      <c r="UFK1720" s="227"/>
      <c r="UFL1720" s="227"/>
      <c r="UFM1720" s="227"/>
      <c r="UFN1720" s="227"/>
      <c r="UFO1720" s="227"/>
      <c r="UFP1720" s="227"/>
      <c r="UFQ1720" s="227"/>
      <c r="UFR1720" s="227"/>
      <c r="UFS1720" s="227"/>
      <c r="UFT1720" s="227"/>
      <c r="UFU1720" s="227"/>
      <c r="UFV1720" s="227"/>
      <c r="UFW1720" s="227"/>
      <c r="UFX1720" s="227"/>
      <c r="UFY1720" s="227"/>
      <c r="UFZ1720" s="227"/>
      <c r="UGA1720" s="227"/>
      <c r="UGB1720" s="227"/>
      <c r="UGC1720" s="227"/>
      <c r="UGD1720" s="227"/>
      <c r="UGE1720" s="227"/>
      <c r="UGF1720" s="227"/>
      <c r="UGG1720" s="227"/>
      <c r="UGH1720" s="227"/>
      <c r="UGI1720" s="227"/>
      <c r="UGJ1720" s="227"/>
      <c r="UGK1720" s="227"/>
      <c r="UGL1720" s="227"/>
      <c r="UGM1720" s="227"/>
      <c r="UGN1720" s="227"/>
      <c r="UGO1720" s="227"/>
      <c r="UGP1720" s="227"/>
      <c r="UGQ1720" s="227"/>
      <c r="UGR1720" s="227"/>
      <c r="UGS1720" s="227"/>
      <c r="UGT1720" s="227"/>
      <c r="UGU1720" s="227"/>
      <c r="UGV1720" s="227"/>
      <c r="UGW1720" s="227"/>
      <c r="UGX1720" s="227"/>
      <c r="UGY1720" s="227"/>
      <c r="UGZ1720" s="227"/>
      <c r="UHA1720" s="227"/>
      <c r="UHB1720" s="227"/>
      <c r="UHC1720" s="227"/>
      <c r="UHD1720" s="227"/>
      <c r="UHE1720" s="227"/>
      <c r="UHF1720" s="227"/>
      <c r="UHG1720" s="227"/>
      <c r="UHH1720" s="227"/>
      <c r="UHI1720" s="227"/>
      <c r="UHJ1720" s="227"/>
      <c r="UHK1720" s="227"/>
      <c r="UHL1720" s="227"/>
      <c r="UHM1720" s="227"/>
      <c r="UHN1720" s="227"/>
      <c r="UHO1720" s="227"/>
      <c r="UHP1720" s="227"/>
      <c r="UHQ1720" s="227"/>
      <c r="UHR1720" s="227"/>
      <c r="UHS1720" s="227"/>
      <c r="UHT1720" s="227"/>
      <c r="UHU1720" s="227"/>
      <c r="UHV1720" s="227"/>
      <c r="UHW1720" s="227"/>
      <c r="UHX1720" s="227"/>
      <c r="UHY1720" s="227"/>
      <c r="UHZ1720" s="227"/>
      <c r="UIA1720" s="227"/>
      <c r="UIB1720" s="227"/>
      <c r="UIC1720" s="227"/>
      <c r="UID1720" s="227"/>
      <c r="UIE1720" s="227"/>
      <c r="UIF1720" s="227"/>
      <c r="UIG1720" s="227"/>
      <c r="UIH1720" s="227"/>
      <c r="UII1720" s="227"/>
      <c r="UIJ1720" s="227"/>
      <c r="UIK1720" s="227"/>
      <c r="UIL1720" s="227"/>
      <c r="UIM1720" s="227"/>
      <c r="UIN1720" s="227"/>
      <c r="UIO1720" s="227"/>
      <c r="UIP1720" s="227"/>
      <c r="UIQ1720" s="227"/>
      <c r="UIR1720" s="227"/>
      <c r="UIS1720" s="227"/>
      <c r="UIT1720" s="227"/>
      <c r="UIU1720" s="227"/>
      <c r="UIV1720" s="227"/>
      <c r="UIW1720" s="227"/>
      <c r="UIX1720" s="227"/>
      <c r="UIY1720" s="227"/>
      <c r="UIZ1720" s="227"/>
      <c r="UJA1720" s="227"/>
      <c r="UJB1720" s="227"/>
      <c r="UJC1720" s="227"/>
      <c r="UJD1720" s="227"/>
      <c r="UJE1720" s="227"/>
      <c r="UJF1720" s="227"/>
      <c r="UJG1720" s="227"/>
      <c r="UJH1720" s="227"/>
      <c r="UJI1720" s="227"/>
      <c r="UJJ1720" s="227"/>
      <c r="UJK1720" s="227"/>
      <c r="UJL1720" s="227"/>
      <c r="UJM1720" s="227"/>
      <c r="UJN1720" s="227"/>
      <c r="UJO1720" s="227"/>
      <c r="UJP1720" s="227"/>
      <c r="UJQ1720" s="227"/>
      <c r="UJR1720" s="227"/>
      <c r="UJS1720" s="227"/>
      <c r="UJT1720" s="227"/>
      <c r="UJU1720" s="227"/>
      <c r="UJV1720" s="227"/>
      <c r="UJW1720" s="227"/>
      <c r="UJX1720" s="227"/>
      <c r="UJY1720" s="227"/>
      <c r="UJZ1720" s="227"/>
      <c r="UKA1720" s="227"/>
      <c r="UKB1720" s="227"/>
      <c r="UKC1720" s="227"/>
      <c r="UKD1720" s="227"/>
      <c r="UKE1720" s="227"/>
      <c r="UKF1720" s="227"/>
      <c r="UKG1720" s="227"/>
      <c r="UKH1720" s="227"/>
      <c r="UKI1720" s="227"/>
      <c r="UKJ1720" s="227"/>
      <c r="UKK1720" s="227"/>
      <c r="UKL1720" s="227"/>
      <c r="UKM1720" s="227"/>
      <c r="UKN1720" s="227"/>
      <c r="UKO1720" s="227"/>
      <c r="UKP1720" s="227"/>
      <c r="UKQ1720" s="227"/>
      <c r="UKR1720" s="227"/>
      <c r="UKS1720" s="227"/>
      <c r="UKT1720" s="227"/>
      <c r="UKU1720" s="227"/>
      <c r="UKV1720" s="227"/>
      <c r="UKW1720" s="227"/>
      <c r="UKX1720" s="227"/>
      <c r="UKY1720" s="227"/>
      <c r="UKZ1720" s="227"/>
      <c r="ULA1720" s="227"/>
      <c r="ULB1720" s="227"/>
      <c r="ULC1720" s="227"/>
      <c r="ULD1720" s="227"/>
      <c r="ULE1720" s="227"/>
      <c r="ULF1720" s="227"/>
      <c r="ULG1720" s="227"/>
      <c r="ULH1720" s="227"/>
      <c r="ULI1720" s="227"/>
      <c r="ULJ1720" s="227"/>
      <c r="ULK1720" s="227"/>
      <c r="ULL1720" s="227"/>
      <c r="ULM1720" s="227"/>
      <c r="ULN1720" s="227"/>
      <c r="ULO1720" s="227"/>
      <c r="ULP1720" s="227"/>
      <c r="ULQ1720" s="227"/>
      <c r="ULR1720" s="227"/>
      <c r="ULS1720" s="227"/>
      <c r="ULT1720" s="227"/>
      <c r="ULU1720" s="227"/>
      <c r="ULV1720" s="227"/>
      <c r="ULW1720" s="227"/>
      <c r="ULX1720" s="227"/>
      <c r="ULY1720" s="227"/>
      <c r="ULZ1720" s="227"/>
      <c r="UMA1720" s="227"/>
      <c r="UMB1720" s="227"/>
      <c r="UMC1720" s="227"/>
      <c r="UMD1720" s="227"/>
      <c r="UME1720" s="227"/>
      <c r="UMF1720" s="227"/>
      <c r="UMG1720" s="227"/>
      <c r="UMH1720" s="227"/>
      <c r="UMI1720" s="227"/>
      <c r="UMJ1720" s="227"/>
      <c r="UMK1720" s="227"/>
      <c r="UML1720" s="227"/>
      <c r="UMM1720" s="227"/>
      <c r="UMN1720" s="227"/>
      <c r="UMO1720" s="227"/>
      <c r="UMP1720" s="227"/>
      <c r="UMQ1720" s="227"/>
      <c r="UMR1720" s="227"/>
      <c r="UMS1720" s="227"/>
      <c r="UMT1720" s="227"/>
      <c r="UMU1720" s="227"/>
      <c r="UMV1720" s="227"/>
      <c r="UMW1720" s="227"/>
      <c r="UMX1720" s="227"/>
      <c r="UMY1720" s="227"/>
      <c r="UMZ1720" s="227"/>
      <c r="UNA1720" s="227"/>
      <c r="UNB1720" s="227"/>
      <c r="UNC1720" s="227"/>
      <c r="UND1720" s="227"/>
      <c r="UNE1720" s="227"/>
      <c r="UNF1720" s="227"/>
      <c r="UNG1720" s="227"/>
      <c r="UNH1720" s="227"/>
      <c r="UNI1720" s="227"/>
      <c r="UNJ1720" s="227"/>
      <c r="UNK1720" s="227"/>
      <c r="UNL1720" s="227"/>
      <c r="UNM1720" s="227"/>
      <c r="UNN1720" s="227"/>
      <c r="UNO1720" s="227"/>
      <c r="UNP1720" s="227"/>
      <c r="UNQ1720" s="227"/>
      <c r="UNR1720" s="227"/>
      <c r="UNS1720" s="227"/>
      <c r="UNT1720" s="227"/>
      <c r="UNU1720" s="227"/>
      <c r="UNV1720" s="227"/>
      <c r="UNW1720" s="227"/>
      <c r="UNX1720" s="227"/>
      <c r="UNY1720" s="227"/>
      <c r="UNZ1720" s="227"/>
      <c r="UOA1720" s="227"/>
      <c r="UOB1720" s="227"/>
      <c r="UOC1720" s="227"/>
      <c r="UOD1720" s="227"/>
      <c r="UOE1720" s="227"/>
      <c r="UOF1720" s="227"/>
      <c r="UOG1720" s="227"/>
      <c r="UOH1720" s="227"/>
      <c r="UOI1720" s="227"/>
      <c r="UOJ1720" s="227"/>
      <c r="UOK1720" s="227"/>
      <c r="UOL1720" s="227"/>
      <c r="UOM1720" s="227"/>
      <c r="UON1720" s="227"/>
      <c r="UOO1720" s="227"/>
      <c r="UOP1720" s="227"/>
      <c r="UOQ1720" s="227"/>
      <c r="UOR1720" s="227"/>
      <c r="UOS1720" s="227"/>
      <c r="UOT1720" s="227"/>
      <c r="UOU1720" s="227"/>
      <c r="UOV1720" s="227"/>
      <c r="UOW1720" s="227"/>
      <c r="UOX1720" s="227"/>
      <c r="UOY1720" s="227"/>
      <c r="UOZ1720" s="227"/>
      <c r="UPA1720" s="227"/>
      <c r="UPB1720" s="227"/>
      <c r="UPC1720" s="227"/>
      <c r="UPD1720" s="227"/>
      <c r="UPE1720" s="227"/>
      <c r="UPF1720" s="227"/>
      <c r="UPG1720" s="227"/>
      <c r="UPH1720" s="227"/>
      <c r="UPI1720" s="227"/>
      <c r="UPJ1720" s="227"/>
      <c r="UPK1720" s="227"/>
      <c r="UPL1720" s="227"/>
      <c r="UPM1720" s="227"/>
      <c r="UPN1720" s="227"/>
      <c r="UPO1720" s="227"/>
      <c r="UPP1720" s="227"/>
      <c r="UPQ1720" s="227"/>
      <c r="UPR1720" s="227"/>
      <c r="UPS1720" s="227"/>
      <c r="UPT1720" s="227"/>
      <c r="UPU1720" s="227"/>
      <c r="UPV1720" s="227"/>
      <c r="UPW1720" s="227"/>
      <c r="UPX1720" s="227"/>
      <c r="UPY1720" s="227"/>
      <c r="UPZ1720" s="227"/>
      <c r="UQA1720" s="227"/>
      <c r="UQB1720" s="227"/>
      <c r="UQC1720" s="227"/>
      <c r="UQD1720" s="227"/>
      <c r="UQE1720" s="227"/>
      <c r="UQF1720" s="227"/>
      <c r="UQG1720" s="227"/>
      <c r="UQH1720" s="227"/>
      <c r="UQI1720" s="227"/>
      <c r="UQJ1720" s="227"/>
      <c r="UQK1720" s="227"/>
      <c r="UQL1720" s="227"/>
      <c r="UQM1720" s="227"/>
      <c r="UQN1720" s="227"/>
      <c r="UQO1720" s="227"/>
      <c r="UQP1720" s="227"/>
      <c r="UQQ1720" s="227"/>
      <c r="UQR1720" s="227"/>
      <c r="UQS1720" s="227"/>
      <c r="UQT1720" s="227"/>
      <c r="UQU1720" s="227"/>
      <c r="UQV1720" s="227"/>
      <c r="UQW1720" s="227"/>
      <c r="UQX1720" s="227"/>
      <c r="UQY1720" s="227"/>
      <c r="UQZ1720" s="227"/>
      <c r="URA1720" s="227"/>
      <c r="URB1720" s="227"/>
      <c r="URC1720" s="227"/>
      <c r="URD1720" s="227"/>
      <c r="URE1720" s="227"/>
      <c r="URF1720" s="227"/>
      <c r="URG1720" s="227"/>
      <c r="URH1720" s="227"/>
      <c r="URI1720" s="227"/>
      <c r="URJ1720" s="227"/>
      <c r="URK1720" s="227"/>
      <c r="URL1720" s="227"/>
      <c r="URM1720" s="227"/>
      <c r="URN1720" s="227"/>
      <c r="URO1720" s="227"/>
      <c r="URP1720" s="227"/>
      <c r="URQ1720" s="227"/>
      <c r="URR1720" s="227"/>
      <c r="URS1720" s="227"/>
      <c r="URT1720" s="227"/>
      <c r="URU1720" s="227"/>
      <c r="URV1720" s="227"/>
      <c r="URW1720" s="227"/>
      <c r="URX1720" s="227"/>
      <c r="URY1720" s="227"/>
      <c r="URZ1720" s="227"/>
      <c r="USA1720" s="227"/>
      <c r="USB1720" s="227"/>
      <c r="USC1720" s="227"/>
      <c r="USD1720" s="227"/>
      <c r="USE1720" s="227"/>
      <c r="USF1720" s="227"/>
      <c r="USG1720" s="227"/>
      <c r="USH1720" s="227"/>
      <c r="USI1720" s="227"/>
      <c r="USJ1720" s="227"/>
      <c r="USK1720" s="227"/>
      <c r="USL1720" s="227"/>
      <c r="USM1720" s="227"/>
      <c r="USN1720" s="227"/>
      <c r="USO1720" s="227"/>
      <c r="USP1720" s="227"/>
      <c r="USQ1720" s="227"/>
      <c r="USR1720" s="227"/>
      <c r="USS1720" s="227"/>
      <c r="UST1720" s="227"/>
      <c r="USU1720" s="227"/>
      <c r="USV1720" s="227"/>
      <c r="USW1720" s="227"/>
      <c r="USX1720" s="227"/>
      <c r="USY1720" s="227"/>
      <c r="USZ1720" s="227"/>
      <c r="UTA1720" s="227"/>
      <c r="UTB1720" s="227"/>
      <c r="UTC1720" s="227"/>
      <c r="UTD1720" s="227"/>
      <c r="UTE1720" s="227"/>
      <c r="UTF1720" s="227"/>
      <c r="UTG1720" s="227"/>
      <c r="UTH1720" s="227"/>
      <c r="UTI1720" s="227"/>
      <c r="UTJ1720" s="227"/>
      <c r="UTK1720" s="227"/>
      <c r="UTL1720" s="227"/>
      <c r="UTM1720" s="227"/>
      <c r="UTN1720" s="227"/>
      <c r="UTO1720" s="227"/>
      <c r="UTP1720" s="227"/>
      <c r="UTQ1720" s="227"/>
      <c r="UTR1720" s="227"/>
      <c r="UTS1720" s="227"/>
      <c r="UTT1720" s="227"/>
      <c r="UTU1720" s="227"/>
      <c r="UTV1720" s="227"/>
      <c r="UTW1720" s="227"/>
      <c r="UTX1720" s="227"/>
      <c r="UTY1720" s="227"/>
      <c r="UTZ1720" s="227"/>
      <c r="UUA1720" s="227"/>
      <c r="UUB1720" s="227"/>
      <c r="UUC1720" s="227"/>
      <c r="UUD1720" s="227"/>
      <c r="UUE1720" s="227"/>
      <c r="UUF1720" s="227"/>
      <c r="UUG1720" s="227"/>
      <c r="UUH1720" s="227"/>
      <c r="UUI1720" s="227"/>
      <c r="UUJ1720" s="227"/>
      <c r="UUK1720" s="227"/>
      <c r="UUL1720" s="227"/>
      <c r="UUM1720" s="227"/>
      <c r="UUN1720" s="227"/>
      <c r="UUO1720" s="227"/>
      <c r="UUP1720" s="227"/>
      <c r="UUQ1720" s="227"/>
      <c r="UUR1720" s="227"/>
      <c r="UUS1720" s="227"/>
      <c r="UUT1720" s="227"/>
      <c r="UUU1720" s="227"/>
      <c r="UUV1720" s="227"/>
      <c r="UUW1720" s="227"/>
      <c r="UUX1720" s="227"/>
      <c r="UUY1720" s="227"/>
      <c r="UUZ1720" s="227"/>
      <c r="UVA1720" s="227"/>
      <c r="UVB1720" s="227"/>
      <c r="UVC1720" s="227"/>
      <c r="UVD1720" s="227"/>
      <c r="UVE1720" s="227"/>
      <c r="UVF1720" s="227"/>
      <c r="UVG1720" s="227"/>
      <c r="UVH1720" s="227"/>
      <c r="UVI1720" s="227"/>
      <c r="UVJ1720" s="227"/>
      <c r="UVK1720" s="227"/>
      <c r="UVL1720" s="227"/>
      <c r="UVM1720" s="227"/>
      <c r="UVN1720" s="227"/>
      <c r="UVO1720" s="227"/>
      <c r="UVP1720" s="227"/>
      <c r="UVQ1720" s="227"/>
      <c r="UVR1720" s="227"/>
      <c r="UVS1720" s="227"/>
      <c r="UVT1720" s="227"/>
      <c r="UVU1720" s="227"/>
      <c r="UVV1720" s="227"/>
      <c r="UVW1720" s="227"/>
      <c r="UVX1720" s="227"/>
      <c r="UVY1720" s="227"/>
      <c r="UVZ1720" s="227"/>
      <c r="UWA1720" s="227"/>
      <c r="UWB1720" s="227"/>
      <c r="UWC1720" s="227"/>
      <c r="UWD1720" s="227"/>
      <c r="UWE1720" s="227"/>
      <c r="UWF1720" s="227"/>
      <c r="UWG1720" s="227"/>
      <c r="UWH1720" s="227"/>
      <c r="UWI1720" s="227"/>
      <c r="UWJ1720" s="227"/>
      <c r="UWK1720" s="227"/>
      <c r="UWL1720" s="227"/>
      <c r="UWM1720" s="227"/>
      <c r="UWN1720" s="227"/>
      <c r="UWO1720" s="227"/>
      <c r="UWP1720" s="227"/>
      <c r="UWQ1720" s="227"/>
      <c r="UWR1720" s="227"/>
      <c r="UWS1720" s="227"/>
      <c r="UWT1720" s="227"/>
      <c r="UWU1720" s="227"/>
      <c r="UWV1720" s="227"/>
      <c r="UWW1720" s="227"/>
      <c r="UWX1720" s="227"/>
      <c r="UWY1720" s="227"/>
      <c r="UWZ1720" s="227"/>
      <c r="UXA1720" s="227"/>
      <c r="UXB1720" s="227"/>
      <c r="UXC1720" s="227"/>
      <c r="UXD1720" s="227"/>
      <c r="UXE1720" s="227"/>
      <c r="UXF1720" s="227"/>
      <c r="UXG1720" s="227"/>
      <c r="UXH1720" s="227"/>
      <c r="UXI1720" s="227"/>
      <c r="UXJ1720" s="227"/>
      <c r="UXK1720" s="227"/>
      <c r="UXL1720" s="227"/>
      <c r="UXM1720" s="227"/>
      <c r="UXN1720" s="227"/>
      <c r="UXO1720" s="227"/>
      <c r="UXP1720" s="227"/>
      <c r="UXQ1720" s="227"/>
      <c r="UXR1720" s="227"/>
      <c r="UXS1720" s="227"/>
      <c r="UXT1720" s="227"/>
      <c r="UXU1720" s="227"/>
      <c r="UXV1720" s="227"/>
      <c r="UXW1720" s="227"/>
      <c r="UXX1720" s="227"/>
      <c r="UXY1720" s="227"/>
      <c r="UXZ1720" s="227"/>
      <c r="UYA1720" s="227"/>
      <c r="UYB1720" s="227"/>
      <c r="UYC1720" s="227"/>
      <c r="UYD1720" s="227"/>
      <c r="UYE1720" s="227"/>
      <c r="UYF1720" s="227"/>
      <c r="UYG1720" s="227"/>
      <c r="UYH1720" s="227"/>
      <c r="UYI1720" s="227"/>
      <c r="UYJ1720" s="227"/>
      <c r="UYK1720" s="227"/>
      <c r="UYL1720" s="227"/>
      <c r="UYM1720" s="227"/>
      <c r="UYN1720" s="227"/>
      <c r="UYO1720" s="227"/>
      <c r="UYP1720" s="227"/>
      <c r="UYQ1720" s="227"/>
      <c r="UYR1720" s="227"/>
      <c r="UYS1720" s="227"/>
      <c r="UYT1720" s="227"/>
      <c r="UYU1720" s="227"/>
      <c r="UYV1720" s="227"/>
      <c r="UYW1720" s="227"/>
      <c r="UYX1720" s="227"/>
      <c r="UYY1720" s="227"/>
      <c r="UYZ1720" s="227"/>
      <c r="UZA1720" s="227"/>
      <c r="UZB1720" s="227"/>
      <c r="UZC1720" s="227"/>
      <c r="UZD1720" s="227"/>
      <c r="UZE1720" s="227"/>
      <c r="UZF1720" s="227"/>
      <c r="UZG1720" s="227"/>
      <c r="UZH1720" s="227"/>
      <c r="UZI1720" s="227"/>
      <c r="UZJ1720" s="227"/>
      <c r="UZK1720" s="227"/>
      <c r="UZL1720" s="227"/>
      <c r="UZM1720" s="227"/>
      <c r="UZN1720" s="227"/>
      <c r="UZO1720" s="227"/>
      <c r="UZP1720" s="227"/>
      <c r="UZQ1720" s="227"/>
      <c r="UZR1720" s="227"/>
      <c r="UZS1720" s="227"/>
      <c r="UZT1720" s="227"/>
      <c r="UZU1720" s="227"/>
      <c r="UZV1720" s="227"/>
      <c r="UZW1720" s="227"/>
      <c r="UZX1720" s="227"/>
      <c r="UZY1720" s="227"/>
      <c r="UZZ1720" s="227"/>
      <c r="VAA1720" s="227"/>
      <c r="VAB1720" s="227"/>
      <c r="VAC1720" s="227"/>
      <c r="VAD1720" s="227"/>
      <c r="VAE1720" s="227"/>
      <c r="VAF1720" s="227"/>
      <c r="VAG1720" s="227"/>
      <c r="VAH1720" s="227"/>
      <c r="VAI1720" s="227"/>
      <c r="VAJ1720" s="227"/>
      <c r="VAK1720" s="227"/>
      <c r="VAL1720" s="227"/>
      <c r="VAM1720" s="227"/>
      <c r="VAN1720" s="227"/>
      <c r="VAO1720" s="227"/>
      <c r="VAP1720" s="227"/>
      <c r="VAQ1720" s="227"/>
      <c r="VAR1720" s="227"/>
      <c r="VAS1720" s="227"/>
      <c r="VAT1720" s="227"/>
      <c r="VAU1720" s="227"/>
      <c r="VAV1720" s="227"/>
      <c r="VAW1720" s="227"/>
      <c r="VAX1720" s="227"/>
      <c r="VAY1720" s="227"/>
      <c r="VAZ1720" s="227"/>
      <c r="VBA1720" s="227"/>
      <c r="VBB1720" s="227"/>
      <c r="VBC1720" s="227"/>
      <c r="VBD1720" s="227"/>
      <c r="VBE1720" s="227"/>
      <c r="VBF1720" s="227"/>
      <c r="VBG1720" s="227"/>
      <c r="VBH1720" s="227"/>
      <c r="VBI1720" s="227"/>
      <c r="VBJ1720" s="227"/>
      <c r="VBK1720" s="227"/>
      <c r="VBL1720" s="227"/>
      <c r="VBM1720" s="227"/>
      <c r="VBN1720" s="227"/>
      <c r="VBO1720" s="227"/>
      <c r="VBP1720" s="227"/>
      <c r="VBQ1720" s="227"/>
      <c r="VBR1720" s="227"/>
      <c r="VBS1720" s="227"/>
      <c r="VBT1720" s="227"/>
      <c r="VBU1720" s="227"/>
      <c r="VBV1720" s="227"/>
      <c r="VBW1720" s="227"/>
      <c r="VBX1720" s="227"/>
      <c r="VBY1720" s="227"/>
      <c r="VBZ1720" s="227"/>
      <c r="VCA1720" s="227"/>
      <c r="VCB1720" s="227"/>
      <c r="VCC1720" s="227"/>
      <c r="VCD1720" s="227"/>
      <c r="VCE1720" s="227"/>
      <c r="VCF1720" s="227"/>
      <c r="VCG1720" s="227"/>
      <c r="VCH1720" s="227"/>
      <c r="VCI1720" s="227"/>
      <c r="VCJ1720" s="227"/>
      <c r="VCK1720" s="227"/>
      <c r="VCL1720" s="227"/>
      <c r="VCM1720" s="227"/>
      <c r="VCN1720" s="227"/>
      <c r="VCO1720" s="227"/>
      <c r="VCP1720" s="227"/>
      <c r="VCQ1720" s="227"/>
      <c r="VCR1720" s="227"/>
      <c r="VCS1720" s="227"/>
      <c r="VCT1720" s="227"/>
      <c r="VCU1720" s="227"/>
      <c r="VCV1720" s="227"/>
      <c r="VCW1720" s="227"/>
      <c r="VCX1720" s="227"/>
      <c r="VCY1720" s="227"/>
      <c r="VCZ1720" s="227"/>
      <c r="VDA1720" s="227"/>
      <c r="VDB1720" s="227"/>
      <c r="VDC1720" s="227"/>
      <c r="VDD1720" s="227"/>
      <c r="VDE1720" s="227"/>
      <c r="VDF1720" s="227"/>
      <c r="VDG1720" s="227"/>
      <c r="VDH1720" s="227"/>
      <c r="VDI1720" s="227"/>
      <c r="VDJ1720" s="227"/>
      <c r="VDK1720" s="227"/>
      <c r="VDL1720" s="227"/>
      <c r="VDM1720" s="227"/>
      <c r="VDN1720" s="227"/>
      <c r="VDO1720" s="227"/>
      <c r="VDP1720" s="227"/>
      <c r="VDQ1720" s="227"/>
      <c r="VDR1720" s="227"/>
      <c r="VDS1720" s="227"/>
      <c r="VDT1720" s="227"/>
      <c r="VDU1720" s="227"/>
      <c r="VDV1720" s="227"/>
      <c r="VDW1720" s="227"/>
      <c r="VDX1720" s="227"/>
      <c r="VDY1720" s="227"/>
      <c r="VDZ1720" s="227"/>
      <c r="VEA1720" s="227"/>
      <c r="VEB1720" s="227"/>
      <c r="VEC1720" s="227"/>
      <c r="VED1720" s="227"/>
      <c r="VEE1720" s="227"/>
      <c r="VEF1720" s="227"/>
      <c r="VEG1720" s="227"/>
      <c r="VEH1720" s="227"/>
      <c r="VEI1720" s="227"/>
      <c r="VEJ1720" s="227"/>
      <c r="VEK1720" s="227"/>
      <c r="VEL1720" s="227"/>
      <c r="VEM1720" s="227"/>
      <c r="VEN1720" s="227"/>
      <c r="VEO1720" s="227"/>
      <c r="VEP1720" s="227"/>
      <c r="VEQ1720" s="227"/>
      <c r="VER1720" s="227"/>
      <c r="VES1720" s="227"/>
      <c r="VET1720" s="227"/>
      <c r="VEU1720" s="227"/>
      <c r="VEV1720" s="227"/>
      <c r="VEW1720" s="227"/>
      <c r="VEX1720" s="227"/>
      <c r="VEY1720" s="227"/>
      <c r="VEZ1720" s="227"/>
      <c r="VFA1720" s="227"/>
      <c r="VFB1720" s="227"/>
      <c r="VFC1720" s="227"/>
      <c r="VFD1720" s="227"/>
      <c r="VFE1720" s="227"/>
      <c r="VFF1720" s="227"/>
      <c r="VFG1720" s="227"/>
      <c r="VFH1720" s="227"/>
      <c r="VFI1720" s="227"/>
      <c r="VFJ1720" s="227"/>
      <c r="VFK1720" s="227"/>
      <c r="VFL1720" s="227"/>
      <c r="VFM1720" s="227"/>
      <c r="VFN1720" s="227"/>
      <c r="VFO1720" s="227"/>
      <c r="VFP1720" s="227"/>
      <c r="VFQ1720" s="227"/>
      <c r="VFR1720" s="227"/>
      <c r="VFS1720" s="227"/>
      <c r="VFT1720" s="227"/>
      <c r="VFU1720" s="227"/>
      <c r="VFV1720" s="227"/>
      <c r="VFW1720" s="227"/>
      <c r="VFX1720" s="227"/>
      <c r="VFY1720" s="227"/>
      <c r="VFZ1720" s="227"/>
      <c r="VGA1720" s="227"/>
      <c r="VGB1720" s="227"/>
      <c r="VGC1720" s="227"/>
      <c r="VGD1720" s="227"/>
      <c r="VGE1720" s="227"/>
      <c r="VGF1720" s="227"/>
      <c r="VGG1720" s="227"/>
      <c r="VGH1720" s="227"/>
      <c r="VGI1720" s="227"/>
      <c r="VGJ1720" s="227"/>
      <c r="VGK1720" s="227"/>
      <c r="VGL1720" s="227"/>
      <c r="VGM1720" s="227"/>
      <c r="VGN1720" s="227"/>
      <c r="VGO1720" s="227"/>
      <c r="VGP1720" s="227"/>
      <c r="VGQ1720" s="227"/>
      <c r="VGR1720" s="227"/>
      <c r="VGS1720" s="227"/>
      <c r="VGT1720" s="227"/>
      <c r="VGU1720" s="227"/>
      <c r="VGV1720" s="227"/>
      <c r="VGW1720" s="227"/>
      <c r="VGX1720" s="227"/>
      <c r="VGY1720" s="227"/>
      <c r="VGZ1720" s="227"/>
      <c r="VHA1720" s="227"/>
      <c r="VHB1720" s="227"/>
      <c r="VHC1720" s="227"/>
      <c r="VHD1720" s="227"/>
      <c r="VHE1720" s="227"/>
      <c r="VHF1720" s="227"/>
      <c r="VHG1720" s="227"/>
      <c r="VHH1720" s="227"/>
      <c r="VHI1720" s="227"/>
      <c r="VHJ1720" s="227"/>
      <c r="VHK1720" s="227"/>
      <c r="VHL1720" s="227"/>
      <c r="VHM1720" s="227"/>
      <c r="VHN1720" s="227"/>
      <c r="VHO1720" s="227"/>
      <c r="VHP1720" s="227"/>
      <c r="VHQ1720" s="227"/>
      <c r="VHR1720" s="227"/>
      <c r="VHS1720" s="227"/>
      <c r="VHT1720" s="227"/>
      <c r="VHU1720" s="227"/>
      <c r="VHV1720" s="227"/>
      <c r="VHW1720" s="227"/>
      <c r="VHX1720" s="227"/>
      <c r="VHY1720" s="227"/>
      <c r="VHZ1720" s="227"/>
      <c r="VIA1720" s="227"/>
      <c r="VIB1720" s="227"/>
      <c r="VIC1720" s="227"/>
      <c r="VID1720" s="227"/>
      <c r="VIE1720" s="227"/>
      <c r="VIF1720" s="227"/>
      <c r="VIG1720" s="227"/>
      <c r="VIH1720" s="227"/>
      <c r="VII1720" s="227"/>
      <c r="VIJ1720" s="227"/>
      <c r="VIK1720" s="227"/>
      <c r="VIL1720" s="227"/>
      <c r="VIM1720" s="227"/>
      <c r="VIN1720" s="227"/>
      <c r="VIO1720" s="227"/>
      <c r="VIP1720" s="227"/>
      <c r="VIQ1720" s="227"/>
      <c r="VIR1720" s="227"/>
      <c r="VIS1720" s="227"/>
      <c r="VIT1720" s="227"/>
      <c r="VIU1720" s="227"/>
      <c r="VIV1720" s="227"/>
      <c r="VIW1720" s="227"/>
      <c r="VIX1720" s="227"/>
      <c r="VIY1720" s="227"/>
      <c r="VIZ1720" s="227"/>
      <c r="VJA1720" s="227"/>
      <c r="VJB1720" s="227"/>
      <c r="VJC1720" s="227"/>
      <c r="VJD1720" s="227"/>
      <c r="VJE1720" s="227"/>
      <c r="VJF1720" s="227"/>
      <c r="VJG1720" s="227"/>
      <c r="VJH1720" s="227"/>
      <c r="VJI1720" s="227"/>
      <c r="VJJ1720" s="227"/>
      <c r="VJK1720" s="227"/>
      <c r="VJL1720" s="227"/>
      <c r="VJM1720" s="227"/>
      <c r="VJN1720" s="227"/>
      <c r="VJO1720" s="227"/>
      <c r="VJP1720" s="227"/>
      <c r="VJQ1720" s="227"/>
      <c r="VJR1720" s="227"/>
      <c r="VJS1720" s="227"/>
      <c r="VJT1720" s="227"/>
      <c r="VJU1720" s="227"/>
      <c r="VJV1720" s="227"/>
      <c r="VJW1720" s="227"/>
      <c r="VJX1720" s="227"/>
      <c r="VJY1720" s="227"/>
      <c r="VJZ1720" s="227"/>
      <c r="VKA1720" s="227"/>
      <c r="VKB1720" s="227"/>
      <c r="VKC1720" s="227"/>
      <c r="VKD1720" s="227"/>
      <c r="VKE1720" s="227"/>
      <c r="VKF1720" s="227"/>
      <c r="VKG1720" s="227"/>
      <c r="VKH1720" s="227"/>
      <c r="VKI1720" s="227"/>
      <c r="VKJ1720" s="227"/>
      <c r="VKK1720" s="227"/>
      <c r="VKL1720" s="227"/>
      <c r="VKM1720" s="227"/>
      <c r="VKN1720" s="227"/>
      <c r="VKO1720" s="227"/>
      <c r="VKP1720" s="227"/>
      <c r="VKQ1720" s="227"/>
      <c r="VKR1720" s="227"/>
      <c r="VKS1720" s="227"/>
      <c r="VKT1720" s="227"/>
      <c r="VKU1720" s="227"/>
      <c r="VKV1720" s="227"/>
      <c r="VKW1720" s="227"/>
      <c r="VKX1720" s="227"/>
      <c r="VKY1720" s="227"/>
      <c r="VKZ1720" s="227"/>
      <c r="VLA1720" s="227"/>
      <c r="VLB1720" s="227"/>
      <c r="VLC1720" s="227"/>
      <c r="VLD1720" s="227"/>
      <c r="VLE1720" s="227"/>
      <c r="VLF1720" s="227"/>
      <c r="VLG1720" s="227"/>
      <c r="VLH1720" s="227"/>
      <c r="VLI1720" s="227"/>
      <c r="VLJ1720" s="227"/>
      <c r="VLK1720" s="227"/>
      <c r="VLL1720" s="227"/>
      <c r="VLM1720" s="227"/>
      <c r="VLN1720" s="227"/>
      <c r="VLO1720" s="227"/>
      <c r="VLP1720" s="227"/>
      <c r="VLQ1720" s="227"/>
      <c r="VLR1720" s="227"/>
      <c r="VLS1720" s="227"/>
      <c r="VLT1720" s="227"/>
      <c r="VLU1720" s="227"/>
      <c r="VLV1720" s="227"/>
      <c r="VLW1720" s="227"/>
      <c r="VLX1720" s="227"/>
      <c r="VLY1720" s="227"/>
      <c r="VLZ1720" s="227"/>
      <c r="VMA1720" s="227"/>
      <c r="VMB1720" s="227"/>
      <c r="VMC1720" s="227"/>
      <c r="VMD1720" s="227"/>
      <c r="VME1720" s="227"/>
      <c r="VMF1720" s="227"/>
      <c r="VMG1720" s="227"/>
      <c r="VMH1720" s="227"/>
      <c r="VMI1720" s="227"/>
      <c r="VMJ1720" s="227"/>
      <c r="VMK1720" s="227"/>
      <c r="VML1720" s="227"/>
      <c r="VMM1720" s="227"/>
      <c r="VMN1720" s="227"/>
      <c r="VMO1720" s="227"/>
      <c r="VMP1720" s="227"/>
      <c r="VMQ1720" s="227"/>
      <c r="VMR1720" s="227"/>
      <c r="VMS1720" s="227"/>
      <c r="VMT1720" s="227"/>
      <c r="VMU1720" s="227"/>
      <c r="VMV1720" s="227"/>
      <c r="VMW1720" s="227"/>
      <c r="VMX1720" s="227"/>
      <c r="VMY1720" s="227"/>
      <c r="VMZ1720" s="227"/>
      <c r="VNA1720" s="227"/>
      <c r="VNB1720" s="227"/>
      <c r="VNC1720" s="227"/>
      <c r="VND1720" s="227"/>
      <c r="VNE1720" s="227"/>
      <c r="VNF1720" s="227"/>
      <c r="VNG1720" s="227"/>
      <c r="VNH1720" s="227"/>
      <c r="VNI1720" s="227"/>
      <c r="VNJ1720" s="227"/>
      <c r="VNK1720" s="227"/>
      <c r="VNL1720" s="227"/>
      <c r="VNM1720" s="227"/>
      <c r="VNN1720" s="227"/>
      <c r="VNO1720" s="227"/>
      <c r="VNP1720" s="227"/>
      <c r="VNQ1720" s="227"/>
      <c r="VNR1720" s="227"/>
      <c r="VNS1720" s="227"/>
      <c r="VNT1720" s="227"/>
      <c r="VNU1720" s="227"/>
      <c r="VNV1720" s="227"/>
      <c r="VNW1720" s="227"/>
      <c r="VNX1720" s="227"/>
      <c r="VNY1720" s="227"/>
      <c r="VNZ1720" s="227"/>
      <c r="VOA1720" s="227"/>
      <c r="VOB1720" s="227"/>
      <c r="VOC1720" s="227"/>
      <c r="VOD1720" s="227"/>
      <c r="VOE1720" s="227"/>
      <c r="VOF1720" s="227"/>
      <c r="VOG1720" s="227"/>
      <c r="VOH1720" s="227"/>
      <c r="VOI1720" s="227"/>
      <c r="VOJ1720" s="227"/>
      <c r="VOK1720" s="227"/>
      <c r="VOL1720" s="227"/>
      <c r="VOM1720" s="227"/>
      <c r="VON1720" s="227"/>
      <c r="VOO1720" s="227"/>
      <c r="VOP1720" s="227"/>
      <c r="VOQ1720" s="227"/>
      <c r="VOR1720" s="227"/>
      <c r="VOS1720" s="227"/>
      <c r="VOT1720" s="227"/>
      <c r="VOU1720" s="227"/>
      <c r="VOV1720" s="227"/>
      <c r="VOW1720" s="227"/>
      <c r="VOX1720" s="227"/>
      <c r="VOY1720" s="227"/>
      <c r="VOZ1720" s="227"/>
      <c r="VPA1720" s="227"/>
      <c r="VPB1720" s="227"/>
      <c r="VPC1720" s="227"/>
      <c r="VPD1720" s="227"/>
      <c r="VPE1720" s="227"/>
      <c r="VPF1720" s="227"/>
      <c r="VPG1720" s="227"/>
      <c r="VPH1720" s="227"/>
      <c r="VPI1720" s="227"/>
      <c r="VPJ1720" s="227"/>
      <c r="VPK1720" s="227"/>
      <c r="VPL1720" s="227"/>
      <c r="VPM1720" s="227"/>
      <c r="VPN1720" s="227"/>
      <c r="VPO1720" s="227"/>
      <c r="VPP1720" s="227"/>
      <c r="VPQ1720" s="227"/>
      <c r="VPR1720" s="227"/>
      <c r="VPS1720" s="227"/>
      <c r="VPT1720" s="227"/>
      <c r="VPU1720" s="227"/>
      <c r="VPV1720" s="227"/>
      <c r="VPW1720" s="227"/>
      <c r="VPX1720" s="227"/>
      <c r="VPY1720" s="227"/>
      <c r="VPZ1720" s="227"/>
      <c r="VQA1720" s="227"/>
      <c r="VQB1720" s="227"/>
      <c r="VQC1720" s="227"/>
      <c r="VQD1720" s="227"/>
      <c r="VQE1720" s="227"/>
      <c r="VQF1720" s="227"/>
      <c r="VQG1720" s="227"/>
      <c r="VQH1720" s="227"/>
      <c r="VQI1720" s="227"/>
      <c r="VQJ1720" s="227"/>
      <c r="VQK1720" s="227"/>
      <c r="VQL1720" s="227"/>
      <c r="VQM1720" s="227"/>
      <c r="VQN1720" s="227"/>
      <c r="VQO1720" s="227"/>
      <c r="VQP1720" s="227"/>
      <c r="VQQ1720" s="227"/>
      <c r="VQR1720" s="227"/>
      <c r="VQS1720" s="227"/>
      <c r="VQT1720" s="227"/>
      <c r="VQU1720" s="227"/>
      <c r="VQV1720" s="227"/>
      <c r="VQW1720" s="227"/>
      <c r="VQX1720" s="227"/>
      <c r="VQY1720" s="227"/>
      <c r="VQZ1720" s="227"/>
      <c r="VRA1720" s="227"/>
      <c r="VRB1720" s="227"/>
      <c r="VRC1720" s="227"/>
      <c r="VRD1720" s="227"/>
      <c r="VRE1720" s="227"/>
      <c r="VRF1720" s="227"/>
      <c r="VRG1720" s="227"/>
      <c r="VRH1720" s="227"/>
      <c r="VRI1720" s="227"/>
      <c r="VRJ1720" s="227"/>
      <c r="VRK1720" s="227"/>
      <c r="VRL1720" s="227"/>
      <c r="VRM1720" s="227"/>
      <c r="VRN1720" s="227"/>
      <c r="VRO1720" s="227"/>
      <c r="VRP1720" s="227"/>
      <c r="VRQ1720" s="227"/>
      <c r="VRR1720" s="227"/>
      <c r="VRS1720" s="227"/>
      <c r="VRT1720" s="227"/>
      <c r="VRU1720" s="227"/>
      <c r="VRV1720" s="227"/>
      <c r="VRW1720" s="227"/>
      <c r="VRX1720" s="227"/>
      <c r="VRY1720" s="227"/>
      <c r="VRZ1720" s="227"/>
      <c r="VSA1720" s="227"/>
      <c r="VSB1720" s="227"/>
      <c r="VSC1720" s="227"/>
      <c r="VSD1720" s="227"/>
      <c r="VSE1720" s="227"/>
      <c r="VSF1720" s="227"/>
      <c r="VSG1720" s="227"/>
      <c r="VSH1720" s="227"/>
      <c r="VSI1720" s="227"/>
      <c r="VSJ1720" s="227"/>
      <c r="VSK1720" s="227"/>
      <c r="VSL1720" s="227"/>
      <c r="VSM1720" s="227"/>
      <c r="VSN1720" s="227"/>
      <c r="VSO1720" s="227"/>
      <c r="VSP1720" s="227"/>
      <c r="VSQ1720" s="227"/>
      <c r="VSR1720" s="227"/>
      <c r="VSS1720" s="227"/>
      <c r="VST1720" s="227"/>
      <c r="VSU1720" s="227"/>
      <c r="VSV1720" s="227"/>
      <c r="VSW1720" s="227"/>
      <c r="VSX1720" s="227"/>
      <c r="VSY1720" s="227"/>
      <c r="VSZ1720" s="227"/>
      <c r="VTA1720" s="227"/>
      <c r="VTB1720" s="227"/>
      <c r="VTC1720" s="227"/>
      <c r="VTD1720" s="227"/>
      <c r="VTE1720" s="227"/>
      <c r="VTF1720" s="227"/>
      <c r="VTG1720" s="227"/>
      <c r="VTH1720" s="227"/>
      <c r="VTI1720" s="227"/>
      <c r="VTJ1720" s="227"/>
      <c r="VTK1720" s="227"/>
      <c r="VTL1720" s="227"/>
      <c r="VTM1720" s="227"/>
      <c r="VTN1720" s="227"/>
      <c r="VTO1720" s="227"/>
      <c r="VTP1720" s="227"/>
      <c r="VTQ1720" s="227"/>
      <c r="VTR1720" s="227"/>
      <c r="VTS1720" s="227"/>
      <c r="VTT1720" s="227"/>
      <c r="VTU1720" s="227"/>
      <c r="VTV1720" s="227"/>
      <c r="VTW1720" s="227"/>
      <c r="VTX1720" s="227"/>
      <c r="VTY1720" s="227"/>
      <c r="VTZ1720" s="227"/>
      <c r="VUA1720" s="227"/>
      <c r="VUB1720" s="227"/>
      <c r="VUC1720" s="227"/>
      <c r="VUD1720" s="227"/>
      <c r="VUE1720" s="227"/>
      <c r="VUF1720" s="227"/>
      <c r="VUG1720" s="227"/>
      <c r="VUH1720" s="227"/>
      <c r="VUI1720" s="227"/>
      <c r="VUJ1720" s="227"/>
      <c r="VUK1720" s="227"/>
      <c r="VUL1720" s="227"/>
      <c r="VUM1720" s="227"/>
      <c r="VUN1720" s="227"/>
      <c r="VUO1720" s="227"/>
      <c r="VUP1720" s="227"/>
      <c r="VUQ1720" s="227"/>
      <c r="VUR1720" s="227"/>
      <c r="VUS1720" s="227"/>
      <c r="VUT1720" s="227"/>
      <c r="VUU1720" s="227"/>
      <c r="VUV1720" s="227"/>
      <c r="VUW1720" s="227"/>
      <c r="VUX1720" s="227"/>
      <c r="VUY1720" s="227"/>
      <c r="VUZ1720" s="227"/>
      <c r="VVA1720" s="227"/>
      <c r="VVB1720" s="227"/>
      <c r="VVC1720" s="227"/>
      <c r="VVD1720" s="227"/>
      <c r="VVE1720" s="227"/>
      <c r="VVF1720" s="227"/>
      <c r="VVG1720" s="227"/>
      <c r="VVH1720" s="227"/>
      <c r="VVI1720" s="227"/>
      <c r="VVJ1720" s="227"/>
      <c r="VVK1720" s="227"/>
      <c r="VVL1720" s="227"/>
      <c r="VVM1720" s="227"/>
      <c r="VVN1720" s="227"/>
      <c r="VVO1720" s="227"/>
      <c r="VVP1720" s="227"/>
      <c r="VVQ1720" s="227"/>
      <c r="VVR1720" s="227"/>
      <c r="VVS1720" s="227"/>
      <c r="VVT1720" s="227"/>
      <c r="VVU1720" s="227"/>
      <c r="VVV1720" s="227"/>
      <c r="VVW1720" s="227"/>
      <c r="VVX1720" s="227"/>
      <c r="VVY1720" s="227"/>
      <c r="VVZ1720" s="227"/>
      <c r="VWA1720" s="227"/>
      <c r="VWB1720" s="227"/>
      <c r="VWC1720" s="227"/>
      <c r="VWD1720" s="227"/>
      <c r="VWE1720" s="227"/>
      <c r="VWF1720" s="227"/>
      <c r="VWG1720" s="227"/>
      <c r="VWH1720" s="227"/>
      <c r="VWI1720" s="227"/>
      <c r="VWJ1720" s="227"/>
      <c r="VWK1720" s="227"/>
      <c r="VWL1720" s="227"/>
      <c r="VWM1720" s="227"/>
      <c r="VWN1720" s="227"/>
      <c r="VWO1720" s="227"/>
      <c r="VWP1720" s="227"/>
      <c r="VWQ1720" s="227"/>
      <c r="VWR1720" s="227"/>
      <c r="VWS1720" s="227"/>
      <c r="VWT1720" s="227"/>
      <c r="VWU1720" s="227"/>
      <c r="VWV1720" s="227"/>
      <c r="VWW1720" s="227"/>
      <c r="VWX1720" s="227"/>
      <c r="VWY1720" s="227"/>
      <c r="VWZ1720" s="227"/>
      <c r="VXA1720" s="227"/>
      <c r="VXB1720" s="227"/>
      <c r="VXC1720" s="227"/>
      <c r="VXD1720" s="227"/>
      <c r="VXE1720" s="227"/>
      <c r="VXF1720" s="227"/>
      <c r="VXG1720" s="227"/>
      <c r="VXH1720" s="227"/>
      <c r="VXI1720" s="227"/>
      <c r="VXJ1720" s="227"/>
      <c r="VXK1720" s="227"/>
      <c r="VXL1720" s="227"/>
      <c r="VXM1720" s="227"/>
      <c r="VXN1720" s="227"/>
      <c r="VXO1720" s="227"/>
      <c r="VXP1720" s="227"/>
      <c r="VXQ1720" s="227"/>
      <c r="VXR1720" s="227"/>
      <c r="VXS1720" s="227"/>
      <c r="VXT1720" s="227"/>
      <c r="VXU1720" s="227"/>
      <c r="VXV1720" s="227"/>
      <c r="VXW1720" s="227"/>
      <c r="VXX1720" s="227"/>
      <c r="VXY1720" s="227"/>
      <c r="VXZ1720" s="227"/>
      <c r="VYA1720" s="227"/>
      <c r="VYB1720" s="227"/>
      <c r="VYC1720" s="227"/>
      <c r="VYD1720" s="227"/>
      <c r="VYE1720" s="227"/>
      <c r="VYF1720" s="227"/>
      <c r="VYG1720" s="227"/>
      <c r="VYH1720" s="227"/>
      <c r="VYI1720" s="227"/>
      <c r="VYJ1720" s="227"/>
      <c r="VYK1720" s="227"/>
      <c r="VYL1720" s="227"/>
      <c r="VYM1720" s="227"/>
      <c r="VYN1720" s="227"/>
      <c r="VYO1720" s="227"/>
      <c r="VYP1720" s="227"/>
      <c r="VYQ1720" s="227"/>
      <c r="VYR1720" s="227"/>
      <c r="VYS1720" s="227"/>
      <c r="VYT1720" s="227"/>
      <c r="VYU1720" s="227"/>
      <c r="VYV1720" s="227"/>
      <c r="VYW1720" s="227"/>
      <c r="VYX1720" s="227"/>
      <c r="VYY1720" s="227"/>
      <c r="VYZ1720" s="227"/>
      <c r="VZA1720" s="227"/>
      <c r="VZB1720" s="227"/>
      <c r="VZC1720" s="227"/>
      <c r="VZD1720" s="227"/>
      <c r="VZE1720" s="227"/>
      <c r="VZF1720" s="227"/>
      <c r="VZG1720" s="227"/>
      <c r="VZH1720" s="227"/>
      <c r="VZI1720" s="227"/>
      <c r="VZJ1720" s="227"/>
      <c r="VZK1720" s="227"/>
      <c r="VZL1720" s="227"/>
      <c r="VZM1720" s="227"/>
      <c r="VZN1720" s="227"/>
      <c r="VZO1720" s="227"/>
      <c r="VZP1720" s="227"/>
      <c r="VZQ1720" s="227"/>
      <c r="VZR1720" s="227"/>
      <c r="VZS1720" s="227"/>
      <c r="VZT1720" s="227"/>
      <c r="VZU1720" s="227"/>
      <c r="VZV1720" s="227"/>
      <c r="VZW1720" s="227"/>
      <c r="VZX1720" s="227"/>
      <c r="VZY1720" s="227"/>
      <c r="VZZ1720" s="227"/>
      <c r="WAA1720" s="227"/>
      <c r="WAB1720" s="227"/>
      <c r="WAC1720" s="227"/>
      <c r="WAD1720" s="227"/>
      <c r="WAE1720" s="227"/>
      <c r="WAF1720" s="227"/>
      <c r="WAG1720" s="227"/>
      <c r="WAH1720" s="227"/>
      <c r="WAI1720" s="227"/>
      <c r="WAJ1720" s="227"/>
      <c r="WAK1720" s="227"/>
      <c r="WAL1720" s="227"/>
      <c r="WAM1720" s="227"/>
      <c r="WAN1720" s="227"/>
      <c r="WAO1720" s="227"/>
      <c r="WAP1720" s="227"/>
      <c r="WAQ1720" s="227"/>
      <c r="WAR1720" s="227"/>
      <c r="WAS1720" s="227"/>
      <c r="WAT1720" s="227"/>
      <c r="WAU1720" s="227"/>
      <c r="WAV1720" s="227"/>
      <c r="WAW1720" s="227"/>
      <c r="WAX1720" s="227"/>
      <c r="WAY1720" s="227"/>
      <c r="WAZ1720" s="227"/>
      <c r="WBA1720" s="227"/>
      <c r="WBB1720" s="227"/>
      <c r="WBC1720" s="227"/>
      <c r="WBD1720" s="227"/>
      <c r="WBE1720" s="227"/>
      <c r="WBF1720" s="227"/>
      <c r="WBG1720" s="227"/>
      <c r="WBH1720" s="227"/>
      <c r="WBI1720" s="227"/>
      <c r="WBJ1720" s="227"/>
      <c r="WBK1720" s="227"/>
      <c r="WBL1720" s="227"/>
      <c r="WBM1720" s="227"/>
      <c r="WBN1720" s="227"/>
      <c r="WBO1720" s="227"/>
      <c r="WBP1720" s="227"/>
      <c r="WBQ1720" s="227"/>
      <c r="WBR1720" s="227"/>
      <c r="WBS1720" s="227"/>
      <c r="WBT1720" s="227"/>
      <c r="WBU1720" s="227"/>
      <c r="WBV1720" s="227"/>
      <c r="WBW1720" s="227"/>
      <c r="WBX1720" s="227"/>
      <c r="WBY1720" s="227"/>
      <c r="WBZ1720" s="227"/>
      <c r="WCA1720" s="227"/>
      <c r="WCB1720" s="227"/>
      <c r="WCC1720" s="227"/>
      <c r="WCD1720" s="227"/>
      <c r="WCE1720" s="227"/>
      <c r="WCF1720" s="227"/>
      <c r="WCG1720" s="227"/>
      <c r="WCH1720" s="227"/>
      <c r="WCI1720" s="227"/>
      <c r="WCJ1720" s="227"/>
      <c r="WCK1720" s="227"/>
      <c r="WCL1720" s="227"/>
      <c r="WCM1720" s="227"/>
      <c r="WCN1720" s="227"/>
      <c r="WCO1720" s="227"/>
      <c r="WCP1720" s="227"/>
      <c r="WCQ1720" s="227"/>
      <c r="WCR1720" s="227"/>
      <c r="WCS1720" s="227"/>
      <c r="WCT1720" s="227"/>
      <c r="WCU1720" s="227"/>
      <c r="WCV1720" s="227"/>
      <c r="WCW1720" s="227"/>
      <c r="WCX1720" s="227"/>
      <c r="WCY1720" s="227"/>
      <c r="WCZ1720" s="227"/>
      <c r="WDA1720" s="227"/>
      <c r="WDB1720" s="227"/>
      <c r="WDC1720" s="227"/>
      <c r="WDD1720" s="227"/>
      <c r="WDE1720" s="227"/>
      <c r="WDF1720" s="227"/>
      <c r="WDG1720" s="227"/>
      <c r="WDH1720" s="227"/>
      <c r="WDI1720" s="227"/>
      <c r="WDJ1720" s="227"/>
      <c r="WDK1720" s="227"/>
      <c r="WDL1720" s="227"/>
      <c r="WDM1720" s="227"/>
      <c r="WDN1720" s="227"/>
      <c r="WDO1720" s="227"/>
      <c r="WDP1720" s="227"/>
      <c r="WDQ1720" s="227"/>
      <c r="WDR1720" s="227"/>
      <c r="WDS1720" s="227"/>
      <c r="WDT1720" s="227"/>
      <c r="WDU1720" s="227"/>
      <c r="WDV1720" s="227"/>
      <c r="WDW1720" s="227"/>
      <c r="WDX1720" s="227"/>
      <c r="WDY1720" s="227"/>
      <c r="WDZ1720" s="227"/>
      <c r="WEA1720" s="227"/>
      <c r="WEB1720" s="227"/>
      <c r="WEC1720" s="227"/>
      <c r="WED1720" s="227"/>
      <c r="WEE1720" s="227"/>
      <c r="WEF1720" s="227"/>
      <c r="WEG1720" s="227"/>
      <c r="WEH1720" s="227"/>
      <c r="WEI1720" s="227"/>
      <c r="WEJ1720" s="227"/>
      <c r="WEK1720" s="227"/>
      <c r="WEL1720" s="227"/>
      <c r="WEM1720" s="227"/>
      <c r="WEN1720" s="227"/>
      <c r="WEO1720" s="227"/>
      <c r="WEP1720" s="227"/>
      <c r="WEQ1720" s="227"/>
      <c r="WER1720" s="227"/>
      <c r="WES1720" s="227"/>
      <c r="WET1720" s="227"/>
      <c r="WEU1720" s="227"/>
      <c r="WEV1720" s="227"/>
      <c r="WEW1720" s="227"/>
      <c r="WEX1720" s="227"/>
      <c r="WEY1720" s="227"/>
      <c r="WEZ1720" s="227"/>
      <c r="WFA1720" s="227"/>
      <c r="WFB1720" s="227"/>
      <c r="WFC1720" s="227"/>
      <c r="WFD1720" s="227"/>
      <c r="WFE1720" s="227"/>
      <c r="WFF1720" s="227"/>
      <c r="WFG1720" s="227"/>
      <c r="WFH1720" s="227"/>
      <c r="WFI1720" s="227"/>
      <c r="WFJ1720" s="227"/>
      <c r="WFK1720" s="227"/>
      <c r="WFL1720" s="227"/>
      <c r="WFM1720" s="227"/>
      <c r="WFN1720" s="227"/>
      <c r="WFO1720" s="227"/>
      <c r="WFP1720" s="227"/>
      <c r="WFQ1720" s="227"/>
      <c r="WFR1720" s="227"/>
      <c r="WFS1720" s="227"/>
      <c r="WFT1720" s="227"/>
      <c r="WFU1720" s="227"/>
      <c r="WFV1720" s="227"/>
      <c r="WFW1720" s="227"/>
      <c r="WFX1720" s="227"/>
      <c r="WFY1720" s="227"/>
      <c r="WFZ1720" s="227"/>
      <c r="WGA1720" s="227"/>
      <c r="WGB1720" s="227"/>
      <c r="WGC1720" s="227"/>
      <c r="WGD1720" s="227"/>
      <c r="WGE1720" s="227"/>
      <c r="WGF1720" s="227"/>
      <c r="WGG1720" s="227"/>
      <c r="WGH1720" s="227"/>
      <c r="WGI1720" s="227"/>
      <c r="WGJ1720" s="227"/>
      <c r="WGK1720" s="227"/>
      <c r="WGL1720" s="227"/>
      <c r="WGM1720" s="227"/>
      <c r="WGN1720" s="227"/>
      <c r="WGO1720" s="227"/>
      <c r="WGP1720" s="227"/>
      <c r="WGQ1720" s="227"/>
      <c r="WGR1720" s="227"/>
      <c r="WGS1720" s="227"/>
      <c r="WGT1720" s="227"/>
      <c r="WGU1720" s="227"/>
      <c r="WGV1720" s="227"/>
      <c r="WGW1720" s="227"/>
      <c r="WGX1720" s="227"/>
      <c r="WGY1720" s="227"/>
      <c r="WGZ1720" s="227"/>
      <c r="WHA1720" s="227"/>
      <c r="WHB1720" s="227"/>
      <c r="WHC1720" s="227"/>
      <c r="WHD1720" s="227"/>
      <c r="WHE1720" s="227"/>
      <c r="WHF1720" s="227"/>
      <c r="WHG1720" s="227"/>
      <c r="WHH1720" s="227"/>
      <c r="WHI1720" s="227"/>
      <c r="WHJ1720" s="227"/>
      <c r="WHK1720" s="227"/>
      <c r="WHL1720" s="227"/>
      <c r="WHM1720" s="227"/>
      <c r="WHN1720" s="227"/>
      <c r="WHO1720" s="227"/>
      <c r="WHP1720" s="227"/>
      <c r="WHQ1720" s="227"/>
      <c r="WHR1720" s="227"/>
      <c r="WHS1720" s="227"/>
      <c r="WHT1720" s="227"/>
      <c r="WHU1720" s="227"/>
      <c r="WHV1720" s="227"/>
      <c r="WHW1720" s="227"/>
      <c r="WHX1720" s="227"/>
      <c r="WHY1720" s="227"/>
      <c r="WHZ1720" s="227"/>
      <c r="WIA1720" s="227"/>
      <c r="WIB1720" s="227"/>
      <c r="WIC1720" s="227"/>
      <c r="WID1720" s="227"/>
      <c r="WIE1720" s="227"/>
      <c r="WIF1720" s="227"/>
      <c r="WIG1720" s="227"/>
      <c r="WIH1720" s="227"/>
      <c r="WII1720" s="227"/>
      <c r="WIJ1720" s="227"/>
      <c r="WIK1720" s="227"/>
      <c r="WIL1720" s="227"/>
      <c r="WIM1720" s="227"/>
      <c r="WIN1720" s="227"/>
      <c r="WIO1720" s="227"/>
      <c r="WIP1720" s="227"/>
      <c r="WIQ1720" s="227"/>
      <c r="WIR1720" s="227"/>
      <c r="WIS1720" s="227"/>
      <c r="WIT1720" s="227"/>
      <c r="WIU1720" s="227"/>
      <c r="WIV1720" s="227"/>
      <c r="WIW1720" s="227"/>
      <c r="WIX1720" s="227"/>
      <c r="WIY1720" s="227"/>
      <c r="WIZ1720" s="227"/>
      <c r="WJA1720" s="227"/>
      <c r="WJB1720" s="227"/>
      <c r="WJC1720" s="227"/>
      <c r="WJD1720" s="227"/>
      <c r="WJE1720" s="227"/>
      <c r="WJF1720" s="227"/>
      <c r="WJG1720" s="227"/>
      <c r="WJH1720" s="227"/>
      <c r="WJI1720" s="227"/>
      <c r="WJJ1720" s="227"/>
      <c r="WJK1720" s="227"/>
      <c r="WJL1720" s="227"/>
      <c r="WJM1720" s="227"/>
      <c r="WJN1720" s="227"/>
      <c r="WJO1720" s="227"/>
      <c r="WJP1720" s="227"/>
      <c r="WJQ1720" s="227"/>
      <c r="WJR1720" s="227"/>
      <c r="WJS1720" s="227"/>
      <c r="WJT1720" s="227"/>
      <c r="WJU1720" s="227"/>
      <c r="WJV1720" s="227"/>
      <c r="WJW1720" s="227"/>
      <c r="WJX1720" s="227"/>
      <c r="WJY1720" s="227"/>
      <c r="WJZ1720" s="227"/>
      <c r="WKA1720" s="227"/>
      <c r="WKB1720" s="227"/>
      <c r="WKC1720" s="227"/>
      <c r="WKD1720" s="227"/>
      <c r="WKE1720" s="227"/>
      <c r="WKF1720" s="227"/>
      <c r="WKG1720" s="227"/>
      <c r="WKH1720" s="227"/>
      <c r="WKI1720" s="227"/>
      <c r="WKJ1720" s="227"/>
      <c r="WKK1720" s="227"/>
      <c r="WKL1720" s="227"/>
      <c r="WKM1720" s="227"/>
      <c r="WKN1720" s="227"/>
      <c r="WKO1720" s="227"/>
      <c r="WKP1720" s="227"/>
      <c r="WKQ1720" s="227"/>
      <c r="WKR1720" s="227"/>
      <c r="WKS1720" s="227"/>
      <c r="WKT1720" s="227"/>
      <c r="WKU1720" s="227"/>
      <c r="WKV1720" s="227"/>
      <c r="WKW1720" s="227"/>
      <c r="WKX1720" s="227"/>
      <c r="WKY1720" s="227"/>
      <c r="WKZ1720" s="227"/>
      <c r="WLA1720" s="227"/>
      <c r="WLB1720" s="227"/>
      <c r="WLC1720" s="227"/>
      <c r="WLD1720" s="227"/>
      <c r="WLE1720" s="227"/>
      <c r="WLF1720" s="227"/>
      <c r="WLG1720" s="227"/>
      <c r="WLH1720" s="227"/>
      <c r="WLI1720" s="227"/>
      <c r="WLJ1720" s="227"/>
      <c r="WLK1720" s="227"/>
      <c r="WLL1720" s="227"/>
      <c r="WLM1720" s="227"/>
      <c r="WLN1720" s="227"/>
      <c r="WLO1720" s="227"/>
      <c r="WLP1720" s="227"/>
      <c r="WLQ1720" s="227"/>
      <c r="WLR1720" s="227"/>
      <c r="WLS1720" s="227"/>
      <c r="WLT1720" s="227"/>
      <c r="WLU1720" s="227"/>
      <c r="WLV1720" s="227"/>
      <c r="WLW1720" s="227"/>
      <c r="WLX1720" s="227"/>
      <c r="WLY1720" s="227"/>
      <c r="WLZ1720" s="227"/>
      <c r="WMA1720" s="227"/>
      <c r="WMB1720" s="227"/>
      <c r="WMC1720" s="227"/>
      <c r="WMD1720" s="227"/>
      <c r="WME1720" s="227"/>
      <c r="WMF1720" s="227"/>
      <c r="WMG1720" s="227"/>
      <c r="WMH1720" s="227"/>
      <c r="WMI1720" s="227"/>
      <c r="WMJ1720" s="227"/>
      <c r="WMK1720" s="227"/>
      <c r="WML1720" s="227"/>
      <c r="WMM1720" s="227"/>
      <c r="WMN1720" s="227"/>
      <c r="WMO1720" s="227"/>
      <c r="WMP1720" s="227"/>
      <c r="WMQ1720" s="227"/>
      <c r="WMR1720" s="227"/>
      <c r="WMS1720" s="227"/>
      <c r="WMT1720" s="227"/>
      <c r="WMU1720" s="227"/>
      <c r="WMV1720" s="227"/>
      <c r="WMW1720" s="227"/>
      <c r="WMX1720" s="227"/>
      <c r="WMY1720" s="227"/>
      <c r="WMZ1720" s="227"/>
      <c r="WNA1720" s="227"/>
      <c r="WNB1720" s="227"/>
      <c r="WNC1720" s="227"/>
      <c r="WND1720" s="227"/>
      <c r="WNE1720" s="227"/>
      <c r="WNF1720" s="227"/>
      <c r="WNG1720" s="227"/>
      <c r="WNH1720" s="227"/>
      <c r="WNI1720" s="227"/>
      <c r="WNJ1720" s="227"/>
      <c r="WNK1720" s="227"/>
      <c r="WNL1720" s="227"/>
      <c r="WNM1720" s="227"/>
      <c r="WNN1720" s="227"/>
      <c r="WNO1720" s="227"/>
      <c r="WNP1720" s="227"/>
      <c r="WNQ1720" s="227"/>
      <c r="WNR1720" s="227"/>
      <c r="WNS1720" s="227"/>
      <c r="WNT1720" s="227"/>
      <c r="WNU1720" s="227"/>
      <c r="WNV1720" s="227"/>
      <c r="WNW1720" s="227"/>
      <c r="WNX1720" s="227"/>
      <c r="WNY1720" s="227"/>
      <c r="WNZ1720" s="227"/>
      <c r="WOA1720" s="227"/>
      <c r="WOB1720" s="227"/>
      <c r="WOC1720" s="227"/>
      <c r="WOD1720" s="227"/>
      <c r="WOE1720" s="227"/>
      <c r="WOF1720" s="227"/>
      <c r="WOG1720" s="227"/>
      <c r="WOH1720" s="227"/>
      <c r="WOI1720" s="227"/>
      <c r="WOJ1720" s="227"/>
      <c r="WOK1720" s="227"/>
      <c r="WOL1720" s="227"/>
      <c r="WOM1720" s="227"/>
      <c r="WON1720" s="227"/>
      <c r="WOO1720" s="227"/>
      <c r="WOP1720" s="227"/>
      <c r="WOQ1720" s="227"/>
      <c r="WOR1720" s="227"/>
      <c r="WOS1720" s="227"/>
      <c r="WOT1720" s="227"/>
      <c r="WOU1720" s="227"/>
      <c r="WOV1720" s="227"/>
      <c r="WOW1720" s="227"/>
      <c r="WOX1720" s="227"/>
      <c r="WOY1720" s="227"/>
      <c r="WOZ1720" s="227"/>
      <c r="WPA1720" s="227"/>
      <c r="WPB1720" s="227"/>
      <c r="WPC1720" s="227"/>
      <c r="WPD1720" s="227"/>
      <c r="WPE1720" s="227"/>
      <c r="WPF1720" s="227"/>
      <c r="WPG1720" s="227"/>
      <c r="WPH1720" s="227"/>
      <c r="WPI1720" s="227"/>
      <c r="WPJ1720" s="227"/>
      <c r="WPK1720" s="227"/>
      <c r="WPL1720" s="227"/>
      <c r="WPM1720" s="227"/>
      <c r="WPN1720" s="227"/>
      <c r="WPO1720" s="227"/>
      <c r="WPP1720" s="227"/>
      <c r="WPQ1720" s="227"/>
      <c r="WPR1720" s="227"/>
      <c r="WPS1720" s="227"/>
      <c r="WPT1720" s="227"/>
      <c r="WPU1720" s="227"/>
      <c r="WPV1720" s="227"/>
      <c r="WPW1720" s="227"/>
      <c r="WPX1720" s="227"/>
      <c r="WPY1720" s="227"/>
      <c r="WPZ1720" s="227"/>
      <c r="WQA1720" s="227"/>
      <c r="WQB1720" s="227"/>
      <c r="WQC1720" s="227"/>
      <c r="WQD1720" s="227"/>
      <c r="WQE1720" s="227"/>
      <c r="WQF1720" s="227"/>
      <c r="WQG1720" s="227"/>
      <c r="WQH1720" s="227"/>
      <c r="WQI1720" s="227"/>
      <c r="WQJ1720" s="227"/>
      <c r="WQK1720" s="227"/>
      <c r="WQL1720" s="227"/>
      <c r="WQM1720" s="227"/>
      <c r="WQN1720" s="227"/>
      <c r="WQO1720" s="227"/>
      <c r="WQP1720" s="227"/>
      <c r="WQQ1720" s="227"/>
      <c r="WQR1720" s="227"/>
      <c r="WQS1720" s="227"/>
      <c r="WQT1720" s="227"/>
      <c r="WQU1720" s="227"/>
      <c r="WQV1720" s="227"/>
      <c r="WQW1720" s="227"/>
      <c r="WQX1720" s="227"/>
      <c r="WQY1720" s="227"/>
      <c r="WQZ1720" s="227"/>
      <c r="WRA1720" s="227"/>
      <c r="WRB1720" s="227"/>
      <c r="WRC1720" s="227"/>
      <c r="WRD1720" s="227"/>
      <c r="WRE1720" s="227"/>
      <c r="WRF1720" s="227"/>
      <c r="WRG1720" s="227"/>
      <c r="WRH1720" s="227"/>
      <c r="WRI1720" s="227"/>
      <c r="WRJ1720" s="227"/>
      <c r="WRK1720" s="227"/>
      <c r="WRL1720" s="227"/>
      <c r="WRM1720" s="227"/>
      <c r="WRN1720" s="227"/>
      <c r="WRO1720" s="227"/>
      <c r="WRP1720" s="227"/>
      <c r="WRQ1720" s="227"/>
      <c r="WRR1720" s="227"/>
      <c r="WRS1720" s="227"/>
      <c r="WRT1720" s="227"/>
      <c r="WRU1720" s="227"/>
      <c r="WRV1720" s="227"/>
      <c r="WRW1720" s="227"/>
      <c r="WRX1720" s="227"/>
      <c r="WRY1720" s="227"/>
      <c r="WRZ1720" s="227"/>
      <c r="WSA1720" s="227"/>
      <c r="WSB1720" s="227"/>
      <c r="WSC1720" s="227"/>
      <c r="WSD1720" s="227"/>
      <c r="WSE1720" s="227"/>
      <c r="WSF1720" s="227"/>
      <c r="WSG1720" s="227"/>
      <c r="WSH1720" s="227"/>
      <c r="WSI1720" s="227"/>
      <c r="WSJ1720" s="227"/>
      <c r="WSK1720" s="227"/>
      <c r="WSL1720" s="227"/>
      <c r="WSM1720" s="227"/>
      <c r="WSN1720" s="227"/>
      <c r="WSO1720" s="227"/>
      <c r="WSP1720" s="227"/>
      <c r="WSQ1720" s="227"/>
      <c r="WSR1720" s="227"/>
      <c r="WSS1720" s="227"/>
      <c r="WST1720" s="227"/>
      <c r="WSU1720" s="227"/>
      <c r="WSV1720" s="227"/>
      <c r="WSW1720" s="227"/>
      <c r="WSX1720" s="227"/>
      <c r="WSY1720" s="227"/>
      <c r="WSZ1720" s="227"/>
      <c r="WTA1720" s="227"/>
      <c r="WTB1720" s="227"/>
      <c r="WTC1720" s="227"/>
      <c r="WTD1720" s="227"/>
      <c r="WTE1720" s="227"/>
      <c r="WTF1720" s="227"/>
      <c r="WTG1720" s="227"/>
      <c r="WTH1720" s="227"/>
      <c r="WTI1720" s="227"/>
      <c r="WTJ1720" s="227"/>
      <c r="WTK1720" s="227"/>
      <c r="WTL1720" s="227"/>
      <c r="WTM1720" s="227"/>
      <c r="WTN1720" s="227"/>
      <c r="WTO1720" s="227"/>
      <c r="WTP1720" s="227"/>
      <c r="WTQ1720" s="227"/>
      <c r="WTR1720" s="227"/>
      <c r="WTS1720" s="227"/>
      <c r="WTT1720" s="227"/>
      <c r="WTU1720" s="227"/>
      <c r="WTV1720" s="227"/>
      <c r="WTW1720" s="227"/>
      <c r="WTX1720" s="227"/>
      <c r="WTY1720" s="227"/>
      <c r="WTZ1720" s="227"/>
      <c r="WUA1720" s="227"/>
      <c r="WUB1720" s="227"/>
      <c r="WUC1720" s="227"/>
      <c r="WUD1720" s="227"/>
      <c r="WUE1720" s="227"/>
      <c r="WUF1720" s="227"/>
      <c r="WUG1720" s="227"/>
      <c r="WUH1720" s="227"/>
      <c r="WUI1720" s="227"/>
      <c r="WUJ1720" s="227"/>
      <c r="WUK1720" s="227"/>
      <c r="WUL1720" s="227"/>
      <c r="WUM1720" s="227"/>
      <c r="WUN1720" s="227"/>
      <c r="WUO1720" s="227"/>
      <c r="WUP1720" s="227"/>
      <c r="WUQ1720" s="227"/>
      <c r="WUR1720" s="227"/>
      <c r="WUS1720" s="227"/>
      <c r="WUT1720" s="227"/>
      <c r="WUU1720" s="227"/>
      <c r="WUV1720" s="227"/>
      <c r="WUW1720" s="227"/>
      <c r="WUX1720" s="227"/>
      <c r="WUY1720" s="227"/>
      <c r="WUZ1720" s="227"/>
      <c r="WVA1720" s="227"/>
      <c r="WVB1720" s="227"/>
      <c r="WVC1720" s="227"/>
      <c r="WVD1720" s="227"/>
      <c r="WVE1720" s="227"/>
      <c r="WVF1720" s="227"/>
      <c r="WVG1720" s="227"/>
      <c r="WVH1720" s="227"/>
      <c r="WVI1720" s="227"/>
      <c r="WVJ1720" s="227"/>
      <c r="WVK1720" s="227"/>
      <c r="WVL1720" s="227"/>
      <c r="WVM1720" s="227"/>
      <c r="WVN1720" s="227"/>
      <c r="WVO1720" s="227"/>
      <c r="WVP1720" s="227"/>
      <c r="WVQ1720" s="227"/>
      <c r="WVR1720" s="227"/>
      <c r="WVS1720" s="227"/>
      <c r="WVT1720" s="227"/>
      <c r="WVU1720" s="227"/>
      <c r="WVV1720" s="227"/>
      <c r="WVW1720" s="227"/>
      <c r="WVX1720" s="227"/>
      <c r="WVY1720" s="227"/>
      <c r="WVZ1720" s="227"/>
      <c r="WWA1720" s="227"/>
      <c r="WWB1720" s="227"/>
      <c r="WWC1720" s="227"/>
      <c r="WWD1720" s="227"/>
      <c r="WWE1720" s="227"/>
      <c r="WWF1720" s="227"/>
      <c r="WWG1720" s="227"/>
      <c r="WWH1720" s="227"/>
      <c r="WWI1720" s="227"/>
      <c r="WWJ1720" s="227"/>
      <c r="WWK1720" s="227"/>
      <c r="WWL1720" s="227"/>
      <c r="WWM1720" s="227"/>
      <c r="WWN1720" s="227"/>
      <c r="WWO1720" s="227"/>
      <c r="WWP1720" s="227"/>
      <c r="WWQ1720" s="227"/>
      <c r="WWR1720" s="227"/>
      <c r="WWS1720" s="227"/>
      <c r="WWT1720" s="227"/>
      <c r="WWU1720" s="227"/>
      <c r="WWV1720" s="227"/>
      <c r="WWW1720" s="227"/>
      <c r="WWX1720" s="227"/>
      <c r="WWY1720" s="227"/>
      <c r="WWZ1720" s="227"/>
      <c r="WXA1720" s="227"/>
      <c r="WXB1720" s="227"/>
      <c r="WXC1720" s="227"/>
      <c r="WXD1720" s="227"/>
      <c r="WXE1720" s="227"/>
      <c r="WXF1720" s="227"/>
      <c r="WXG1720" s="227"/>
      <c r="WXH1720" s="227"/>
      <c r="WXI1720" s="227"/>
      <c r="WXJ1720" s="227"/>
      <c r="WXK1720" s="227"/>
      <c r="WXL1720" s="227"/>
      <c r="WXM1720" s="227"/>
      <c r="WXN1720" s="227"/>
      <c r="WXO1720" s="227"/>
      <c r="WXP1720" s="227"/>
      <c r="WXQ1720" s="227"/>
      <c r="WXR1720" s="227"/>
      <c r="WXS1720" s="227"/>
      <c r="WXT1720" s="227"/>
      <c r="WXU1720" s="227"/>
      <c r="WXV1720" s="227"/>
      <c r="WXW1720" s="227"/>
      <c r="WXX1720" s="227"/>
      <c r="WXY1720" s="227"/>
      <c r="WXZ1720" s="227"/>
      <c r="WYA1720" s="227"/>
      <c r="WYB1720" s="227"/>
      <c r="WYC1720" s="227"/>
      <c r="WYD1720" s="227"/>
      <c r="WYE1720" s="227"/>
      <c r="WYF1720" s="227"/>
      <c r="WYG1720" s="227"/>
      <c r="WYH1720" s="227"/>
      <c r="WYI1720" s="227"/>
      <c r="WYJ1720" s="227"/>
      <c r="WYK1720" s="227"/>
      <c r="WYL1720" s="227"/>
      <c r="WYM1720" s="227"/>
      <c r="WYN1720" s="227"/>
      <c r="WYO1720" s="227"/>
      <c r="WYP1720" s="227"/>
      <c r="WYQ1720" s="227"/>
      <c r="WYR1720" s="227"/>
      <c r="WYS1720" s="227"/>
      <c r="WYT1720" s="227"/>
      <c r="WYU1720" s="227"/>
      <c r="WYV1720" s="227"/>
      <c r="WYW1720" s="227"/>
      <c r="WYX1720" s="227"/>
      <c r="WYY1720" s="227"/>
      <c r="WYZ1720" s="227"/>
      <c r="WZA1720" s="227"/>
      <c r="WZB1720" s="227"/>
      <c r="WZC1720" s="227"/>
      <c r="WZD1720" s="227"/>
      <c r="WZE1720" s="227"/>
      <c r="WZF1720" s="227"/>
      <c r="WZG1720" s="227"/>
      <c r="WZH1720" s="227"/>
      <c r="WZI1720" s="227"/>
      <c r="WZJ1720" s="227"/>
      <c r="WZK1720" s="227"/>
      <c r="WZL1720" s="227"/>
      <c r="WZM1720" s="227"/>
      <c r="WZN1720" s="227"/>
      <c r="WZO1720" s="227"/>
      <c r="WZP1720" s="227"/>
      <c r="WZQ1720" s="227"/>
      <c r="WZR1720" s="227"/>
      <c r="WZS1720" s="227"/>
      <c r="WZT1720" s="227"/>
      <c r="WZU1720" s="227"/>
      <c r="WZV1720" s="227"/>
      <c r="WZW1720" s="227"/>
      <c r="WZX1720" s="227"/>
      <c r="WZY1720" s="227"/>
      <c r="WZZ1720" s="227"/>
      <c r="XAA1720" s="227"/>
      <c r="XAB1720" s="227"/>
      <c r="XAC1720" s="227"/>
      <c r="XAD1720" s="227"/>
      <c r="XAE1720" s="227"/>
      <c r="XAF1720" s="227"/>
      <c r="XAG1720" s="227"/>
      <c r="XAH1720" s="227"/>
      <c r="XAI1720" s="227"/>
      <c r="XAJ1720" s="227"/>
      <c r="XAK1720" s="227"/>
      <c r="XAL1720" s="227"/>
      <c r="XAM1720" s="227"/>
      <c r="XAN1720" s="227"/>
      <c r="XAO1720" s="227"/>
      <c r="XAP1720" s="227"/>
      <c r="XAQ1720" s="227"/>
      <c r="XAR1720" s="227"/>
      <c r="XAS1720" s="227"/>
      <c r="XAT1720" s="227"/>
      <c r="XAU1720" s="227"/>
      <c r="XAV1720" s="227"/>
      <c r="XAW1720" s="227"/>
      <c r="XAX1720" s="227"/>
      <c r="XAY1720" s="227"/>
      <c r="XAZ1720" s="227"/>
      <c r="XBA1720" s="227"/>
      <c r="XBB1720" s="227"/>
      <c r="XBC1720" s="227"/>
      <c r="XBD1720" s="227"/>
      <c r="XBE1720" s="227"/>
      <c r="XBF1720" s="227"/>
      <c r="XBG1720" s="227"/>
      <c r="XBH1720" s="227"/>
      <c r="XBI1720" s="227"/>
      <c r="XBJ1720" s="227"/>
      <c r="XBK1720" s="227"/>
      <c r="XBL1720" s="227"/>
      <c r="XBM1720" s="227"/>
      <c r="XBN1720" s="227"/>
      <c r="XBO1720" s="227"/>
      <c r="XBP1720" s="227"/>
      <c r="XBQ1720" s="227"/>
      <c r="XBR1720" s="227"/>
      <c r="XBS1720" s="227"/>
      <c r="XBT1720" s="227"/>
      <c r="XBU1720" s="227"/>
      <c r="XBV1720" s="227"/>
      <c r="XBW1720" s="227"/>
      <c r="XBX1720" s="227"/>
      <c r="XBY1720" s="227"/>
      <c r="XBZ1720" s="227"/>
      <c r="XCA1720" s="227"/>
      <c r="XCB1720" s="227"/>
      <c r="XCC1720" s="227"/>
      <c r="XCD1720" s="227"/>
      <c r="XCE1720" s="227"/>
      <c r="XCF1720" s="227"/>
      <c r="XCG1720" s="227"/>
      <c r="XCH1720" s="227"/>
      <c r="XCI1720" s="227"/>
      <c r="XCJ1720" s="227"/>
      <c r="XCK1720" s="227"/>
      <c r="XCL1720" s="227"/>
      <c r="XCM1720" s="227"/>
      <c r="XCN1720" s="227"/>
      <c r="XCO1720" s="227"/>
      <c r="XCP1720" s="227"/>
      <c r="XCQ1720" s="227"/>
      <c r="XCR1720" s="227"/>
      <c r="XCS1720" s="227"/>
      <c r="XCT1720" s="227"/>
      <c r="XCU1720" s="227"/>
      <c r="XCV1720" s="227"/>
      <c r="XCW1720" s="227"/>
      <c r="XCX1720" s="227"/>
      <c r="XCY1720" s="227"/>
      <c r="XCZ1720" s="227"/>
      <c r="XDA1720" s="227"/>
      <c r="XDB1720" s="227"/>
      <c r="XDC1720" s="227"/>
      <c r="XDD1720" s="227"/>
      <c r="XDE1720" s="227"/>
      <c r="XDF1720" s="227"/>
      <c r="XDG1720" s="227"/>
      <c r="XDH1720" s="227"/>
      <c r="XDI1720" s="227"/>
      <c r="XDJ1720" s="227"/>
      <c r="XDK1720" s="227"/>
      <c r="XDL1720" s="227"/>
      <c r="XDM1720" s="227"/>
      <c r="XDN1720" s="227"/>
      <c r="XDO1720" s="227"/>
      <c r="XDP1720" s="227"/>
      <c r="XDQ1720" s="227"/>
      <c r="XDR1720" s="227"/>
      <c r="XDS1720" s="227"/>
      <c r="XDT1720" s="227"/>
      <c r="XDU1720" s="227"/>
      <c r="XDV1720" s="227"/>
      <c r="XDW1720" s="227"/>
      <c r="XDX1720" s="227"/>
      <c r="XDY1720" s="227"/>
      <c r="XDZ1720" s="227"/>
      <c r="XEA1720" s="227"/>
      <c r="XEB1720" s="227"/>
      <c r="XEC1720" s="227"/>
      <c r="XED1720" s="227"/>
      <c r="XEE1720" s="227"/>
      <c r="XEF1720" s="227"/>
      <c r="XEG1720" s="227"/>
      <c r="XEH1720" s="227"/>
      <c r="XEI1720" s="227"/>
      <c r="XEJ1720" s="227"/>
      <c r="XEK1720" s="227"/>
      <c r="XEL1720" s="227"/>
      <c r="XEM1720" s="227"/>
      <c r="XEN1720" s="227"/>
      <c r="XEO1720" s="227"/>
      <c r="XEP1720" s="227"/>
      <c r="XEQ1720" s="227"/>
      <c r="XER1720" s="227"/>
      <c r="XES1720" s="227"/>
      <c r="XET1720" s="227"/>
      <c r="XEU1720" s="227"/>
      <c r="XEV1720" s="227"/>
      <c r="XEW1720" s="227"/>
      <c r="XEX1720" s="227"/>
      <c r="XEY1720" s="227"/>
      <c r="XEZ1720" s="227"/>
      <c r="XFA1720" s="227"/>
      <c r="XFB1720" s="227"/>
      <c r="XFC1720" s="227"/>
      <c r="XFD1720" s="227"/>
    </row>
    <row r="1721" spans="1:16384" customFormat="1" x14ac:dyDescent="0.25">
      <c r="A1721" s="243">
        <v>486</v>
      </c>
      <c r="B1721" s="244">
        <v>44922.409722222219</v>
      </c>
      <c r="C1721" s="245">
        <v>0.41319444444444442</v>
      </c>
      <c r="D1721" s="245">
        <v>0.4201388888888889</v>
      </c>
      <c r="E1721" s="245">
        <v>0.4236111111111111</v>
      </c>
      <c r="F1721" s="246" t="s">
        <v>171</v>
      </c>
      <c r="G1721" s="246" t="s">
        <v>295</v>
      </c>
      <c r="H1721" s="230" t="s">
        <v>85</v>
      </c>
      <c r="I1721" s="230" t="s">
        <v>86</v>
      </c>
      <c r="J1721" s="230" t="s">
        <v>37</v>
      </c>
      <c r="K1721" s="238" t="s">
        <v>180</v>
      </c>
      <c r="L1721" s="238" t="s">
        <v>207</v>
      </c>
      <c r="M1721" s="246" t="s">
        <v>4374</v>
      </c>
      <c r="N1721" s="246" t="s">
        <v>42</v>
      </c>
      <c r="O1721" s="246" t="s">
        <v>4375</v>
      </c>
      <c r="P1721" s="246" t="s">
        <v>4376</v>
      </c>
      <c r="Q1721" s="303">
        <f t="shared" si="151"/>
        <v>0</v>
      </c>
      <c r="R1721" s="303">
        <f t="shared" si="152"/>
        <v>0</v>
      </c>
      <c r="S1721" s="246">
        <v>0</v>
      </c>
      <c r="T1721" s="246">
        <v>0</v>
      </c>
      <c r="U1721" s="246">
        <v>0</v>
      </c>
      <c r="V1721" s="246">
        <v>0</v>
      </c>
      <c r="W1721" s="246">
        <v>0</v>
      </c>
      <c r="X1721" s="246">
        <v>120</v>
      </c>
      <c r="Y1721" s="246">
        <v>80</v>
      </c>
      <c r="Z1721" s="246">
        <v>50</v>
      </c>
      <c r="AA1721" s="246">
        <v>1</v>
      </c>
      <c r="AB1721" s="300">
        <f t="shared" si="153"/>
        <v>80</v>
      </c>
      <c r="AC1721" s="300">
        <f t="shared" si="154"/>
        <v>0.48192771084337349</v>
      </c>
      <c r="AD1721" s="246">
        <v>0</v>
      </c>
      <c r="AE1721" s="246">
        <v>0</v>
      </c>
      <c r="AF1721" s="246" t="s">
        <v>4377</v>
      </c>
      <c r="AG1721" s="246" t="s">
        <v>4336</v>
      </c>
      <c r="AH1721" s="246" t="s">
        <v>4378</v>
      </c>
      <c r="AI1721" s="246"/>
      <c r="AJ1721" s="246"/>
      <c r="AK1721" s="246" t="s">
        <v>37</v>
      </c>
      <c r="AL1721" s="246" t="s">
        <v>49</v>
      </c>
      <c r="AM1721" s="299">
        <f t="shared" ca="1" si="150"/>
        <v>0.14583333333575865</v>
      </c>
      <c r="AN1721" s="247"/>
      <c r="AO1721" s="230" t="s">
        <v>87</v>
      </c>
      <c r="AP1721" s="231" t="s">
        <v>4374</v>
      </c>
      <c r="AQ1721" s="230" t="s">
        <v>4395</v>
      </c>
      <c r="AR1721" s="233">
        <v>44922.555555555555</v>
      </c>
      <c r="AS1721" s="228" t="s">
        <v>173</v>
      </c>
      <c r="AT1721" s="230" t="s">
        <v>225</v>
      </c>
      <c r="AU1721" s="232">
        <v>0.55555555555555558</v>
      </c>
      <c r="AV1721" s="230">
        <v>1</v>
      </c>
      <c r="AW1721" s="230" t="s">
        <v>66</v>
      </c>
      <c r="AX1721" s="242"/>
      <c r="AY1721" s="242"/>
      <c r="AZ1721" s="242"/>
      <c r="BA1721" s="242"/>
      <c r="BB1721" s="227"/>
      <c r="BC1721" s="227"/>
      <c r="BD1721" s="227"/>
      <c r="BE1721" s="227"/>
      <c r="BF1721" s="227"/>
      <c r="BG1721" s="227"/>
      <c r="BH1721" s="227"/>
      <c r="BI1721" s="227"/>
      <c r="BJ1721" s="227"/>
      <c r="BK1721" s="227"/>
      <c r="BL1721" s="227"/>
      <c r="BM1721" s="227"/>
      <c r="BN1721" s="227"/>
      <c r="BO1721" s="227"/>
      <c r="BP1721" s="227"/>
      <c r="BQ1721" s="227"/>
      <c r="BR1721" s="227"/>
      <c r="BS1721" s="227"/>
      <c r="BT1721" s="227"/>
      <c r="BU1721" s="227"/>
      <c r="BV1721" s="227"/>
      <c r="BW1721" s="227"/>
      <c r="BX1721" s="227"/>
      <c r="BY1721" s="227"/>
      <c r="BZ1721" s="227"/>
      <c r="CA1721" s="227"/>
      <c r="CB1721" s="227"/>
      <c r="CC1721" s="227"/>
      <c r="CD1721" s="227"/>
      <c r="CE1721" s="227"/>
      <c r="CF1721" s="227"/>
      <c r="CG1721" s="227"/>
      <c r="CH1721" s="227"/>
      <c r="CI1721" s="227"/>
      <c r="CJ1721" s="227"/>
      <c r="CK1721" s="227"/>
      <c r="CL1721" s="227"/>
      <c r="CM1721" s="227"/>
      <c r="CN1721" s="227"/>
      <c r="CO1721" s="227"/>
      <c r="CP1721" s="227"/>
      <c r="CQ1721" s="227"/>
      <c r="CR1721" s="227"/>
      <c r="CS1721" s="227"/>
      <c r="CT1721" s="227"/>
      <c r="CU1721" s="227"/>
      <c r="CV1721" s="227"/>
      <c r="CW1721" s="227"/>
      <c r="CX1721" s="227"/>
      <c r="CY1721" s="227"/>
      <c r="CZ1721" s="227"/>
      <c r="DA1721" s="227"/>
      <c r="DB1721" s="227"/>
      <c r="DC1721" s="227"/>
      <c r="DD1721" s="227"/>
      <c r="DE1721" s="227"/>
      <c r="DF1721" s="227"/>
      <c r="DG1721" s="227"/>
      <c r="DH1721" s="227"/>
      <c r="DI1721" s="227"/>
      <c r="DJ1721" s="227"/>
      <c r="DK1721" s="227"/>
      <c r="DL1721" s="227"/>
      <c r="DM1721" s="227"/>
      <c r="DN1721" s="227"/>
      <c r="DO1721" s="227"/>
      <c r="DP1721" s="227"/>
      <c r="DQ1721" s="227"/>
      <c r="DR1721" s="227"/>
      <c r="DS1721" s="227"/>
      <c r="DT1721" s="227"/>
      <c r="DU1721" s="227"/>
      <c r="DV1721" s="227"/>
      <c r="DW1721" s="227"/>
      <c r="DX1721" s="227"/>
      <c r="DY1721" s="227"/>
      <c r="DZ1721" s="227"/>
      <c r="EA1721" s="227"/>
      <c r="EB1721" s="227"/>
      <c r="EC1721" s="227"/>
      <c r="ED1721" s="227"/>
      <c r="EE1721" s="227"/>
      <c r="EF1721" s="227"/>
      <c r="EG1721" s="227"/>
      <c r="EH1721" s="227"/>
      <c r="EI1721" s="227"/>
      <c r="EJ1721" s="227"/>
      <c r="EK1721" s="227"/>
      <c r="EL1721" s="227"/>
      <c r="EM1721" s="227"/>
      <c r="EN1721" s="227"/>
      <c r="EO1721" s="227"/>
      <c r="EP1721" s="227"/>
      <c r="EQ1721" s="227"/>
      <c r="ER1721" s="227"/>
      <c r="ES1721" s="227"/>
      <c r="ET1721" s="227"/>
      <c r="EU1721" s="227"/>
      <c r="EV1721" s="227"/>
      <c r="EW1721" s="227"/>
      <c r="EX1721" s="227"/>
      <c r="EY1721" s="227"/>
      <c r="EZ1721" s="227"/>
      <c r="FA1721" s="227"/>
      <c r="FB1721" s="227"/>
      <c r="FC1721" s="227"/>
      <c r="FD1721" s="227"/>
      <c r="FE1721" s="227"/>
      <c r="FF1721" s="227"/>
      <c r="FG1721" s="227"/>
      <c r="FH1721" s="227"/>
      <c r="FI1721" s="227"/>
      <c r="FJ1721" s="227"/>
      <c r="FK1721" s="227"/>
      <c r="FL1721" s="227"/>
      <c r="FM1721" s="227"/>
      <c r="FN1721" s="227"/>
      <c r="FO1721" s="227"/>
      <c r="FP1721" s="227"/>
      <c r="FQ1721" s="227"/>
      <c r="FR1721" s="227"/>
      <c r="FS1721" s="227"/>
      <c r="FT1721" s="227"/>
      <c r="FU1721" s="227"/>
      <c r="FV1721" s="227"/>
      <c r="FW1721" s="227"/>
      <c r="FX1721" s="227"/>
      <c r="FY1721" s="227"/>
      <c r="FZ1721" s="227"/>
      <c r="GA1721" s="227"/>
      <c r="GB1721" s="227"/>
      <c r="GC1721" s="227"/>
      <c r="GD1721" s="227"/>
      <c r="GE1721" s="227"/>
      <c r="GF1721" s="227"/>
      <c r="GG1721" s="227"/>
      <c r="GH1721" s="227"/>
      <c r="GI1721" s="227"/>
      <c r="GJ1721" s="227"/>
      <c r="GK1721" s="227"/>
      <c r="GL1721" s="227"/>
      <c r="GM1721" s="227"/>
      <c r="GN1721" s="227"/>
      <c r="GO1721" s="227"/>
      <c r="GP1721" s="227"/>
      <c r="GQ1721" s="227"/>
      <c r="GR1721" s="227"/>
      <c r="GS1721" s="227"/>
      <c r="GT1721" s="227"/>
      <c r="GU1721" s="227"/>
      <c r="GV1721" s="227"/>
      <c r="GW1721" s="227"/>
      <c r="GX1721" s="227"/>
      <c r="GY1721" s="227"/>
      <c r="GZ1721" s="227"/>
      <c r="HA1721" s="227"/>
      <c r="HB1721" s="227"/>
      <c r="HC1721" s="227"/>
      <c r="HD1721" s="227"/>
      <c r="HE1721" s="227"/>
      <c r="HF1721" s="227"/>
      <c r="HG1721" s="227"/>
      <c r="HH1721" s="227"/>
      <c r="HI1721" s="227"/>
      <c r="HJ1721" s="227"/>
      <c r="HK1721" s="227"/>
      <c r="HL1721" s="227"/>
      <c r="HM1721" s="227"/>
      <c r="HN1721" s="227"/>
      <c r="HO1721" s="227"/>
      <c r="HP1721" s="227"/>
      <c r="HQ1721" s="227"/>
      <c r="HR1721" s="227"/>
      <c r="HS1721" s="227"/>
      <c r="HT1721" s="227"/>
      <c r="HU1721" s="227"/>
      <c r="HV1721" s="227"/>
      <c r="HW1721" s="227"/>
      <c r="HX1721" s="227"/>
      <c r="HY1721" s="227"/>
      <c r="HZ1721" s="227"/>
      <c r="IA1721" s="227"/>
      <c r="IB1721" s="227"/>
      <c r="IC1721" s="227"/>
      <c r="ID1721" s="227"/>
      <c r="IE1721" s="227"/>
      <c r="IF1721" s="227"/>
      <c r="IG1721" s="227"/>
      <c r="IH1721" s="227"/>
      <c r="II1721" s="227"/>
      <c r="IJ1721" s="227"/>
      <c r="IK1721" s="227"/>
      <c r="IL1721" s="227"/>
      <c r="IM1721" s="227"/>
      <c r="IN1721" s="227"/>
      <c r="IO1721" s="227"/>
      <c r="IP1721" s="227"/>
      <c r="IQ1721" s="227"/>
      <c r="IR1721" s="227"/>
      <c r="IS1721" s="227"/>
      <c r="IT1721" s="227"/>
      <c r="IU1721" s="227"/>
      <c r="IV1721" s="227"/>
      <c r="IW1721" s="227"/>
      <c r="IX1721" s="227"/>
      <c r="IY1721" s="227"/>
      <c r="IZ1721" s="227"/>
      <c r="JA1721" s="227"/>
      <c r="JB1721" s="227"/>
      <c r="JC1721" s="227"/>
      <c r="JD1721" s="227"/>
      <c r="JE1721" s="227"/>
      <c r="JF1721" s="227"/>
      <c r="JG1721" s="227"/>
      <c r="JH1721" s="227"/>
      <c r="JI1721" s="227"/>
      <c r="JJ1721" s="227"/>
      <c r="JK1721" s="227"/>
      <c r="JL1721" s="227"/>
      <c r="JM1721" s="227"/>
      <c r="JN1721" s="227"/>
      <c r="JO1721" s="227"/>
      <c r="JP1721" s="227"/>
      <c r="JQ1721" s="227"/>
      <c r="JR1721" s="227"/>
      <c r="JS1721" s="227"/>
      <c r="JT1721" s="227"/>
      <c r="JU1721" s="227"/>
      <c r="JV1721" s="227"/>
      <c r="JW1721" s="227"/>
      <c r="JX1721" s="227"/>
      <c r="JY1721" s="227"/>
      <c r="JZ1721" s="227"/>
      <c r="KA1721" s="227"/>
      <c r="KB1721" s="227"/>
      <c r="KC1721" s="227"/>
      <c r="KD1721" s="227"/>
      <c r="KE1721" s="227"/>
      <c r="KF1721" s="227"/>
      <c r="KG1721" s="227"/>
      <c r="KH1721" s="227"/>
      <c r="KI1721" s="227"/>
      <c r="KJ1721" s="227"/>
      <c r="KK1721" s="227"/>
      <c r="KL1721" s="227"/>
      <c r="KM1721" s="227"/>
      <c r="KN1721" s="227"/>
      <c r="KO1721" s="227"/>
      <c r="KP1721" s="227"/>
      <c r="KQ1721" s="227"/>
      <c r="KR1721" s="227"/>
      <c r="KS1721" s="227"/>
      <c r="KT1721" s="227"/>
      <c r="KU1721" s="227"/>
      <c r="KV1721" s="227"/>
      <c r="KW1721" s="227"/>
      <c r="KX1721" s="227"/>
      <c r="KY1721" s="227"/>
      <c r="KZ1721" s="227"/>
      <c r="LA1721" s="227"/>
      <c r="LB1721" s="227"/>
      <c r="LC1721" s="227"/>
      <c r="LD1721" s="227"/>
      <c r="LE1721" s="227"/>
      <c r="LF1721" s="227"/>
      <c r="LG1721" s="227"/>
      <c r="LH1721" s="227"/>
      <c r="LI1721" s="227"/>
      <c r="LJ1721" s="227"/>
      <c r="LK1721" s="227"/>
      <c r="LL1721" s="227"/>
      <c r="LM1721" s="227"/>
      <c r="LN1721" s="227"/>
      <c r="LO1721" s="227"/>
      <c r="LP1721" s="227"/>
      <c r="LQ1721" s="227"/>
      <c r="LR1721" s="227"/>
      <c r="LS1721" s="227"/>
      <c r="LT1721" s="227"/>
      <c r="LU1721" s="227"/>
      <c r="LV1721" s="227"/>
      <c r="LW1721" s="227"/>
      <c r="LX1721" s="227"/>
      <c r="LY1721" s="227"/>
      <c r="LZ1721" s="227"/>
      <c r="MA1721" s="227"/>
      <c r="MB1721" s="227"/>
      <c r="MC1721" s="227"/>
      <c r="MD1721" s="227"/>
      <c r="ME1721" s="227"/>
      <c r="MF1721" s="227"/>
      <c r="MG1721" s="227"/>
      <c r="MH1721" s="227"/>
      <c r="MI1721" s="227"/>
      <c r="MJ1721" s="227"/>
      <c r="MK1721" s="227"/>
      <c r="ML1721" s="227"/>
      <c r="MM1721" s="227"/>
      <c r="MN1721" s="227"/>
      <c r="MO1721" s="227"/>
      <c r="MP1721" s="227"/>
      <c r="MQ1721" s="227"/>
      <c r="MR1721" s="227"/>
      <c r="MS1721" s="227"/>
      <c r="MT1721" s="227"/>
      <c r="MU1721" s="227"/>
      <c r="MV1721" s="227"/>
      <c r="MW1721" s="227"/>
      <c r="MX1721" s="227"/>
      <c r="MY1721" s="227"/>
      <c r="MZ1721" s="227"/>
      <c r="NA1721" s="227"/>
      <c r="NB1721" s="227"/>
      <c r="NC1721" s="227"/>
      <c r="ND1721" s="227"/>
      <c r="NE1721" s="227"/>
      <c r="NF1721" s="227"/>
      <c r="NG1721" s="227"/>
      <c r="NH1721" s="227"/>
      <c r="NI1721" s="227"/>
      <c r="NJ1721" s="227"/>
      <c r="NK1721" s="227"/>
      <c r="NL1721" s="227"/>
      <c r="NM1721" s="227"/>
      <c r="NN1721" s="227"/>
      <c r="NO1721" s="227"/>
      <c r="NP1721" s="227"/>
      <c r="NQ1721" s="227"/>
      <c r="NR1721" s="227"/>
      <c r="NS1721" s="227"/>
      <c r="NT1721" s="227"/>
      <c r="NU1721" s="227"/>
      <c r="NV1721" s="227"/>
      <c r="NW1721" s="227"/>
      <c r="NX1721" s="227"/>
      <c r="NY1721" s="227"/>
      <c r="NZ1721" s="227"/>
      <c r="OA1721" s="227"/>
      <c r="OB1721" s="227"/>
      <c r="OC1721" s="227"/>
      <c r="OD1721" s="227"/>
      <c r="OE1721" s="227"/>
      <c r="OF1721" s="227"/>
      <c r="OG1721" s="227"/>
      <c r="OH1721" s="227"/>
      <c r="OI1721" s="227"/>
      <c r="OJ1721" s="227"/>
      <c r="OK1721" s="227"/>
      <c r="OL1721" s="227"/>
      <c r="OM1721" s="227"/>
      <c r="ON1721" s="227"/>
      <c r="OO1721" s="227"/>
      <c r="OP1721" s="227"/>
      <c r="OQ1721" s="227"/>
      <c r="OR1721" s="227"/>
      <c r="OS1721" s="227"/>
      <c r="OT1721" s="227"/>
      <c r="OU1721" s="227"/>
      <c r="OV1721" s="227"/>
      <c r="OW1721" s="227"/>
      <c r="OX1721" s="227"/>
      <c r="OY1721" s="227"/>
      <c r="OZ1721" s="227"/>
      <c r="PA1721" s="227"/>
      <c r="PB1721" s="227"/>
      <c r="PC1721" s="227"/>
      <c r="PD1721" s="227"/>
      <c r="PE1721" s="227"/>
      <c r="PF1721" s="227"/>
      <c r="PG1721" s="227"/>
      <c r="PH1721" s="227"/>
      <c r="PI1721" s="227"/>
      <c r="PJ1721" s="227"/>
      <c r="PK1721" s="227"/>
      <c r="PL1721" s="227"/>
      <c r="PM1721" s="227"/>
      <c r="PN1721" s="227"/>
      <c r="PO1721" s="227"/>
      <c r="PP1721" s="227"/>
      <c r="PQ1721" s="227"/>
      <c r="PR1721" s="227"/>
      <c r="PS1721" s="227"/>
      <c r="PT1721" s="227"/>
      <c r="PU1721" s="227"/>
      <c r="PV1721" s="227"/>
      <c r="PW1721" s="227"/>
      <c r="PX1721" s="227"/>
      <c r="PY1721" s="227"/>
      <c r="PZ1721" s="227"/>
      <c r="QA1721" s="227"/>
      <c r="QB1721" s="227"/>
      <c r="QC1721" s="227"/>
      <c r="QD1721" s="227"/>
      <c r="QE1721" s="227"/>
      <c r="QF1721" s="227"/>
      <c r="QG1721" s="227"/>
      <c r="QH1721" s="227"/>
      <c r="QI1721" s="227"/>
      <c r="QJ1721" s="227"/>
      <c r="QK1721" s="227"/>
      <c r="QL1721" s="227"/>
      <c r="QM1721" s="227"/>
      <c r="QN1721" s="227"/>
      <c r="QO1721" s="227"/>
      <c r="QP1721" s="227"/>
      <c r="QQ1721" s="227"/>
      <c r="QR1721" s="227"/>
      <c r="QS1721" s="227"/>
      <c r="QT1721" s="227"/>
      <c r="QU1721" s="227"/>
      <c r="QV1721" s="227"/>
      <c r="QW1721" s="227"/>
      <c r="QX1721" s="227"/>
      <c r="QY1721" s="227"/>
      <c r="QZ1721" s="227"/>
      <c r="RA1721" s="227"/>
      <c r="RB1721" s="227"/>
      <c r="RC1721" s="227"/>
      <c r="RD1721" s="227"/>
      <c r="RE1721" s="227"/>
      <c r="RF1721" s="227"/>
      <c r="RG1721" s="227"/>
      <c r="RH1721" s="227"/>
      <c r="RI1721" s="227"/>
      <c r="RJ1721" s="227"/>
      <c r="RK1721" s="227"/>
      <c r="RL1721" s="227"/>
      <c r="RM1721" s="227"/>
      <c r="RN1721" s="227"/>
      <c r="RO1721" s="227"/>
      <c r="RP1721" s="227"/>
      <c r="RQ1721" s="227"/>
      <c r="RR1721" s="227"/>
      <c r="RS1721" s="227"/>
      <c r="RT1721" s="227"/>
      <c r="RU1721" s="227"/>
      <c r="RV1721" s="227"/>
      <c r="RW1721" s="227"/>
      <c r="RX1721" s="227"/>
      <c r="RY1721" s="227"/>
      <c r="RZ1721" s="227"/>
      <c r="SA1721" s="227"/>
      <c r="SB1721" s="227"/>
      <c r="SC1721" s="227"/>
      <c r="SD1721" s="227"/>
      <c r="SE1721" s="227"/>
      <c r="SF1721" s="227"/>
      <c r="SG1721" s="227"/>
      <c r="SH1721" s="227"/>
      <c r="SI1721" s="227"/>
      <c r="SJ1721" s="227"/>
      <c r="SK1721" s="227"/>
      <c r="SL1721" s="227"/>
      <c r="SM1721" s="227"/>
      <c r="SN1721" s="227"/>
      <c r="SO1721" s="227"/>
      <c r="SP1721" s="227"/>
      <c r="SQ1721" s="227"/>
      <c r="SR1721" s="227"/>
      <c r="SS1721" s="227"/>
      <c r="ST1721" s="227"/>
      <c r="SU1721" s="227"/>
      <c r="SV1721" s="227"/>
      <c r="SW1721" s="227"/>
      <c r="SX1721" s="227"/>
      <c r="SY1721" s="227"/>
      <c r="SZ1721" s="227"/>
      <c r="TA1721" s="227"/>
      <c r="TB1721" s="227"/>
      <c r="TC1721" s="227"/>
      <c r="TD1721" s="227"/>
      <c r="TE1721" s="227"/>
      <c r="TF1721" s="227"/>
      <c r="TG1721" s="227"/>
      <c r="TH1721" s="227"/>
      <c r="TI1721" s="227"/>
      <c r="TJ1721" s="227"/>
      <c r="TK1721" s="227"/>
      <c r="TL1721" s="227"/>
      <c r="TM1721" s="227"/>
      <c r="TN1721" s="227"/>
      <c r="TO1721" s="227"/>
      <c r="TP1721" s="227"/>
      <c r="TQ1721" s="227"/>
      <c r="TR1721" s="227"/>
      <c r="TS1721" s="227"/>
      <c r="TT1721" s="227"/>
      <c r="TU1721" s="227"/>
      <c r="TV1721" s="227"/>
      <c r="TW1721" s="227"/>
      <c r="TX1721" s="227"/>
      <c r="TY1721" s="227"/>
      <c r="TZ1721" s="227"/>
      <c r="UA1721" s="227"/>
      <c r="UB1721" s="227"/>
      <c r="UC1721" s="227"/>
      <c r="UD1721" s="227"/>
      <c r="UE1721" s="227"/>
      <c r="UF1721" s="227"/>
      <c r="UG1721" s="227"/>
      <c r="UH1721" s="227"/>
      <c r="UI1721" s="227"/>
      <c r="UJ1721" s="227"/>
      <c r="UK1721" s="227"/>
      <c r="UL1721" s="227"/>
      <c r="UM1721" s="227"/>
      <c r="UN1721" s="227"/>
      <c r="UO1721" s="227"/>
      <c r="UP1721" s="227"/>
      <c r="UQ1721" s="227"/>
      <c r="UR1721" s="227"/>
      <c r="US1721" s="227"/>
      <c r="UT1721" s="227"/>
      <c r="UU1721" s="227"/>
      <c r="UV1721" s="227"/>
      <c r="UW1721" s="227"/>
      <c r="UX1721" s="227"/>
      <c r="UY1721" s="227"/>
      <c r="UZ1721" s="227"/>
      <c r="VA1721" s="227"/>
      <c r="VB1721" s="227"/>
      <c r="VC1721" s="227"/>
      <c r="VD1721" s="227"/>
      <c r="VE1721" s="227"/>
      <c r="VF1721" s="227"/>
      <c r="VG1721" s="227"/>
      <c r="VH1721" s="227"/>
      <c r="VI1721" s="227"/>
      <c r="VJ1721" s="227"/>
      <c r="VK1721" s="227"/>
      <c r="VL1721" s="227"/>
      <c r="VM1721" s="227"/>
      <c r="VN1721" s="227"/>
      <c r="VO1721" s="227"/>
      <c r="VP1721" s="227"/>
      <c r="VQ1721" s="227"/>
      <c r="VR1721" s="227"/>
      <c r="VS1721" s="227"/>
      <c r="VT1721" s="227"/>
      <c r="VU1721" s="227"/>
      <c r="VV1721" s="227"/>
      <c r="VW1721" s="227"/>
      <c r="VX1721" s="227"/>
      <c r="VY1721" s="227"/>
      <c r="VZ1721" s="227"/>
      <c r="WA1721" s="227"/>
      <c r="WB1721" s="227"/>
      <c r="WC1721" s="227"/>
      <c r="WD1721" s="227"/>
      <c r="WE1721" s="227"/>
      <c r="WF1721" s="227"/>
      <c r="WG1721" s="227"/>
      <c r="WH1721" s="227"/>
      <c r="WI1721" s="227"/>
      <c r="WJ1721" s="227"/>
      <c r="WK1721" s="227"/>
      <c r="WL1721" s="227"/>
      <c r="WM1721" s="227"/>
      <c r="WN1721" s="227"/>
      <c r="WO1721" s="227"/>
      <c r="WP1721" s="227"/>
      <c r="WQ1721" s="227"/>
      <c r="WR1721" s="227"/>
      <c r="WS1721" s="227"/>
      <c r="WT1721" s="227"/>
      <c r="WU1721" s="227"/>
      <c r="WV1721" s="227"/>
      <c r="WW1721" s="227"/>
      <c r="WX1721" s="227"/>
      <c r="WY1721" s="227"/>
      <c r="WZ1721" s="227"/>
      <c r="XA1721" s="227"/>
      <c r="XB1721" s="227"/>
      <c r="XC1721" s="227"/>
      <c r="XD1721" s="227"/>
      <c r="XE1721" s="227"/>
      <c r="XF1721" s="227"/>
      <c r="XG1721" s="227"/>
      <c r="XH1721" s="227"/>
      <c r="XI1721" s="227"/>
      <c r="XJ1721" s="227"/>
      <c r="XK1721" s="227"/>
      <c r="XL1721" s="227"/>
      <c r="XM1721" s="227"/>
      <c r="XN1721" s="227"/>
      <c r="XO1721" s="227"/>
      <c r="XP1721" s="227"/>
      <c r="XQ1721" s="227"/>
      <c r="XR1721" s="227"/>
      <c r="XS1721" s="227"/>
      <c r="XT1721" s="227"/>
      <c r="XU1721" s="227"/>
      <c r="XV1721" s="227"/>
      <c r="XW1721" s="227"/>
      <c r="XX1721" s="227"/>
      <c r="XY1721" s="227"/>
      <c r="XZ1721" s="227"/>
      <c r="YA1721" s="227"/>
      <c r="YB1721" s="227"/>
      <c r="YC1721" s="227"/>
      <c r="YD1721" s="227"/>
      <c r="YE1721" s="227"/>
      <c r="YF1721" s="227"/>
      <c r="YG1721" s="227"/>
      <c r="YH1721" s="227"/>
      <c r="YI1721" s="227"/>
      <c r="YJ1721" s="227"/>
      <c r="YK1721" s="227"/>
      <c r="YL1721" s="227"/>
      <c r="YM1721" s="227"/>
      <c r="YN1721" s="227"/>
      <c r="YO1721" s="227"/>
      <c r="YP1721" s="227"/>
      <c r="YQ1721" s="227"/>
      <c r="YR1721" s="227"/>
      <c r="YS1721" s="227"/>
      <c r="YT1721" s="227"/>
      <c r="YU1721" s="227"/>
      <c r="YV1721" s="227"/>
      <c r="YW1721" s="227"/>
      <c r="YX1721" s="227"/>
      <c r="YY1721" s="227"/>
      <c r="YZ1721" s="227"/>
      <c r="ZA1721" s="227"/>
      <c r="ZB1721" s="227"/>
      <c r="ZC1721" s="227"/>
      <c r="ZD1721" s="227"/>
      <c r="ZE1721" s="227"/>
      <c r="ZF1721" s="227"/>
      <c r="ZG1721" s="227"/>
      <c r="ZH1721" s="227"/>
      <c r="ZI1721" s="227"/>
      <c r="ZJ1721" s="227"/>
      <c r="ZK1721" s="227"/>
      <c r="ZL1721" s="227"/>
      <c r="ZM1721" s="227"/>
      <c r="ZN1721" s="227"/>
      <c r="ZO1721" s="227"/>
      <c r="ZP1721" s="227"/>
      <c r="ZQ1721" s="227"/>
      <c r="ZR1721" s="227"/>
      <c r="ZS1721" s="227"/>
      <c r="ZT1721" s="227"/>
      <c r="ZU1721" s="227"/>
      <c r="ZV1721" s="227"/>
      <c r="ZW1721" s="227"/>
      <c r="ZX1721" s="227"/>
      <c r="ZY1721" s="227"/>
      <c r="ZZ1721" s="227"/>
      <c r="AAA1721" s="227"/>
      <c r="AAB1721" s="227"/>
      <c r="AAC1721" s="227"/>
      <c r="AAD1721" s="227"/>
      <c r="AAE1721" s="227"/>
      <c r="AAF1721" s="227"/>
      <c r="AAG1721" s="227"/>
      <c r="AAH1721" s="227"/>
      <c r="AAI1721" s="227"/>
      <c r="AAJ1721" s="227"/>
      <c r="AAK1721" s="227"/>
      <c r="AAL1721" s="227"/>
      <c r="AAM1721" s="227"/>
      <c r="AAN1721" s="227"/>
      <c r="AAO1721" s="227"/>
      <c r="AAP1721" s="227"/>
      <c r="AAQ1721" s="227"/>
      <c r="AAR1721" s="227"/>
      <c r="AAS1721" s="227"/>
      <c r="AAT1721" s="227"/>
      <c r="AAU1721" s="227"/>
      <c r="AAV1721" s="227"/>
      <c r="AAW1721" s="227"/>
      <c r="AAX1721" s="227"/>
      <c r="AAY1721" s="227"/>
      <c r="AAZ1721" s="227"/>
      <c r="ABA1721" s="227"/>
      <c r="ABB1721" s="227"/>
      <c r="ABC1721" s="227"/>
      <c r="ABD1721" s="227"/>
      <c r="ABE1721" s="227"/>
      <c r="ABF1721" s="227"/>
      <c r="ABG1721" s="227"/>
      <c r="ABH1721" s="227"/>
      <c r="ABI1721" s="227"/>
      <c r="ABJ1721" s="227"/>
      <c r="ABK1721" s="227"/>
      <c r="ABL1721" s="227"/>
      <c r="ABM1721" s="227"/>
      <c r="ABN1721" s="227"/>
      <c r="ABO1721" s="227"/>
      <c r="ABP1721" s="227"/>
      <c r="ABQ1721" s="227"/>
      <c r="ABR1721" s="227"/>
      <c r="ABS1721" s="227"/>
      <c r="ABT1721" s="227"/>
      <c r="ABU1721" s="227"/>
      <c r="ABV1721" s="227"/>
      <c r="ABW1721" s="227"/>
      <c r="ABX1721" s="227"/>
      <c r="ABY1721" s="227"/>
      <c r="ABZ1721" s="227"/>
      <c r="ACA1721" s="227"/>
      <c r="ACB1721" s="227"/>
      <c r="ACC1721" s="227"/>
      <c r="ACD1721" s="227"/>
      <c r="ACE1721" s="227"/>
      <c r="ACF1721" s="227"/>
      <c r="ACG1721" s="227"/>
      <c r="ACH1721" s="227"/>
      <c r="ACI1721" s="227"/>
      <c r="ACJ1721" s="227"/>
      <c r="ACK1721" s="227"/>
      <c r="ACL1721" s="227"/>
      <c r="ACM1721" s="227"/>
      <c r="ACN1721" s="227"/>
      <c r="ACO1721" s="227"/>
      <c r="ACP1721" s="227"/>
      <c r="ACQ1721" s="227"/>
      <c r="ACR1721" s="227"/>
      <c r="ACS1721" s="227"/>
      <c r="ACT1721" s="227"/>
      <c r="ACU1721" s="227"/>
      <c r="ACV1721" s="227"/>
      <c r="ACW1721" s="227"/>
      <c r="ACX1721" s="227"/>
      <c r="ACY1721" s="227"/>
      <c r="ACZ1721" s="227"/>
      <c r="ADA1721" s="227"/>
      <c r="ADB1721" s="227"/>
      <c r="ADC1721" s="227"/>
      <c r="ADD1721" s="227"/>
      <c r="ADE1721" s="227"/>
      <c r="ADF1721" s="227"/>
      <c r="ADG1721" s="227"/>
      <c r="ADH1721" s="227"/>
      <c r="ADI1721" s="227"/>
      <c r="ADJ1721" s="227"/>
      <c r="ADK1721" s="227"/>
      <c r="ADL1721" s="227"/>
      <c r="ADM1721" s="227"/>
      <c r="ADN1721" s="227"/>
      <c r="ADO1721" s="227"/>
      <c r="ADP1721" s="227"/>
      <c r="ADQ1721" s="227"/>
      <c r="ADR1721" s="227"/>
      <c r="ADS1721" s="227"/>
      <c r="ADT1721" s="227"/>
      <c r="ADU1721" s="227"/>
      <c r="ADV1721" s="227"/>
      <c r="ADW1721" s="227"/>
      <c r="ADX1721" s="227"/>
      <c r="ADY1721" s="227"/>
      <c r="ADZ1721" s="227"/>
      <c r="AEA1721" s="227"/>
      <c r="AEB1721" s="227"/>
      <c r="AEC1721" s="227"/>
      <c r="AED1721" s="227"/>
      <c r="AEE1721" s="227"/>
      <c r="AEF1721" s="227"/>
      <c r="AEG1721" s="227"/>
      <c r="AEH1721" s="227"/>
      <c r="AEI1721" s="227"/>
      <c r="AEJ1721" s="227"/>
      <c r="AEK1721" s="227"/>
      <c r="AEL1721" s="227"/>
      <c r="AEM1721" s="227"/>
      <c r="AEN1721" s="227"/>
      <c r="AEO1721" s="227"/>
      <c r="AEP1721" s="227"/>
      <c r="AEQ1721" s="227"/>
      <c r="AER1721" s="227"/>
      <c r="AES1721" s="227"/>
      <c r="AET1721" s="227"/>
      <c r="AEU1721" s="227"/>
      <c r="AEV1721" s="227"/>
      <c r="AEW1721" s="227"/>
      <c r="AEX1721" s="227"/>
      <c r="AEY1721" s="227"/>
      <c r="AEZ1721" s="227"/>
      <c r="AFA1721" s="227"/>
      <c r="AFB1721" s="227"/>
      <c r="AFC1721" s="227"/>
      <c r="AFD1721" s="227"/>
      <c r="AFE1721" s="227"/>
      <c r="AFF1721" s="227"/>
      <c r="AFG1721" s="227"/>
      <c r="AFH1721" s="227"/>
      <c r="AFI1721" s="227"/>
      <c r="AFJ1721" s="227"/>
      <c r="AFK1721" s="227"/>
      <c r="AFL1721" s="227"/>
      <c r="AFM1721" s="227"/>
      <c r="AFN1721" s="227"/>
      <c r="AFO1721" s="227"/>
      <c r="AFP1721" s="227"/>
      <c r="AFQ1721" s="227"/>
      <c r="AFR1721" s="227"/>
      <c r="AFS1721" s="227"/>
      <c r="AFT1721" s="227"/>
      <c r="AFU1721" s="227"/>
      <c r="AFV1721" s="227"/>
      <c r="AFW1721" s="227"/>
      <c r="AFX1721" s="227"/>
      <c r="AFY1721" s="227"/>
      <c r="AFZ1721" s="227"/>
      <c r="AGA1721" s="227"/>
      <c r="AGB1721" s="227"/>
      <c r="AGC1721" s="227"/>
      <c r="AGD1721" s="227"/>
      <c r="AGE1721" s="227"/>
      <c r="AGF1721" s="227"/>
      <c r="AGG1721" s="227"/>
      <c r="AGH1721" s="227"/>
      <c r="AGI1721" s="227"/>
      <c r="AGJ1721" s="227"/>
      <c r="AGK1721" s="227"/>
      <c r="AGL1721" s="227"/>
      <c r="AGM1721" s="227"/>
      <c r="AGN1721" s="227"/>
      <c r="AGO1721" s="227"/>
      <c r="AGP1721" s="227"/>
      <c r="AGQ1721" s="227"/>
      <c r="AGR1721" s="227"/>
      <c r="AGS1721" s="227"/>
      <c r="AGT1721" s="227"/>
      <c r="AGU1721" s="227"/>
      <c r="AGV1721" s="227"/>
      <c r="AGW1721" s="227"/>
      <c r="AGX1721" s="227"/>
      <c r="AGY1721" s="227"/>
      <c r="AGZ1721" s="227"/>
      <c r="AHA1721" s="227"/>
      <c r="AHB1721" s="227"/>
      <c r="AHC1721" s="227"/>
      <c r="AHD1721" s="227"/>
      <c r="AHE1721" s="227"/>
      <c r="AHF1721" s="227"/>
      <c r="AHG1721" s="227"/>
      <c r="AHH1721" s="227"/>
      <c r="AHI1721" s="227"/>
      <c r="AHJ1721" s="227"/>
      <c r="AHK1721" s="227"/>
      <c r="AHL1721" s="227"/>
      <c r="AHM1721" s="227"/>
      <c r="AHN1721" s="227"/>
      <c r="AHO1721" s="227"/>
      <c r="AHP1721" s="227"/>
      <c r="AHQ1721" s="227"/>
      <c r="AHR1721" s="227"/>
      <c r="AHS1721" s="227"/>
      <c r="AHT1721" s="227"/>
      <c r="AHU1721" s="227"/>
      <c r="AHV1721" s="227"/>
      <c r="AHW1721" s="227"/>
      <c r="AHX1721" s="227"/>
      <c r="AHY1721" s="227"/>
      <c r="AHZ1721" s="227"/>
      <c r="AIA1721" s="227"/>
      <c r="AIB1721" s="227"/>
      <c r="AIC1721" s="227"/>
      <c r="AID1721" s="227"/>
      <c r="AIE1721" s="227"/>
      <c r="AIF1721" s="227"/>
      <c r="AIG1721" s="227"/>
      <c r="AIH1721" s="227"/>
      <c r="AII1721" s="227"/>
      <c r="AIJ1721" s="227"/>
      <c r="AIK1721" s="227"/>
      <c r="AIL1721" s="227"/>
      <c r="AIM1721" s="227"/>
      <c r="AIN1721" s="227"/>
      <c r="AIO1721" s="227"/>
      <c r="AIP1721" s="227"/>
      <c r="AIQ1721" s="227"/>
      <c r="AIR1721" s="227"/>
      <c r="AIS1721" s="227"/>
      <c r="AIT1721" s="227"/>
      <c r="AIU1721" s="227"/>
      <c r="AIV1721" s="227"/>
      <c r="AIW1721" s="227"/>
      <c r="AIX1721" s="227"/>
      <c r="AIY1721" s="227"/>
      <c r="AIZ1721" s="227"/>
      <c r="AJA1721" s="227"/>
      <c r="AJB1721" s="227"/>
      <c r="AJC1721" s="227"/>
      <c r="AJD1721" s="227"/>
      <c r="AJE1721" s="227"/>
      <c r="AJF1721" s="227"/>
      <c r="AJG1721" s="227"/>
      <c r="AJH1721" s="227"/>
      <c r="AJI1721" s="227"/>
      <c r="AJJ1721" s="227"/>
      <c r="AJK1721" s="227"/>
      <c r="AJL1721" s="227"/>
      <c r="AJM1721" s="227"/>
      <c r="AJN1721" s="227"/>
      <c r="AJO1721" s="227"/>
      <c r="AJP1721" s="227"/>
      <c r="AJQ1721" s="227"/>
      <c r="AJR1721" s="227"/>
      <c r="AJS1721" s="227"/>
      <c r="AJT1721" s="227"/>
      <c r="AJU1721" s="227"/>
      <c r="AJV1721" s="227"/>
      <c r="AJW1721" s="227"/>
      <c r="AJX1721" s="227"/>
      <c r="AJY1721" s="227"/>
      <c r="AJZ1721" s="227"/>
      <c r="AKA1721" s="227"/>
      <c r="AKB1721" s="227"/>
      <c r="AKC1721" s="227"/>
      <c r="AKD1721" s="227"/>
      <c r="AKE1721" s="227"/>
      <c r="AKF1721" s="227"/>
      <c r="AKG1721" s="227"/>
      <c r="AKH1721" s="227"/>
      <c r="AKI1721" s="227"/>
      <c r="AKJ1721" s="227"/>
      <c r="AKK1721" s="227"/>
      <c r="AKL1721" s="227"/>
      <c r="AKM1721" s="227"/>
      <c r="AKN1721" s="227"/>
      <c r="AKO1721" s="227"/>
      <c r="AKP1721" s="227"/>
      <c r="AKQ1721" s="227"/>
      <c r="AKR1721" s="227"/>
      <c r="AKS1721" s="227"/>
      <c r="AKT1721" s="227"/>
      <c r="AKU1721" s="227"/>
      <c r="AKV1721" s="227"/>
      <c r="AKW1721" s="227"/>
      <c r="AKX1721" s="227"/>
      <c r="AKY1721" s="227"/>
      <c r="AKZ1721" s="227"/>
      <c r="ALA1721" s="227"/>
      <c r="ALB1721" s="227"/>
      <c r="ALC1721" s="227"/>
      <c r="ALD1721" s="227"/>
      <c r="ALE1721" s="227"/>
      <c r="ALF1721" s="227"/>
      <c r="ALG1721" s="227"/>
      <c r="ALH1721" s="227"/>
      <c r="ALI1721" s="227"/>
      <c r="ALJ1721" s="227"/>
      <c r="ALK1721" s="227"/>
      <c r="ALL1721" s="227"/>
      <c r="ALM1721" s="227"/>
      <c r="ALN1721" s="227"/>
      <c r="ALO1721" s="227"/>
      <c r="ALP1721" s="227"/>
      <c r="ALQ1721" s="227"/>
      <c r="ALR1721" s="227"/>
      <c r="ALS1721" s="227"/>
      <c r="ALT1721" s="227"/>
      <c r="ALU1721" s="227"/>
      <c r="ALV1721" s="227"/>
      <c r="ALW1721" s="227"/>
      <c r="ALX1721" s="227"/>
      <c r="ALY1721" s="227"/>
      <c r="ALZ1721" s="227"/>
      <c r="AMA1721" s="227"/>
      <c r="AMB1721" s="227"/>
      <c r="AMC1721" s="227"/>
      <c r="AMD1721" s="227"/>
      <c r="AME1721" s="227"/>
      <c r="AMF1721" s="227"/>
      <c r="AMG1721" s="227"/>
      <c r="AMH1721" s="227"/>
      <c r="AMI1721" s="227"/>
      <c r="AMJ1721" s="227"/>
      <c r="AMK1721" s="227"/>
      <c r="AML1721" s="227"/>
      <c r="AMM1721" s="227"/>
      <c r="AMN1721" s="227"/>
      <c r="AMO1721" s="227"/>
      <c r="AMP1721" s="227"/>
      <c r="AMQ1721" s="227"/>
      <c r="AMR1721" s="227"/>
      <c r="AMS1721" s="227"/>
      <c r="AMT1721" s="227"/>
      <c r="AMU1721" s="227"/>
      <c r="AMV1721" s="227"/>
      <c r="AMW1721" s="227"/>
      <c r="AMX1721" s="227"/>
      <c r="AMY1721" s="227"/>
      <c r="AMZ1721" s="227"/>
      <c r="ANA1721" s="227"/>
      <c r="ANB1721" s="227"/>
      <c r="ANC1721" s="227"/>
      <c r="AND1721" s="227"/>
      <c r="ANE1721" s="227"/>
      <c r="ANF1721" s="227"/>
      <c r="ANG1721" s="227"/>
      <c r="ANH1721" s="227"/>
      <c r="ANI1721" s="227"/>
      <c r="ANJ1721" s="227"/>
      <c r="ANK1721" s="227"/>
      <c r="ANL1721" s="227"/>
      <c r="ANM1721" s="227"/>
      <c r="ANN1721" s="227"/>
      <c r="ANO1721" s="227"/>
      <c r="ANP1721" s="227"/>
      <c r="ANQ1721" s="227"/>
      <c r="ANR1721" s="227"/>
      <c r="ANS1721" s="227"/>
      <c r="ANT1721" s="227"/>
      <c r="ANU1721" s="227"/>
      <c r="ANV1721" s="227"/>
      <c r="ANW1721" s="227"/>
      <c r="ANX1721" s="227"/>
      <c r="ANY1721" s="227"/>
      <c r="ANZ1721" s="227"/>
      <c r="AOA1721" s="227"/>
      <c r="AOB1721" s="227"/>
      <c r="AOC1721" s="227"/>
      <c r="AOD1721" s="227"/>
      <c r="AOE1721" s="227"/>
      <c r="AOF1721" s="227"/>
      <c r="AOG1721" s="227"/>
      <c r="AOH1721" s="227"/>
      <c r="AOI1721" s="227"/>
      <c r="AOJ1721" s="227"/>
      <c r="AOK1721" s="227"/>
      <c r="AOL1721" s="227"/>
      <c r="AOM1721" s="227"/>
      <c r="AON1721" s="227"/>
      <c r="AOO1721" s="227"/>
      <c r="AOP1721" s="227"/>
      <c r="AOQ1721" s="227"/>
      <c r="AOR1721" s="227"/>
      <c r="AOS1721" s="227"/>
      <c r="AOT1721" s="227"/>
      <c r="AOU1721" s="227"/>
      <c r="AOV1721" s="227"/>
      <c r="AOW1721" s="227"/>
      <c r="AOX1721" s="227"/>
      <c r="AOY1721" s="227"/>
      <c r="AOZ1721" s="227"/>
      <c r="APA1721" s="227"/>
      <c r="APB1721" s="227"/>
      <c r="APC1721" s="227"/>
      <c r="APD1721" s="227"/>
      <c r="APE1721" s="227"/>
      <c r="APF1721" s="227"/>
      <c r="APG1721" s="227"/>
      <c r="APH1721" s="227"/>
      <c r="API1721" s="227"/>
      <c r="APJ1721" s="227"/>
      <c r="APK1721" s="227"/>
      <c r="APL1721" s="227"/>
      <c r="APM1721" s="227"/>
      <c r="APN1721" s="227"/>
      <c r="APO1721" s="227"/>
      <c r="APP1721" s="227"/>
      <c r="APQ1721" s="227"/>
      <c r="APR1721" s="227"/>
      <c r="APS1721" s="227"/>
      <c r="APT1721" s="227"/>
      <c r="APU1721" s="227"/>
      <c r="APV1721" s="227"/>
      <c r="APW1721" s="227"/>
      <c r="APX1721" s="227"/>
      <c r="APY1721" s="227"/>
      <c r="APZ1721" s="227"/>
      <c r="AQA1721" s="227"/>
      <c r="AQB1721" s="227"/>
      <c r="AQC1721" s="227"/>
      <c r="AQD1721" s="227"/>
      <c r="AQE1721" s="227"/>
      <c r="AQF1721" s="227"/>
      <c r="AQG1721" s="227"/>
      <c r="AQH1721" s="227"/>
      <c r="AQI1721" s="227"/>
      <c r="AQJ1721" s="227"/>
      <c r="AQK1721" s="227"/>
      <c r="AQL1721" s="227"/>
      <c r="AQM1721" s="227"/>
      <c r="AQN1721" s="227"/>
      <c r="AQO1721" s="227"/>
      <c r="AQP1721" s="227"/>
      <c r="AQQ1721" s="227"/>
      <c r="AQR1721" s="227"/>
      <c r="AQS1721" s="227"/>
      <c r="AQT1721" s="227"/>
      <c r="AQU1721" s="227"/>
      <c r="AQV1721" s="227"/>
      <c r="AQW1721" s="227"/>
      <c r="AQX1721" s="227"/>
      <c r="AQY1721" s="227"/>
      <c r="AQZ1721" s="227"/>
      <c r="ARA1721" s="227"/>
      <c r="ARB1721" s="227"/>
      <c r="ARC1721" s="227"/>
      <c r="ARD1721" s="227"/>
      <c r="ARE1721" s="227"/>
      <c r="ARF1721" s="227"/>
      <c r="ARG1721" s="227"/>
      <c r="ARH1721" s="227"/>
      <c r="ARI1721" s="227"/>
      <c r="ARJ1721" s="227"/>
      <c r="ARK1721" s="227"/>
      <c r="ARL1721" s="227"/>
      <c r="ARM1721" s="227"/>
      <c r="ARN1721" s="227"/>
      <c r="ARO1721" s="227"/>
      <c r="ARP1721" s="227"/>
      <c r="ARQ1721" s="227"/>
      <c r="ARR1721" s="227"/>
      <c r="ARS1721" s="227"/>
      <c r="ART1721" s="227"/>
      <c r="ARU1721" s="227"/>
      <c r="ARV1721" s="227"/>
      <c r="ARW1721" s="227"/>
      <c r="ARX1721" s="227"/>
      <c r="ARY1721" s="227"/>
      <c r="ARZ1721" s="227"/>
      <c r="ASA1721" s="227"/>
      <c r="ASB1721" s="227"/>
      <c r="ASC1721" s="227"/>
      <c r="ASD1721" s="227"/>
      <c r="ASE1721" s="227"/>
      <c r="ASF1721" s="227"/>
      <c r="ASG1721" s="227"/>
      <c r="ASH1721" s="227"/>
      <c r="ASI1721" s="227"/>
      <c r="ASJ1721" s="227"/>
      <c r="ASK1721" s="227"/>
      <c r="ASL1721" s="227"/>
      <c r="ASM1721" s="227"/>
      <c r="ASN1721" s="227"/>
      <c r="ASO1721" s="227"/>
      <c r="ASP1721" s="227"/>
      <c r="ASQ1721" s="227"/>
      <c r="ASR1721" s="227"/>
      <c r="ASS1721" s="227"/>
      <c r="AST1721" s="227"/>
      <c r="ASU1721" s="227"/>
      <c r="ASV1721" s="227"/>
      <c r="ASW1721" s="227"/>
      <c r="ASX1721" s="227"/>
      <c r="ASY1721" s="227"/>
      <c r="ASZ1721" s="227"/>
      <c r="ATA1721" s="227"/>
      <c r="ATB1721" s="227"/>
      <c r="ATC1721" s="227"/>
      <c r="ATD1721" s="227"/>
      <c r="ATE1721" s="227"/>
      <c r="ATF1721" s="227"/>
      <c r="ATG1721" s="227"/>
      <c r="ATH1721" s="227"/>
      <c r="ATI1721" s="227"/>
      <c r="ATJ1721" s="227"/>
      <c r="ATK1721" s="227"/>
      <c r="ATL1721" s="227"/>
      <c r="ATM1721" s="227"/>
      <c r="ATN1721" s="227"/>
      <c r="ATO1721" s="227"/>
      <c r="ATP1721" s="227"/>
      <c r="ATQ1721" s="227"/>
      <c r="ATR1721" s="227"/>
      <c r="ATS1721" s="227"/>
      <c r="ATT1721" s="227"/>
      <c r="ATU1721" s="227"/>
      <c r="ATV1721" s="227"/>
      <c r="ATW1721" s="227"/>
      <c r="ATX1721" s="227"/>
      <c r="ATY1721" s="227"/>
      <c r="ATZ1721" s="227"/>
      <c r="AUA1721" s="227"/>
      <c r="AUB1721" s="227"/>
      <c r="AUC1721" s="227"/>
      <c r="AUD1721" s="227"/>
      <c r="AUE1721" s="227"/>
      <c r="AUF1721" s="227"/>
      <c r="AUG1721" s="227"/>
      <c r="AUH1721" s="227"/>
      <c r="AUI1721" s="227"/>
      <c r="AUJ1721" s="227"/>
      <c r="AUK1721" s="227"/>
      <c r="AUL1721" s="227"/>
      <c r="AUM1721" s="227"/>
      <c r="AUN1721" s="227"/>
      <c r="AUO1721" s="227"/>
      <c r="AUP1721" s="227"/>
      <c r="AUQ1721" s="227"/>
      <c r="AUR1721" s="227"/>
      <c r="AUS1721" s="227"/>
      <c r="AUT1721" s="227"/>
      <c r="AUU1721" s="227"/>
      <c r="AUV1721" s="227"/>
      <c r="AUW1721" s="227"/>
      <c r="AUX1721" s="227"/>
      <c r="AUY1721" s="227"/>
      <c r="AUZ1721" s="227"/>
      <c r="AVA1721" s="227"/>
      <c r="AVB1721" s="227"/>
      <c r="AVC1721" s="227"/>
      <c r="AVD1721" s="227"/>
      <c r="AVE1721" s="227"/>
      <c r="AVF1721" s="227"/>
      <c r="AVG1721" s="227"/>
      <c r="AVH1721" s="227"/>
      <c r="AVI1721" s="227"/>
      <c r="AVJ1721" s="227"/>
      <c r="AVK1721" s="227"/>
      <c r="AVL1721" s="227"/>
      <c r="AVM1721" s="227"/>
      <c r="AVN1721" s="227"/>
      <c r="AVO1721" s="227"/>
      <c r="AVP1721" s="227"/>
      <c r="AVQ1721" s="227"/>
      <c r="AVR1721" s="227"/>
      <c r="AVS1721" s="227"/>
      <c r="AVT1721" s="227"/>
      <c r="AVU1721" s="227"/>
      <c r="AVV1721" s="227"/>
      <c r="AVW1721" s="227"/>
      <c r="AVX1721" s="227"/>
      <c r="AVY1721" s="227"/>
      <c r="AVZ1721" s="227"/>
      <c r="AWA1721" s="227"/>
      <c r="AWB1721" s="227"/>
      <c r="AWC1721" s="227"/>
      <c r="AWD1721" s="227"/>
      <c r="AWE1721" s="227"/>
      <c r="AWF1721" s="227"/>
      <c r="AWG1721" s="227"/>
      <c r="AWH1721" s="227"/>
      <c r="AWI1721" s="227"/>
      <c r="AWJ1721" s="227"/>
      <c r="AWK1721" s="227"/>
      <c r="AWL1721" s="227"/>
      <c r="AWM1721" s="227"/>
      <c r="AWN1721" s="227"/>
      <c r="AWO1721" s="227"/>
      <c r="AWP1721" s="227"/>
      <c r="AWQ1721" s="227"/>
      <c r="AWR1721" s="227"/>
      <c r="AWS1721" s="227"/>
      <c r="AWT1721" s="227"/>
      <c r="AWU1721" s="227"/>
      <c r="AWV1721" s="227"/>
      <c r="AWW1721" s="227"/>
      <c r="AWX1721" s="227"/>
      <c r="AWY1721" s="227"/>
      <c r="AWZ1721" s="227"/>
      <c r="AXA1721" s="227"/>
      <c r="AXB1721" s="227"/>
      <c r="AXC1721" s="227"/>
      <c r="AXD1721" s="227"/>
      <c r="AXE1721" s="227"/>
      <c r="AXF1721" s="227"/>
      <c r="AXG1721" s="227"/>
      <c r="AXH1721" s="227"/>
      <c r="AXI1721" s="227"/>
      <c r="AXJ1721" s="227"/>
      <c r="AXK1721" s="227"/>
      <c r="AXL1721" s="227"/>
      <c r="AXM1721" s="227"/>
      <c r="AXN1721" s="227"/>
      <c r="AXO1721" s="227"/>
      <c r="AXP1721" s="227"/>
      <c r="AXQ1721" s="227"/>
      <c r="AXR1721" s="227"/>
      <c r="AXS1721" s="227"/>
      <c r="AXT1721" s="227"/>
      <c r="AXU1721" s="227"/>
      <c r="AXV1721" s="227"/>
      <c r="AXW1721" s="227"/>
      <c r="AXX1721" s="227"/>
      <c r="AXY1721" s="227"/>
      <c r="AXZ1721" s="227"/>
      <c r="AYA1721" s="227"/>
      <c r="AYB1721" s="227"/>
      <c r="AYC1721" s="227"/>
      <c r="AYD1721" s="227"/>
      <c r="AYE1721" s="227"/>
      <c r="AYF1721" s="227"/>
      <c r="AYG1721" s="227"/>
      <c r="AYH1721" s="227"/>
      <c r="AYI1721" s="227"/>
      <c r="AYJ1721" s="227"/>
      <c r="AYK1721" s="227"/>
      <c r="AYL1721" s="227"/>
      <c r="AYM1721" s="227"/>
      <c r="AYN1721" s="227"/>
      <c r="AYO1721" s="227"/>
      <c r="AYP1721" s="227"/>
      <c r="AYQ1721" s="227"/>
      <c r="AYR1721" s="227"/>
      <c r="AYS1721" s="227"/>
      <c r="AYT1721" s="227"/>
      <c r="AYU1721" s="227"/>
      <c r="AYV1721" s="227"/>
      <c r="AYW1721" s="227"/>
      <c r="AYX1721" s="227"/>
      <c r="AYY1721" s="227"/>
      <c r="AYZ1721" s="227"/>
      <c r="AZA1721" s="227"/>
      <c r="AZB1721" s="227"/>
      <c r="AZC1721" s="227"/>
      <c r="AZD1721" s="227"/>
      <c r="AZE1721" s="227"/>
      <c r="AZF1721" s="227"/>
      <c r="AZG1721" s="227"/>
      <c r="AZH1721" s="227"/>
      <c r="AZI1721" s="227"/>
      <c r="AZJ1721" s="227"/>
      <c r="AZK1721" s="227"/>
      <c r="AZL1721" s="227"/>
      <c r="AZM1721" s="227"/>
      <c r="AZN1721" s="227"/>
      <c r="AZO1721" s="227"/>
      <c r="AZP1721" s="227"/>
      <c r="AZQ1721" s="227"/>
      <c r="AZR1721" s="227"/>
      <c r="AZS1721" s="227"/>
      <c r="AZT1721" s="227"/>
      <c r="AZU1721" s="227"/>
      <c r="AZV1721" s="227"/>
      <c r="AZW1721" s="227"/>
      <c r="AZX1721" s="227"/>
      <c r="AZY1721" s="227"/>
      <c r="AZZ1721" s="227"/>
      <c r="BAA1721" s="227"/>
      <c r="BAB1721" s="227"/>
      <c r="BAC1721" s="227"/>
      <c r="BAD1721" s="227"/>
      <c r="BAE1721" s="227"/>
      <c r="BAF1721" s="227"/>
      <c r="BAG1721" s="227"/>
      <c r="BAH1721" s="227"/>
      <c r="BAI1721" s="227"/>
      <c r="BAJ1721" s="227"/>
      <c r="BAK1721" s="227"/>
      <c r="BAL1721" s="227"/>
      <c r="BAM1721" s="227"/>
      <c r="BAN1721" s="227"/>
      <c r="BAO1721" s="227"/>
      <c r="BAP1721" s="227"/>
      <c r="BAQ1721" s="227"/>
      <c r="BAR1721" s="227"/>
      <c r="BAS1721" s="227"/>
      <c r="BAT1721" s="227"/>
      <c r="BAU1721" s="227"/>
      <c r="BAV1721" s="227"/>
      <c r="BAW1721" s="227"/>
      <c r="BAX1721" s="227"/>
      <c r="BAY1721" s="227"/>
      <c r="BAZ1721" s="227"/>
      <c r="BBA1721" s="227"/>
      <c r="BBB1721" s="227"/>
      <c r="BBC1721" s="227"/>
      <c r="BBD1721" s="227"/>
      <c r="BBE1721" s="227"/>
      <c r="BBF1721" s="227"/>
      <c r="BBG1721" s="227"/>
      <c r="BBH1721" s="227"/>
      <c r="BBI1721" s="227"/>
      <c r="BBJ1721" s="227"/>
      <c r="BBK1721" s="227"/>
      <c r="BBL1721" s="227"/>
      <c r="BBM1721" s="227"/>
      <c r="BBN1721" s="227"/>
      <c r="BBO1721" s="227"/>
      <c r="BBP1721" s="227"/>
      <c r="BBQ1721" s="227"/>
      <c r="BBR1721" s="227"/>
      <c r="BBS1721" s="227"/>
      <c r="BBT1721" s="227"/>
      <c r="BBU1721" s="227"/>
      <c r="BBV1721" s="227"/>
      <c r="BBW1721" s="227"/>
      <c r="BBX1721" s="227"/>
      <c r="BBY1721" s="227"/>
      <c r="BBZ1721" s="227"/>
      <c r="BCA1721" s="227"/>
      <c r="BCB1721" s="227"/>
      <c r="BCC1721" s="227"/>
      <c r="BCD1721" s="227"/>
      <c r="BCE1721" s="227"/>
      <c r="BCF1721" s="227"/>
      <c r="BCG1721" s="227"/>
      <c r="BCH1721" s="227"/>
      <c r="BCI1721" s="227"/>
      <c r="BCJ1721" s="227"/>
      <c r="BCK1721" s="227"/>
      <c r="BCL1721" s="227"/>
      <c r="BCM1721" s="227"/>
      <c r="BCN1721" s="227"/>
      <c r="BCO1721" s="227"/>
      <c r="BCP1721" s="227"/>
      <c r="BCQ1721" s="227"/>
      <c r="BCR1721" s="227"/>
      <c r="BCS1721" s="227"/>
      <c r="BCT1721" s="227"/>
      <c r="BCU1721" s="227"/>
      <c r="BCV1721" s="227"/>
      <c r="BCW1721" s="227"/>
      <c r="BCX1721" s="227"/>
      <c r="BCY1721" s="227"/>
      <c r="BCZ1721" s="227"/>
      <c r="BDA1721" s="227"/>
      <c r="BDB1721" s="227"/>
      <c r="BDC1721" s="227"/>
      <c r="BDD1721" s="227"/>
      <c r="BDE1721" s="227"/>
      <c r="BDF1721" s="227"/>
      <c r="BDG1721" s="227"/>
      <c r="BDH1721" s="227"/>
      <c r="BDI1721" s="227"/>
      <c r="BDJ1721" s="227"/>
      <c r="BDK1721" s="227"/>
      <c r="BDL1721" s="227"/>
      <c r="BDM1721" s="227"/>
      <c r="BDN1721" s="227"/>
      <c r="BDO1721" s="227"/>
      <c r="BDP1721" s="227"/>
      <c r="BDQ1721" s="227"/>
      <c r="BDR1721" s="227"/>
      <c r="BDS1721" s="227"/>
      <c r="BDT1721" s="227"/>
      <c r="BDU1721" s="227"/>
      <c r="BDV1721" s="227"/>
      <c r="BDW1721" s="227"/>
      <c r="BDX1721" s="227"/>
      <c r="BDY1721" s="227"/>
      <c r="BDZ1721" s="227"/>
      <c r="BEA1721" s="227"/>
      <c r="BEB1721" s="227"/>
      <c r="BEC1721" s="227"/>
      <c r="BED1721" s="227"/>
      <c r="BEE1721" s="227"/>
      <c r="BEF1721" s="227"/>
      <c r="BEG1721" s="227"/>
      <c r="BEH1721" s="227"/>
      <c r="BEI1721" s="227"/>
      <c r="BEJ1721" s="227"/>
      <c r="BEK1721" s="227"/>
      <c r="BEL1721" s="227"/>
      <c r="BEM1721" s="227"/>
      <c r="BEN1721" s="227"/>
      <c r="BEO1721" s="227"/>
      <c r="BEP1721" s="227"/>
      <c r="BEQ1721" s="227"/>
      <c r="BER1721" s="227"/>
      <c r="BES1721" s="227"/>
      <c r="BET1721" s="227"/>
      <c r="BEU1721" s="227"/>
      <c r="BEV1721" s="227"/>
      <c r="BEW1721" s="227"/>
      <c r="BEX1721" s="227"/>
      <c r="BEY1721" s="227"/>
      <c r="BEZ1721" s="227"/>
      <c r="BFA1721" s="227"/>
      <c r="BFB1721" s="227"/>
      <c r="BFC1721" s="227"/>
      <c r="BFD1721" s="227"/>
      <c r="BFE1721" s="227"/>
      <c r="BFF1721" s="227"/>
      <c r="BFG1721" s="227"/>
      <c r="BFH1721" s="227"/>
      <c r="BFI1721" s="227"/>
      <c r="BFJ1721" s="227"/>
      <c r="BFK1721" s="227"/>
      <c r="BFL1721" s="227"/>
      <c r="BFM1721" s="227"/>
      <c r="BFN1721" s="227"/>
      <c r="BFO1721" s="227"/>
      <c r="BFP1721" s="227"/>
      <c r="BFQ1721" s="227"/>
      <c r="BFR1721" s="227"/>
      <c r="BFS1721" s="227"/>
      <c r="BFT1721" s="227"/>
      <c r="BFU1721" s="227"/>
      <c r="BFV1721" s="227"/>
      <c r="BFW1721" s="227"/>
      <c r="BFX1721" s="227"/>
      <c r="BFY1721" s="227"/>
      <c r="BFZ1721" s="227"/>
      <c r="BGA1721" s="227"/>
      <c r="BGB1721" s="227"/>
      <c r="BGC1721" s="227"/>
      <c r="BGD1721" s="227"/>
      <c r="BGE1721" s="227"/>
      <c r="BGF1721" s="227"/>
      <c r="BGG1721" s="227"/>
      <c r="BGH1721" s="227"/>
      <c r="BGI1721" s="227"/>
      <c r="BGJ1721" s="227"/>
      <c r="BGK1721" s="227"/>
      <c r="BGL1721" s="227"/>
      <c r="BGM1721" s="227"/>
      <c r="BGN1721" s="227"/>
      <c r="BGO1721" s="227"/>
      <c r="BGP1721" s="227"/>
      <c r="BGQ1721" s="227"/>
      <c r="BGR1721" s="227"/>
      <c r="BGS1721" s="227"/>
      <c r="BGT1721" s="227"/>
      <c r="BGU1721" s="227"/>
      <c r="BGV1721" s="227"/>
      <c r="BGW1721" s="227"/>
      <c r="BGX1721" s="227"/>
      <c r="BGY1721" s="227"/>
      <c r="BGZ1721" s="227"/>
      <c r="BHA1721" s="227"/>
      <c r="BHB1721" s="227"/>
      <c r="BHC1721" s="227"/>
      <c r="BHD1721" s="227"/>
      <c r="BHE1721" s="227"/>
      <c r="BHF1721" s="227"/>
      <c r="BHG1721" s="227"/>
      <c r="BHH1721" s="227"/>
      <c r="BHI1721" s="227"/>
      <c r="BHJ1721" s="227"/>
      <c r="BHK1721" s="227"/>
      <c r="BHL1721" s="227"/>
      <c r="BHM1721" s="227"/>
      <c r="BHN1721" s="227"/>
      <c r="BHO1721" s="227"/>
      <c r="BHP1721" s="227"/>
      <c r="BHQ1721" s="227"/>
      <c r="BHR1721" s="227"/>
      <c r="BHS1721" s="227"/>
      <c r="BHT1721" s="227"/>
      <c r="BHU1721" s="227"/>
      <c r="BHV1721" s="227"/>
      <c r="BHW1721" s="227"/>
      <c r="BHX1721" s="227"/>
      <c r="BHY1721" s="227"/>
      <c r="BHZ1721" s="227"/>
      <c r="BIA1721" s="227"/>
      <c r="BIB1721" s="227"/>
      <c r="BIC1721" s="227"/>
      <c r="BID1721" s="227"/>
      <c r="BIE1721" s="227"/>
      <c r="BIF1721" s="227"/>
      <c r="BIG1721" s="227"/>
      <c r="BIH1721" s="227"/>
      <c r="BII1721" s="227"/>
      <c r="BIJ1721" s="227"/>
      <c r="BIK1721" s="227"/>
      <c r="BIL1721" s="227"/>
      <c r="BIM1721" s="227"/>
      <c r="BIN1721" s="227"/>
      <c r="BIO1721" s="227"/>
      <c r="BIP1721" s="227"/>
      <c r="BIQ1721" s="227"/>
      <c r="BIR1721" s="227"/>
      <c r="BIS1721" s="227"/>
      <c r="BIT1721" s="227"/>
      <c r="BIU1721" s="227"/>
      <c r="BIV1721" s="227"/>
      <c r="BIW1721" s="227"/>
      <c r="BIX1721" s="227"/>
      <c r="BIY1721" s="227"/>
      <c r="BIZ1721" s="227"/>
      <c r="BJA1721" s="227"/>
      <c r="BJB1721" s="227"/>
      <c r="BJC1721" s="227"/>
      <c r="BJD1721" s="227"/>
      <c r="BJE1721" s="227"/>
      <c r="BJF1721" s="227"/>
      <c r="BJG1721" s="227"/>
      <c r="BJH1721" s="227"/>
      <c r="BJI1721" s="227"/>
      <c r="BJJ1721" s="227"/>
      <c r="BJK1721" s="227"/>
      <c r="BJL1721" s="227"/>
      <c r="BJM1721" s="227"/>
      <c r="BJN1721" s="227"/>
      <c r="BJO1721" s="227"/>
      <c r="BJP1721" s="227"/>
      <c r="BJQ1721" s="227"/>
      <c r="BJR1721" s="227"/>
      <c r="BJS1721" s="227"/>
      <c r="BJT1721" s="227"/>
      <c r="BJU1721" s="227"/>
      <c r="BJV1721" s="227"/>
      <c r="BJW1721" s="227"/>
      <c r="BJX1721" s="227"/>
      <c r="BJY1721" s="227"/>
      <c r="BJZ1721" s="227"/>
      <c r="BKA1721" s="227"/>
      <c r="BKB1721" s="227"/>
      <c r="BKC1721" s="227"/>
      <c r="BKD1721" s="227"/>
      <c r="BKE1721" s="227"/>
      <c r="BKF1721" s="227"/>
      <c r="BKG1721" s="227"/>
      <c r="BKH1721" s="227"/>
      <c r="BKI1721" s="227"/>
      <c r="BKJ1721" s="227"/>
      <c r="BKK1721" s="227"/>
      <c r="BKL1721" s="227"/>
      <c r="BKM1721" s="227"/>
      <c r="BKN1721" s="227"/>
      <c r="BKO1721" s="227"/>
      <c r="BKP1721" s="227"/>
      <c r="BKQ1721" s="227"/>
      <c r="BKR1721" s="227"/>
      <c r="BKS1721" s="227"/>
      <c r="BKT1721" s="227"/>
      <c r="BKU1721" s="227"/>
      <c r="BKV1721" s="227"/>
      <c r="BKW1721" s="227"/>
      <c r="BKX1721" s="227"/>
      <c r="BKY1721" s="227"/>
      <c r="BKZ1721" s="227"/>
      <c r="BLA1721" s="227"/>
      <c r="BLB1721" s="227"/>
      <c r="BLC1721" s="227"/>
      <c r="BLD1721" s="227"/>
      <c r="BLE1721" s="227"/>
      <c r="BLF1721" s="227"/>
      <c r="BLG1721" s="227"/>
      <c r="BLH1721" s="227"/>
      <c r="BLI1721" s="227"/>
      <c r="BLJ1721" s="227"/>
      <c r="BLK1721" s="227"/>
      <c r="BLL1721" s="227"/>
      <c r="BLM1721" s="227"/>
      <c r="BLN1721" s="227"/>
      <c r="BLO1721" s="227"/>
      <c r="BLP1721" s="227"/>
      <c r="BLQ1721" s="227"/>
      <c r="BLR1721" s="227"/>
      <c r="BLS1721" s="227"/>
      <c r="BLT1721" s="227"/>
      <c r="BLU1721" s="227"/>
      <c r="BLV1721" s="227"/>
      <c r="BLW1721" s="227"/>
      <c r="BLX1721" s="227"/>
      <c r="BLY1721" s="227"/>
      <c r="BLZ1721" s="227"/>
      <c r="BMA1721" s="227"/>
      <c r="BMB1721" s="227"/>
      <c r="BMC1721" s="227"/>
      <c r="BMD1721" s="227"/>
      <c r="BME1721" s="227"/>
      <c r="BMF1721" s="227"/>
      <c r="BMG1721" s="227"/>
      <c r="BMH1721" s="227"/>
      <c r="BMI1721" s="227"/>
      <c r="BMJ1721" s="227"/>
      <c r="BMK1721" s="227"/>
      <c r="BML1721" s="227"/>
      <c r="BMM1721" s="227"/>
      <c r="BMN1721" s="227"/>
      <c r="BMO1721" s="227"/>
      <c r="BMP1721" s="227"/>
      <c r="BMQ1721" s="227"/>
      <c r="BMR1721" s="227"/>
      <c r="BMS1721" s="227"/>
      <c r="BMT1721" s="227"/>
      <c r="BMU1721" s="227"/>
      <c r="BMV1721" s="227"/>
      <c r="BMW1721" s="227"/>
      <c r="BMX1721" s="227"/>
      <c r="BMY1721" s="227"/>
      <c r="BMZ1721" s="227"/>
      <c r="BNA1721" s="227"/>
      <c r="BNB1721" s="227"/>
      <c r="BNC1721" s="227"/>
      <c r="BND1721" s="227"/>
      <c r="BNE1721" s="227"/>
      <c r="BNF1721" s="227"/>
      <c r="BNG1721" s="227"/>
      <c r="BNH1721" s="227"/>
      <c r="BNI1721" s="227"/>
      <c r="BNJ1721" s="227"/>
      <c r="BNK1721" s="227"/>
      <c r="BNL1721" s="227"/>
      <c r="BNM1721" s="227"/>
      <c r="BNN1721" s="227"/>
      <c r="BNO1721" s="227"/>
      <c r="BNP1721" s="227"/>
      <c r="BNQ1721" s="227"/>
      <c r="BNR1721" s="227"/>
      <c r="BNS1721" s="227"/>
      <c r="BNT1721" s="227"/>
      <c r="BNU1721" s="227"/>
      <c r="BNV1721" s="227"/>
      <c r="BNW1721" s="227"/>
      <c r="BNX1721" s="227"/>
      <c r="BNY1721" s="227"/>
      <c r="BNZ1721" s="227"/>
      <c r="BOA1721" s="227"/>
      <c r="BOB1721" s="227"/>
      <c r="BOC1721" s="227"/>
      <c r="BOD1721" s="227"/>
      <c r="BOE1721" s="227"/>
      <c r="BOF1721" s="227"/>
      <c r="BOG1721" s="227"/>
      <c r="BOH1721" s="227"/>
      <c r="BOI1721" s="227"/>
      <c r="BOJ1721" s="227"/>
      <c r="BOK1721" s="227"/>
      <c r="BOL1721" s="227"/>
      <c r="BOM1721" s="227"/>
      <c r="BON1721" s="227"/>
      <c r="BOO1721" s="227"/>
      <c r="BOP1721" s="227"/>
      <c r="BOQ1721" s="227"/>
      <c r="BOR1721" s="227"/>
      <c r="BOS1721" s="227"/>
      <c r="BOT1721" s="227"/>
      <c r="BOU1721" s="227"/>
      <c r="BOV1721" s="227"/>
      <c r="BOW1721" s="227"/>
      <c r="BOX1721" s="227"/>
      <c r="BOY1721" s="227"/>
      <c r="BOZ1721" s="227"/>
      <c r="BPA1721" s="227"/>
      <c r="BPB1721" s="227"/>
      <c r="BPC1721" s="227"/>
      <c r="BPD1721" s="227"/>
      <c r="BPE1721" s="227"/>
      <c r="BPF1721" s="227"/>
      <c r="BPG1721" s="227"/>
      <c r="BPH1721" s="227"/>
      <c r="BPI1721" s="227"/>
      <c r="BPJ1721" s="227"/>
      <c r="BPK1721" s="227"/>
      <c r="BPL1721" s="227"/>
      <c r="BPM1721" s="227"/>
      <c r="BPN1721" s="227"/>
      <c r="BPO1721" s="227"/>
      <c r="BPP1721" s="227"/>
      <c r="BPQ1721" s="227"/>
      <c r="BPR1721" s="227"/>
      <c r="BPS1721" s="227"/>
      <c r="BPT1721" s="227"/>
      <c r="BPU1721" s="227"/>
      <c r="BPV1721" s="227"/>
      <c r="BPW1721" s="227"/>
      <c r="BPX1721" s="227"/>
      <c r="BPY1721" s="227"/>
      <c r="BPZ1721" s="227"/>
      <c r="BQA1721" s="227"/>
      <c r="BQB1721" s="227"/>
      <c r="BQC1721" s="227"/>
      <c r="BQD1721" s="227"/>
      <c r="BQE1721" s="227"/>
      <c r="BQF1721" s="227"/>
      <c r="BQG1721" s="227"/>
      <c r="BQH1721" s="227"/>
      <c r="BQI1721" s="227"/>
      <c r="BQJ1721" s="227"/>
      <c r="BQK1721" s="227"/>
      <c r="BQL1721" s="227"/>
      <c r="BQM1721" s="227"/>
      <c r="BQN1721" s="227"/>
      <c r="BQO1721" s="227"/>
      <c r="BQP1721" s="227"/>
      <c r="BQQ1721" s="227"/>
      <c r="BQR1721" s="227"/>
      <c r="BQS1721" s="227"/>
      <c r="BQT1721" s="227"/>
      <c r="BQU1721" s="227"/>
      <c r="BQV1721" s="227"/>
      <c r="BQW1721" s="227"/>
      <c r="BQX1721" s="227"/>
      <c r="BQY1721" s="227"/>
      <c r="BQZ1721" s="227"/>
      <c r="BRA1721" s="227"/>
      <c r="BRB1721" s="227"/>
      <c r="BRC1721" s="227"/>
      <c r="BRD1721" s="227"/>
      <c r="BRE1721" s="227"/>
      <c r="BRF1721" s="227"/>
      <c r="BRG1721" s="227"/>
      <c r="BRH1721" s="227"/>
      <c r="BRI1721" s="227"/>
      <c r="BRJ1721" s="227"/>
      <c r="BRK1721" s="227"/>
      <c r="BRL1721" s="227"/>
      <c r="BRM1721" s="227"/>
      <c r="BRN1721" s="227"/>
      <c r="BRO1721" s="227"/>
      <c r="BRP1721" s="227"/>
      <c r="BRQ1721" s="227"/>
      <c r="BRR1721" s="227"/>
      <c r="BRS1721" s="227"/>
      <c r="BRT1721" s="227"/>
      <c r="BRU1721" s="227"/>
      <c r="BRV1721" s="227"/>
      <c r="BRW1721" s="227"/>
      <c r="BRX1721" s="227"/>
      <c r="BRY1721" s="227"/>
      <c r="BRZ1721" s="227"/>
      <c r="BSA1721" s="227"/>
      <c r="BSB1721" s="227"/>
      <c r="BSC1721" s="227"/>
      <c r="BSD1721" s="227"/>
      <c r="BSE1721" s="227"/>
      <c r="BSF1721" s="227"/>
      <c r="BSG1721" s="227"/>
      <c r="BSH1721" s="227"/>
      <c r="BSI1721" s="227"/>
      <c r="BSJ1721" s="227"/>
      <c r="BSK1721" s="227"/>
      <c r="BSL1721" s="227"/>
      <c r="BSM1721" s="227"/>
      <c r="BSN1721" s="227"/>
      <c r="BSO1721" s="227"/>
      <c r="BSP1721" s="227"/>
      <c r="BSQ1721" s="227"/>
      <c r="BSR1721" s="227"/>
      <c r="BSS1721" s="227"/>
      <c r="BST1721" s="227"/>
      <c r="BSU1721" s="227"/>
      <c r="BSV1721" s="227"/>
      <c r="BSW1721" s="227"/>
      <c r="BSX1721" s="227"/>
      <c r="BSY1721" s="227"/>
      <c r="BSZ1721" s="227"/>
      <c r="BTA1721" s="227"/>
      <c r="BTB1721" s="227"/>
      <c r="BTC1721" s="227"/>
      <c r="BTD1721" s="227"/>
      <c r="BTE1721" s="227"/>
      <c r="BTF1721" s="227"/>
      <c r="BTG1721" s="227"/>
      <c r="BTH1721" s="227"/>
      <c r="BTI1721" s="227"/>
      <c r="BTJ1721" s="227"/>
      <c r="BTK1721" s="227"/>
      <c r="BTL1721" s="227"/>
      <c r="BTM1721" s="227"/>
      <c r="BTN1721" s="227"/>
      <c r="BTO1721" s="227"/>
      <c r="BTP1721" s="227"/>
      <c r="BTQ1721" s="227"/>
      <c r="BTR1721" s="227"/>
      <c r="BTS1721" s="227"/>
      <c r="BTT1721" s="227"/>
      <c r="BTU1721" s="227"/>
      <c r="BTV1721" s="227"/>
      <c r="BTW1721" s="227"/>
      <c r="BTX1721" s="227"/>
      <c r="BTY1721" s="227"/>
      <c r="BTZ1721" s="227"/>
      <c r="BUA1721" s="227"/>
      <c r="BUB1721" s="227"/>
      <c r="BUC1721" s="227"/>
      <c r="BUD1721" s="227"/>
      <c r="BUE1721" s="227"/>
      <c r="BUF1721" s="227"/>
      <c r="BUG1721" s="227"/>
      <c r="BUH1721" s="227"/>
      <c r="BUI1721" s="227"/>
      <c r="BUJ1721" s="227"/>
      <c r="BUK1721" s="227"/>
      <c r="BUL1721" s="227"/>
      <c r="BUM1721" s="227"/>
      <c r="BUN1721" s="227"/>
      <c r="BUO1721" s="227"/>
      <c r="BUP1721" s="227"/>
      <c r="BUQ1721" s="227"/>
      <c r="BUR1721" s="227"/>
      <c r="BUS1721" s="227"/>
      <c r="BUT1721" s="227"/>
      <c r="BUU1721" s="227"/>
      <c r="BUV1721" s="227"/>
      <c r="BUW1721" s="227"/>
      <c r="BUX1721" s="227"/>
      <c r="BUY1721" s="227"/>
      <c r="BUZ1721" s="227"/>
      <c r="BVA1721" s="227"/>
      <c r="BVB1721" s="227"/>
      <c r="BVC1721" s="227"/>
      <c r="BVD1721" s="227"/>
      <c r="BVE1721" s="227"/>
      <c r="BVF1721" s="227"/>
      <c r="BVG1721" s="227"/>
      <c r="BVH1721" s="227"/>
      <c r="BVI1721" s="227"/>
      <c r="BVJ1721" s="227"/>
      <c r="BVK1721" s="227"/>
      <c r="BVL1721" s="227"/>
      <c r="BVM1721" s="227"/>
      <c r="BVN1721" s="227"/>
      <c r="BVO1721" s="227"/>
      <c r="BVP1721" s="227"/>
      <c r="BVQ1721" s="227"/>
      <c r="BVR1721" s="227"/>
      <c r="BVS1721" s="227"/>
      <c r="BVT1721" s="227"/>
      <c r="BVU1721" s="227"/>
      <c r="BVV1721" s="227"/>
      <c r="BVW1721" s="227"/>
      <c r="BVX1721" s="227"/>
      <c r="BVY1721" s="227"/>
      <c r="BVZ1721" s="227"/>
      <c r="BWA1721" s="227"/>
      <c r="BWB1721" s="227"/>
      <c r="BWC1721" s="227"/>
      <c r="BWD1721" s="227"/>
      <c r="BWE1721" s="227"/>
      <c r="BWF1721" s="227"/>
      <c r="BWG1721" s="227"/>
      <c r="BWH1721" s="227"/>
      <c r="BWI1721" s="227"/>
      <c r="BWJ1721" s="227"/>
      <c r="BWK1721" s="227"/>
      <c r="BWL1721" s="227"/>
      <c r="BWM1721" s="227"/>
      <c r="BWN1721" s="227"/>
      <c r="BWO1721" s="227"/>
      <c r="BWP1721" s="227"/>
      <c r="BWQ1721" s="227"/>
      <c r="BWR1721" s="227"/>
      <c r="BWS1721" s="227"/>
      <c r="BWT1721" s="227"/>
      <c r="BWU1721" s="227"/>
      <c r="BWV1721" s="227"/>
      <c r="BWW1721" s="227"/>
      <c r="BWX1721" s="227"/>
      <c r="BWY1721" s="227"/>
      <c r="BWZ1721" s="227"/>
      <c r="BXA1721" s="227"/>
      <c r="BXB1721" s="227"/>
      <c r="BXC1721" s="227"/>
      <c r="BXD1721" s="227"/>
      <c r="BXE1721" s="227"/>
      <c r="BXF1721" s="227"/>
      <c r="BXG1721" s="227"/>
      <c r="BXH1721" s="227"/>
      <c r="BXI1721" s="227"/>
      <c r="BXJ1721" s="227"/>
      <c r="BXK1721" s="227"/>
      <c r="BXL1721" s="227"/>
      <c r="BXM1721" s="227"/>
      <c r="BXN1721" s="227"/>
      <c r="BXO1721" s="227"/>
      <c r="BXP1721" s="227"/>
      <c r="BXQ1721" s="227"/>
      <c r="BXR1721" s="227"/>
      <c r="BXS1721" s="227"/>
      <c r="BXT1721" s="227"/>
      <c r="BXU1721" s="227"/>
      <c r="BXV1721" s="227"/>
      <c r="BXW1721" s="227"/>
      <c r="BXX1721" s="227"/>
      <c r="BXY1721" s="227"/>
      <c r="BXZ1721" s="227"/>
      <c r="BYA1721" s="227"/>
      <c r="BYB1721" s="227"/>
      <c r="BYC1721" s="227"/>
      <c r="BYD1721" s="227"/>
      <c r="BYE1721" s="227"/>
      <c r="BYF1721" s="227"/>
      <c r="BYG1721" s="227"/>
      <c r="BYH1721" s="227"/>
      <c r="BYI1721" s="227"/>
      <c r="BYJ1721" s="227"/>
      <c r="BYK1721" s="227"/>
      <c r="BYL1721" s="227"/>
      <c r="BYM1721" s="227"/>
      <c r="BYN1721" s="227"/>
      <c r="BYO1721" s="227"/>
      <c r="BYP1721" s="227"/>
      <c r="BYQ1721" s="227"/>
      <c r="BYR1721" s="227"/>
      <c r="BYS1721" s="227"/>
      <c r="BYT1721" s="227"/>
      <c r="BYU1721" s="227"/>
      <c r="BYV1721" s="227"/>
      <c r="BYW1721" s="227"/>
      <c r="BYX1721" s="227"/>
      <c r="BYY1721" s="227"/>
      <c r="BYZ1721" s="227"/>
      <c r="BZA1721" s="227"/>
      <c r="BZB1721" s="227"/>
      <c r="BZC1721" s="227"/>
      <c r="BZD1721" s="227"/>
      <c r="BZE1721" s="227"/>
      <c r="BZF1721" s="227"/>
      <c r="BZG1721" s="227"/>
      <c r="BZH1721" s="227"/>
      <c r="BZI1721" s="227"/>
      <c r="BZJ1721" s="227"/>
      <c r="BZK1721" s="227"/>
      <c r="BZL1721" s="227"/>
      <c r="BZM1721" s="227"/>
      <c r="BZN1721" s="227"/>
      <c r="BZO1721" s="227"/>
      <c r="BZP1721" s="227"/>
      <c r="BZQ1721" s="227"/>
      <c r="BZR1721" s="227"/>
      <c r="BZS1721" s="227"/>
      <c r="BZT1721" s="227"/>
      <c r="BZU1721" s="227"/>
      <c r="BZV1721" s="227"/>
      <c r="BZW1721" s="227"/>
      <c r="BZX1721" s="227"/>
      <c r="BZY1721" s="227"/>
      <c r="BZZ1721" s="227"/>
      <c r="CAA1721" s="227"/>
      <c r="CAB1721" s="227"/>
      <c r="CAC1721" s="227"/>
      <c r="CAD1721" s="227"/>
      <c r="CAE1721" s="227"/>
      <c r="CAF1721" s="227"/>
      <c r="CAG1721" s="227"/>
      <c r="CAH1721" s="227"/>
      <c r="CAI1721" s="227"/>
      <c r="CAJ1721" s="227"/>
      <c r="CAK1721" s="227"/>
      <c r="CAL1721" s="227"/>
      <c r="CAM1721" s="227"/>
      <c r="CAN1721" s="227"/>
      <c r="CAO1721" s="227"/>
      <c r="CAP1721" s="227"/>
      <c r="CAQ1721" s="227"/>
      <c r="CAR1721" s="227"/>
      <c r="CAS1721" s="227"/>
      <c r="CAT1721" s="227"/>
      <c r="CAU1721" s="227"/>
      <c r="CAV1721" s="227"/>
      <c r="CAW1721" s="227"/>
      <c r="CAX1721" s="227"/>
      <c r="CAY1721" s="227"/>
      <c r="CAZ1721" s="227"/>
      <c r="CBA1721" s="227"/>
      <c r="CBB1721" s="227"/>
      <c r="CBC1721" s="227"/>
      <c r="CBD1721" s="227"/>
      <c r="CBE1721" s="227"/>
      <c r="CBF1721" s="227"/>
      <c r="CBG1721" s="227"/>
      <c r="CBH1721" s="227"/>
      <c r="CBI1721" s="227"/>
      <c r="CBJ1721" s="227"/>
      <c r="CBK1721" s="227"/>
      <c r="CBL1721" s="227"/>
      <c r="CBM1721" s="227"/>
      <c r="CBN1721" s="227"/>
      <c r="CBO1721" s="227"/>
      <c r="CBP1721" s="227"/>
      <c r="CBQ1721" s="227"/>
      <c r="CBR1721" s="227"/>
      <c r="CBS1721" s="227"/>
      <c r="CBT1721" s="227"/>
      <c r="CBU1721" s="227"/>
      <c r="CBV1721" s="227"/>
      <c r="CBW1721" s="227"/>
      <c r="CBX1721" s="227"/>
      <c r="CBY1721" s="227"/>
      <c r="CBZ1721" s="227"/>
      <c r="CCA1721" s="227"/>
      <c r="CCB1721" s="227"/>
      <c r="CCC1721" s="227"/>
      <c r="CCD1721" s="227"/>
      <c r="CCE1721" s="227"/>
      <c r="CCF1721" s="227"/>
      <c r="CCG1721" s="227"/>
      <c r="CCH1721" s="227"/>
      <c r="CCI1721" s="227"/>
      <c r="CCJ1721" s="227"/>
      <c r="CCK1721" s="227"/>
      <c r="CCL1721" s="227"/>
      <c r="CCM1721" s="227"/>
      <c r="CCN1721" s="227"/>
      <c r="CCO1721" s="227"/>
      <c r="CCP1721" s="227"/>
      <c r="CCQ1721" s="227"/>
      <c r="CCR1721" s="227"/>
      <c r="CCS1721" s="227"/>
      <c r="CCT1721" s="227"/>
      <c r="CCU1721" s="227"/>
      <c r="CCV1721" s="227"/>
      <c r="CCW1721" s="227"/>
      <c r="CCX1721" s="227"/>
      <c r="CCY1721" s="227"/>
      <c r="CCZ1721" s="227"/>
      <c r="CDA1721" s="227"/>
      <c r="CDB1721" s="227"/>
      <c r="CDC1721" s="227"/>
      <c r="CDD1721" s="227"/>
      <c r="CDE1721" s="227"/>
      <c r="CDF1721" s="227"/>
      <c r="CDG1721" s="227"/>
      <c r="CDH1721" s="227"/>
      <c r="CDI1721" s="227"/>
      <c r="CDJ1721" s="227"/>
      <c r="CDK1721" s="227"/>
      <c r="CDL1721" s="227"/>
      <c r="CDM1721" s="227"/>
      <c r="CDN1721" s="227"/>
      <c r="CDO1721" s="227"/>
      <c r="CDP1721" s="227"/>
      <c r="CDQ1721" s="227"/>
      <c r="CDR1721" s="227"/>
      <c r="CDS1721" s="227"/>
      <c r="CDT1721" s="227"/>
      <c r="CDU1721" s="227"/>
      <c r="CDV1721" s="227"/>
      <c r="CDW1721" s="227"/>
      <c r="CDX1721" s="227"/>
      <c r="CDY1721" s="227"/>
      <c r="CDZ1721" s="227"/>
      <c r="CEA1721" s="227"/>
      <c r="CEB1721" s="227"/>
      <c r="CEC1721" s="227"/>
      <c r="CED1721" s="227"/>
      <c r="CEE1721" s="227"/>
      <c r="CEF1721" s="227"/>
      <c r="CEG1721" s="227"/>
      <c r="CEH1721" s="227"/>
      <c r="CEI1721" s="227"/>
      <c r="CEJ1721" s="227"/>
      <c r="CEK1721" s="227"/>
      <c r="CEL1721" s="227"/>
      <c r="CEM1721" s="227"/>
      <c r="CEN1721" s="227"/>
      <c r="CEO1721" s="227"/>
      <c r="CEP1721" s="227"/>
      <c r="CEQ1721" s="227"/>
      <c r="CER1721" s="227"/>
      <c r="CES1721" s="227"/>
      <c r="CET1721" s="227"/>
      <c r="CEU1721" s="227"/>
      <c r="CEV1721" s="227"/>
      <c r="CEW1721" s="227"/>
      <c r="CEX1721" s="227"/>
      <c r="CEY1721" s="227"/>
      <c r="CEZ1721" s="227"/>
      <c r="CFA1721" s="227"/>
      <c r="CFB1721" s="227"/>
      <c r="CFC1721" s="227"/>
      <c r="CFD1721" s="227"/>
      <c r="CFE1721" s="227"/>
      <c r="CFF1721" s="227"/>
      <c r="CFG1721" s="227"/>
      <c r="CFH1721" s="227"/>
      <c r="CFI1721" s="227"/>
      <c r="CFJ1721" s="227"/>
      <c r="CFK1721" s="227"/>
      <c r="CFL1721" s="227"/>
      <c r="CFM1721" s="227"/>
      <c r="CFN1721" s="227"/>
      <c r="CFO1721" s="227"/>
      <c r="CFP1721" s="227"/>
      <c r="CFQ1721" s="227"/>
      <c r="CFR1721" s="227"/>
      <c r="CFS1721" s="227"/>
      <c r="CFT1721" s="227"/>
      <c r="CFU1721" s="227"/>
      <c r="CFV1721" s="227"/>
      <c r="CFW1721" s="227"/>
      <c r="CFX1721" s="227"/>
      <c r="CFY1721" s="227"/>
      <c r="CFZ1721" s="227"/>
      <c r="CGA1721" s="227"/>
      <c r="CGB1721" s="227"/>
      <c r="CGC1721" s="227"/>
      <c r="CGD1721" s="227"/>
      <c r="CGE1721" s="227"/>
      <c r="CGF1721" s="227"/>
      <c r="CGG1721" s="227"/>
      <c r="CGH1721" s="227"/>
      <c r="CGI1721" s="227"/>
      <c r="CGJ1721" s="227"/>
      <c r="CGK1721" s="227"/>
      <c r="CGL1721" s="227"/>
      <c r="CGM1721" s="227"/>
      <c r="CGN1721" s="227"/>
      <c r="CGO1721" s="227"/>
      <c r="CGP1721" s="227"/>
      <c r="CGQ1721" s="227"/>
      <c r="CGR1721" s="227"/>
      <c r="CGS1721" s="227"/>
      <c r="CGT1721" s="227"/>
      <c r="CGU1721" s="227"/>
      <c r="CGV1721" s="227"/>
      <c r="CGW1721" s="227"/>
      <c r="CGX1721" s="227"/>
      <c r="CGY1721" s="227"/>
      <c r="CGZ1721" s="227"/>
      <c r="CHA1721" s="227"/>
      <c r="CHB1721" s="227"/>
      <c r="CHC1721" s="227"/>
      <c r="CHD1721" s="227"/>
      <c r="CHE1721" s="227"/>
      <c r="CHF1721" s="227"/>
      <c r="CHG1721" s="227"/>
      <c r="CHH1721" s="227"/>
      <c r="CHI1721" s="227"/>
      <c r="CHJ1721" s="227"/>
      <c r="CHK1721" s="227"/>
      <c r="CHL1721" s="227"/>
      <c r="CHM1721" s="227"/>
      <c r="CHN1721" s="227"/>
      <c r="CHO1721" s="227"/>
      <c r="CHP1721" s="227"/>
      <c r="CHQ1721" s="227"/>
      <c r="CHR1721" s="227"/>
      <c r="CHS1721" s="227"/>
      <c r="CHT1721" s="227"/>
      <c r="CHU1721" s="227"/>
      <c r="CHV1721" s="227"/>
      <c r="CHW1721" s="227"/>
      <c r="CHX1721" s="227"/>
      <c r="CHY1721" s="227"/>
      <c r="CHZ1721" s="227"/>
      <c r="CIA1721" s="227"/>
      <c r="CIB1721" s="227"/>
      <c r="CIC1721" s="227"/>
      <c r="CID1721" s="227"/>
      <c r="CIE1721" s="227"/>
      <c r="CIF1721" s="227"/>
      <c r="CIG1721" s="227"/>
      <c r="CIH1721" s="227"/>
      <c r="CII1721" s="227"/>
      <c r="CIJ1721" s="227"/>
      <c r="CIK1721" s="227"/>
      <c r="CIL1721" s="227"/>
      <c r="CIM1721" s="227"/>
      <c r="CIN1721" s="227"/>
      <c r="CIO1721" s="227"/>
      <c r="CIP1721" s="227"/>
      <c r="CIQ1721" s="227"/>
      <c r="CIR1721" s="227"/>
      <c r="CIS1721" s="227"/>
      <c r="CIT1721" s="227"/>
      <c r="CIU1721" s="227"/>
      <c r="CIV1721" s="227"/>
      <c r="CIW1721" s="227"/>
      <c r="CIX1721" s="227"/>
      <c r="CIY1721" s="227"/>
      <c r="CIZ1721" s="227"/>
      <c r="CJA1721" s="227"/>
      <c r="CJB1721" s="227"/>
      <c r="CJC1721" s="227"/>
      <c r="CJD1721" s="227"/>
      <c r="CJE1721" s="227"/>
      <c r="CJF1721" s="227"/>
      <c r="CJG1721" s="227"/>
      <c r="CJH1721" s="227"/>
      <c r="CJI1721" s="227"/>
      <c r="CJJ1721" s="227"/>
      <c r="CJK1721" s="227"/>
      <c r="CJL1721" s="227"/>
      <c r="CJM1721" s="227"/>
      <c r="CJN1721" s="227"/>
      <c r="CJO1721" s="227"/>
      <c r="CJP1721" s="227"/>
      <c r="CJQ1721" s="227"/>
      <c r="CJR1721" s="227"/>
      <c r="CJS1721" s="227"/>
      <c r="CJT1721" s="227"/>
      <c r="CJU1721" s="227"/>
      <c r="CJV1721" s="227"/>
      <c r="CJW1721" s="227"/>
      <c r="CJX1721" s="227"/>
      <c r="CJY1721" s="227"/>
      <c r="CJZ1721" s="227"/>
      <c r="CKA1721" s="227"/>
      <c r="CKB1721" s="227"/>
      <c r="CKC1721" s="227"/>
      <c r="CKD1721" s="227"/>
      <c r="CKE1721" s="227"/>
      <c r="CKF1721" s="227"/>
      <c r="CKG1721" s="227"/>
      <c r="CKH1721" s="227"/>
      <c r="CKI1721" s="227"/>
      <c r="CKJ1721" s="227"/>
      <c r="CKK1721" s="227"/>
      <c r="CKL1721" s="227"/>
      <c r="CKM1721" s="227"/>
      <c r="CKN1721" s="227"/>
      <c r="CKO1721" s="227"/>
      <c r="CKP1721" s="227"/>
      <c r="CKQ1721" s="227"/>
      <c r="CKR1721" s="227"/>
      <c r="CKS1721" s="227"/>
      <c r="CKT1721" s="227"/>
      <c r="CKU1721" s="227"/>
      <c r="CKV1721" s="227"/>
      <c r="CKW1721" s="227"/>
      <c r="CKX1721" s="227"/>
      <c r="CKY1721" s="227"/>
      <c r="CKZ1721" s="227"/>
      <c r="CLA1721" s="227"/>
      <c r="CLB1721" s="227"/>
      <c r="CLC1721" s="227"/>
      <c r="CLD1721" s="227"/>
      <c r="CLE1721" s="227"/>
      <c r="CLF1721" s="227"/>
      <c r="CLG1721" s="227"/>
      <c r="CLH1721" s="227"/>
      <c r="CLI1721" s="227"/>
      <c r="CLJ1721" s="227"/>
      <c r="CLK1721" s="227"/>
      <c r="CLL1721" s="227"/>
      <c r="CLM1721" s="227"/>
      <c r="CLN1721" s="227"/>
      <c r="CLO1721" s="227"/>
      <c r="CLP1721" s="227"/>
      <c r="CLQ1721" s="227"/>
      <c r="CLR1721" s="227"/>
      <c r="CLS1721" s="227"/>
      <c r="CLT1721" s="227"/>
      <c r="CLU1721" s="227"/>
      <c r="CLV1721" s="227"/>
      <c r="CLW1721" s="227"/>
      <c r="CLX1721" s="227"/>
      <c r="CLY1721" s="227"/>
      <c r="CLZ1721" s="227"/>
      <c r="CMA1721" s="227"/>
      <c r="CMB1721" s="227"/>
      <c r="CMC1721" s="227"/>
      <c r="CMD1721" s="227"/>
      <c r="CME1721" s="227"/>
      <c r="CMF1721" s="227"/>
      <c r="CMG1721" s="227"/>
      <c r="CMH1721" s="227"/>
      <c r="CMI1721" s="227"/>
      <c r="CMJ1721" s="227"/>
      <c r="CMK1721" s="227"/>
      <c r="CML1721" s="227"/>
      <c r="CMM1721" s="227"/>
      <c r="CMN1721" s="227"/>
      <c r="CMO1721" s="227"/>
      <c r="CMP1721" s="227"/>
      <c r="CMQ1721" s="227"/>
      <c r="CMR1721" s="227"/>
      <c r="CMS1721" s="227"/>
      <c r="CMT1721" s="227"/>
      <c r="CMU1721" s="227"/>
      <c r="CMV1721" s="227"/>
      <c r="CMW1721" s="227"/>
      <c r="CMX1721" s="227"/>
      <c r="CMY1721" s="227"/>
      <c r="CMZ1721" s="227"/>
      <c r="CNA1721" s="227"/>
      <c r="CNB1721" s="227"/>
      <c r="CNC1721" s="227"/>
      <c r="CND1721" s="227"/>
      <c r="CNE1721" s="227"/>
      <c r="CNF1721" s="227"/>
      <c r="CNG1721" s="227"/>
      <c r="CNH1721" s="227"/>
      <c r="CNI1721" s="227"/>
      <c r="CNJ1721" s="227"/>
      <c r="CNK1721" s="227"/>
      <c r="CNL1721" s="227"/>
      <c r="CNM1721" s="227"/>
      <c r="CNN1721" s="227"/>
      <c r="CNO1721" s="227"/>
      <c r="CNP1721" s="227"/>
      <c r="CNQ1721" s="227"/>
      <c r="CNR1721" s="227"/>
      <c r="CNS1721" s="227"/>
      <c r="CNT1721" s="227"/>
      <c r="CNU1721" s="227"/>
      <c r="CNV1721" s="227"/>
      <c r="CNW1721" s="227"/>
      <c r="CNX1721" s="227"/>
      <c r="CNY1721" s="227"/>
      <c r="CNZ1721" s="227"/>
      <c r="COA1721" s="227"/>
      <c r="COB1721" s="227"/>
      <c r="COC1721" s="227"/>
      <c r="COD1721" s="227"/>
      <c r="COE1721" s="227"/>
      <c r="COF1721" s="227"/>
      <c r="COG1721" s="227"/>
      <c r="COH1721" s="227"/>
      <c r="COI1721" s="227"/>
      <c r="COJ1721" s="227"/>
      <c r="COK1721" s="227"/>
      <c r="COL1721" s="227"/>
      <c r="COM1721" s="227"/>
      <c r="CON1721" s="227"/>
      <c r="COO1721" s="227"/>
      <c r="COP1721" s="227"/>
      <c r="COQ1721" s="227"/>
      <c r="COR1721" s="227"/>
      <c r="COS1721" s="227"/>
      <c r="COT1721" s="227"/>
      <c r="COU1721" s="227"/>
      <c r="COV1721" s="227"/>
      <c r="COW1721" s="227"/>
      <c r="COX1721" s="227"/>
      <c r="COY1721" s="227"/>
      <c r="COZ1721" s="227"/>
      <c r="CPA1721" s="227"/>
      <c r="CPB1721" s="227"/>
      <c r="CPC1721" s="227"/>
      <c r="CPD1721" s="227"/>
      <c r="CPE1721" s="227"/>
      <c r="CPF1721" s="227"/>
      <c r="CPG1721" s="227"/>
      <c r="CPH1721" s="227"/>
      <c r="CPI1721" s="227"/>
      <c r="CPJ1721" s="227"/>
      <c r="CPK1721" s="227"/>
      <c r="CPL1721" s="227"/>
      <c r="CPM1721" s="227"/>
      <c r="CPN1721" s="227"/>
      <c r="CPO1721" s="227"/>
      <c r="CPP1721" s="227"/>
      <c r="CPQ1721" s="227"/>
      <c r="CPR1721" s="227"/>
      <c r="CPS1721" s="227"/>
      <c r="CPT1721" s="227"/>
      <c r="CPU1721" s="227"/>
      <c r="CPV1721" s="227"/>
      <c r="CPW1721" s="227"/>
      <c r="CPX1721" s="227"/>
      <c r="CPY1721" s="227"/>
      <c r="CPZ1721" s="227"/>
      <c r="CQA1721" s="227"/>
      <c r="CQB1721" s="227"/>
      <c r="CQC1721" s="227"/>
      <c r="CQD1721" s="227"/>
      <c r="CQE1721" s="227"/>
      <c r="CQF1721" s="227"/>
      <c r="CQG1721" s="227"/>
      <c r="CQH1721" s="227"/>
      <c r="CQI1721" s="227"/>
      <c r="CQJ1721" s="227"/>
      <c r="CQK1721" s="227"/>
      <c r="CQL1721" s="227"/>
      <c r="CQM1721" s="227"/>
      <c r="CQN1721" s="227"/>
      <c r="CQO1721" s="227"/>
      <c r="CQP1721" s="227"/>
      <c r="CQQ1721" s="227"/>
      <c r="CQR1721" s="227"/>
      <c r="CQS1721" s="227"/>
      <c r="CQT1721" s="227"/>
      <c r="CQU1721" s="227"/>
      <c r="CQV1721" s="227"/>
      <c r="CQW1721" s="227"/>
      <c r="CQX1721" s="227"/>
      <c r="CQY1721" s="227"/>
      <c r="CQZ1721" s="227"/>
      <c r="CRA1721" s="227"/>
      <c r="CRB1721" s="227"/>
      <c r="CRC1721" s="227"/>
      <c r="CRD1721" s="227"/>
      <c r="CRE1721" s="227"/>
      <c r="CRF1721" s="227"/>
      <c r="CRG1721" s="227"/>
      <c r="CRH1721" s="227"/>
      <c r="CRI1721" s="227"/>
      <c r="CRJ1721" s="227"/>
      <c r="CRK1721" s="227"/>
      <c r="CRL1721" s="227"/>
      <c r="CRM1721" s="227"/>
      <c r="CRN1721" s="227"/>
      <c r="CRO1721" s="227"/>
      <c r="CRP1721" s="227"/>
      <c r="CRQ1721" s="227"/>
      <c r="CRR1721" s="227"/>
      <c r="CRS1721" s="227"/>
      <c r="CRT1721" s="227"/>
      <c r="CRU1721" s="227"/>
      <c r="CRV1721" s="227"/>
      <c r="CRW1721" s="227"/>
      <c r="CRX1721" s="227"/>
      <c r="CRY1721" s="227"/>
      <c r="CRZ1721" s="227"/>
      <c r="CSA1721" s="227"/>
      <c r="CSB1721" s="227"/>
      <c r="CSC1721" s="227"/>
      <c r="CSD1721" s="227"/>
      <c r="CSE1721" s="227"/>
      <c r="CSF1721" s="227"/>
      <c r="CSG1721" s="227"/>
      <c r="CSH1721" s="227"/>
      <c r="CSI1721" s="227"/>
      <c r="CSJ1721" s="227"/>
      <c r="CSK1721" s="227"/>
      <c r="CSL1721" s="227"/>
      <c r="CSM1721" s="227"/>
      <c r="CSN1721" s="227"/>
      <c r="CSO1721" s="227"/>
      <c r="CSP1721" s="227"/>
      <c r="CSQ1721" s="227"/>
      <c r="CSR1721" s="227"/>
      <c r="CSS1721" s="227"/>
      <c r="CST1721" s="227"/>
      <c r="CSU1721" s="227"/>
      <c r="CSV1721" s="227"/>
      <c r="CSW1721" s="227"/>
      <c r="CSX1721" s="227"/>
      <c r="CSY1721" s="227"/>
      <c r="CSZ1721" s="227"/>
      <c r="CTA1721" s="227"/>
      <c r="CTB1721" s="227"/>
      <c r="CTC1721" s="227"/>
      <c r="CTD1721" s="227"/>
      <c r="CTE1721" s="227"/>
      <c r="CTF1721" s="227"/>
      <c r="CTG1721" s="227"/>
      <c r="CTH1721" s="227"/>
      <c r="CTI1721" s="227"/>
      <c r="CTJ1721" s="227"/>
      <c r="CTK1721" s="227"/>
      <c r="CTL1721" s="227"/>
      <c r="CTM1721" s="227"/>
      <c r="CTN1721" s="227"/>
      <c r="CTO1721" s="227"/>
      <c r="CTP1721" s="227"/>
      <c r="CTQ1721" s="227"/>
      <c r="CTR1721" s="227"/>
      <c r="CTS1721" s="227"/>
      <c r="CTT1721" s="227"/>
      <c r="CTU1721" s="227"/>
      <c r="CTV1721" s="227"/>
      <c r="CTW1721" s="227"/>
      <c r="CTX1721" s="227"/>
      <c r="CTY1721" s="227"/>
      <c r="CTZ1721" s="227"/>
      <c r="CUA1721" s="227"/>
      <c r="CUB1721" s="227"/>
      <c r="CUC1721" s="227"/>
      <c r="CUD1721" s="227"/>
      <c r="CUE1721" s="227"/>
      <c r="CUF1721" s="227"/>
      <c r="CUG1721" s="227"/>
      <c r="CUH1721" s="227"/>
      <c r="CUI1721" s="227"/>
      <c r="CUJ1721" s="227"/>
      <c r="CUK1721" s="227"/>
      <c r="CUL1721" s="227"/>
      <c r="CUM1721" s="227"/>
      <c r="CUN1721" s="227"/>
      <c r="CUO1721" s="227"/>
      <c r="CUP1721" s="227"/>
      <c r="CUQ1721" s="227"/>
      <c r="CUR1721" s="227"/>
      <c r="CUS1721" s="227"/>
      <c r="CUT1721" s="227"/>
      <c r="CUU1721" s="227"/>
      <c r="CUV1721" s="227"/>
      <c r="CUW1721" s="227"/>
      <c r="CUX1721" s="227"/>
      <c r="CUY1721" s="227"/>
      <c r="CUZ1721" s="227"/>
      <c r="CVA1721" s="227"/>
      <c r="CVB1721" s="227"/>
      <c r="CVC1721" s="227"/>
      <c r="CVD1721" s="227"/>
      <c r="CVE1721" s="227"/>
      <c r="CVF1721" s="227"/>
      <c r="CVG1721" s="227"/>
      <c r="CVH1721" s="227"/>
      <c r="CVI1721" s="227"/>
      <c r="CVJ1721" s="227"/>
      <c r="CVK1721" s="227"/>
      <c r="CVL1721" s="227"/>
      <c r="CVM1721" s="227"/>
      <c r="CVN1721" s="227"/>
      <c r="CVO1721" s="227"/>
      <c r="CVP1721" s="227"/>
      <c r="CVQ1721" s="227"/>
      <c r="CVR1721" s="227"/>
      <c r="CVS1721" s="227"/>
      <c r="CVT1721" s="227"/>
      <c r="CVU1721" s="227"/>
      <c r="CVV1721" s="227"/>
      <c r="CVW1721" s="227"/>
      <c r="CVX1721" s="227"/>
      <c r="CVY1721" s="227"/>
      <c r="CVZ1721" s="227"/>
      <c r="CWA1721" s="227"/>
      <c r="CWB1721" s="227"/>
      <c r="CWC1721" s="227"/>
      <c r="CWD1721" s="227"/>
      <c r="CWE1721" s="227"/>
      <c r="CWF1721" s="227"/>
      <c r="CWG1721" s="227"/>
      <c r="CWH1721" s="227"/>
      <c r="CWI1721" s="227"/>
      <c r="CWJ1721" s="227"/>
      <c r="CWK1721" s="227"/>
      <c r="CWL1721" s="227"/>
      <c r="CWM1721" s="227"/>
      <c r="CWN1721" s="227"/>
      <c r="CWO1721" s="227"/>
      <c r="CWP1721" s="227"/>
      <c r="CWQ1721" s="227"/>
      <c r="CWR1721" s="227"/>
      <c r="CWS1721" s="227"/>
      <c r="CWT1721" s="227"/>
      <c r="CWU1721" s="227"/>
      <c r="CWV1721" s="227"/>
      <c r="CWW1721" s="227"/>
      <c r="CWX1721" s="227"/>
      <c r="CWY1721" s="227"/>
      <c r="CWZ1721" s="227"/>
      <c r="CXA1721" s="227"/>
      <c r="CXB1721" s="227"/>
      <c r="CXC1721" s="227"/>
      <c r="CXD1721" s="227"/>
      <c r="CXE1721" s="227"/>
      <c r="CXF1721" s="227"/>
      <c r="CXG1721" s="227"/>
      <c r="CXH1721" s="227"/>
      <c r="CXI1721" s="227"/>
      <c r="CXJ1721" s="227"/>
      <c r="CXK1721" s="227"/>
      <c r="CXL1721" s="227"/>
      <c r="CXM1721" s="227"/>
      <c r="CXN1721" s="227"/>
      <c r="CXO1721" s="227"/>
      <c r="CXP1721" s="227"/>
      <c r="CXQ1721" s="227"/>
      <c r="CXR1721" s="227"/>
      <c r="CXS1721" s="227"/>
      <c r="CXT1721" s="227"/>
      <c r="CXU1721" s="227"/>
      <c r="CXV1721" s="227"/>
      <c r="CXW1721" s="227"/>
      <c r="CXX1721" s="227"/>
      <c r="CXY1721" s="227"/>
      <c r="CXZ1721" s="227"/>
      <c r="CYA1721" s="227"/>
      <c r="CYB1721" s="227"/>
      <c r="CYC1721" s="227"/>
      <c r="CYD1721" s="227"/>
      <c r="CYE1721" s="227"/>
      <c r="CYF1721" s="227"/>
      <c r="CYG1721" s="227"/>
      <c r="CYH1721" s="227"/>
      <c r="CYI1721" s="227"/>
      <c r="CYJ1721" s="227"/>
      <c r="CYK1721" s="227"/>
      <c r="CYL1721" s="227"/>
      <c r="CYM1721" s="227"/>
      <c r="CYN1721" s="227"/>
      <c r="CYO1721" s="227"/>
      <c r="CYP1721" s="227"/>
      <c r="CYQ1721" s="227"/>
      <c r="CYR1721" s="227"/>
      <c r="CYS1721" s="227"/>
      <c r="CYT1721" s="227"/>
      <c r="CYU1721" s="227"/>
      <c r="CYV1721" s="227"/>
      <c r="CYW1721" s="227"/>
      <c r="CYX1721" s="227"/>
      <c r="CYY1721" s="227"/>
      <c r="CYZ1721" s="227"/>
      <c r="CZA1721" s="227"/>
      <c r="CZB1721" s="227"/>
      <c r="CZC1721" s="227"/>
      <c r="CZD1721" s="227"/>
      <c r="CZE1721" s="227"/>
      <c r="CZF1721" s="227"/>
      <c r="CZG1721" s="227"/>
      <c r="CZH1721" s="227"/>
      <c r="CZI1721" s="227"/>
      <c r="CZJ1721" s="227"/>
      <c r="CZK1721" s="227"/>
      <c r="CZL1721" s="227"/>
      <c r="CZM1721" s="227"/>
      <c r="CZN1721" s="227"/>
      <c r="CZO1721" s="227"/>
      <c r="CZP1721" s="227"/>
      <c r="CZQ1721" s="227"/>
      <c r="CZR1721" s="227"/>
      <c r="CZS1721" s="227"/>
      <c r="CZT1721" s="227"/>
      <c r="CZU1721" s="227"/>
      <c r="CZV1721" s="227"/>
      <c r="CZW1721" s="227"/>
      <c r="CZX1721" s="227"/>
      <c r="CZY1721" s="227"/>
      <c r="CZZ1721" s="227"/>
      <c r="DAA1721" s="227"/>
      <c r="DAB1721" s="227"/>
      <c r="DAC1721" s="227"/>
      <c r="DAD1721" s="227"/>
      <c r="DAE1721" s="227"/>
      <c r="DAF1721" s="227"/>
      <c r="DAG1721" s="227"/>
      <c r="DAH1721" s="227"/>
      <c r="DAI1721" s="227"/>
      <c r="DAJ1721" s="227"/>
      <c r="DAK1721" s="227"/>
      <c r="DAL1721" s="227"/>
      <c r="DAM1721" s="227"/>
      <c r="DAN1721" s="227"/>
      <c r="DAO1721" s="227"/>
      <c r="DAP1721" s="227"/>
      <c r="DAQ1721" s="227"/>
      <c r="DAR1721" s="227"/>
      <c r="DAS1721" s="227"/>
      <c r="DAT1721" s="227"/>
      <c r="DAU1721" s="227"/>
      <c r="DAV1721" s="227"/>
      <c r="DAW1721" s="227"/>
      <c r="DAX1721" s="227"/>
      <c r="DAY1721" s="227"/>
      <c r="DAZ1721" s="227"/>
      <c r="DBA1721" s="227"/>
      <c r="DBB1721" s="227"/>
      <c r="DBC1721" s="227"/>
      <c r="DBD1721" s="227"/>
      <c r="DBE1721" s="227"/>
      <c r="DBF1721" s="227"/>
      <c r="DBG1721" s="227"/>
      <c r="DBH1721" s="227"/>
      <c r="DBI1721" s="227"/>
      <c r="DBJ1721" s="227"/>
      <c r="DBK1721" s="227"/>
      <c r="DBL1721" s="227"/>
      <c r="DBM1721" s="227"/>
      <c r="DBN1721" s="227"/>
      <c r="DBO1721" s="227"/>
      <c r="DBP1721" s="227"/>
      <c r="DBQ1721" s="227"/>
      <c r="DBR1721" s="227"/>
      <c r="DBS1721" s="227"/>
      <c r="DBT1721" s="227"/>
      <c r="DBU1721" s="227"/>
      <c r="DBV1721" s="227"/>
      <c r="DBW1721" s="227"/>
      <c r="DBX1721" s="227"/>
      <c r="DBY1721" s="227"/>
      <c r="DBZ1721" s="227"/>
      <c r="DCA1721" s="227"/>
      <c r="DCB1721" s="227"/>
      <c r="DCC1721" s="227"/>
      <c r="DCD1721" s="227"/>
      <c r="DCE1721" s="227"/>
      <c r="DCF1721" s="227"/>
      <c r="DCG1721" s="227"/>
      <c r="DCH1721" s="227"/>
      <c r="DCI1721" s="227"/>
      <c r="DCJ1721" s="227"/>
      <c r="DCK1721" s="227"/>
      <c r="DCL1721" s="227"/>
      <c r="DCM1721" s="227"/>
      <c r="DCN1721" s="227"/>
      <c r="DCO1721" s="227"/>
      <c r="DCP1721" s="227"/>
      <c r="DCQ1721" s="227"/>
      <c r="DCR1721" s="227"/>
      <c r="DCS1721" s="227"/>
      <c r="DCT1721" s="227"/>
      <c r="DCU1721" s="227"/>
      <c r="DCV1721" s="227"/>
      <c r="DCW1721" s="227"/>
      <c r="DCX1721" s="227"/>
      <c r="DCY1721" s="227"/>
      <c r="DCZ1721" s="227"/>
      <c r="DDA1721" s="227"/>
      <c r="DDB1721" s="227"/>
      <c r="DDC1721" s="227"/>
      <c r="DDD1721" s="227"/>
      <c r="DDE1721" s="227"/>
      <c r="DDF1721" s="227"/>
      <c r="DDG1721" s="227"/>
      <c r="DDH1721" s="227"/>
      <c r="DDI1721" s="227"/>
      <c r="DDJ1721" s="227"/>
      <c r="DDK1721" s="227"/>
      <c r="DDL1721" s="227"/>
      <c r="DDM1721" s="227"/>
      <c r="DDN1721" s="227"/>
      <c r="DDO1721" s="227"/>
      <c r="DDP1721" s="227"/>
      <c r="DDQ1721" s="227"/>
      <c r="DDR1721" s="227"/>
      <c r="DDS1721" s="227"/>
      <c r="DDT1721" s="227"/>
      <c r="DDU1721" s="227"/>
      <c r="DDV1721" s="227"/>
      <c r="DDW1721" s="227"/>
      <c r="DDX1721" s="227"/>
      <c r="DDY1721" s="227"/>
      <c r="DDZ1721" s="227"/>
      <c r="DEA1721" s="227"/>
      <c r="DEB1721" s="227"/>
      <c r="DEC1721" s="227"/>
      <c r="DED1721" s="227"/>
      <c r="DEE1721" s="227"/>
      <c r="DEF1721" s="227"/>
      <c r="DEG1721" s="227"/>
      <c r="DEH1721" s="227"/>
      <c r="DEI1721" s="227"/>
      <c r="DEJ1721" s="227"/>
      <c r="DEK1721" s="227"/>
      <c r="DEL1721" s="227"/>
      <c r="DEM1721" s="227"/>
      <c r="DEN1721" s="227"/>
      <c r="DEO1721" s="227"/>
      <c r="DEP1721" s="227"/>
      <c r="DEQ1721" s="227"/>
      <c r="DER1721" s="227"/>
      <c r="DES1721" s="227"/>
      <c r="DET1721" s="227"/>
      <c r="DEU1721" s="227"/>
      <c r="DEV1721" s="227"/>
      <c r="DEW1721" s="227"/>
      <c r="DEX1721" s="227"/>
      <c r="DEY1721" s="227"/>
      <c r="DEZ1721" s="227"/>
      <c r="DFA1721" s="227"/>
      <c r="DFB1721" s="227"/>
      <c r="DFC1721" s="227"/>
      <c r="DFD1721" s="227"/>
      <c r="DFE1721" s="227"/>
      <c r="DFF1721" s="227"/>
      <c r="DFG1721" s="227"/>
      <c r="DFH1721" s="227"/>
      <c r="DFI1721" s="227"/>
      <c r="DFJ1721" s="227"/>
      <c r="DFK1721" s="227"/>
      <c r="DFL1721" s="227"/>
      <c r="DFM1721" s="227"/>
      <c r="DFN1721" s="227"/>
      <c r="DFO1721" s="227"/>
      <c r="DFP1721" s="227"/>
      <c r="DFQ1721" s="227"/>
      <c r="DFR1721" s="227"/>
      <c r="DFS1721" s="227"/>
      <c r="DFT1721" s="227"/>
      <c r="DFU1721" s="227"/>
      <c r="DFV1721" s="227"/>
      <c r="DFW1721" s="227"/>
      <c r="DFX1721" s="227"/>
      <c r="DFY1721" s="227"/>
      <c r="DFZ1721" s="227"/>
      <c r="DGA1721" s="227"/>
      <c r="DGB1721" s="227"/>
      <c r="DGC1721" s="227"/>
      <c r="DGD1721" s="227"/>
      <c r="DGE1721" s="227"/>
      <c r="DGF1721" s="227"/>
      <c r="DGG1721" s="227"/>
      <c r="DGH1721" s="227"/>
      <c r="DGI1721" s="227"/>
      <c r="DGJ1721" s="227"/>
      <c r="DGK1721" s="227"/>
      <c r="DGL1721" s="227"/>
      <c r="DGM1721" s="227"/>
      <c r="DGN1721" s="227"/>
      <c r="DGO1721" s="227"/>
      <c r="DGP1721" s="227"/>
      <c r="DGQ1721" s="227"/>
      <c r="DGR1721" s="227"/>
      <c r="DGS1721" s="227"/>
      <c r="DGT1721" s="227"/>
      <c r="DGU1721" s="227"/>
      <c r="DGV1721" s="227"/>
      <c r="DGW1721" s="227"/>
      <c r="DGX1721" s="227"/>
      <c r="DGY1721" s="227"/>
      <c r="DGZ1721" s="227"/>
      <c r="DHA1721" s="227"/>
      <c r="DHB1721" s="227"/>
      <c r="DHC1721" s="227"/>
      <c r="DHD1721" s="227"/>
      <c r="DHE1721" s="227"/>
      <c r="DHF1721" s="227"/>
      <c r="DHG1721" s="227"/>
      <c r="DHH1721" s="227"/>
      <c r="DHI1721" s="227"/>
      <c r="DHJ1721" s="227"/>
      <c r="DHK1721" s="227"/>
      <c r="DHL1721" s="227"/>
      <c r="DHM1721" s="227"/>
      <c r="DHN1721" s="227"/>
      <c r="DHO1721" s="227"/>
      <c r="DHP1721" s="227"/>
      <c r="DHQ1721" s="227"/>
      <c r="DHR1721" s="227"/>
      <c r="DHS1721" s="227"/>
      <c r="DHT1721" s="227"/>
      <c r="DHU1721" s="227"/>
      <c r="DHV1721" s="227"/>
      <c r="DHW1721" s="227"/>
      <c r="DHX1721" s="227"/>
      <c r="DHY1721" s="227"/>
      <c r="DHZ1721" s="227"/>
      <c r="DIA1721" s="227"/>
      <c r="DIB1721" s="227"/>
      <c r="DIC1721" s="227"/>
      <c r="DID1721" s="227"/>
      <c r="DIE1721" s="227"/>
      <c r="DIF1721" s="227"/>
      <c r="DIG1721" s="227"/>
      <c r="DIH1721" s="227"/>
      <c r="DII1721" s="227"/>
      <c r="DIJ1721" s="227"/>
      <c r="DIK1721" s="227"/>
      <c r="DIL1721" s="227"/>
      <c r="DIM1721" s="227"/>
      <c r="DIN1721" s="227"/>
      <c r="DIO1721" s="227"/>
      <c r="DIP1721" s="227"/>
      <c r="DIQ1721" s="227"/>
      <c r="DIR1721" s="227"/>
      <c r="DIS1721" s="227"/>
      <c r="DIT1721" s="227"/>
      <c r="DIU1721" s="227"/>
      <c r="DIV1721" s="227"/>
      <c r="DIW1721" s="227"/>
      <c r="DIX1721" s="227"/>
      <c r="DIY1721" s="227"/>
      <c r="DIZ1721" s="227"/>
      <c r="DJA1721" s="227"/>
      <c r="DJB1721" s="227"/>
      <c r="DJC1721" s="227"/>
      <c r="DJD1721" s="227"/>
      <c r="DJE1721" s="227"/>
      <c r="DJF1721" s="227"/>
      <c r="DJG1721" s="227"/>
      <c r="DJH1721" s="227"/>
      <c r="DJI1721" s="227"/>
      <c r="DJJ1721" s="227"/>
      <c r="DJK1721" s="227"/>
      <c r="DJL1721" s="227"/>
      <c r="DJM1721" s="227"/>
      <c r="DJN1721" s="227"/>
      <c r="DJO1721" s="227"/>
      <c r="DJP1721" s="227"/>
      <c r="DJQ1721" s="227"/>
      <c r="DJR1721" s="227"/>
      <c r="DJS1721" s="227"/>
      <c r="DJT1721" s="227"/>
      <c r="DJU1721" s="227"/>
      <c r="DJV1721" s="227"/>
      <c r="DJW1721" s="227"/>
      <c r="DJX1721" s="227"/>
      <c r="DJY1721" s="227"/>
      <c r="DJZ1721" s="227"/>
      <c r="DKA1721" s="227"/>
      <c r="DKB1721" s="227"/>
      <c r="DKC1721" s="227"/>
      <c r="DKD1721" s="227"/>
      <c r="DKE1721" s="227"/>
      <c r="DKF1721" s="227"/>
      <c r="DKG1721" s="227"/>
      <c r="DKH1721" s="227"/>
      <c r="DKI1721" s="227"/>
      <c r="DKJ1721" s="227"/>
      <c r="DKK1721" s="227"/>
      <c r="DKL1721" s="227"/>
      <c r="DKM1721" s="227"/>
      <c r="DKN1721" s="227"/>
      <c r="DKO1721" s="227"/>
      <c r="DKP1721" s="227"/>
      <c r="DKQ1721" s="227"/>
      <c r="DKR1721" s="227"/>
      <c r="DKS1721" s="227"/>
      <c r="DKT1721" s="227"/>
      <c r="DKU1721" s="227"/>
      <c r="DKV1721" s="227"/>
      <c r="DKW1721" s="227"/>
      <c r="DKX1721" s="227"/>
      <c r="DKY1721" s="227"/>
      <c r="DKZ1721" s="227"/>
      <c r="DLA1721" s="227"/>
      <c r="DLB1721" s="227"/>
      <c r="DLC1721" s="227"/>
      <c r="DLD1721" s="227"/>
      <c r="DLE1721" s="227"/>
      <c r="DLF1721" s="227"/>
      <c r="DLG1721" s="227"/>
      <c r="DLH1721" s="227"/>
      <c r="DLI1721" s="227"/>
      <c r="DLJ1721" s="227"/>
      <c r="DLK1721" s="227"/>
      <c r="DLL1721" s="227"/>
      <c r="DLM1721" s="227"/>
      <c r="DLN1721" s="227"/>
      <c r="DLO1721" s="227"/>
      <c r="DLP1721" s="227"/>
      <c r="DLQ1721" s="227"/>
      <c r="DLR1721" s="227"/>
      <c r="DLS1721" s="227"/>
      <c r="DLT1721" s="227"/>
      <c r="DLU1721" s="227"/>
      <c r="DLV1721" s="227"/>
      <c r="DLW1721" s="227"/>
      <c r="DLX1721" s="227"/>
      <c r="DLY1721" s="227"/>
      <c r="DLZ1721" s="227"/>
      <c r="DMA1721" s="227"/>
      <c r="DMB1721" s="227"/>
      <c r="DMC1721" s="227"/>
      <c r="DMD1721" s="227"/>
      <c r="DME1721" s="227"/>
      <c r="DMF1721" s="227"/>
      <c r="DMG1721" s="227"/>
      <c r="DMH1721" s="227"/>
      <c r="DMI1721" s="227"/>
      <c r="DMJ1721" s="227"/>
      <c r="DMK1721" s="227"/>
      <c r="DML1721" s="227"/>
      <c r="DMM1721" s="227"/>
      <c r="DMN1721" s="227"/>
      <c r="DMO1721" s="227"/>
      <c r="DMP1721" s="227"/>
      <c r="DMQ1721" s="227"/>
      <c r="DMR1721" s="227"/>
      <c r="DMS1721" s="227"/>
      <c r="DMT1721" s="227"/>
      <c r="DMU1721" s="227"/>
      <c r="DMV1721" s="227"/>
      <c r="DMW1721" s="227"/>
      <c r="DMX1721" s="227"/>
      <c r="DMY1721" s="227"/>
      <c r="DMZ1721" s="227"/>
      <c r="DNA1721" s="227"/>
      <c r="DNB1721" s="227"/>
      <c r="DNC1721" s="227"/>
      <c r="DND1721" s="227"/>
      <c r="DNE1721" s="227"/>
      <c r="DNF1721" s="227"/>
      <c r="DNG1721" s="227"/>
      <c r="DNH1721" s="227"/>
      <c r="DNI1721" s="227"/>
      <c r="DNJ1721" s="227"/>
      <c r="DNK1721" s="227"/>
      <c r="DNL1721" s="227"/>
      <c r="DNM1721" s="227"/>
      <c r="DNN1721" s="227"/>
      <c r="DNO1721" s="227"/>
      <c r="DNP1721" s="227"/>
      <c r="DNQ1721" s="227"/>
      <c r="DNR1721" s="227"/>
      <c r="DNS1721" s="227"/>
      <c r="DNT1721" s="227"/>
      <c r="DNU1721" s="227"/>
      <c r="DNV1721" s="227"/>
      <c r="DNW1721" s="227"/>
      <c r="DNX1721" s="227"/>
      <c r="DNY1721" s="227"/>
      <c r="DNZ1721" s="227"/>
      <c r="DOA1721" s="227"/>
      <c r="DOB1721" s="227"/>
      <c r="DOC1721" s="227"/>
      <c r="DOD1721" s="227"/>
      <c r="DOE1721" s="227"/>
      <c r="DOF1721" s="227"/>
      <c r="DOG1721" s="227"/>
      <c r="DOH1721" s="227"/>
      <c r="DOI1721" s="227"/>
      <c r="DOJ1721" s="227"/>
      <c r="DOK1721" s="227"/>
      <c r="DOL1721" s="227"/>
      <c r="DOM1721" s="227"/>
      <c r="DON1721" s="227"/>
      <c r="DOO1721" s="227"/>
      <c r="DOP1721" s="227"/>
      <c r="DOQ1721" s="227"/>
      <c r="DOR1721" s="227"/>
      <c r="DOS1721" s="227"/>
      <c r="DOT1721" s="227"/>
      <c r="DOU1721" s="227"/>
      <c r="DOV1721" s="227"/>
      <c r="DOW1721" s="227"/>
      <c r="DOX1721" s="227"/>
      <c r="DOY1721" s="227"/>
      <c r="DOZ1721" s="227"/>
      <c r="DPA1721" s="227"/>
      <c r="DPB1721" s="227"/>
      <c r="DPC1721" s="227"/>
      <c r="DPD1721" s="227"/>
      <c r="DPE1721" s="227"/>
      <c r="DPF1721" s="227"/>
      <c r="DPG1721" s="227"/>
      <c r="DPH1721" s="227"/>
      <c r="DPI1721" s="227"/>
      <c r="DPJ1721" s="227"/>
      <c r="DPK1721" s="227"/>
      <c r="DPL1721" s="227"/>
      <c r="DPM1721" s="227"/>
      <c r="DPN1721" s="227"/>
      <c r="DPO1721" s="227"/>
      <c r="DPP1721" s="227"/>
      <c r="DPQ1721" s="227"/>
      <c r="DPR1721" s="227"/>
      <c r="DPS1721" s="227"/>
      <c r="DPT1721" s="227"/>
      <c r="DPU1721" s="227"/>
      <c r="DPV1721" s="227"/>
      <c r="DPW1721" s="227"/>
      <c r="DPX1721" s="227"/>
      <c r="DPY1721" s="227"/>
      <c r="DPZ1721" s="227"/>
      <c r="DQA1721" s="227"/>
      <c r="DQB1721" s="227"/>
      <c r="DQC1721" s="227"/>
      <c r="DQD1721" s="227"/>
      <c r="DQE1721" s="227"/>
      <c r="DQF1721" s="227"/>
      <c r="DQG1721" s="227"/>
      <c r="DQH1721" s="227"/>
      <c r="DQI1721" s="227"/>
      <c r="DQJ1721" s="227"/>
      <c r="DQK1721" s="227"/>
      <c r="DQL1721" s="227"/>
      <c r="DQM1721" s="227"/>
      <c r="DQN1721" s="227"/>
      <c r="DQO1721" s="227"/>
      <c r="DQP1721" s="227"/>
      <c r="DQQ1721" s="227"/>
      <c r="DQR1721" s="227"/>
      <c r="DQS1721" s="227"/>
      <c r="DQT1721" s="227"/>
      <c r="DQU1721" s="227"/>
      <c r="DQV1721" s="227"/>
      <c r="DQW1721" s="227"/>
      <c r="DQX1721" s="227"/>
      <c r="DQY1721" s="227"/>
      <c r="DQZ1721" s="227"/>
      <c r="DRA1721" s="227"/>
      <c r="DRB1721" s="227"/>
      <c r="DRC1721" s="227"/>
      <c r="DRD1721" s="227"/>
      <c r="DRE1721" s="227"/>
      <c r="DRF1721" s="227"/>
      <c r="DRG1721" s="227"/>
      <c r="DRH1721" s="227"/>
      <c r="DRI1721" s="227"/>
      <c r="DRJ1721" s="227"/>
      <c r="DRK1721" s="227"/>
      <c r="DRL1721" s="227"/>
      <c r="DRM1721" s="227"/>
      <c r="DRN1721" s="227"/>
      <c r="DRO1721" s="227"/>
      <c r="DRP1721" s="227"/>
      <c r="DRQ1721" s="227"/>
      <c r="DRR1721" s="227"/>
      <c r="DRS1721" s="227"/>
      <c r="DRT1721" s="227"/>
      <c r="DRU1721" s="227"/>
      <c r="DRV1721" s="227"/>
      <c r="DRW1721" s="227"/>
      <c r="DRX1721" s="227"/>
      <c r="DRY1721" s="227"/>
      <c r="DRZ1721" s="227"/>
      <c r="DSA1721" s="227"/>
      <c r="DSB1721" s="227"/>
      <c r="DSC1721" s="227"/>
      <c r="DSD1721" s="227"/>
      <c r="DSE1721" s="227"/>
      <c r="DSF1721" s="227"/>
      <c r="DSG1721" s="227"/>
      <c r="DSH1721" s="227"/>
      <c r="DSI1721" s="227"/>
      <c r="DSJ1721" s="227"/>
      <c r="DSK1721" s="227"/>
      <c r="DSL1721" s="227"/>
      <c r="DSM1721" s="227"/>
      <c r="DSN1721" s="227"/>
      <c r="DSO1721" s="227"/>
      <c r="DSP1721" s="227"/>
      <c r="DSQ1721" s="227"/>
      <c r="DSR1721" s="227"/>
      <c r="DSS1721" s="227"/>
      <c r="DST1721" s="227"/>
      <c r="DSU1721" s="227"/>
      <c r="DSV1721" s="227"/>
      <c r="DSW1721" s="227"/>
      <c r="DSX1721" s="227"/>
      <c r="DSY1721" s="227"/>
      <c r="DSZ1721" s="227"/>
      <c r="DTA1721" s="227"/>
      <c r="DTB1721" s="227"/>
      <c r="DTC1721" s="227"/>
      <c r="DTD1721" s="227"/>
      <c r="DTE1721" s="227"/>
      <c r="DTF1721" s="227"/>
      <c r="DTG1721" s="227"/>
      <c r="DTH1721" s="227"/>
      <c r="DTI1721" s="227"/>
      <c r="DTJ1721" s="227"/>
      <c r="DTK1721" s="227"/>
      <c r="DTL1721" s="227"/>
      <c r="DTM1721" s="227"/>
      <c r="DTN1721" s="227"/>
      <c r="DTO1721" s="227"/>
      <c r="DTP1721" s="227"/>
      <c r="DTQ1721" s="227"/>
      <c r="DTR1721" s="227"/>
      <c r="DTS1721" s="227"/>
      <c r="DTT1721" s="227"/>
      <c r="DTU1721" s="227"/>
      <c r="DTV1721" s="227"/>
      <c r="DTW1721" s="227"/>
      <c r="DTX1721" s="227"/>
      <c r="DTY1721" s="227"/>
      <c r="DTZ1721" s="227"/>
      <c r="DUA1721" s="227"/>
      <c r="DUB1721" s="227"/>
      <c r="DUC1721" s="227"/>
      <c r="DUD1721" s="227"/>
      <c r="DUE1721" s="227"/>
      <c r="DUF1721" s="227"/>
      <c r="DUG1721" s="227"/>
      <c r="DUH1721" s="227"/>
      <c r="DUI1721" s="227"/>
      <c r="DUJ1721" s="227"/>
      <c r="DUK1721" s="227"/>
      <c r="DUL1721" s="227"/>
      <c r="DUM1721" s="227"/>
      <c r="DUN1721" s="227"/>
      <c r="DUO1721" s="227"/>
      <c r="DUP1721" s="227"/>
      <c r="DUQ1721" s="227"/>
      <c r="DUR1721" s="227"/>
      <c r="DUS1721" s="227"/>
      <c r="DUT1721" s="227"/>
      <c r="DUU1721" s="227"/>
      <c r="DUV1721" s="227"/>
      <c r="DUW1721" s="227"/>
      <c r="DUX1721" s="227"/>
      <c r="DUY1721" s="227"/>
      <c r="DUZ1721" s="227"/>
      <c r="DVA1721" s="227"/>
      <c r="DVB1721" s="227"/>
      <c r="DVC1721" s="227"/>
      <c r="DVD1721" s="227"/>
      <c r="DVE1721" s="227"/>
      <c r="DVF1721" s="227"/>
      <c r="DVG1721" s="227"/>
      <c r="DVH1721" s="227"/>
      <c r="DVI1721" s="227"/>
      <c r="DVJ1721" s="227"/>
      <c r="DVK1721" s="227"/>
      <c r="DVL1721" s="227"/>
      <c r="DVM1721" s="227"/>
      <c r="DVN1721" s="227"/>
      <c r="DVO1721" s="227"/>
      <c r="DVP1721" s="227"/>
      <c r="DVQ1721" s="227"/>
      <c r="DVR1721" s="227"/>
      <c r="DVS1721" s="227"/>
      <c r="DVT1721" s="227"/>
      <c r="DVU1721" s="227"/>
      <c r="DVV1721" s="227"/>
      <c r="DVW1721" s="227"/>
      <c r="DVX1721" s="227"/>
      <c r="DVY1721" s="227"/>
      <c r="DVZ1721" s="227"/>
      <c r="DWA1721" s="227"/>
      <c r="DWB1721" s="227"/>
      <c r="DWC1721" s="227"/>
      <c r="DWD1721" s="227"/>
      <c r="DWE1721" s="227"/>
      <c r="DWF1721" s="227"/>
      <c r="DWG1721" s="227"/>
      <c r="DWH1721" s="227"/>
      <c r="DWI1721" s="227"/>
      <c r="DWJ1721" s="227"/>
      <c r="DWK1721" s="227"/>
      <c r="DWL1721" s="227"/>
      <c r="DWM1721" s="227"/>
      <c r="DWN1721" s="227"/>
      <c r="DWO1721" s="227"/>
      <c r="DWP1721" s="227"/>
      <c r="DWQ1721" s="227"/>
      <c r="DWR1721" s="227"/>
      <c r="DWS1721" s="227"/>
      <c r="DWT1721" s="227"/>
      <c r="DWU1721" s="227"/>
      <c r="DWV1721" s="227"/>
      <c r="DWW1721" s="227"/>
      <c r="DWX1721" s="227"/>
      <c r="DWY1721" s="227"/>
      <c r="DWZ1721" s="227"/>
      <c r="DXA1721" s="227"/>
      <c r="DXB1721" s="227"/>
      <c r="DXC1721" s="227"/>
      <c r="DXD1721" s="227"/>
      <c r="DXE1721" s="227"/>
      <c r="DXF1721" s="227"/>
      <c r="DXG1721" s="227"/>
      <c r="DXH1721" s="227"/>
      <c r="DXI1721" s="227"/>
      <c r="DXJ1721" s="227"/>
      <c r="DXK1721" s="227"/>
      <c r="DXL1721" s="227"/>
      <c r="DXM1721" s="227"/>
      <c r="DXN1721" s="227"/>
      <c r="DXO1721" s="227"/>
      <c r="DXP1721" s="227"/>
      <c r="DXQ1721" s="227"/>
      <c r="DXR1721" s="227"/>
      <c r="DXS1721" s="227"/>
      <c r="DXT1721" s="227"/>
      <c r="DXU1721" s="227"/>
      <c r="DXV1721" s="227"/>
      <c r="DXW1721" s="227"/>
      <c r="DXX1721" s="227"/>
      <c r="DXY1721" s="227"/>
      <c r="DXZ1721" s="227"/>
      <c r="DYA1721" s="227"/>
      <c r="DYB1721" s="227"/>
      <c r="DYC1721" s="227"/>
      <c r="DYD1721" s="227"/>
      <c r="DYE1721" s="227"/>
      <c r="DYF1721" s="227"/>
      <c r="DYG1721" s="227"/>
      <c r="DYH1721" s="227"/>
      <c r="DYI1721" s="227"/>
      <c r="DYJ1721" s="227"/>
      <c r="DYK1721" s="227"/>
      <c r="DYL1721" s="227"/>
      <c r="DYM1721" s="227"/>
      <c r="DYN1721" s="227"/>
      <c r="DYO1721" s="227"/>
      <c r="DYP1721" s="227"/>
      <c r="DYQ1721" s="227"/>
      <c r="DYR1721" s="227"/>
      <c r="DYS1721" s="227"/>
      <c r="DYT1721" s="227"/>
      <c r="DYU1721" s="227"/>
      <c r="DYV1721" s="227"/>
      <c r="DYW1721" s="227"/>
      <c r="DYX1721" s="227"/>
      <c r="DYY1721" s="227"/>
      <c r="DYZ1721" s="227"/>
      <c r="DZA1721" s="227"/>
      <c r="DZB1721" s="227"/>
      <c r="DZC1721" s="227"/>
      <c r="DZD1721" s="227"/>
      <c r="DZE1721" s="227"/>
      <c r="DZF1721" s="227"/>
      <c r="DZG1721" s="227"/>
      <c r="DZH1721" s="227"/>
      <c r="DZI1721" s="227"/>
      <c r="DZJ1721" s="227"/>
      <c r="DZK1721" s="227"/>
      <c r="DZL1721" s="227"/>
      <c r="DZM1721" s="227"/>
      <c r="DZN1721" s="227"/>
      <c r="DZO1721" s="227"/>
      <c r="DZP1721" s="227"/>
      <c r="DZQ1721" s="227"/>
      <c r="DZR1721" s="227"/>
      <c r="DZS1721" s="227"/>
      <c r="DZT1721" s="227"/>
      <c r="DZU1721" s="227"/>
      <c r="DZV1721" s="227"/>
      <c r="DZW1721" s="227"/>
      <c r="DZX1721" s="227"/>
      <c r="DZY1721" s="227"/>
      <c r="DZZ1721" s="227"/>
      <c r="EAA1721" s="227"/>
      <c r="EAB1721" s="227"/>
      <c r="EAC1721" s="227"/>
      <c r="EAD1721" s="227"/>
      <c r="EAE1721" s="227"/>
      <c r="EAF1721" s="227"/>
      <c r="EAG1721" s="227"/>
      <c r="EAH1721" s="227"/>
      <c r="EAI1721" s="227"/>
      <c r="EAJ1721" s="227"/>
      <c r="EAK1721" s="227"/>
      <c r="EAL1721" s="227"/>
      <c r="EAM1721" s="227"/>
      <c r="EAN1721" s="227"/>
      <c r="EAO1721" s="227"/>
      <c r="EAP1721" s="227"/>
      <c r="EAQ1721" s="227"/>
      <c r="EAR1721" s="227"/>
      <c r="EAS1721" s="227"/>
      <c r="EAT1721" s="227"/>
      <c r="EAU1721" s="227"/>
      <c r="EAV1721" s="227"/>
      <c r="EAW1721" s="227"/>
      <c r="EAX1721" s="227"/>
      <c r="EAY1721" s="227"/>
      <c r="EAZ1721" s="227"/>
      <c r="EBA1721" s="227"/>
      <c r="EBB1721" s="227"/>
      <c r="EBC1721" s="227"/>
      <c r="EBD1721" s="227"/>
      <c r="EBE1721" s="227"/>
      <c r="EBF1721" s="227"/>
      <c r="EBG1721" s="227"/>
      <c r="EBH1721" s="227"/>
      <c r="EBI1721" s="227"/>
      <c r="EBJ1721" s="227"/>
      <c r="EBK1721" s="227"/>
      <c r="EBL1721" s="227"/>
      <c r="EBM1721" s="227"/>
      <c r="EBN1721" s="227"/>
      <c r="EBO1721" s="227"/>
      <c r="EBP1721" s="227"/>
      <c r="EBQ1721" s="227"/>
      <c r="EBR1721" s="227"/>
      <c r="EBS1721" s="227"/>
      <c r="EBT1721" s="227"/>
      <c r="EBU1721" s="227"/>
      <c r="EBV1721" s="227"/>
      <c r="EBW1721" s="227"/>
      <c r="EBX1721" s="227"/>
      <c r="EBY1721" s="227"/>
      <c r="EBZ1721" s="227"/>
      <c r="ECA1721" s="227"/>
      <c r="ECB1721" s="227"/>
      <c r="ECC1721" s="227"/>
      <c r="ECD1721" s="227"/>
      <c r="ECE1721" s="227"/>
      <c r="ECF1721" s="227"/>
      <c r="ECG1721" s="227"/>
      <c r="ECH1721" s="227"/>
      <c r="ECI1721" s="227"/>
      <c r="ECJ1721" s="227"/>
      <c r="ECK1721" s="227"/>
      <c r="ECL1721" s="227"/>
      <c r="ECM1721" s="227"/>
      <c r="ECN1721" s="227"/>
      <c r="ECO1721" s="227"/>
      <c r="ECP1721" s="227"/>
      <c r="ECQ1721" s="227"/>
      <c r="ECR1721" s="227"/>
      <c r="ECS1721" s="227"/>
      <c r="ECT1721" s="227"/>
      <c r="ECU1721" s="227"/>
      <c r="ECV1721" s="227"/>
      <c r="ECW1721" s="227"/>
      <c r="ECX1721" s="227"/>
      <c r="ECY1721" s="227"/>
      <c r="ECZ1721" s="227"/>
      <c r="EDA1721" s="227"/>
      <c r="EDB1721" s="227"/>
      <c r="EDC1721" s="227"/>
      <c r="EDD1721" s="227"/>
      <c r="EDE1721" s="227"/>
      <c r="EDF1721" s="227"/>
      <c r="EDG1721" s="227"/>
      <c r="EDH1721" s="227"/>
      <c r="EDI1721" s="227"/>
      <c r="EDJ1721" s="227"/>
      <c r="EDK1721" s="227"/>
      <c r="EDL1721" s="227"/>
      <c r="EDM1721" s="227"/>
      <c r="EDN1721" s="227"/>
      <c r="EDO1721" s="227"/>
      <c r="EDP1721" s="227"/>
      <c r="EDQ1721" s="227"/>
      <c r="EDR1721" s="227"/>
      <c r="EDS1721" s="227"/>
      <c r="EDT1721" s="227"/>
      <c r="EDU1721" s="227"/>
      <c r="EDV1721" s="227"/>
      <c r="EDW1721" s="227"/>
      <c r="EDX1721" s="227"/>
      <c r="EDY1721" s="227"/>
      <c r="EDZ1721" s="227"/>
      <c r="EEA1721" s="227"/>
      <c r="EEB1721" s="227"/>
      <c r="EEC1721" s="227"/>
      <c r="EED1721" s="227"/>
      <c r="EEE1721" s="227"/>
      <c r="EEF1721" s="227"/>
      <c r="EEG1721" s="227"/>
      <c r="EEH1721" s="227"/>
      <c r="EEI1721" s="227"/>
      <c r="EEJ1721" s="227"/>
      <c r="EEK1721" s="227"/>
      <c r="EEL1721" s="227"/>
      <c r="EEM1721" s="227"/>
      <c r="EEN1721" s="227"/>
      <c r="EEO1721" s="227"/>
      <c r="EEP1721" s="227"/>
      <c r="EEQ1721" s="227"/>
      <c r="EER1721" s="227"/>
      <c r="EES1721" s="227"/>
      <c r="EET1721" s="227"/>
      <c r="EEU1721" s="227"/>
      <c r="EEV1721" s="227"/>
      <c r="EEW1721" s="227"/>
      <c r="EEX1721" s="227"/>
      <c r="EEY1721" s="227"/>
      <c r="EEZ1721" s="227"/>
      <c r="EFA1721" s="227"/>
      <c r="EFB1721" s="227"/>
      <c r="EFC1721" s="227"/>
      <c r="EFD1721" s="227"/>
      <c r="EFE1721" s="227"/>
      <c r="EFF1721" s="227"/>
      <c r="EFG1721" s="227"/>
      <c r="EFH1721" s="227"/>
      <c r="EFI1721" s="227"/>
      <c r="EFJ1721" s="227"/>
      <c r="EFK1721" s="227"/>
      <c r="EFL1721" s="227"/>
      <c r="EFM1721" s="227"/>
      <c r="EFN1721" s="227"/>
      <c r="EFO1721" s="227"/>
      <c r="EFP1721" s="227"/>
      <c r="EFQ1721" s="227"/>
      <c r="EFR1721" s="227"/>
      <c r="EFS1721" s="227"/>
      <c r="EFT1721" s="227"/>
      <c r="EFU1721" s="227"/>
      <c r="EFV1721" s="227"/>
      <c r="EFW1721" s="227"/>
      <c r="EFX1721" s="227"/>
      <c r="EFY1721" s="227"/>
      <c r="EFZ1721" s="227"/>
      <c r="EGA1721" s="227"/>
      <c r="EGB1721" s="227"/>
      <c r="EGC1721" s="227"/>
      <c r="EGD1721" s="227"/>
      <c r="EGE1721" s="227"/>
      <c r="EGF1721" s="227"/>
      <c r="EGG1721" s="227"/>
      <c r="EGH1721" s="227"/>
      <c r="EGI1721" s="227"/>
      <c r="EGJ1721" s="227"/>
      <c r="EGK1721" s="227"/>
      <c r="EGL1721" s="227"/>
      <c r="EGM1721" s="227"/>
      <c r="EGN1721" s="227"/>
      <c r="EGO1721" s="227"/>
      <c r="EGP1721" s="227"/>
      <c r="EGQ1721" s="227"/>
      <c r="EGR1721" s="227"/>
      <c r="EGS1721" s="227"/>
      <c r="EGT1721" s="227"/>
      <c r="EGU1721" s="227"/>
      <c r="EGV1721" s="227"/>
      <c r="EGW1721" s="227"/>
      <c r="EGX1721" s="227"/>
      <c r="EGY1721" s="227"/>
      <c r="EGZ1721" s="227"/>
      <c r="EHA1721" s="227"/>
      <c r="EHB1721" s="227"/>
      <c r="EHC1721" s="227"/>
      <c r="EHD1721" s="227"/>
      <c r="EHE1721" s="227"/>
      <c r="EHF1721" s="227"/>
      <c r="EHG1721" s="227"/>
      <c r="EHH1721" s="227"/>
      <c r="EHI1721" s="227"/>
      <c r="EHJ1721" s="227"/>
      <c r="EHK1721" s="227"/>
      <c r="EHL1721" s="227"/>
      <c r="EHM1721" s="227"/>
      <c r="EHN1721" s="227"/>
      <c r="EHO1721" s="227"/>
      <c r="EHP1721" s="227"/>
      <c r="EHQ1721" s="227"/>
      <c r="EHR1721" s="227"/>
      <c r="EHS1721" s="227"/>
      <c r="EHT1721" s="227"/>
      <c r="EHU1721" s="227"/>
      <c r="EHV1721" s="227"/>
      <c r="EHW1721" s="227"/>
      <c r="EHX1721" s="227"/>
      <c r="EHY1721" s="227"/>
      <c r="EHZ1721" s="227"/>
      <c r="EIA1721" s="227"/>
      <c r="EIB1721" s="227"/>
      <c r="EIC1721" s="227"/>
      <c r="EID1721" s="227"/>
      <c r="EIE1721" s="227"/>
      <c r="EIF1721" s="227"/>
      <c r="EIG1721" s="227"/>
      <c r="EIH1721" s="227"/>
      <c r="EII1721" s="227"/>
      <c r="EIJ1721" s="227"/>
      <c r="EIK1721" s="227"/>
      <c r="EIL1721" s="227"/>
      <c r="EIM1721" s="227"/>
      <c r="EIN1721" s="227"/>
      <c r="EIO1721" s="227"/>
      <c r="EIP1721" s="227"/>
      <c r="EIQ1721" s="227"/>
      <c r="EIR1721" s="227"/>
      <c r="EIS1721" s="227"/>
      <c r="EIT1721" s="227"/>
      <c r="EIU1721" s="227"/>
      <c r="EIV1721" s="227"/>
      <c r="EIW1721" s="227"/>
      <c r="EIX1721" s="227"/>
      <c r="EIY1721" s="227"/>
      <c r="EIZ1721" s="227"/>
      <c r="EJA1721" s="227"/>
      <c r="EJB1721" s="227"/>
      <c r="EJC1721" s="227"/>
      <c r="EJD1721" s="227"/>
      <c r="EJE1721" s="227"/>
      <c r="EJF1721" s="227"/>
      <c r="EJG1721" s="227"/>
      <c r="EJH1721" s="227"/>
      <c r="EJI1721" s="227"/>
      <c r="EJJ1721" s="227"/>
      <c r="EJK1721" s="227"/>
      <c r="EJL1721" s="227"/>
      <c r="EJM1721" s="227"/>
      <c r="EJN1721" s="227"/>
      <c r="EJO1721" s="227"/>
      <c r="EJP1721" s="227"/>
      <c r="EJQ1721" s="227"/>
      <c r="EJR1721" s="227"/>
      <c r="EJS1721" s="227"/>
      <c r="EJT1721" s="227"/>
      <c r="EJU1721" s="227"/>
      <c r="EJV1721" s="227"/>
      <c r="EJW1721" s="227"/>
      <c r="EJX1721" s="227"/>
      <c r="EJY1721" s="227"/>
      <c r="EJZ1721" s="227"/>
      <c r="EKA1721" s="227"/>
      <c r="EKB1721" s="227"/>
      <c r="EKC1721" s="227"/>
      <c r="EKD1721" s="227"/>
      <c r="EKE1721" s="227"/>
      <c r="EKF1721" s="227"/>
      <c r="EKG1721" s="227"/>
      <c r="EKH1721" s="227"/>
      <c r="EKI1721" s="227"/>
      <c r="EKJ1721" s="227"/>
      <c r="EKK1721" s="227"/>
      <c r="EKL1721" s="227"/>
      <c r="EKM1721" s="227"/>
      <c r="EKN1721" s="227"/>
      <c r="EKO1721" s="227"/>
      <c r="EKP1721" s="227"/>
      <c r="EKQ1721" s="227"/>
      <c r="EKR1721" s="227"/>
      <c r="EKS1721" s="227"/>
      <c r="EKT1721" s="227"/>
      <c r="EKU1721" s="227"/>
      <c r="EKV1721" s="227"/>
      <c r="EKW1721" s="227"/>
      <c r="EKX1721" s="227"/>
      <c r="EKY1721" s="227"/>
      <c r="EKZ1721" s="227"/>
      <c r="ELA1721" s="227"/>
      <c r="ELB1721" s="227"/>
      <c r="ELC1721" s="227"/>
      <c r="ELD1721" s="227"/>
      <c r="ELE1721" s="227"/>
      <c r="ELF1721" s="227"/>
      <c r="ELG1721" s="227"/>
      <c r="ELH1721" s="227"/>
      <c r="ELI1721" s="227"/>
      <c r="ELJ1721" s="227"/>
      <c r="ELK1721" s="227"/>
      <c r="ELL1721" s="227"/>
      <c r="ELM1721" s="227"/>
      <c r="ELN1721" s="227"/>
      <c r="ELO1721" s="227"/>
      <c r="ELP1721" s="227"/>
      <c r="ELQ1721" s="227"/>
      <c r="ELR1721" s="227"/>
      <c r="ELS1721" s="227"/>
      <c r="ELT1721" s="227"/>
      <c r="ELU1721" s="227"/>
      <c r="ELV1721" s="227"/>
      <c r="ELW1721" s="227"/>
      <c r="ELX1721" s="227"/>
      <c r="ELY1721" s="227"/>
      <c r="ELZ1721" s="227"/>
      <c r="EMA1721" s="227"/>
      <c r="EMB1721" s="227"/>
      <c r="EMC1721" s="227"/>
      <c r="EMD1721" s="227"/>
      <c r="EME1721" s="227"/>
      <c r="EMF1721" s="227"/>
      <c r="EMG1721" s="227"/>
      <c r="EMH1721" s="227"/>
      <c r="EMI1721" s="227"/>
      <c r="EMJ1721" s="227"/>
      <c r="EMK1721" s="227"/>
      <c r="EML1721" s="227"/>
      <c r="EMM1721" s="227"/>
      <c r="EMN1721" s="227"/>
      <c r="EMO1721" s="227"/>
      <c r="EMP1721" s="227"/>
      <c r="EMQ1721" s="227"/>
      <c r="EMR1721" s="227"/>
      <c r="EMS1721" s="227"/>
      <c r="EMT1721" s="227"/>
      <c r="EMU1721" s="227"/>
      <c r="EMV1721" s="227"/>
      <c r="EMW1721" s="227"/>
      <c r="EMX1721" s="227"/>
      <c r="EMY1721" s="227"/>
      <c r="EMZ1721" s="227"/>
      <c r="ENA1721" s="227"/>
      <c r="ENB1721" s="227"/>
      <c r="ENC1721" s="227"/>
      <c r="END1721" s="227"/>
      <c r="ENE1721" s="227"/>
      <c r="ENF1721" s="227"/>
      <c r="ENG1721" s="227"/>
      <c r="ENH1721" s="227"/>
      <c r="ENI1721" s="227"/>
      <c r="ENJ1721" s="227"/>
      <c r="ENK1721" s="227"/>
      <c r="ENL1721" s="227"/>
      <c r="ENM1721" s="227"/>
      <c r="ENN1721" s="227"/>
      <c r="ENO1721" s="227"/>
      <c r="ENP1721" s="227"/>
      <c r="ENQ1721" s="227"/>
      <c r="ENR1721" s="227"/>
      <c r="ENS1721" s="227"/>
      <c r="ENT1721" s="227"/>
      <c r="ENU1721" s="227"/>
      <c r="ENV1721" s="227"/>
      <c r="ENW1721" s="227"/>
      <c r="ENX1721" s="227"/>
      <c r="ENY1721" s="227"/>
      <c r="ENZ1721" s="227"/>
      <c r="EOA1721" s="227"/>
      <c r="EOB1721" s="227"/>
      <c r="EOC1721" s="227"/>
      <c r="EOD1721" s="227"/>
      <c r="EOE1721" s="227"/>
      <c r="EOF1721" s="227"/>
      <c r="EOG1721" s="227"/>
      <c r="EOH1721" s="227"/>
      <c r="EOI1721" s="227"/>
      <c r="EOJ1721" s="227"/>
      <c r="EOK1721" s="227"/>
      <c r="EOL1721" s="227"/>
      <c r="EOM1721" s="227"/>
      <c r="EON1721" s="227"/>
      <c r="EOO1721" s="227"/>
      <c r="EOP1721" s="227"/>
      <c r="EOQ1721" s="227"/>
      <c r="EOR1721" s="227"/>
      <c r="EOS1721" s="227"/>
      <c r="EOT1721" s="227"/>
      <c r="EOU1721" s="227"/>
      <c r="EOV1721" s="227"/>
      <c r="EOW1721" s="227"/>
      <c r="EOX1721" s="227"/>
      <c r="EOY1721" s="227"/>
      <c r="EOZ1721" s="227"/>
      <c r="EPA1721" s="227"/>
      <c r="EPB1721" s="227"/>
      <c r="EPC1721" s="227"/>
      <c r="EPD1721" s="227"/>
      <c r="EPE1721" s="227"/>
      <c r="EPF1721" s="227"/>
      <c r="EPG1721" s="227"/>
      <c r="EPH1721" s="227"/>
      <c r="EPI1721" s="227"/>
      <c r="EPJ1721" s="227"/>
      <c r="EPK1721" s="227"/>
      <c r="EPL1721" s="227"/>
      <c r="EPM1721" s="227"/>
      <c r="EPN1721" s="227"/>
      <c r="EPO1721" s="227"/>
      <c r="EPP1721" s="227"/>
      <c r="EPQ1721" s="227"/>
      <c r="EPR1721" s="227"/>
      <c r="EPS1721" s="227"/>
      <c r="EPT1721" s="227"/>
      <c r="EPU1721" s="227"/>
      <c r="EPV1721" s="227"/>
      <c r="EPW1721" s="227"/>
      <c r="EPX1721" s="227"/>
      <c r="EPY1721" s="227"/>
      <c r="EPZ1721" s="227"/>
      <c r="EQA1721" s="227"/>
      <c r="EQB1721" s="227"/>
      <c r="EQC1721" s="227"/>
      <c r="EQD1721" s="227"/>
      <c r="EQE1721" s="227"/>
      <c r="EQF1721" s="227"/>
      <c r="EQG1721" s="227"/>
      <c r="EQH1721" s="227"/>
      <c r="EQI1721" s="227"/>
      <c r="EQJ1721" s="227"/>
      <c r="EQK1721" s="227"/>
      <c r="EQL1721" s="227"/>
      <c r="EQM1721" s="227"/>
      <c r="EQN1721" s="227"/>
      <c r="EQO1721" s="227"/>
      <c r="EQP1721" s="227"/>
      <c r="EQQ1721" s="227"/>
      <c r="EQR1721" s="227"/>
      <c r="EQS1721" s="227"/>
      <c r="EQT1721" s="227"/>
      <c r="EQU1721" s="227"/>
      <c r="EQV1721" s="227"/>
      <c r="EQW1721" s="227"/>
      <c r="EQX1721" s="227"/>
      <c r="EQY1721" s="227"/>
      <c r="EQZ1721" s="227"/>
      <c r="ERA1721" s="227"/>
      <c r="ERB1721" s="227"/>
      <c r="ERC1721" s="227"/>
      <c r="ERD1721" s="227"/>
      <c r="ERE1721" s="227"/>
      <c r="ERF1721" s="227"/>
      <c r="ERG1721" s="227"/>
      <c r="ERH1721" s="227"/>
      <c r="ERI1721" s="227"/>
      <c r="ERJ1721" s="227"/>
      <c r="ERK1721" s="227"/>
      <c r="ERL1721" s="227"/>
      <c r="ERM1721" s="227"/>
      <c r="ERN1721" s="227"/>
      <c r="ERO1721" s="227"/>
      <c r="ERP1721" s="227"/>
      <c r="ERQ1721" s="227"/>
      <c r="ERR1721" s="227"/>
      <c r="ERS1721" s="227"/>
      <c r="ERT1721" s="227"/>
      <c r="ERU1721" s="227"/>
      <c r="ERV1721" s="227"/>
      <c r="ERW1721" s="227"/>
      <c r="ERX1721" s="227"/>
      <c r="ERY1721" s="227"/>
      <c r="ERZ1721" s="227"/>
      <c r="ESA1721" s="227"/>
      <c r="ESB1721" s="227"/>
      <c r="ESC1721" s="227"/>
      <c r="ESD1721" s="227"/>
      <c r="ESE1721" s="227"/>
      <c r="ESF1721" s="227"/>
      <c r="ESG1721" s="227"/>
      <c r="ESH1721" s="227"/>
      <c r="ESI1721" s="227"/>
      <c r="ESJ1721" s="227"/>
      <c r="ESK1721" s="227"/>
      <c r="ESL1721" s="227"/>
      <c r="ESM1721" s="227"/>
      <c r="ESN1721" s="227"/>
      <c r="ESO1721" s="227"/>
      <c r="ESP1721" s="227"/>
      <c r="ESQ1721" s="227"/>
      <c r="ESR1721" s="227"/>
      <c r="ESS1721" s="227"/>
      <c r="EST1721" s="227"/>
      <c r="ESU1721" s="227"/>
      <c r="ESV1721" s="227"/>
      <c r="ESW1721" s="227"/>
      <c r="ESX1721" s="227"/>
      <c r="ESY1721" s="227"/>
      <c r="ESZ1721" s="227"/>
      <c r="ETA1721" s="227"/>
      <c r="ETB1721" s="227"/>
      <c r="ETC1721" s="227"/>
      <c r="ETD1721" s="227"/>
      <c r="ETE1721" s="227"/>
      <c r="ETF1721" s="227"/>
      <c r="ETG1721" s="227"/>
      <c r="ETH1721" s="227"/>
      <c r="ETI1721" s="227"/>
      <c r="ETJ1721" s="227"/>
      <c r="ETK1721" s="227"/>
      <c r="ETL1721" s="227"/>
      <c r="ETM1721" s="227"/>
      <c r="ETN1721" s="227"/>
      <c r="ETO1721" s="227"/>
      <c r="ETP1721" s="227"/>
      <c r="ETQ1721" s="227"/>
      <c r="ETR1721" s="227"/>
      <c r="ETS1721" s="227"/>
      <c r="ETT1721" s="227"/>
      <c r="ETU1721" s="227"/>
      <c r="ETV1721" s="227"/>
      <c r="ETW1721" s="227"/>
      <c r="ETX1721" s="227"/>
      <c r="ETY1721" s="227"/>
      <c r="ETZ1721" s="227"/>
      <c r="EUA1721" s="227"/>
      <c r="EUB1721" s="227"/>
      <c r="EUC1721" s="227"/>
      <c r="EUD1721" s="227"/>
      <c r="EUE1721" s="227"/>
      <c r="EUF1721" s="227"/>
      <c r="EUG1721" s="227"/>
      <c r="EUH1721" s="227"/>
      <c r="EUI1721" s="227"/>
      <c r="EUJ1721" s="227"/>
      <c r="EUK1721" s="227"/>
      <c r="EUL1721" s="227"/>
      <c r="EUM1721" s="227"/>
      <c r="EUN1721" s="227"/>
      <c r="EUO1721" s="227"/>
      <c r="EUP1721" s="227"/>
      <c r="EUQ1721" s="227"/>
      <c r="EUR1721" s="227"/>
      <c r="EUS1721" s="227"/>
      <c r="EUT1721" s="227"/>
      <c r="EUU1721" s="227"/>
      <c r="EUV1721" s="227"/>
      <c r="EUW1721" s="227"/>
      <c r="EUX1721" s="227"/>
      <c r="EUY1721" s="227"/>
      <c r="EUZ1721" s="227"/>
      <c r="EVA1721" s="227"/>
      <c r="EVB1721" s="227"/>
      <c r="EVC1721" s="227"/>
      <c r="EVD1721" s="227"/>
      <c r="EVE1721" s="227"/>
      <c r="EVF1721" s="227"/>
      <c r="EVG1721" s="227"/>
      <c r="EVH1721" s="227"/>
      <c r="EVI1721" s="227"/>
      <c r="EVJ1721" s="227"/>
      <c r="EVK1721" s="227"/>
      <c r="EVL1721" s="227"/>
      <c r="EVM1721" s="227"/>
      <c r="EVN1721" s="227"/>
      <c r="EVO1721" s="227"/>
      <c r="EVP1721" s="227"/>
      <c r="EVQ1721" s="227"/>
      <c r="EVR1721" s="227"/>
      <c r="EVS1721" s="227"/>
      <c r="EVT1721" s="227"/>
      <c r="EVU1721" s="227"/>
      <c r="EVV1721" s="227"/>
      <c r="EVW1721" s="227"/>
      <c r="EVX1721" s="227"/>
      <c r="EVY1721" s="227"/>
      <c r="EVZ1721" s="227"/>
      <c r="EWA1721" s="227"/>
      <c r="EWB1721" s="227"/>
      <c r="EWC1721" s="227"/>
      <c r="EWD1721" s="227"/>
      <c r="EWE1721" s="227"/>
      <c r="EWF1721" s="227"/>
      <c r="EWG1721" s="227"/>
      <c r="EWH1721" s="227"/>
      <c r="EWI1721" s="227"/>
      <c r="EWJ1721" s="227"/>
      <c r="EWK1721" s="227"/>
      <c r="EWL1721" s="227"/>
      <c r="EWM1721" s="227"/>
      <c r="EWN1721" s="227"/>
      <c r="EWO1721" s="227"/>
      <c r="EWP1721" s="227"/>
      <c r="EWQ1721" s="227"/>
      <c r="EWR1721" s="227"/>
      <c r="EWS1721" s="227"/>
      <c r="EWT1721" s="227"/>
      <c r="EWU1721" s="227"/>
      <c r="EWV1721" s="227"/>
      <c r="EWW1721" s="227"/>
      <c r="EWX1721" s="227"/>
      <c r="EWY1721" s="227"/>
      <c r="EWZ1721" s="227"/>
      <c r="EXA1721" s="227"/>
      <c r="EXB1721" s="227"/>
      <c r="EXC1721" s="227"/>
      <c r="EXD1721" s="227"/>
      <c r="EXE1721" s="227"/>
      <c r="EXF1721" s="227"/>
      <c r="EXG1721" s="227"/>
      <c r="EXH1721" s="227"/>
      <c r="EXI1721" s="227"/>
      <c r="EXJ1721" s="227"/>
      <c r="EXK1721" s="227"/>
      <c r="EXL1721" s="227"/>
      <c r="EXM1721" s="227"/>
      <c r="EXN1721" s="227"/>
      <c r="EXO1721" s="227"/>
      <c r="EXP1721" s="227"/>
      <c r="EXQ1721" s="227"/>
      <c r="EXR1721" s="227"/>
      <c r="EXS1721" s="227"/>
      <c r="EXT1721" s="227"/>
      <c r="EXU1721" s="227"/>
      <c r="EXV1721" s="227"/>
      <c r="EXW1721" s="227"/>
      <c r="EXX1721" s="227"/>
      <c r="EXY1721" s="227"/>
      <c r="EXZ1721" s="227"/>
      <c r="EYA1721" s="227"/>
      <c r="EYB1721" s="227"/>
      <c r="EYC1721" s="227"/>
      <c r="EYD1721" s="227"/>
      <c r="EYE1721" s="227"/>
      <c r="EYF1721" s="227"/>
      <c r="EYG1721" s="227"/>
      <c r="EYH1721" s="227"/>
      <c r="EYI1721" s="227"/>
      <c r="EYJ1721" s="227"/>
      <c r="EYK1721" s="227"/>
      <c r="EYL1721" s="227"/>
      <c r="EYM1721" s="227"/>
      <c r="EYN1721" s="227"/>
      <c r="EYO1721" s="227"/>
      <c r="EYP1721" s="227"/>
      <c r="EYQ1721" s="227"/>
      <c r="EYR1721" s="227"/>
      <c r="EYS1721" s="227"/>
      <c r="EYT1721" s="227"/>
      <c r="EYU1721" s="227"/>
      <c r="EYV1721" s="227"/>
      <c r="EYW1721" s="227"/>
      <c r="EYX1721" s="227"/>
      <c r="EYY1721" s="227"/>
      <c r="EYZ1721" s="227"/>
      <c r="EZA1721" s="227"/>
      <c r="EZB1721" s="227"/>
      <c r="EZC1721" s="227"/>
      <c r="EZD1721" s="227"/>
      <c r="EZE1721" s="227"/>
      <c r="EZF1721" s="227"/>
      <c r="EZG1721" s="227"/>
      <c r="EZH1721" s="227"/>
      <c r="EZI1721" s="227"/>
      <c r="EZJ1721" s="227"/>
      <c r="EZK1721" s="227"/>
      <c r="EZL1721" s="227"/>
      <c r="EZM1721" s="227"/>
      <c r="EZN1721" s="227"/>
      <c r="EZO1721" s="227"/>
      <c r="EZP1721" s="227"/>
      <c r="EZQ1721" s="227"/>
      <c r="EZR1721" s="227"/>
      <c r="EZS1721" s="227"/>
      <c r="EZT1721" s="227"/>
      <c r="EZU1721" s="227"/>
      <c r="EZV1721" s="227"/>
      <c r="EZW1721" s="227"/>
      <c r="EZX1721" s="227"/>
      <c r="EZY1721" s="227"/>
      <c r="EZZ1721" s="227"/>
      <c r="FAA1721" s="227"/>
      <c r="FAB1721" s="227"/>
      <c r="FAC1721" s="227"/>
      <c r="FAD1721" s="227"/>
      <c r="FAE1721" s="227"/>
      <c r="FAF1721" s="227"/>
      <c r="FAG1721" s="227"/>
      <c r="FAH1721" s="227"/>
      <c r="FAI1721" s="227"/>
      <c r="FAJ1721" s="227"/>
      <c r="FAK1721" s="227"/>
      <c r="FAL1721" s="227"/>
      <c r="FAM1721" s="227"/>
      <c r="FAN1721" s="227"/>
      <c r="FAO1721" s="227"/>
      <c r="FAP1721" s="227"/>
      <c r="FAQ1721" s="227"/>
      <c r="FAR1721" s="227"/>
      <c r="FAS1721" s="227"/>
      <c r="FAT1721" s="227"/>
      <c r="FAU1721" s="227"/>
      <c r="FAV1721" s="227"/>
      <c r="FAW1721" s="227"/>
      <c r="FAX1721" s="227"/>
      <c r="FAY1721" s="227"/>
      <c r="FAZ1721" s="227"/>
      <c r="FBA1721" s="227"/>
      <c r="FBB1721" s="227"/>
      <c r="FBC1721" s="227"/>
      <c r="FBD1721" s="227"/>
      <c r="FBE1721" s="227"/>
      <c r="FBF1721" s="227"/>
      <c r="FBG1721" s="227"/>
      <c r="FBH1721" s="227"/>
      <c r="FBI1721" s="227"/>
      <c r="FBJ1721" s="227"/>
      <c r="FBK1721" s="227"/>
      <c r="FBL1721" s="227"/>
      <c r="FBM1721" s="227"/>
      <c r="FBN1721" s="227"/>
      <c r="FBO1721" s="227"/>
      <c r="FBP1721" s="227"/>
      <c r="FBQ1721" s="227"/>
      <c r="FBR1721" s="227"/>
      <c r="FBS1721" s="227"/>
      <c r="FBT1721" s="227"/>
      <c r="FBU1721" s="227"/>
      <c r="FBV1721" s="227"/>
      <c r="FBW1721" s="227"/>
      <c r="FBX1721" s="227"/>
      <c r="FBY1721" s="227"/>
      <c r="FBZ1721" s="227"/>
      <c r="FCA1721" s="227"/>
      <c r="FCB1721" s="227"/>
      <c r="FCC1721" s="227"/>
      <c r="FCD1721" s="227"/>
      <c r="FCE1721" s="227"/>
      <c r="FCF1721" s="227"/>
      <c r="FCG1721" s="227"/>
      <c r="FCH1721" s="227"/>
      <c r="FCI1721" s="227"/>
      <c r="FCJ1721" s="227"/>
      <c r="FCK1721" s="227"/>
      <c r="FCL1721" s="227"/>
      <c r="FCM1721" s="227"/>
      <c r="FCN1721" s="227"/>
      <c r="FCO1721" s="227"/>
      <c r="FCP1721" s="227"/>
      <c r="FCQ1721" s="227"/>
      <c r="FCR1721" s="227"/>
      <c r="FCS1721" s="227"/>
      <c r="FCT1721" s="227"/>
      <c r="FCU1721" s="227"/>
      <c r="FCV1721" s="227"/>
      <c r="FCW1721" s="227"/>
      <c r="FCX1721" s="227"/>
      <c r="FCY1721" s="227"/>
      <c r="FCZ1721" s="227"/>
      <c r="FDA1721" s="227"/>
      <c r="FDB1721" s="227"/>
      <c r="FDC1721" s="227"/>
      <c r="FDD1721" s="227"/>
      <c r="FDE1721" s="227"/>
      <c r="FDF1721" s="227"/>
      <c r="FDG1721" s="227"/>
      <c r="FDH1721" s="227"/>
      <c r="FDI1721" s="227"/>
      <c r="FDJ1721" s="227"/>
      <c r="FDK1721" s="227"/>
      <c r="FDL1721" s="227"/>
      <c r="FDM1721" s="227"/>
      <c r="FDN1721" s="227"/>
      <c r="FDO1721" s="227"/>
      <c r="FDP1721" s="227"/>
      <c r="FDQ1721" s="227"/>
      <c r="FDR1721" s="227"/>
      <c r="FDS1721" s="227"/>
      <c r="FDT1721" s="227"/>
      <c r="FDU1721" s="227"/>
      <c r="FDV1721" s="227"/>
      <c r="FDW1721" s="227"/>
      <c r="FDX1721" s="227"/>
      <c r="FDY1721" s="227"/>
      <c r="FDZ1721" s="227"/>
      <c r="FEA1721" s="227"/>
      <c r="FEB1721" s="227"/>
      <c r="FEC1721" s="227"/>
      <c r="FED1721" s="227"/>
      <c r="FEE1721" s="227"/>
      <c r="FEF1721" s="227"/>
      <c r="FEG1721" s="227"/>
      <c r="FEH1721" s="227"/>
      <c r="FEI1721" s="227"/>
      <c r="FEJ1721" s="227"/>
      <c r="FEK1721" s="227"/>
      <c r="FEL1721" s="227"/>
      <c r="FEM1721" s="227"/>
      <c r="FEN1721" s="227"/>
      <c r="FEO1721" s="227"/>
      <c r="FEP1721" s="227"/>
      <c r="FEQ1721" s="227"/>
      <c r="FER1721" s="227"/>
      <c r="FES1721" s="227"/>
      <c r="FET1721" s="227"/>
      <c r="FEU1721" s="227"/>
      <c r="FEV1721" s="227"/>
      <c r="FEW1721" s="227"/>
      <c r="FEX1721" s="227"/>
      <c r="FEY1721" s="227"/>
      <c r="FEZ1721" s="227"/>
      <c r="FFA1721" s="227"/>
      <c r="FFB1721" s="227"/>
      <c r="FFC1721" s="227"/>
      <c r="FFD1721" s="227"/>
      <c r="FFE1721" s="227"/>
      <c r="FFF1721" s="227"/>
      <c r="FFG1721" s="227"/>
      <c r="FFH1721" s="227"/>
      <c r="FFI1721" s="227"/>
      <c r="FFJ1721" s="227"/>
      <c r="FFK1721" s="227"/>
      <c r="FFL1721" s="227"/>
      <c r="FFM1721" s="227"/>
      <c r="FFN1721" s="227"/>
      <c r="FFO1721" s="227"/>
      <c r="FFP1721" s="227"/>
      <c r="FFQ1721" s="227"/>
      <c r="FFR1721" s="227"/>
      <c r="FFS1721" s="227"/>
      <c r="FFT1721" s="227"/>
      <c r="FFU1721" s="227"/>
      <c r="FFV1721" s="227"/>
      <c r="FFW1721" s="227"/>
      <c r="FFX1721" s="227"/>
      <c r="FFY1721" s="227"/>
      <c r="FFZ1721" s="227"/>
      <c r="FGA1721" s="227"/>
      <c r="FGB1721" s="227"/>
      <c r="FGC1721" s="227"/>
      <c r="FGD1721" s="227"/>
      <c r="FGE1721" s="227"/>
      <c r="FGF1721" s="227"/>
      <c r="FGG1721" s="227"/>
      <c r="FGH1721" s="227"/>
      <c r="FGI1721" s="227"/>
      <c r="FGJ1721" s="227"/>
      <c r="FGK1721" s="227"/>
      <c r="FGL1721" s="227"/>
      <c r="FGM1721" s="227"/>
      <c r="FGN1721" s="227"/>
      <c r="FGO1721" s="227"/>
      <c r="FGP1721" s="227"/>
      <c r="FGQ1721" s="227"/>
      <c r="FGR1721" s="227"/>
      <c r="FGS1721" s="227"/>
      <c r="FGT1721" s="227"/>
      <c r="FGU1721" s="227"/>
      <c r="FGV1721" s="227"/>
      <c r="FGW1721" s="227"/>
      <c r="FGX1721" s="227"/>
      <c r="FGY1721" s="227"/>
      <c r="FGZ1721" s="227"/>
      <c r="FHA1721" s="227"/>
      <c r="FHB1721" s="227"/>
      <c r="FHC1721" s="227"/>
      <c r="FHD1721" s="227"/>
      <c r="FHE1721" s="227"/>
      <c r="FHF1721" s="227"/>
      <c r="FHG1721" s="227"/>
      <c r="FHH1721" s="227"/>
      <c r="FHI1721" s="227"/>
      <c r="FHJ1721" s="227"/>
      <c r="FHK1721" s="227"/>
      <c r="FHL1721" s="227"/>
      <c r="FHM1721" s="227"/>
      <c r="FHN1721" s="227"/>
      <c r="FHO1721" s="227"/>
      <c r="FHP1721" s="227"/>
      <c r="FHQ1721" s="227"/>
      <c r="FHR1721" s="227"/>
      <c r="FHS1721" s="227"/>
      <c r="FHT1721" s="227"/>
      <c r="FHU1721" s="227"/>
      <c r="FHV1721" s="227"/>
      <c r="FHW1721" s="227"/>
      <c r="FHX1721" s="227"/>
      <c r="FHY1721" s="227"/>
      <c r="FHZ1721" s="227"/>
      <c r="FIA1721" s="227"/>
      <c r="FIB1721" s="227"/>
      <c r="FIC1721" s="227"/>
      <c r="FID1721" s="227"/>
      <c r="FIE1721" s="227"/>
      <c r="FIF1721" s="227"/>
      <c r="FIG1721" s="227"/>
      <c r="FIH1721" s="227"/>
      <c r="FII1721" s="227"/>
      <c r="FIJ1721" s="227"/>
      <c r="FIK1721" s="227"/>
      <c r="FIL1721" s="227"/>
      <c r="FIM1721" s="227"/>
      <c r="FIN1721" s="227"/>
      <c r="FIO1721" s="227"/>
      <c r="FIP1721" s="227"/>
      <c r="FIQ1721" s="227"/>
      <c r="FIR1721" s="227"/>
      <c r="FIS1721" s="227"/>
      <c r="FIT1721" s="227"/>
      <c r="FIU1721" s="227"/>
      <c r="FIV1721" s="227"/>
      <c r="FIW1721" s="227"/>
      <c r="FIX1721" s="227"/>
      <c r="FIY1721" s="227"/>
      <c r="FIZ1721" s="227"/>
      <c r="FJA1721" s="227"/>
      <c r="FJB1721" s="227"/>
      <c r="FJC1721" s="227"/>
      <c r="FJD1721" s="227"/>
      <c r="FJE1721" s="227"/>
      <c r="FJF1721" s="227"/>
      <c r="FJG1721" s="227"/>
      <c r="FJH1721" s="227"/>
      <c r="FJI1721" s="227"/>
      <c r="FJJ1721" s="227"/>
      <c r="FJK1721" s="227"/>
      <c r="FJL1721" s="227"/>
      <c r="FJM1721" s="227"/>
      <c r="FJN1721" s="227"/>
      <c r="FJO1721" s="227"/>
      <c r="FJP1721" s="227"/>
      <c r="FJQ1721" s="227"/>
      <c r="FJR1721" s="227"/>
      <c r="FJS1721" s="227"/>
      <c r="FJT1721" s="227"/>
      <c r="FJU1721" s="227"/>
      <c r="FJV1721" s="227"/>
      <c r="FJW1721" s="227"/>
      <c r="FJX1721" s="227"/>
      <c r="FJY1721" s="227"/>
      <c r="FJZ1721" s="227"/>
      <c r="FKA1721" s="227"/>
      <c r="FKB1721" s="227"/>
      <c r="FKC1721" s="227"/>
      <c r="FKD1721" s="227"/>
      <c r="FKE1721" s="227"/>
      <c r="FKF1721" s="227"/>
      <c r="FKG1721" s="227"/>
      <c r="FKH1721" s="227"/>
      <c r="FKI1721" s="227"/>
      <c r="FKJ1721" s="227"/>
      <c r="FKK1721" s="227"/>
      <c r="FKL1721" s="227"/>
      <c r="FKM1721" s="227"/>
      <c r="FKN1721" s="227"/>
      <c r="FKO1721" s="227"/>
      <c r="FKP1721" s="227"/>
      <c r="FKQ1721" s="227"/>
      <c r="FKR1721" s="227"/>
      <c r="FKS1721" s="227"/>
      <c r="FKT1721" s="227"/>
      <c r="FKU1721" s="227"/>
      <c r="FKV1721" s="227"/>
      <c r="FKW1721" s="227"/>
      <c r="FKX1721" s="227"/>
      <c r="FKY1721" s="227"/>
      <c r="FKZ1721" s="227"/>
      <c r="FLA1721" s="227"/>
      <c r="FLB1721" s="227"/>
      <c r="FLC1721" s="227"/>
      <c r="FLD1721" s="227"/>
      <c r="FLE1721" s="227"/>
      <c r="FLF1721" s="227"/>
      <c r="FLG1721" s="227"/>
      <c r="FLH1721" s="227"/>
      <c r="FLI1721" s="227"/>
      <c r="FLJ1721" s="227"/>
      <c r="FLK1721" s="227"/>
      <c r="FLL1721" s="227"/>
      <c r="FLM1721" s="227"/>
      <c r="FLN1721" s="227"/>
      <c r="FLO1721" s="227"/>
      <c r="FLP1721" s="227"/>
      <c r="FLQ1721" s="227"/>
      <c r="FLR1721" s="227"/>
      <c r="FLS1721" s="227"/>
      <c r="FLT1721" s="227"/>
      <c r="FLU1721" s="227"/>
      <c r="FLV1721" s="227"/>
      <c r="FLW1721" s="227"/>
      <c r="FLX1721" s="227"/>
      <c r="FLY1721" s="227"/>
      <c r="FLZ1721" s="227"/>
      <c r="FMA1721" s="227"/>
      <c r="FMB1721" s="227"/>
      <c r="FMC1721" s="227"/>
      <c r="FMD1721" s="227"/>
      <c r="FME1721" s="227"/>
      <c r="FMF1721" s="227"/>
      <c r="FMG1721" s="227"/>
      <c r="FMH1721" s="227"/>
      <c r="FMI1721" s="227"/>
      <c r="FMJ1721" s="227"/>
      <c r="FMK1721" s="227"/>
      <c r="FML1721" s="227"/>
      <c r="FMM1721" s="227"/>
      <c r="FMN1721" s="227"/>
      <c r="FMO1721" s="227"/>
      <c r="FMP1721" s="227"/>
      <c r="FMQ1721" s="227"/>
      <c r="FMR1721" s="227"/>
      <c r="FMS1721" s="227"/>
      <c r="FMT1721" s="227"/>
      <c r="FMU1721" s="227"/>
      <c r="FMV1721" s="227"/>
      <c r="FMW1721" s="227"/>
      <c r="FMX1721" s="227"/>
      <c r="FMY1721" s="227"/>
      <c r="FMZ1721" s="227"/>
      <c r="FNA1721" s="227"/>
      <c r="FNB1721" s="227"/>
      <c r="FNC1721" s="227"/>
      <c r="FND1721" s="227"/>
      <c r="FNE1721" s="227"/>
      <c r="FNF1721" s="227"/>
      <c r="FNG1721" s="227"/>
      <c r="FNH1721" s="227"/>
      <c r="FNI1721" s="227"/>
      <c r="FNJ1721" s="227"/>
      <c r="FNK1721" s="227"/>
      <c r="FNL1721" s="227"/>
      <c r="FNM1721" s="227"/>
      <c r="FNN1721" s="227"/>
      <c r="FNO1721" s="227"/>
      <c r="FNP1721" s="227"/>
      <c r="FNQ1721" s="227"/>
      <c r="FNR1721" s="227"/>
      <c r="FNS1721" s="227"/>
      <c r="FNT1721" s="227"/>
      <c r="FNU1721" s="227"/>
      <c r="FNV1721" s="227"/>
      <c r="FNW1721" s="227"/>
      <c r="FNX1721" s="227"/>
      <c r="FNY1721" s="227"/>
      <c r="FNZ1721" s="227"/>
      <c r="FOA1721" s="227"/>
      <c r="FOB1721" s="227"/>
      <c r="FOC1721" s="227"/>
      <c r="FOD1721" s="227"/>
      <c r="FOE1721" s="227"/>
      <c r="FOF1721" s="227"/>
      <c r="FOG1721" s="227"/>
      <c r="FOH1721" s="227"/>
      <c r="FOI1721" s="227"/>
      <c r="FOJ1721" s="227"/>
      <c r="FOK1721" s="227"/>
      <c r="FOL1721" s="227"/>
      <c r="FOM1721" s="227"/>
      <c r="FON1721" s="227"/>
      <c r="FOO1721" s="227"/>
      <c r="FOP1721" s="227"/>
      <c r="FOQ1721" s="227"/>
      <c r="FOR1721" s="227"/>
      <c r="FOS1721" s="227"/>
      <c r="FOT1721" s="227"/>
      <c r="FOU1721" s="227"/>
      <c r="FOV1721" s="227"/>
      <c r="FOW1721" s="227"/>
      <c r="FOX1721" s="227"/>
      <c r="FOY1721" s="227"/>
      <c r="FOZ1721" s="227"/>
      <c r="FPA1721" s="227"/>
      <c r="FPB1721" s="227"/>
      <c r="FPC1721" s="227"/>
      <c r="FPD1721" s="227"/>
      <c r="FPE1721" s="227"/>
      <c r="FPF1721" s="227"/>
      <c r="FPG1721" s="227"/>
      <c r="FPH1721" s="227"/>
      <c r="FPI1721" s="227"/>
      <c r="FPJ1721" s="227"/>
      <c r="FPK1721" s="227"/>
      <c r="FPL1721" s="227"/>
      <c r="FPM1721" s="227"/>
      <c r="FPN1721" s="227"/>
      <c r="FPO1721" s="227"/>
      <c r="FPP1721" s="227"/>
      <c r="FPQ1721" s="227"/>
      <c r="FPR1721" s="227"/>
      <c r="FPS1721" s="227"/>
      <c r="FPT1721" s="227"/>
      <c r="FPU1721" s="227"/>
      <c r="FPV1721" s="227"/>
      <c r="FPW1721" s="227"/>
      <c r="FPX1721" s="227"/>
      <c r="FPY1721" s="227"/>
      <c r="FPZ1721" s="227"/>
      <c r="FQA1721" s="227"/>
      <c r="FQB1721" s="227"/>
      <c r="FQC1721" s="227"/>
      <c r="FQD1721" s="227"/>
      <c r="FQE1721" s="227"/>
      <c r="FQF1721" s="227"/>
      <c r="FQG1721" s="227"/>
      <c r="FQH1721" s="227"/>
      <c r="FQI1721" s="227"/>
      <c r="FQJ1721" s="227"/>
      <c r="FQK1721" s="227"/>
      <c r="FQL1721" s="227"/>
      <c r="FQM1721" s="227"/>
      <c r="FQN1721" s="227"/>
      <c r="FQO1721" s="227"/>
      <c r="FQP1721" s="227"/>
      <c r="FQQ1721" s="227"/>
      <c r="FQR1721" s="227"/>
      <c r="FQS1721" s="227"/>
      <c r="FQT1721" s="227"/>
      <c r="FQU1721" s="227"/>
      <c r="FQV1721" s="227"/>
      <c r="FQW1721" s="227"/>
      <c r="FQX1721" s="227"/>
      <c r="FQY1721" s="227"/>
      <c r="FQZ1721" s="227"/>
      <c r="FRA1721" s="227"/>
      <c r="FRB1721" s="227"/>
      <c r="FRC1721" s="227"/>
      <c r="FRD1721" s="227"/>
      <c r="FRE1721" s="227"/>
      <c r="FRF1721" s="227"/>
      <c r="FRG1721" s="227"/>
      <c r="FRH1721" s="227"/>
      <c r="FRI1721" s="227"/>
      <c r="FRJ1721" s="227"/>
      <c r="FRK1721" s="227"/>
      <c r="FRL1721" s="227"/>
      <c r="FRM1721" s="227"/>
      <c r="FRN1721" s="227"/>
      <c r="FRO1721" s="227"/>
      <c r="FRP1721" s="227"/>
      <c r="FRQ1721" s="227"/>
      <c r="FRR1721" s="227"/>
      <c r="FRS1721" s="227"/>
      <c r="FRT1721" s="227"/>
      <c r="FRU1721" s="227"/>
      <c r="FRV1721" s="227"/>
      <c r="FRW1721" s="227"/>
      <c r="FRX1721" s="227"/>
      <c r="FRY1721" s="227"/>
      <c r="FRZ1721" s="227"/>
      <c r="FSA1721" s="227"/>
      <c r="FSB1721" s="227"/>
      <c r="FSC1721" s="227"/>
      <c r="FSD1721" s="227"/>
      <c r="FSE1721" s="227"/>
      <c r="FSF1721" s="227"/>
      <c r="FSG1721" s="227"/>
      <c r="FSH1721" s="227"/>
      <c r="FSI1721" s="227"/>
      <c r="FSJ1721" s="227"/>
      <c r="FSK1721" s="227"/>
      <c r="FSL1721" s="227"/>
      <c r="FSM1721" s="227"/>
      <c r="FSN1721" s="227"/>
      <c r="FSO1721" s="227"/>
      <c r="FSP1721" s="227"/>
      <c r="FSQ1721" s="227"/>
      <c r="FSR1721" s="227"/>
      <c r="FSS1721" s="227"/>
      <c r="FST1721" s="227"/>
      <c r="FSU1721" s="227"/>
      <c r="FSV1721" s="227"/>
      <c r="FSW1721" s="227"/>
      <c r="FSX1721" s="227"/>
      <c r="FSY1721" s="227"/>
      <c r="FSZ1721" s="227"/>
      <c r="FTA1721" s="227"/>
      <c r="FTB1721" s="227"/>
      <c r="FTC1721" s="227"/>
      <c r="FTD1721" s="227"/>
      <c r="FTE1721" s="227"/>
      <c r="FTF1721" s="227"/>
      <c r="FTG1721" s="227"/>
      <c r="FTH1721" s="227"/>
      <c r="FTI1721" s="227"/>
      <c r="FTJ1721" s="227"/>
      <c r="FTK1721" s="227"/>
      <c r="FTL1721" s="227"/>
      <c r="FTM1721" s="227"/>
      <c r="FTN1721" s="227"/>
      <c r="FTO1721" s="227"/>
      <c r="FTP1721" s="227"/>
      <c r="FTQ1721" s="227"/>
      <c r="FTR1721" s="227"/>
      <c r="FTS1721" s="227"/>
      <c r="FTT1721" s="227"/>
      <c r="FTU1721" s="227"/>
      <c r="FTV1721" s="227"/>
      <c r="FTW1721" s="227"/>
      <c r="FTX1721" s="227"/>
      <c r="FTY1721" s="227"/>
      <c r="FTZ1721" s="227"/>
      <c r="FUA1721" s="227"/>
      <c r="FUB1721" s="227"/>
      <c r="FUC1721" s="227"/>
      <c r="FUD1721" s="227"/>
      <c r="FUE1721" s="227"/>
      <c r="FUF1721" s="227"/>
      <c r="FUG1721" s="227"/>
      <c r="FUH1721" s="227"/>
      <c r="FUI1721" s="227"/>
      <c r="FUJ1721" s="227"/>
      <c r="FUK1721" s="227"/>
      <c r="FUL1721" s="227"/>
      <c r="FUM1721" s="227"/>
      <c r="FUN1721" s="227"/>
      <c r="FUO1721" s="227"/>
      <c r="FUP1721" s="227"/>
      <c r="FUQ1721" s="227"/>
      <c r="FUR1721" s="227"/>
      <c r="FUS1721" s="227"/>
      <c r="FUT1721" s="227"/>
      <c r="FUU1721" s="227"/>
      <c r="FUV1721" s="227"/>
      <c r="FUW1721" s="227"/>
      <c r="FUX1721" s="227"/>
      <c r="FUY1721" s="227"/>
      <c r="FUZ1721" s="227"/>
      <c r="FVA1721" s="227"/>
      <c r="FVB1721" s="227"/>
      <c r="FVC1721" s="227"/>
      <c r="FVD1721" s="227"/>
      <c r="FVE1721" s="227"/>
      <c r="FVF1721" s="227"/>
      <c r="FVG1721" s="227"/>
      <c r="FVH1721" s="227"/>
      <c r="FVI1721" s="227"/>
      <c r="FVJ1721" s="227"/>
      <c r="FVK1721" s="227"/>
      <c r="FVL1721" s="227"/>
      <c r="FVM1721" s="227"/>
      <c r="FVN1721" s="227"/>
      <c r="FVO1721" s="227"/>
      <c r="FVP1721" s="227"/>
      <c r="FVQ1721" s="227"/>
      <c r="FVR1721" s="227"/>
      <c r="FVS1721" s="227"/>
      <c r="FVT1721" s="227"/>
      <c r="FVU1721" s="227"/>
      <c r="FVV1721" s="227"/>
      <c r="FVW1721" s="227"/>
      <c r="FVX1721" s="227"/>
      <c r="FVY1721" s="227"/>
      <c r="FVZ1721" s="227"/>
      <c r="FWA1721" s="227"/>
      <c r="FWB1721" s="227"/>
      <c r="FWC1721" s="227"/>
      <c r="FWD1721" s="227"/>
      <c r="FWE1721" s="227"/>
      <c r="FWF1721" s="227"/>
      <c r="FWG1721" s="227"/>
      <c r="FWH1721" s="227"/>
      <c r="FWI1721" s="227"/>
      <c r="FWJ1721" s="227"/>
      <c r="FWK1721" s="227"/>
      <c r="FWL1721" s="227"/>
      <c r="FWM1721" s="227"/>
      <c r="FWN1721" s="227"/>
      <c r="FWO1721" s="227"/>
      <c r="FWP1721" s="227"/>
      <c r="FWQ1721" s="227"/>
      <c r="FWR1721" s="227"/>
      <c r="FWS1721" s="227"/>
      <c r="FWT1721" s="227"/>
      <c r="FWU1721" s="227"/>
      <c r="FWV1721" s="227"/>
      <c r="FWW1721" s="227"/>
      <c r="FWX1721" s="227"/>
      <c r="FWY1721" s="227"/>
      <c r="FWZ1721" s="227"/>
      <c r="FXA1721" s="227"/>
      <c r="FXB1721" s="227"/>
      <c r="FXC1721" s="227"/>
      <c r="FXD1721" s="227"/>
      <c r="FXE1721" s="227"/>
      <c r="FXF1721" s="227"/>
      <c r="FXG1721" s="227"/>
      <c r="FXH1721" s="227"/>
      <c r="FXI1721" s="227"/>
      <c r="FXJ1721" s="227"/>
      <c r="FXK1721" s="227"/>
      <c r="FXL1721" s="227"/>
      <c r="FXM1721" s="227"/>
      <c r="FXN1721" s="227"/>
      <c r="FXO1721" s="227"/>
      <c r="FXP1721" s="227"/>
      <c r="FXQ1721" s="227"/>
      <c r="FXR1721" s="227"/>
      <c r="FXS1721" s="227"/>
      <c r="FXT1721" s="227"/>
      <c r="FXU1721" s="227"/>
      <c r="FXV1721" s="227"/>
      <c r="FXW1721" s="227"/>
      <c r="FXX1721" s="227"/>
      <c r="FXY1721" s="227"/>
      <c r="FXZ1721" s="227"/>
      <c r="FYA1721" s="227"/>
      <c r="FYB1721" s="227"/>
      <c r="FYC1721" s="227"/>
      <c r="FYD1721" s="227"/>
      <c r="FYE1721" s="227"/>
      <c r="FYF1721" s="227"/>
      <c r="FYG1721" s="227"/>
      <c r="FYH1721" s="227"/>
      <c r="FYI1721" s="227"/>
      <c r="FYJ1721" s="227"/>
      <c r="FYK1721" s="227"/>
      <c r="FYL1721" s="227"/>
      <c r="FYM1721" s="227"/>
      <c r="FYN1721" s="227"/>
      <c r="FYO1721" s="227"/>
      <c r="FYP1721" s="227"/>
      <c r="FYQ1721" s="227"/>
      <c r="FYR1721" s="227"/>
      <c r="FYS1721" s="227"/>
      <c r="FYT1721" s="227"/>
      <c r="FYU1721" s="227"/>
      <c r="FYV1721" s="227"/>
      <c r="FYW1721" s="227"/>
      <c r="FYX1721" s="227"/>
      <c r="FYY1721" s="227"/>
      <c r="FYZ1721" s="227"/>
      <c r="FZA1721" s="227"/>
      <c r="FZB1721" s="227"/>
      <c r="FZC1721" s="227"/>
      <c r="FZD1721" s="227"/>
      <c r="FZE1721" s="227"/>
      <c r="FZF1721" s="227"/>
      <c r="FZG1721" s="227"/>
      <c r="FZH1721" s="227"/>
      <c r="FZI1721" s="227"/>
      <c r="FZJ1721" s="227"/>
      <c r="FZK1721" s="227"/>
      <c r="FZL1721" s="227"/>
      <c r="FZM1721" s="227"/>
      <c r="FZN1721" s="227"/>
      <c r="FZO1721" s="227"/>
      <c r="FZP1721" s="227"/>
      <c r="FZQ1721" s="227"/>
      <c r="FZR1721" s="227"/>
      <c r="FZS1721" s="227"/>
      <c r="FZT1721" s="227"/>
      <c r="FZU1721" s="227"/>
      <c r="FZV1721" s="227"/>
      <c r="FZW1721" s="227"/>
      <c r="FZX1721" s="227"/>
      <c r="FZY1721" s="227"/>
      <c r="FZZ1721" s="227"/>
      <c r="GAA1721" s="227"/>
      <c r="GAB1721" s="227"/>
      <c r="GAC1721" s="227"/>
      <c r="GAD1721" s="227"/>
      <c r="GAE1721" s="227"/>
      <c r="GAF1721" s="227"/>
      <c r="GAG1721" s="227"/>
      <c r="GAH1721" s="227"/>
      <c r="GAI1721" s="227"/>
      <c r="GAJ1721" s="227"/>
      <c r="GAK1721" s="227"/>
      <c r="GAL1721" s="227"/>
      <c r="GAM1721" s="227"/>
      <c r="GAN1721" s="227"/>
      <c r="GAO1721" s="227"/>
      <c r="GAP1721" s="227"/>
      <c r="GAQ1721" s="227"/>
      <c r="GAR1721" s="227"/>
      <c r="GAS1721" s="227"/>
      <c r="GAT1721" s="227"/>
      <c r="GAU1721" s="227"/>
      <c r="GAV1721" s="227"/>
      <c r="GAW1721" s="227"/>
      <c r="GAX1721" s="227"/>
      <c r="GAY1721" s="227"/>
      <c r="GAZ1721" s="227"/>
      <c r="GBA1721" s="227"/>
      <c r="GBB1721" s="227"/>
      <c r="GBC1721" s="227"/>
      <c r="GBD1721" s="227"/>
      <c r="GBE1721" s="227"/>
      <c r="GBF1721" s="227"/>
      <c r="GBG1721" s="227"/>
      <c r="GBH1721" s="227"/>
      <c r="GBI1721" s="227"/>
      <c r="GBJ1721" s="227"/>
      <c r="GBK1721" s="227"/>
      <c r="GBL1721" s="227"/>
      <c r="GBM1721" s="227"/>
      <c r="GBN1721" s="227"/>
      <c r="GBO1721" s="227"/>
      <c r="GBP1721" s="227"/>
      <c r="GBQ1721" s="227"/>
      <c r="GBR1721" s="227"/>
      <c r="GBS1721" s="227"/>
      <c r="GBT1721" s="227"/>
      <c r="GBU1721" s="227"/>
      <c r="GBV1721" s="227"/>
      <c r="GBW1721" s="227"/>
      <c r="GBX1721" s="227"/>
      <c r="GBY1721" s="227"/>
      <c r="GBZ1721" s="227"/>
      <c r="GCA1721" s="227"/>
      <c r="GCB1721" s="227"/>
      <c r="GCC1721" s="227"/>
      <c r="GCD1721" s="227"/>
      <c r="GCE1721" s="227"/>
      <c r="GCF1721" s="227"/>
      <c r="GCG1721" s="227"/>
      <c r="GCH1721" s="227"/>
      <c r="GCI1721" s="227"/>
      <c r="GCJ1721" s="227"/>
      <c r="GCK1721" s="227"/>
      <c r="GCL1721" s="227"/>
      <c r="GCM1721" s="227"/>
      <c r="GCN1721" s="227"/>
      <c r="GCO1721" s="227"/>
      <c r="GCP1721" s="227"/>
      <c r="GCQ1721" s="227"/>
      <c r="GCR1721" s="227"/>
      <c r="GCS1721" s="227"/>
      <c r="GCT1721" s="227"/>
      <c r="GCU1721" s="227"/>
      <c r="GCV1721" s="227"/>
      <c r="GCW1721" s="227"/>
      <c r="GCX1721" s="227"/>
      <c r="GCY1721" s="227"/>
      <c r="GCZ1721" s="227"/>
      <c r="GDA1721" s="227"/>
      <c r="GDB1721" s="227"/>
      <c r="GDC1721" s="227"/>
      <c r="GDD1721" s="227"/>
      <c r="GDE1721" s="227"/>
      <c r="GDF1721" s="227"/>
      <c r="GDG1721" s="227"/>
      <c r="GDH1721" s="227"/>
      <c r="GDI1721" s="227"/>
      <c r="GDJ1721" s="227"/>
      <c r="GDK1721" s="227"/>
      <c r="GDL1721" s="227"/>
      <c r="GDM1721" s="227"/>
      <c r="GDN1721" s="227"/>
      <c r="GDO1721" s="227"/>
      <c r="GDP1721" s="227"/>
      <c r="GDQ1721" s="227"/>
      <c r="GDR1721" s="227"/>
      <c r="GDS1721" s="227"/>
      <c r="GDT1721" s="227"/>
      <c r="GDU1721" s="227"/>
      <c r="GDV1721" s="227"/>
      <c r="GDW1721" s="227"/>
      <c r="GDX1721" s="227"/>
      <c r="GDY1721" s="227"/>
      <c r="GDZ1721" s="227"/>
      <c r="GEA1721" s="227"/>
      <c r="GEB1721" s="227"/>
      <c r="GEC1721" s="227"/>
      <c r="GED1721" s="227"/>
      <c r="GEE1721" s="227"/>
      <c r="GEF1721" s="227"/>
      <c r="GEG1721" s="227"/>
      <c r="GEH1721" s="227"/>
      <c r="GEI1721" s="227"/>
      <c r="GEJ1721" s="227"/>
      <c r="GEK1721" s="227"/>
      <c r="GEL1721" s="227"/>
      <c r="GEM1721" s="227"/>
      <c r="GEN1721" s="227"/>
      <c r="GEO1721" s="227"/>
      <c r="GEP1721" s="227"/>
      <c r="GEQ1721" s="227"/>
      <c r="GER1721" s="227"/>
      <c r="GES1721" s="227"/>
      <c r="GET1721" s="227"/>
      <c r="GEU1721" s="227"/>
      <c r="GEV1721" s="227"/>
      <c r="GEW1721" s="227"/>
      <c r="GEX1721" s="227"/>
      <c r="GEY1721" s="227"/>
      <c r="GEZ1721" s="227"/>
      <c r="GFA1721" s="227"/>
      <c r="GFB1721" s="227"/>
      <c r="GFC1721" s="227"/>
      <c r="GFD1721" s="227"/>
      <c r="GFE1721" s="227"/>
      <c r="GFF1721" s="227"/>
      <c r="GFG1721" s="227"/>
      <c r="GFH1721" s="227"/>
      <c r="GFI1721" s="227"/>
      <c r="GFJ1721" s="227"/>
      <c r="GFK1721" s="227"/>
      <c r="GFL1721" s="227"/>
      <c r="GFM1721" s="227"/>
      <c r="GFN1721" s="227"/>
      <c r="GFO1721" s="227"/>
      <c r="GFP1721" s="227"/>
      <c r="GFQ1721" s="227"/>
      <c r="GFR1721" s="227"/>
      <c r="GFS1721" s="227"/>
      <c r="GFT1721" s="227"/>
      <c r="GFU1721" s="227"/>
      <c r="GFV1721" s="227"/>
      <c r="GFW1721" s="227"/>
      <c r="GFX1721" s="227"/>
      <c r="GFY1721" s="227"/>
      <c r="GFZ1721" s="227"/>
      <c r="GGA1721" s="227"/>
      <c r="GGB1721" s="227"/>
      <c r="GGC1721" s="227"/>
      <c r="GGD1721" s="227"/>
      <c r="GGE1721" s="227"/>
      <c r="GGF1721" s="227"/>
      <c r="GGG1721" s="227"/>
      <c r="GGH1721" s="227"/>
      <c r="GGI1721" s="227"/>
      <c r="GGJ1721" s="227"/>
      <c r="GGK1721" s="227"/>
      <c r="GGL1721" s="227"/>
      <c r="GGM1721" s="227"/>
      <c r="GGN1721" s="227"/>
      <c r="GGO1721" s="227"/>
      <c r="GGP1721" s="227"/>
      <c r="GGQ1721" s="227"/>
      <c r="GGR1721" s="227"/>
      <c r="GGS1721" s="227"/>
      <c r="GGT1721" s="227"/>
      <c r="GGU1721" s="227"/>
      <c r="GGV1721" s="227"/>
      <c r="GGW1721" s="227"/>
      <c r="GGX1721" s="227"/>
      <c r="GGY1721" s="227"/>
      <c r="GGZ1721" s="227"/>
      <c r="GHA1721" s="227"/>
      <c r="GHB1721" s="227"/>
      <c r="GHC1721" s="227"/>
      <c r="GHD1721" s="227"/>
      <c r="GHE1721" s="227"/>
      <c r="GHF1721" s="227"/>
      <c r="GHG1721" s="227"/>
      <c r="GHH1721" s="227"/>
      <c r="GHI1721" s="227"/>
      <c r="GHJ1721" s="227"/>
      <c r="GHK1721" s="227"/>
      <c r="GHL1721" s="227"/>
      <c r="GHM1721" s="227"/>
      <c r="GHN1721" s="227"/>
      <c r="GHO1721" s="227"/>
      <c r="GHP1721" s="227"/>
      <c r="GHQ1721" s="227"/>
      <c r="GHR1721" s="227"/>
      <c r="GHS1721" s="227"/>
      <c r="GHT1721" s="227"/>
      <c r="GHU1721" s="227"/>
      <c r="GHV1721" s="227"/>
      <c r="GHW1721" s="227"/>
      <c r="GHX1721" s="227"/>
      <c r="GHY1721" s="227"/>
      <c r="GHZ1721" s="227"/>
      <c r="GIA1721" s="227"/>
      <c r="GIB1721" s="227"/>
      <c r="GIC1721" s="227"/>
      <c r="GID1721" s="227"/>
      <c r="GIE1721" s="227"/>
      <c r="GIF1721" s="227"/>
      <c r="GIG1721" s="227"/>
      <c r="GIH1721" s="227"/>
      <c r="GII1721" s="227"/>
      <c r="GIJ1721" s="227"/>
      <c r="GIK1721" s="227"/>
      <c r="GIL1721" s="227"/>
      <c r="GIM1721" s="227"/>
      <c r="GIN1721" s="227"/>
      <c r="GIO1721" s="227"/>
      <c r="GIP1721" s="227"/>
      <c r="GIQ1721" s="227"/>
      <c r="GIR1721" s="227"/>
      <c r="GIS1721" s="227"/>
      <c r="GIT1721" s="227"/>
      <c r="GIU1721" s="227"/>
      <c r="GIV1721" s="227"/>
      <c r="GIW1721" s="227"/>
      <c r="GIX1721" s="227"/>
      <c r="GIY1721" s="227"/>
      <c r="GIZ1721" s="227"/>
      <c r="GJA1721" s="227"/>
      <c r="GJB1721" s="227"/>
      <c r="GJC1721" s="227"/>
      <c r="GJD1721" s="227"/>
      <c r="GJE1721" s="227"/>
      <c r="GJF1721" s="227"/>
      <c r="GJG1721" s="227"/>
      <c r="GJH1721" s="227"/>
      <c r="GJI1721" s="227"/>
      <c r="GJJ1721" s="227"/>
      <c r="GJK1721" s="227"/>
      <c r="GJL1721" s="227"/>
      <c r="GJM1721" s="227"/>
      <c r="GJN1721" s="227"/>
      <c r="GJO1721" s="227"/>
      <c r="GJP1721" s="227"/>
      <c r="GJQ1721" s="227"/>
      <c r="GJR1721" s="227"/>
      <c r="GJS1721" s="227"/>
      <c r="GJT1721" s="227"/>
      <c r="GJU1721" s="227"/>
      <c r="GJV1721" s="227"/>
      <c r="GJW1721" s="227"/>
      <c r="GJX1721" s="227"/>
      <c r="GJY1721" s="227"/>
      <c r="GJZ1721" s="227"/>
      <c r="GKA1721" s="227"/>
      <c r="GKB1721" s="227"/>
      <c r="GKC1721" s="227"/>
      <c r="GKD1721" s="227"/>
      <c r="GKE1721" s="227"/>
      <c r="GKF1721" s="227"/>
      <c r="GKG1721" s="227"/>
      <c r="GKH1721" s="227"/>
      <c r="GKI1721" s="227"/>
      <c r="GKJ1721" s="227"/>
      <c r="GKK1721" s="227"/>
      <c r="GKL1721" s="227"/>
      <c r="GKM1721" s="227"/>
      <c r="GKN1721" s="227"/>
      <c r="GKO1721" s="227"/>
      <c r="GKP1721" s="227"/>
      <c r="GKQ1721" s="227"/>
      <c r="GKR1721" s="227"/>
      <c r="GKS1721" s="227"/>
      <c r="GKT1721" s="227"/>
      <c r="GKU1721" s="227"/>
      <c r="GKV1721" s="227"/>
      <c r="GKW1721" s="227"/>
      <c r="GKX1721" s="227"/>
      <c r="GKY1721" s="227"/>
      <c r="GKZ1721" s="227"/>
      <c r="GLA1721" s="227"/>
      <c r="GLB1721" s="227"/>
      <c r="GLC1721" s="227"/>
      <c r="GLD1721" s="227"/>
      <c r="GLE1721" s="227"/>
      <c r="GLF1721" s="227"/>
      <c r="GLG1721" s="227"/>
      <c r="GLH1721" s="227"/>
      <c r="GLI1721" s="227"/>
      <c r="GLJ1721" s="227"/>
      <c r="GLK1721" s="227"/>
      <c r="GLL1721" s="227"/>
      <c r="GLM1721" s="227"/>
      <c r="GLN1721" s="227"/>
      <c r="GLO1721" s="227"/>
      <c r="GLP1721" s="227"/>
      <c r="GLQ1721" s="227"/>
      <c r="GLR1721" s="227"/>
      <c r="GLS1721" s="227"/>
      <c r="GLT1721" s="227"/>
      <c r="GLU1721" s="227"/>
      <c r="GLV1721" s="227"/>
      <c r="GLW1721" s="227"/>
      <c r="GLX1721" s="227"/>
      <c r="GLY1721" s="227"/>
      <c r="GLZ1721" s="227"/>
      <c r="GMA1721" s="227"/>
      <c r="GMB1721" s="227"/>
      <c r="GMC1721" s="227"/>
      <c r="GMD1721" s="227"/>
      <c r="GME1721" s="227"/>
      <c r="GMF1721" s="227"/>
      <c r="GMG1721" s="227"/>
      <c r="GMH1721" s="227"/>
      <c r="GMI1721" s="227"/>
      <c r="GMJ1721" s="227"/>
      <c r="GMK1721" s="227"/>
      <c r="GML1721" s="227"/>
      <c r="GMM1721" s="227"/>
      <c r="GMN1721" s="227"/>
      <c r="GMO1721" s="227"/>
      <c r="GMP1721" s="227"/>
      <c r="GMQ1721" s="227"/>
      <c r="GMR1721" s="227"/>
      <c r="GMS1721" s="227"/>
      <c r="GMT1721" s="227"/>
      <c r="GMU1721" s="227"/>
      <c r="GMV1721" s="227"/>
      <c r="GMW1721" s="227"/>
      <c r="GMX1721" s="227"/>
      <c r="GMY1721" s="227"/>
      <c r="GMZ1721" s="227"/>
      <c r="GNA1721" s="227"/>
      <c r="GNB1721" s="227"/>
      <c r="GNC1721" s="227"/>
      <c r="GND1721" s="227"/>
      <c r="GNE1721" s="227"/>
      <c r="GNF1721" s="227"/>
      <c r="GNG1721" s="227"/>
      <c r="GNH1721" s="227"/>
      <c r="GNI1721" s="227"/>
      <c r="GNJ1721" s="227"/>
      <c r="GNK1721" s="227"/>
      <c r="GNL1721" s="227"/>
      <c r="GNM1721" s="227"/>
      <c r="GNN1721" s="227"/>
      <c r="GNO1721" s="227"/>
      <c r="GNP1721" s="227"/>
      <c r="GNQ1721" s="227"/>
      <c r="GNR1721" s="227"/>
      <c r="GNS1721" s="227"/>
      <c r="GNT1721" s="227"/>
      <c r="GNU1721" s="227"/>
      <c r="GNV1721" s="227"/>
      <c r="GNW1721" s="227"/>
      <c r="GNX1721" s="227"/>
      <c r="GNY1721" s="227"/>
      <c r="GNZ1721" s="227"/>
      <c r="GOA1721" s="227"/>
      <c r="GOB1721" s="227"/>
      <c r="GOC1721" s="227"/>
      <c r="GOD1721" s="227"/>
      <c r="GOE1721" s="227"/>
      <c r="GOF1721" s="227"/>
      <c r="GOG1721" s="227"/>
      <c r="GOH1721" s="227"/>
      <c r="GOI1721" s="227"/>
      <c r="GOJ1721" s="227"/>
      <c r="GOK1721" s="227"/>
      <c r="GOL1721" s="227"/>
      <c r="GOM1721" s="227"/>
      <c r="GON1721" s="227"/>
      <c r="GOO1721" s="227"/>
      <c r="GOP1721" s="227"/>
      <c r="GOQ1721" s="227"/>
      <c r="GOR1721" s="227"/>
      <c r="GOS1721" s="227"/>
      <c r="GOT1721" s="227"/>
      <c r="GOU1721" s="227"/>
      <c r="GOV1721" s="227"/>
      <c r="GOW1721" s="227"/>
      <c r="GOX1721" s="227"/>
      <c r="GOY1721" s="227"/>
      <c r="GOZ1721" s="227"/>
      <c r="GPA1721" s="227"/>
      <c r="GPB1721" s="227"/>
      <c r="GPC1721" s="227"/>
      <c r="GPD1721" s="227"/>
      <c r="GPE1721" s="227"/>
      <c r="GPF1721" s="227"/>
      <c r="GPG1721" s="227"/>
      <c r="GPH1721" s="227"/>
      <c r="GPI1721" s="227"/>
      <c r="GPJ1721" s="227"/>
      <c r="GPK1721" s="227"/>
      <c r="GPL1721" s="227"/>
      <c r="GPM1721" s="227"/>
      <c r="GPN1721" s="227"/>
      <c r="GPO1721" s="227"/>
      <c r="GPP1721" s="227"/>
      <c r="GPQ1721" s="227"/>
      <c r="GPR1721" s="227"/>
      <c r="GPS1721" s="227"/>
      <c r="GPT1721" s="227"/>
      <c r="GPU1721" s="227"/>
      <c r="GPV1721" s="227"/>
      <c r="GPW1721" s="227"/>
      <c r="GPX1721" s="227"/>
      <c r="GPY1721" s="227"/>
      <c r="GPZ1721" s="227"/>
      <c r="GQA1721" s="227"/>
      <c r="GQB1721" s="227"/>
      <c r="GQC1721" s="227"/>
      <c r="GQD1721" s="227"/>
      <c r="GQE1721" s="227"/>
      <c r="GQF1721" s="227"/>
      <c r="GQG1721" s="227"/>
      <c r="GQH1721" s="227"/>
      <c r="GQI1721" s="227"/>
      <c r="GQJ1721" s="227"/>
      <c r="GQK1721" s="227"/>
      <c r="GQL1721" s="227"/>
      <c r="GQM1721" s="227"/>
      <c r="GQN1721" s="227"/>
      <c r="GQO1721" s="227"/>
      <c r="GQP1721" s="227"/>
      <c r="GQQ1721" s="227"/>
      <c r="GQR1721" s="227"/>
      <c r="GQS1721" s="227"/>
      <c r="GQT1721" s="227"/>
      <c r="GQU1721" s="227"/>
      <c r="GQV1721" s="227"/>
      <c r="GQW1721" s="227"/>
      <c r="GQX1721" s="227"/>
      <c r="GQY1721" s="227"/>
      <c r="GQZ1721" s="227"/>
      <c r="GRA1721" s="227"/>
      <c r="GRB1721" s="227"/>
      <c r="GRC1721" s="227"/>
      <c r="GRD1721" s="227"/>
      <c r="GRE1721" s="227"/>
      <c r="GRF1721" s="227"/>
      <c r="GRG1721" s="227"/>
      <c r="GRH1721" s="227"/>
      <c r="GRI1721" s="227"/>
      <c r="GRJ1721" s="227"/>
      <c r="GRK1721" s="227"/>
      <c r="GRL1721" s="227"/>
      <c r="GRM1721" s="227"/>
      <c r="GRN1721" s="227"/>
      <c r="GRO1721" s="227"/>
      <c r="GRP1721" s="227"/>
      <c r="GRQ1721" s="227"/>
      <c r="GRR1721" s="227"/>
      <c r="GRS1721" s="227"/>
      <c r="GRT1721" s="227"/>
      <c r="GRU1721" s="227"/>
      <c r="GRV1721" s="227"/>
      <c r="GRW1721" s="227"/>
      <c r="GRX1721" s="227"/>
      <c r="GRY1721" s="227"/>
      <c r="GRZ1721" s="227"/>
      <c r="GSA1721" s="227"/>
      <c r="GSB1721" s="227"/>
      <c r="GSC1721" s="227"/>
      <c r="GSD1721" s="227"/>
      <c r="GSE1721" s="227"/>
      <c r="GSF1721" s="227"/>
      <c r="GSG1721" s="227"/>
      <c r="GSH1721" s="227"/>
      <c r="GSI1721" s="227"/>
      <c r="GSJ1721" s="227"/>
      <c r="GSK1721" s="227"/>
      <c r="GSL1721" s="227"/>
      <c r="GSM1721" s="227"/>
      <c r="GSN1721" s="227"/>
      <c r="GSO1721" s="227"/>
      <c r="GSP1721" s="227"/>
      <c r="GSQ1721" s="227"/>
      <c r="GSR1721" s="227"/>
      <c r="GSS1721" s="227"/>
      <c r="GST1721" s="227"/>
      <c r="GSU1721" s="227"/>
      <c r="GSV1721" s="227"/>
      <c r="GSW1721" s="227"/>
      <c r="GSX1721" s="227"/>
      <c r="GSY1721" s="227"/>
      <c r="GSZ1721" s="227"/>
      <c r="GTA1721" s="227"/>
      <c r="GTB1721" s="227"/>
      <c r="GTC1721" s="227"/>
      <c r="GTD1721" s="227"/>
      <c r="GTE1721" s="227"/>
      <c r="GTF1721" s="227"/>
      <c r="GTG1721" s="227"/>
      <c r="GTH1721" s="227"/>
      <c r="GTI1721" s="227"/>
      <c r="GTJ1721" s="227"/>
      <c r="GTK1721" s="227"/>
      <c r="GTL1721" s="227"/>
      <c r="GTM1721" s="227"/>
      <c r="GTN1721" s="227"/>
      <c r="GTO1721" s="227"/>
      <c r="GTP1721" s="227"/>
      <c r="GTQ1721" s="227"/>
      <c r="GTR1721" s="227"/>
      <c r="GTS1721" s="227"/>
      <c r="GTT1721" s="227"/>
      <c r="GTU1721" s="227"/>
      <c r="GTV1721" s="227"/>
      <c r="GTW1721" s="227"/>
      <c r="GTX1721" s="227"/>
      <c r="GTY1721" s="227"/>
      <c r="GTZ1721" s="227"/>
      <c r="GUA1721" s="227"/>
      <c r="GUB1721" s="227"/>
      <c r="GUC1721" s="227"/>
      <c r="GUD1721" s="227"/>
      <c r="GUE1721" s="227"/>
      <c r="GUF1721" s="227"/>
      <c r="GUG1721" s="227"/>
      <c r="GUH1721" s="227"/>
      <c r="GUI1721" s="227"/>
      <c r="GUJ1721" s="227"/>
      <c r="GUK1721" s="227"/>
      <c r="GUL1721" s="227"/>
      <c r="GUM1721" s="227"/>
      <c r="GUN1721" s="227"/>
      <c r="GUO1721" s="227"/>
      <c r="GUP1721" s="227"/>
      <c r="GUQ1721" s="227"/>
      <c r="GUR1721" s="227"/>
      <c r="GUS1721" s="227"/>
      <c r="GUT1721" s="227"/>
      <c r="GUU1721" s="227"/>
      <c r="GUV1721" s="227"/>
      <c r="GUW1721" s="227"/>
      <c r="GUX1721" s="227"/>
      <c r="GUY1721" s="227"/>
      <c r="GUZ1721" s="227"/>
      <c r="GVA1721" s="227"/>
      <c r="GVB1721" s="227"/>
      <c r="GVC1721" s="227"/>
      <c r="GVD1721" s="227"/>
      <c r="GVE1721" s="227"/>
      <c r="GVF1721" s="227"/>
      <c r="GVG1721" s="227"/>
      <c r="GVH1721" s="227"/>
      <c r="GVI1721" s="227"/>
      <c r="GVJ1721" s="227"/>
      <c r="GVK1721" s="227"/>
      <c r="GVL1721" s="227"/>
      <c r="GVM1721" s="227"/>
      <c r="GVN1721" s="227"/>
      <c r="GVO1721" s="227"/>
      <c r="GVP1721" s="227"/>
      <c r="GVQ1721" s="227"/>
      <c r="GVR1721" s="227"/>
      <c r="GVS1721" s="227"/>
      <c r="GVT1721" s="227"/>
      <c r="GVU1721" s="227"/>
      <c r="GVV1721" s="227"/>
      <c r="GVW1721" s="227"/>
      <c r="GVX1721" s="227"/>
      <c r="GVY1721" s="227"/>
      <c r="GVZ1721" s="227"/>
      <c r="GWA1721" s="227"/>
      <c r="GWB1721" s="227"/>
      <c r="GWC1721" s="227"/>
      <c r="GWD1721" s="227"/>
      <c r="GWE1721" s="227"/>
      <c r="GWF1721" s="227"/>
      <c r="GWG1721" s="227"/>
      <c r="GWH1721" s="227"/>
      <c r="GWI1721" s="227"/>
      <c r="GWJ1721" s="227"/>
      <c r="GWK1721" s="227"/>
      <c r="GWL1721" s="227"/>
      <c r="GWM1721" s="227"/>
      <c r="GWN1721" s="227"/>
      <c r="GWO1721" s="227"/>
      <c r="GWP1721" s="227"/>
      <c r="GWQ1721" s="227"/>
      <c r="GWR1721" s="227"/>
      <c r="GWS1721" s="227"/>
      <c r="GWT1721" s="227"/>
      <c r="GWU1721" s="227"/>
      <c r="GWV1721" s="227"/>
      <c r="GWW1721" s="227"/>
      <c r="GWX1721" s="227"/>
      <c r="GWY1721" s="227"/>
      <c r="GWZ1721" s="227"/>
      <c r="GXA1721" s="227"/>
      <c r="GXB1721" s="227"/>
      <c r="GXC1721" s="227"/>
      <c r="GXD1721" s="227"/>
      <c r="GXE1721" s="227"/>
      <c r="GXF1721" s="227"/>
      <c r="GXG1721" s="227"/>
      <c r="GXH1721" s="227"/>
      <c r="GXI1721" s="227"/>
      <c r="GXJ1721" s="227"/>
      <c r="GXK1721" s="227"/>
      <c r="GXL1721" s="227"/>
      <c r="GXM1721" s="227"/>
      <c r="GXN1721" s="227"/>
      <c r="GXO1721" s="227"/>
      <c r="GXP1721" s="227"/>
      <c r="GXQ1721" s="227"/>
      <c r="GXR1721" s="227"/>
      <c r="GXS1721" s="227"/>
      <c r="GXT1721" s="227"/>
      <c r="GXU1721" s="227"/>
      <c r="GXV1721" s="227"/>
      <c r="GXW1721" s="227"/>
      <c r="GXX1721" s="227"/>
      <c r="GXY1721" s="227"/>
      <c r="GXZ1721" s="227"/>
      <c r="GYA1721" s="227"/>
      <c r="GYB1721" s="227"/>
      <c r="GYC1721" s="227"/>
      <c r="GYD1721" s="227"/>
      <c r="GYE1721" s="227"/>
      <c r="GYF1721" s="227"/>
      <c r="GYG1721" s="227"/>
      <c r="GYH1721" s="227"/>
      <c r="GYI1721" s="227"/>
      <c r="GYJ1721" s="227"/>
      <c r="GYK1721" s="227"/>
      <c r="GYL1721" s="227"/>
      <c r="GYM1721" s="227"/>
      <c r="GYN1721" s="227"/>
      <c r="GYO1721" s="227"/>
      <c r="GYP1721" s="227"/>
      <c r="GYQ1721" s="227"/>
      <c r="GYR1721" s="227"/>
      <c r="GYS1721" s="227"/>
      <c r="GYT1721" s="227"/>
      <c r="GYU1721" s="227"/>
      <c r="GYV1721" s="227"/>
      <c r="GYW1721" s="227"/>
      <c r="GYX1721" s="227"/>
      <c r="GYY1721" s="227"/>
      <c r="GYZ1721" s="227"/>
      <c r="GZA1721" s="227"/>
      <c r="GZB1721" s="227"/>
      <c r="GZC1721" s="227"/>
      <c r="GZD1721" s="227"/>
      <c r="GZE1721" s="227"/>
      <c r="GZF1721" s="227"/>
      <c r="GZG1721" s="227"/>
      <c r="GZH1721" s="227"/>
      <c r="GZI1721" s="227"/>
      <c r="GZJ1721" s="227"/>
      <c r="GZK1721" s="227"/>
      <c r="GZL1721" s="227"/>
      <c r="GZM1721" s="227"/>
      <c r="GZN1721" s="227"/>
      <c r="GZO1721" s="227"/>
      <c r="GZP1721" s="227"/>
      <c r="GZQ1721" s="227"/>
      <c r="GZR1721" s="227"/>
      <c r="GZS1721" s="227"/>
      <c r="GZT1721" s="227"/>
      <c r="GZU1721" s="227"/>
      <c r="GZV1721" s="227"/>
      <c r="GZW1721" s="227"/>
      <c r="GZX1721" s="227"/>
      <c r="GZY1721" s="227"/>
      <c r="GZZ1721" s="227"/>
      <c r="HAA1721" s="227"/>
      <c r="HAB1721" s="227"/>
      <c r="HAC1721" s="227"/>
      <c r="HAD1721" s="227"/>
      <c r="HAE1721" s="227"/>
      <c r="HAF1721" s="227"/>
      <c r="HAG1721" s="227"/>
      <c r="HAH1721" s="227"/>
      <c r="HAI1721" s="227"/>
      <c r="HAJ1721" s="227"/>
      <c r="HAK1721" s="227"/>
      <c r="HAL1721" s="227"/>
      <c r="HAM1721" s="227"/>
      <c r="HAN1721" s="227"/>
      <c r="HAO1721" s="227"/>
      <c r="HAP1721" s="227"/>
      <c r="HAQ1721" s="227"/>
      <c r="HAR1721" s="227"/>
      <c r="HAS1721" s="227"/>
      <c r="HAT1721" s="227"/>
      <c r="HAU1721" s="227"/>
      <c r="HAV1721" s="227"/>
      <c r="HAW1721" s="227"/>
      <c r="HAX1721" s="227"/>
      <c r="HAY1721" s="227"/>
      <c r="HAZ1721" s="227"/>
      <c r="HBA1721" s="227"/>
      <c r="HBB1721" s="227"/>
      <c r="HBC1721" s="227"/>
      <c r="HBD1721" s="227"/>
      <c r="HBE1721" s="227"/>
      <c r="HBF1721" s="227"/>
      <c r="HBG1721" s="227"/>
      <c r="HBH1721" s="227"/>
      <c r="HBI1721" s="227"/>
      <c r="HBJ1721" s="227"/>
      <c r="HBK1721" s="227"/>
      <c r="HBL1721" s="227"/>
      <c r="HBM1721" s="227"/>
      <c r="HBN1721" s="227"/>
      <c r="HBO1721" s="227"/>
      <c r="HBP1721" s="227"/>
      <c r="HBQ1721" s="227"/>
      <c r="HBR1721" s="227"/>
      <c r="HBS1721" s="227"/>
      <c r="HBT1721" s="227"/>
      <c r="HBU1721" s="227"/>
      <c r="HBV1721" s="227"/>
      <c r="HBW1721" s="227"/>
      <c r="HBX1721" s="227"/>
      <c r="HBY1721" s="227"/>
      <c r="HBZ1721" s="227"/>
      <c r="HCA1721" s="227"/>
      <c r="HCB1721" s="227"/>
      <c r="HCC1721" s="227"/>
      <c r="HCD1721" s="227"/>
      <c r="HCE1721" s="227"/>
      <c r="HCF1721" s="227"/>
      <c r="HCG1721" s="227"/>
      <c r="HCH1721" s="227"/>
      <c r="HCI1721" s="227"/>
      <c r="HCJ1721" s="227"/>
      <c r="HCK1721" s="227"/>
      <c r="HCL1721" s="227"/>
      <c r="HCM1721" s="227"/>
      <c r="HCN1721" s="227"/>
      <c r="HCO1721" s="227"/>
      <c r="HCP1721" s="227"/>
      <c r="HCQ1721" s="227"/>
      <c r="HCR1721" s="227"/>
      <c r="HCS1721" s="227"/>
      <c r="HCT1721" s="227"/>
      <c r="HCU1721" s="227"/>
      <c r="HCV1721" s="227"/>
      <c r="HCW1721" s="227"/>
      <c r="HCX1721" s="227"/>
      <c r="HCY1721" s="227"/>
      <c r="HCZ1721" s="227"/>
      <c r="HDA1721" s="227"/>
      <c r="HDB1721" s="227"/>
      <c r="HDC1721" s="227"/>
      <c r="HDD1721" s="227"/>
      <c r="HDE1721" s="227"/>
      <c r="HDF1721" s="227"/>
      <c r="HDG1721" s="227"/>
      <c r="HDH1721" s="227"/>
      <c r="HDI1721" s="227"/>
      <c r="HDJ1721" s="227"/>
      <c r="HDK1721" s="227"/>
      <c r="HDL1721" s="227"/>
      <c r="HDM1721" s="227"/>
      <c r="HDN1721" s="227"/>
      <c r="HDO1721" s="227"/>
      <c r="HDP1721" s="227"/>
      <c r="HDQ1721" s="227"/>
      <c r="HDR1721" s="227"/>
      <c r="HDS1721" s="227"/>
      <c r="HDT1721" s="227"/>
      <c r="HDU1721" s="227"/>
      <c r="HDV1721" s="227"/>
      <c r="HDW1721" s="227"/>
      <c r="HDX1721" s="227"/>
      <c r="HDY1721" s="227"/>
      <c r="HDZ1721" s="227"/>
      <c r="HEA1721" s="227"/>
      <c r="HEB1721" s="227"/>
      <c r="HEC1721" s="227"/>
      <c r="HED1721" s="227"/>
      <c r="HEE1721" s="227"/>
      <c r="HEF1721" s="227"/>
      <c r="HEG1721" s="227"/>
      <c r="HEH1721" s="227"/>
      <c r="HEI1721" s="227"/>
      <c r="HEJ1721" s="227"/>
      <c r="HEK1721" s="227"/>
      <c r="HEL1721" s="227"/>
      <c r="HEM1721" s="227"/>
      <c r="HEN1721" s="227"/>
      <c r="HEO1721" s="227"/>
      <c r="HEP1721" s="227"/>
      <c r="HEQ1721" s="227"/>
      <c r="HER1721" s="227"/>
      <c r="HES1721" s="227"/>
      <c r="HET1721" s="227"/>
      <c r="HEU1721" s="227"/>
      <c r="HEV1721" s="227"/>
      <c r="HEW1721" s="227"/>
      <c r="HEX1721" s="227"/>
      <c r="HEY1721" s="227"/>
      <c r="HEZ1721" s="227"/>
      <c r="HFA1721" s="227"/>
      <c r="HFB1721" s="227"/>
      <c r="HFC1721" s="227"/>
      <c r="HFD1721" s="227"/>
      <c r="HFE1721" s="227"/>
      <c r="HFF1721" s="227"/>
      <c r="HFG1721" s="227"/>
      <c r="HFH1721" s="227"/>
      <c r="HFI1721" s="227"/>
      <c r="HFJ1721" s="227"/>
      <c r="HFK1721" s="227"/>
      <c r="HFL1721" s="227"/>
      <c r="HFM1721" s="227"/>
      <c r="HFN1721" s="227"/>
      <c r="HFO1721" s="227"/>
      <c r="HFP1721" s="227"/>
      <c r="HFQ1721" s="227"/>
      <c r="HFR1721" s="227"/>
      <c r="HFS1721" s="227"/>
      <c r="HFT1721" s="227"/>
      <c r="HFU1721" s="227"/>
      <c r="HFV1721" s="227"/>
      <c r="HFW1721" s="227"/>
      <c r="HFX1721" s="227"/>
      <c r="HFY1721" s="227"/>
      <c r="HFZ1721" s="227"/>
      <c r="HGA1721" s="227"/>
      <c r="HGB1721" s="227"/>
      <c r="HGC1721" s="227"/>
      <c r="HGD1721" s="227"/>
      <c r="HGE1721" s="227"/>
      <c r="HGF1721" s="227"/>
      <c r="HGG1721" s="227"/>
      <c r="HGH1721" s="227"/>
      <c r="HGI1721" s="227"/>
      <c r="HGJ1721" s="227"/>
      <c r="HGK1721" s="227"/>
      <c r="HGL1721" s="227"/>
      <c r="HGM1721" s="227"/>
      <c r="HGN1721" s="227"/>
      <c r="HGO1721" s="227"/>
      <c r="HGP1721" s="227"/>
      <c r="HGQ1721" s="227"/>
      <c r="HGR1721" s="227"/>
      <c r="HGS1721" s="227"/>
      <c r="HGT1721" s="227"/>
      <c r="HGU1721" s="227"/>
      <c r="HGV1721" s="227"/>
      <c r="HGW1721" s="227"/>
      <c r="HGX1721" s="227"/>
      <c r="HGY1721" s="227"/>
      <c r="HGZ1721" s="227"/>
      <c r="HHA1721" s="227"/>
      <c r="HHB1721" s="227"/>
      <c r="HHC1721" s="227"/>
      <c r="HHD1721" s="227"/>
      <c r="HHE1721" s="227"/>
      <c r="HHF1721" s="227"/>
      <c r="HHG1721" s="227"/>
      <c r="HHH1721" s="227"/>
      <c r="HHI1721" s="227"/>
      <c r="HHJ1721" s="227"/>
      <c r="HHK1721" s="227"/>
      <c r="HHL1721" s="227"/>
      <c r="HHM1721" s="227"/>
      <c r="HHN1721" s="227"/>
      <c r="HHO1721" s="227"/>
      <c r="HHP1721" s="227"/>
      <c r="HHQ1721" s="227"/>
      <c r="HHR1721" s="227"/>
      <c r="HHS1721" s="227"/>
      <c r="HHT1721" s="227"/>
      <c r="HHU1721" s="227"/>
      <c r="HHV1721" s="227"/>
      <c r="HHW1721" s="227"/>
      <c r="HHX1721" s="227"/>
      <c r="HHY1721" s="227"/>
      <c r="HHZ1721" s="227"/>
      <c r="HIA1721" s="227"/>
      <c r="HIB1721" s="227"/>
      <c r="HIC1721" s="227"/>
      <c r="HID1721" s="227"/>
      <c r="HIE1721" s="227"/>
      <c r="HIF1721" s="227"/>
      <c r="HIG1721" s="227"/>
      <c r="HIH1721" s="227"/>
      <c r="HII1721" s="227"/>
      <c r="HIJ1721" s="227"/>
      <c r="HIK1721" s="227"/>
      <c r="HIL1721" s="227"/>
      <c r="HIM1721" s="227"/>
      <c r="HIN1721" s="227"/>
      <c r="HIO1721" s="227"/>
      <c r="HIP1721" s="227"/>
      <c r="HIQ1721" s="227"/>
      <c r="HIR1721" s="227"/>
      <c r="HIS1721" s="227"/>
      <c r="HIT1721" s="227"/>
      <c r="HIU1721" s="227"/>
      <c r="HIV1721" s="227"/>
      <c r="HIW1721" s="227"/>
      <c r="HIX1721" s="227"/>
      <c r="HIY1721" s="227"/>
      <c r="HIZ1721" s="227"/>
      <c r="HJA1721" s="227"/>
      <c r="HJB1721" s="227"/>
      <c r="HJC1721" s="227"/>
      <c r="HJD1721" s="227"/>
      <c r="HJE1721" s="227"/>
      <c r="HJF1721" s="227"/>
      <c r="HJG1721" s="227"/>
      <c r="HJH1721" s="227"/>
      <c r="HJI1721" s="227"/>
      <c r="HJJ1721" s="227"/>
      <c r="HJK1721" s="227"/>
      <c r="HJL1721" s="227"/>
      <c r="HJM1721" s="227"/>
      <c r="HJN1721" s="227"/>
      <c r="HJO1721" s="227"/>
      <c r="HJP1721" s="227"/>
      <c r="HJQ1721" s="227"/>
      <c r="HJR1721" s="227"/>
      <c r="HJS1721" s="227"/>
      <c r="HJT1721" s="227"/>
      <c r="HJU1721" s="227"/>
      <c r="HJV1721" s="227"/>
      <c r="HJW1721" s="227"/>
      <c r="HJX1721" s="227"/>
      <c r="HJY1721" s="227"/>
      <c r="HJZ1721" s="227"/>
      <c r="HKA1721" s="227"/>
      <c r="HKB1721" s="227"/>
      <c r="HKC1721" s="227"/>
      <c r="HKD1721" s="227"/>
      <c r="HKE1721" s="227"/>
      <c r="HKF1721" s="227"/>
      <c r="HKG1721" s="227"/>
      <c r="HKH1721" s="227"/>
      <c r="HKI1721" s="227"/>
      <c r="HKJ1721" s="227"/>
      <c r="HKK1721" s="227"/>
      <c r="HKL1721" s="227"/>
      <c r="HKM1721" s="227"/>
      <c r="HKN1721" s="227"/>
      <c r="HKO1721" s="227"/>
      <c r="HKP1721" s="227"/>
      <c r="HKQ1721" s="227"/>
      <c r="HKR1721" s="227"/>
      <c r="HKS1721" s="227"/>
      <c r="HKT1721" s="227"/>
      <c r="HKU1721" s="227"/>
      <c r="HKV1721" s="227"/>
      <c r="HKW1721" s="227"/>
      <c r="HKX1721" s="227"/>
      <c r="HKY1721" s="227"/>
      <c r="HKZ1721" s="227"/>
      <c r="HLA1721" s="227"/>
      <c r="HLB1721" s="227"/>
      <c r="HLC1721" s="227"/>
      <c r="HLD1721" s="227"/>
      <c r="HLE1721" s="227"/>
      <c r="HLF1721" s="227"/>
      <c r="HLG1721" s="227"/>
      <c r="HLH1721" s="227"/>
      <c r="HLI1721" s="227"/>
      <c r="HLJ1721" s="227"/>
      <c r="HLK1721" s="227"/>
      <c r="HLL1721" s="227"/>
      <c r="HLM1721" s="227"/>
      <c r="HLN1721" s="227"/>
      <c r="HLO1721" s="227"/>
      <c r="HLP1721" s="227"/>
      <c r="HLQ1721" s="227"/>
      <c r="HLR1721" s="227"/>
      <c r="HLS1721" s="227"/>
      <c r="HLT1721" s="227"/>
      <c r="HLU1721" s="227"/>
      <c r="HLV1721" s="227"/>
      <c r="HLW1721" s="227"/>
      <c r="HLX1721" s="227"/>
      <c r="HLY1721" s="227"/>
      <c r="HLZ1721" s="227"/>
      <c r="HMA1721" s="227"/>
      <c r="HMB1721" s="227"/>
      <c r="HMC1721" s="227"/>
      <c r="HMD1721" s="227"/>
      <c r="HME1721" s="227"/>
      <c r="HMF1721" s="227"/>
      <c r="HMG1721" s="227"/>
      <c r="HMH1721" s="227"/>
      <c r="HMI1721" s="227"/>
      <c r="HMJ1721" s="227"/>
      <c r="HMK1721" s="227"/>
      <c r="HML1721" s="227"/>
      <c r="HMM1721" s="227"/>
      <c r="HMN1721" s="227"/>
      <c r="HMO1721" s="227"/>
      <c r="HMP1721" s="227"/>
      <c r="HMQ1721" s="227"/>
      <c r="HMR1721" s="227"/>
      <c r="HMS1721" s="227"/>
      <c r="HMT1721" s="227"/>
      <c r="HMU1721" s="227"/>
      <c r="HMV1721" s="227"/>
      <c r="HMW1721" s="227"/>
      <c r="HMX1721" s="227"/>
      <c r="HMY1721" s="227"/>
      <c r="HMZ1721" s="227"/>
      <c r="HNA1721" s="227"/>
      <c r="HNB1721" s="227"/>
      <c r="HNC1721" s="227"/>
      <c r="HND1721" s="227"/>
      <c r="HNE1721" s="227"/>
      <c r="HNF1721" s="227"/>
      <c r="HNG1721" s="227"/>
      <c r="HNH1721" s="227"/>
      <c r="HNI1721" s="227"/>
      <c r="HNJ1721" s="227"/>
      <c r="HNK1721" s="227"/>
      <c r="HNL1721" s="227"/>
      <c r="HNM1721" s="227"/>
      <c r="HNN1721" s="227"/>
      <c r="HNO1721" s="227"/>
      <c r="HNP1721" s="227"/>
      <c r="HNQ1721" s="227"/>
      <c r="HNR1721" s="227"/>
      <c r="HNS1721" s="227"/>
      <c r="HNT1721" s="227"/>
      <c r="HNU1721" s="227"/>
      <c r="HNV1721" s="227"/>
      <c r="HNW1721" s="227"/>
      <c r="HNX1721" s="227"/>
      <c r="HNY1721" s="227"/>
      <c r="HNZ1721" s="227"/>
      <c r="HOA1721" s="227"/>
      <c r="HOB1721" s="227"/>
      <c r="HOC1721" s="227"/>
      <c r="HOD1721" s="227"/>
      <c r="HOE1721" s="227"/>
      <c r="HOF1721" s="227"/>
      <c r="HOG1721" s="227"/>
      <c r="HOH1721" s="227"/>
      <c r="HOI1721" s="227"/>
      <c r="HOJ1721" s="227"/>
      <c r="HOK1721" s="227"/>
      <c r="HOL1721" s="227"/>
      <c r="HOM1721" s="227"/>
      <c r="HON1721" s="227"/>
      <c r="HOO1721" s="227"/>
      <c r="HOP1721" s="227"/>
      <c r="HOQ1721" s="227"/>
      <c r="HOR1721" s="227"/>
      <c r="HOS1721" s="227"/>
      <c r="HOT1721" s="227"/>
      <c r="HOU1721" s="227"/>
      <c r="HOV1721" s="227"/>
      <c r="HOW1721" s="227"/>
      <c r="HOX1721" s="227"/>
      <c r="HOY1721" s="227"/>
      <c r="HOZ1721" s="227"/>
      <c r="HPA1721" s="227"/>
      <c r="HPB1721" s="227"/>
      <c r="HPC1721" s="227"/>
      <c r="HPD1721" s="227"/>
      <c r="HPE1721" s="227"/>
      <c r="HPF1721" s="227"/>
      <c r="HPG1721" s="227"/>
      <c r="HPH1721" s="227"/>
      <c r="HPI1721" s="227"/>
      <c r="HPJ1721" s="227"/>
      <c r="HPK1721" s="227"/>
      <c r="HPL1721" s="227"/>
      <c r="HPM1721" s="227"/>
      <c r="HPN1721" s="227"/>
      <c r="HPO1721" s="227"/>
      <c r="HPP1721" s="227"/>
      <c r="HPQ1721" s="227"/>
      <c r="HPR1721" s="227"/>
      <c r="HPS1721" s="227"/>
      <c r="HPT1721" s="227"/>
      <c r="HPU1721" s="227"/>
      <c r="HPV1721" s="227"/>
      <c r="HPW1721" s="227"/>
      <c r="HPX1721" s="227"/>
      <c r="HPY1721" s="227"/>
      <c r="HPZ1721" s="227"/>
      <c r="HQA1721" s="227"/>
      <c r="HQB1721" s="227"/>
      <c r="HQC1721" s="227"/>
      <c r="HQD1721" s="227"/>
      <c r="HQE1721" s="227"/>
      <c r="HQF1721" s="227"/>
      <c r="HQG1721" s="227"/>
      <c r="HQH1721" s="227"/>
      <c r="HQI1721" s="227"/>
      <c r="HQJ1721" s="227"/>
      <c r="HQK1721" s="227"/>
      <c r="HQL1721" s="227"/>
      <c r="HQM1721" s="227"/>
      <c r="HQN1721" s="227"/>
      <c r="HQO1721" s="227"/>
      <c r="HQP1721" s="227"/>
      <c r="HQQ1721" s="227"/>
      <c r="HQR1721" s="227"/>
      <c r="HQS1721" s="227"/>
      <c r="HQT1721" s="227"/>
      <c r="HQU1721" s="227"/>
      <c r="HQV1721" s="227"/>
      <c r="HQW1721" s="227"/>
      <c r="HQX1721" s="227"/>
      <c r="HQY1721" s="227"/>
      <c r="HQZ1721" s="227"/>
      <c r="HRA1721" s="227"/>
      <c r="HRB1721" s="227"/>
      <c r="HRC1721" s="227"/>
      <c r="HRD1721" s="227"/>
      <c r="HRE1721" s="227"/>
      <c r="HRF1721" s="227"/>
      <c r="HRG1721" s="227"/>
      <c r="HRH1721" s="227"/>
      <c r="HRI1721" s="227"/>
      <c r="HRJ1721" s="227"/>
      <c r="HRK1721" s="227"/>
      <c r="HRL1721" s="227"/>
      <c r="HRM1721" s="227"/>
      <c r="HRN1721" s="227"/>
      <c r="HRO1721" s="227"/>
      <c r="HRP1721" s="227"/>
      <c r="HRQ1721" s="227"/>
      <c r="HRR1721" s="227"/>
      <c r="HRS1721" s="227"/>
      <c r="HRT1721" s="227"/>
      <c r="HRU1721" s="227"/>
      <c r="HRV1721" s="227"/>
      <c r="HRW1721" s="227"/>
      <c r="HRX1721" s="227"/>
      <c r="HRY1721" s="227"/>
      <c r="HRZ1721" s="227"/>
      <c r="HSA1721" s="227"/>
      <c r="HSB1721" s="227"/>
      <c r="HSC1721" s="227"/>
      <c r="HSD1721" s="227"/>
      <c r="HSE1721" s="227"/>
      <c r="HSF1721" s="227"/>
      <c r="HSG1721" s="227"/>
      <c r="HSH1721" s="227"/>
      <c r="HSI1721" s="227"/>
      <c r="HSJ1721" s="227"/>
      <c r="HSK1721" s="227"/>
      <c r="HSL1721" s="227"/>
      <c r="HSM1721" s="227"/>
      <c r="HSN1721" s="227"/>
      <c r="HSO1721" s="227"/>
      <c r="HSP1721" s="227"/>
      <c r="HSQ1721" s="227"/>
      <c r="HSR1721" s="227"/>
      <c r="HSS1721" s="227"/>
      <c r="HST1721" s="227"/>
      <c r="HSU1721" s="227"/>
      <c r="HSV1721" s="227"/>
      <c r="HSW1721" s="227"/>
      <c r="HSX1721" s="227"/>
      <c r="HSY1721" s="227"/>
      <c r="HSZ1721" s="227"/>
      <c r="HTA1721" s="227"/>
      <c r="HTB1721" s="227"/>
      <c r="HTC1721" s="227"/>
      <c r="HTD1721" s="227"/>
      <c r="HTE1721" s="227"/>
      <c r="HTF1721" s="227"/>
      <c r="HTG1721" s="227"/>
      <c r="HTH1721" s="227"/>
      <c r="HTI1721" s="227"/>
      <c r="HTJ1721" s="227"/>
      <c r="HTK1721" s="227"/>
      <c r="HTL1721" s="227"/>
      <c r="HTM1721" s="227"/>
      <c r="HTN1721" s="227"/>
      <c r="HTO1721" s="227"/>
      <c r="HTP1721" s="227"/>
      <c r="HTQ1721" s="227"/>
      <c r="HTR1721" s="227"/>
      <c r="HTS1721" s="227"/>
      <c r="HTT1721" s="227"/>
      <c r="HTU1721" s="227"/>
      <c r="HTV1721" s="227"/>
      <c r="HTW1721" s="227"/>
      <c r="HTX1721" s="227"/>
      <c r="HTY1721" s="227"/>
      <c r="HTZ1721" s="227"/>
      <c r="HUA1721" s="227"/>
      <c r="HUB1721" s="227"/>
      <c r="HUC1721" s="227"/>
      <c r="HUD1721" s="227"/>
      <c r="HUE1721" s="227"/>
      <c r="HUF1721" s="227"/>
      <c r="HUG1721" s="227"/>
      <c r="HUH1721" s="227"/>
      <c r="HUI1721" s="227"/>
      <c r="HUJ1721" s="227"/>
      <c r="HUK1721" s="227"/>
      <c r="HUL1721" s="227"/>
      <c r="HUM1721" s="227"/>
      <c r="HUN1721" s="227"/>
      <c r="HUO1721" s="227"/>
      <c r="HUP1721" s="227"/>
      <c r="HUQ1721" s="227"/>
      <c r="HUR1721" s="227"/>
      <c r="HUS1721" s="227"/>
      <c r="HUT1721" s="227"/>
      <c r="HUU1721" s="227"/>
      <c r="HUV1721" s="227"/>
      <c r="HUW1721" s="227"/>
      <c r="HUX1721" s="227"/>
      <c r="HUY1721" s="227"/>
      <c r="HUZ1721" s="227"/>
      <c r="HVA1721" s="227"/>
      <c r="HVB1721" s="227"/>
      <c r="HVC1721" s="227"/>
      <c r="HVD1721" s="227"/>
      <c r="HVE1721" s="227"/>
      <c r="HVF1721" s="227"/>
      <c r="HVG1721" s="227"/>
      <c r="HVH1721" s="227"/>
      <c r="HVI1721" s="227"/>
      <c r="HVJ1721" s="227"/>
      <c r="HVK1721" s="227"/>
      <c r="HVL1721" s="227"/>
      <c r="HVM1721" s="227"/>
      <c r="HVN1721" s="227"/>
      <c r="HVO1721" s="227"/>
      <c r="HVP1721" s="227"/>
      <c r="HVQ1721" s="227"/>
      <c r="HVR1721" s="227"/>
      <c r="HVS1721" s="227"/>
      <c r="HVT1721" s="227"/>
      <c r="HVU1721" s="227"/>
      <c r="HVV1721" s="227"/>
      <c r="HVW1721" s="227"/>
      <c r="HVX1721" s="227"/>
      <c r="HVY1721" s="227"/>
      <c r="HVZ1721" s="227"/>
      <c r="HWA1721" s="227"/>
      <c r="HWB1721" s="227"/>
      <c r="HWC1721" s="227"/>
      <c r="HWD1721" s="227"/>
      <c r="HWE1721" s="227"/>
      <c r="HWF1721" s="227"/>
      <c r="HWG1721" s="227"/>
      <c r="HWH1721" s="227"/>
      <c r="HWI1721" s="227"/>
      <c r="HWJ1721" s="227"/>
      <c r="HWK1721" s="227"/>
      <c r="HWL1721" s="227"/>
      <c r="HWM1721" s="227"/>
      <c r="HWN1721" s="227"/>
      <c r="HWO1721" s="227"/>
      <c r="HWP1721" s="227"/>
      <c r="HWQ1721" s="227"/>
      <c r="HWR1721" s="227"/>
      <c r="HWS1721" s="227"/>
      <c r="HWT1721" s="227"/>
      <c r="HWU1721" s="227"/>
      <c r="HWV1721" s="227"/>
      <c r="HWW1721" s="227"/>
      <c r="HWX1721" s="227"/>
      <c r="HWY1721" s="227"/>
      <c r="HWZ1721" s="227"/>
      <c r="HXA1721" s="227"/>
      <c r="HXB1721" s="227"/>
      <c r="HXC1721" s="227"/>
      <c r="HXD1721" s="227"/>
      <c r="HXE1721" s="227"/>
      <c r="HXF1721" s="227"/>
      <c r="HXG1721" s="227"/>
      <c r="HXH1721" s="227"/>
      <c r="HXI1721" s="227"/>
      <c r="HXJ1721" s="227"/>
      <c r="HXK1721" s="227"/>
      <c r="HXL1721" s="227"/>
      <c r="HXM1721" s="227"/>
      <c r="HXN1721" s="227"/>
      <c r="HXO1721" s="227"/>
      <c r="HXP1721" s="227"/>
      <c r="HXQ1721" s="227"/>
      <c r="HXR1721" s="227"/>
      <c r="HXS1721" s="227"/>
      <c r="HXT1721" s="227"/>
      <c r="HXU1721" s="227"/>
      <c r="HXV1721" s="227"/>
      <c r="HXW1721" s="227"/>
      <c r="HXX1721" s="227"/>
      <c r="HXY1721" s="227"/>
      <c r="HXZ1721" s="227"/>
      <c r="HYA1721" s="227"/>
      <c r="HYB1721" s="227"/>
      <c r="HYC1721" s="227"/>
      <c r="HYD1721" s="227"/>
      <c r="HYE1721" s="227"/>
      <c r="HYF1721" s="227"/>
      <c r="HYG1721" s="227"/>
      <c r="HYH1721" s="227"/>
      <c r="HYI1721" s="227"/>
      <c r="HYJ1721" s="227"/>
      <c r="HYK1721" s="227"/>
      <c r="HYL1721" s="227"/>
      <c r="HYM1721" s="227"/>
      <c r="HYN1721" s="227"/>
      <c r="HYO1721" s="227"/>
      <c r="HYP1721" s="227"/>
      <c r="HYQ1721" s="227"/>
      <c r="HYR1721" s="227"/>
      <c r="HYS1721" s="227"/>
      <c r="HYT1721" s="227"/>
      <c r="HYU1721" s="227"/>
      <c r="HYV1721" s="227"/>
      <c r="HYW1721" s="227"/>
      <c r="HYX1721" s="227"/>
      <c r="HYY1721" s="227"/>
      <c r="HYZ1721" s="227"/>
      <c r="HZA1721" s="227"/>
      <c r="HZB1721" s="227"/>
      <c r="HZC1721" s="227"/>
      <c r="HZD1721" s="227"/>
      <c r="HZE1721" s="227"/>
      <c r="HZF1721" s="227"/>
      <c r="HZG1721" s="227"/>
      <c r="HZH1721" s="227"/>
      <c r="HZI1721" s="227"/>
      <c r="HZJ1721" s="227"/>
      <c r="HZK1721" s="227"/>
      <c r="HZL1721" s="227"/>
      <c r="HZM1721" s="227"/>
      <c r="HZN1721" s="227"/>
      <c r="HZO1721" s="227"/>
      <c r="HZP1721" s="227"/>
      <c r="HZQ1721" s="227"/>
      <c r="HZR1721" s="227"/>
      <c r="HZS1721" s="227"/>
      <c r="HZT1721" s="227"/>
      <c r="HZU1721" s="227"/>
      <c r="HZV1721" s="227"/>
      <c r="HZW1721" s="227"/>
      <c r="HZX1721" s="227"/>
      <c r="HZY1721" s="227"/>
      <c r="HZZ1721" s="227"/>
      <c r="IAA1721" s="227"/>
      <c r="IAB1721" s="227"/>
      <c r="IAC1721" s="227"/>
      <c r="IAD1721" s="227"/>
      <c r="IAE1721" s="227"/>
      <c r="IAF1721" s="227"/>
      <c r="IAG1721" s="227"/>
      <c r="IAH1721" s="227"/>
      <c r="IAI1721" s="227"/>
      <c r="IAJ1721" s="227"/>
      <c r="IAK1721" s="227"/>
      <c r="IAL1721" s="227"/>
      <c r="IAM1721" s="227"/>
      <c r="IAN1721" s="227"/>
      <c r="IAO1721" s="227"/>
      <c r="IAP1721" s="227"/>
      <c r="IAQ1721" s="227"/>
      <c r="IAR1721" s="227"/>
      <c r="IAS1721" s="227"/>
      <c r="IAT1721" s="227"/>
      <c r="IAU1721" s="227"/>
      <c r="IAV1721" s="227"/>
      <c r="IAW1721" s="227"/>
      <c r="IAX1721" s="227"/>
      <c r="IAY1721" s="227"/>
      <c r="IAZ1721" s="227"/>
      <c r="IBA1721" s="227"/>
      <c r="IBB1721" s="227"/>
      <c r="IBC1721" s="227"/>
      <c r="IBD1721" s="227"/>
      <c r="IBE1721" s="227"/>
      <c r="IBF1721" s="227"/>
      <c r="IBG1721" s="227"/>
      <c r="IBH1721" s="227"/>
      <c r="IBI1721" s="227"/>
      <c r="IBJ1721" s="227"/>
      <c r="IBK1721" s="227"/>
      <c r="IBL1721" s="227"/>
      <c r="IBM1721" s="227"/>
      <c r="IBN1721" s="227"/>
      <c r="IBO1721" s="227"/>
      <c r="IBP1721" s="227"/>
      <c r="IBQ1721" s="227"/>
      <c r="IBR1721" s="227"/>
      <c r="IBS1721" s="227"/>
      <c r="IBT1721" s="227"/>
      <c r="IBU1721" s="227"/>
      <c r="IBV1721" s="227"/>
      <c r="IBW1721" s="227"/>
      <c r="IBX1721" s="227"/>
      <c r="IBY1721" s="227"/>
      <c r="IBZ1721" s="227"/>
      <c r="ICA1721" s="227"/>
      <c r="ICB1721" s="227"/>
      <c r="ICC1721" s="227"/>
      <c r="ICD1721" s="227"/>
      <c r="ICE1721" s="227"/>
      <c r="ICF1721" s="227"/>
      <c r="ICG1721" s="227"/>
      <c r="ICH1721" s="227"/>
      <c r="ICI1721" s="227"/>
      <c r="ICJ1721" s="227"/>
      <c r="ICK1721" s="227"/>
      <c r="ICL1721" s="227"/>
      <c r="ICM1721" s="227"/>
      <c r="ICN1721" s="227"/>
      <c r="ICO1721" s="227"/>
      <c r="ICP1721" s="227"/>
      <c r="ICQ1721" s="227"/>
      <c r="ICR1721" s="227"/>
      <c r="ICS1721" s="227"/>
      <c r="ICT1721" s="227"/>
      <c r="ICU1721" s="227"/>
      <c r="ICV1721" s="227"/>
      <c r="ICW1721" s="227"/>
      <c r="ICX1721" s="227"/>
      <c r="ICY1721" s="227"/>
      <c r="ICZ1721" s="227"/>
      <c r="IDA1721" s="227"/>
      <c r="IDB1721" s="227"/>
      <c r="IDC1721" s="227"/>
      <c r="IDD1721" s="227"/>
      <c r="IDE1721" s="227"/>
      <c r="IDF1721" s="227"/>
      <c r="IDG1721" s="227"/>
      <c r="IDH1721" s="227"/>
      <c r="IDI1721" s="227"/>
      <c r="IDJ1721" s="227"/>
      <c r="IDK1721" s="227"/>
      <c r="IDL1721" s="227"/>
      <c r="IDM1721" s="227"/>
      <c r="IDN1721" s="227"/>
      <c r="IDO1721" s="227"/>
      <c r="IDP1721" s="227"/>
      <c r="IDQ1721" s="227"/>
      <c r="IDR1721" s="227"/>
      <c r="IDS1721" s="227"/>
      <c r="IDT1721" s="227"/>
      <c r="IDU1721" s="227"/>
      <c r="IDV1721" s="227"/>
      <c r="IDW1721" s="227"/>
      <c r="IDX1721" s="227"/>
      <c r="IDY1721" s="227"/>
      <c r="IDZ1721" s="227"/>
      <c r="IEA1721" s="227"/>
      <c r="IEB1721" s="227"/>
      <c r="IEC1721" s="227"/>
      <c r="IED1721" s="227"/>
      <c r="IEE1721" s="227"/>
      <c r="IEF1721" s="227"/>
      <c r="IEG1721" s="227"/>
      <c r="IEH1721" s="227"/>
      <c r="IEI1721" s="227"/>
      <c r="IEJ1721" s="227"/>
      <c r="IEK1721" s="227"/>
      <c r="IEL1721" s="227"/>
      <c r="IEM1721" s="227"/>
      <c r="IEN1721" s="227"/>
      <c r="IEO1721" s="227"/>
      <c r="IEP1721" s="227"/>
      <c r="IEQ1721" s="227"/>
      <c r="IER1721" s="227"/>
      <c r="IES1721" s="227"/>
      <c r="IET1721" s="227"/>
      <c r="IEU1721" s="227"/>
      <c r="IEV1721" s="227"/>
      <c r="IEW1721" s="227"/>
      <c r="IEX1721" s="227"/>
      <c r="IEY1721" s="227"/>
      <c r="IEZ1721" s="227"/>
      <c r="IFA1721" s="227"/>
      <c r="IFB1721" s="227"/>
      <c r="IFC1721" s="227"/>
      <c r="IFD1721" s="227"/>
      <c r="IFE1721" s="227"/>
      <c r="IFF1721" s="227"/>
      <c r="IFG1721" s="227"/>
      <c r="IFH1721" s="227"/>
      <c r="IFI1721" s="227"/>
      <c r="IFJ1721" s="227"/>
      <c r="IFK1721" s="227"/>
      <c r="IFL1721" s="227"/>
      <c r="IFM1721" s="227"/>
      <c r="IFN1721" s="227"/>
      <c r="IFO1721" s="227"/>
      <c r="IFP1721" s="227"/>
      <c r="IFQ1721" s="227"/>
      <c r="IFR1721" s="227"/>
      <c r="IFS1721" s="227"/>
      <c r="IFT1721" s="227"/>
      <c r="IFU1721" s="227"/>
      <c r="IFV1721" s="227"/>
      <c r="IFW1721" s="227"/>
      <c r="IFX1721" s="227"/>
      <c r="IFY1721" s="227"/>
      <c r="IFZ1721" s="227"/>
      <c r="IGA1721" s="227"/>
      <c r="IGB1721" s="227"/>
      <c r="IGC1721" s="227"/>
      <c r="IGD1721" s="227"/>
      <c r="IGE1721" s="227"/>
      <c r="IGF1721" s="227"/>
      <c r="IGG1721" s="227"/>
      <c r="IGH1721" s="227"/>
      <c r="IGI1721" s="227"/>
      <c r="IGJ1721" s="227"/>
      <c r="IGK1721" s="227"/>
      <c r="IGL1721" s="227"/>
      <c r="IGM1721" s="227"/>
      <c r="IGN1721" s="227"/>
      <c r="IGO1721" s="227"/>
      <c r="IGP1721" s="227"/>
      <c r="IGQ1721" s="227"/>
      <c r="IGR1721" s="227"/>
      <c r="IGS1721" s="227"/>
      <c r="IGT1721" s="227"/>
      <c r="IGU1721" s="227"/>
      <c r="IGV1721" s="227"/>
      <c r="IGW1721" s="227"/>
      <c r="IGX1721" s="227"/>
      <c r="IGY1721" s="227"/>
      <c r="IGZ1721" s="227"/>
      <c r="IHA1721" s="227"/>
      <c r="IHB1721" s="227"/>
      <c r="IHC1721" s="227"/>
      <c r="IHD1721" s="227"/>
      <c r="IHE1721" s="227"/>
      <c r="IHF1721" s="227"/>
      <c r="IHG1721" s="227"/>
      <c r="IHH1721" s="227"/>
      <c r="IHI1721" s="227"/>
      <c r="IHJ1721" s="227"/>
      <c r="IHK1721" s="227"/>
      <c r="IHL1721" s="227"/>
      <c r="IHM1721" s="227"/>
      <c r="IHN1721" s="227"/>
      <c r="IHO1721" s="227"/>
      <c r="IHP1721" s="227"/>
      <c r="IHQ1721" s="227"/>
      <c r="IHR1721" s="227"/>
      <c r="IHS1721" s="227"/>
      <c r="IHT1721" s="227"/>
      <c r="IHU1721" s="227"/>
      <c r="IHV1721" s="227"/>
      <c r="IHW1721" s="227"/>
      <c r="IHX1721" s="227"/>
      <c r="IHY1721" s="227"/>
      <c r="IHZ1721" s="227"/>
      <c r="IIA1721" s="227"/>
      <c r="IIB1721" s="227"/>
      <c r="IIC1721" s="227"/>
      <c r="IID1721" s="227"/>
      <c r="IIE1721" s="227"/>
      <c r="IIF1721" s="227"/>
      <c r="IIG1721" s="227"/>
      <c r="IIH1721" s="227"/>
      <c r="III1721" s="227"/>
      <c r="IIJ1721" s="227"/>
      <c r="IIK1721" s="227"/>
      <c r="IIL1721" s="227"/>
      <c r="IIM1721" s="227"/>
      <c r="IIN1721" s="227"/>
      <c r="IIO1721" s="227"/>
      <c r="IIP1721" s="227"/>
      <c r="IIQ1721" s="227"/>
      <c r="IIR1721" s="227"/>
      <c r="IIS1721" s="227"/>
      <c r="IIT1721" s="227"/>
      <c r="IIU1721" s="227"/>
      <c r="IIV1721" s="227"/>
      <c r="IIW1721" s="227"/>
      <c r="IIX1721" s="227"/>
      <c r="IIY1721" s="227"/>
      <c r="IIZ1721" s="227"/>
      <c r="IJA1721" s="227"/>
      <c r="IJB1721" s="227"/>
      <c r="IJC1721" s="227"/>
      <c r="IJD1721" s="227"/>
      <c r="IJE1721" s="227"/>
      <c r="IJF1721" s="227"/>
      <c r="IJG1721" s="227"/>
      <c r="IJH1721" s="227"/>
      <c r="IJI1721" s="227"/>
      <c r="IJJ1721" s="227"/>
      <c r="IJK1721" s="227"/>
      <c r="IJL1721" s="227"/>
      <c r="IJM1721" s="227"/>
      <c r="IJN1721" s="227"/>
      <c r="IJO1721" s="227"/>
      <c r="IJP1721" s="227"/>
      <c r="IJQ1721" s="227"/>
      <c r="IJR1721" s="227"/>
      <c r="IJS1721" s="227"/>
      <c r="IJT1721" s="227"/>
      <c r="IJU1721" s="227"/>
      <c r="IJV1721" s="227"/>
      <c r="IJW1721" s="227"/>
      <c r="IJX1721" s="227"/>
      <c r="IJY1721" s="227"/>
      <c r="IJZ1721" s="227"/>
      <c r="IKA1721" s="227"/>
      <c r="IKB1721" s="227"/>
      <c r="IKC1721" s="227"/>
      <c r="IKD1721" s="227"/>
      <c r="IKE1721" s="227"/>
      <c r="IKF1721" s="227"/>
      <c r="IKG1721" s="227"/>
      <c r="IKH1721" s="227"/>
      <c r="IKI1721" s="227"/>
      <c r="IKJ1721" s="227"/>
      <c r="IKK1721" s="227"/>
      <c r="IKL1721" s="227"/>
      <c r="IKM1721" s="227"/>
      <c r="IKN1721" s="227"/>
      <c r="IKO1721" s="227"/>
      <c r="IKP1721" s="227"/>
      <c r="IKQ1721" s="227"/>
      <c r="IKR1721" s="227"/>
      <c r="IKS1721" s="227"/>
      <c r="IKT1721" s="227"/>
      <c r="IKU1721" s="227"/>
      <c r="IKV1721" s="227"/>
      <c r="IKW1721" s="227"/>
      <c r="IKX1721" s="227"/>
      <c r="IKY1721" s="227"/>
      <c r="IKZ1721" s="227"/>
      <c r="ILA1721" s="227"/>
      <c r="ILB1721" s="227"/>
      <c r="ILC1721" s="227"/>
      <c r="ILD1721" s="227"/>
      <c r="ILE1721" s="227"/>
      <c r="ILF1721" s="227"/>
      <c r="ILG1721" s="227"/>
      <c r="ILH1721" s="227"/>
      <c r="ILI1721" s="227"/>
      <c r="ILJ1721" s="227"/>
      <c r="ILK1721" s="227"/>
      <c r="ILL1721" s="227"/>
      <c r="ILM1721" s="227"/>
      <c r="ILN1721" s="227"/>
      <c r="ILO1721" s="227"/>
      <c r="ILP1721" s="227"/>
      <c r="ILQ1721" s="227"/>
      <c r="ILR1721" s="227"/>
      <c r="ILS1721" s="227"/>
      <c r="ILT1721" s="227"/>
      <c r="ILU1721" s="227"/>
      <c r="ILV1721" s="227"/>
      <c r="ILW1721" s="227"/>
      <c r="ILX1721" s="227"/>
      <c r="ILY1721" s="227"/>
      <c r="ILZ1721" s="227"/>
      <c r="IMA1721" s="227"/>
      <c r="IMB1721" s="227"/>
      <c r="IMC1721" s="227"/>
      <c r="IMD1721" s="227"/>
      <c r="IME1721" s="227"/>
      <c r="IMF1721" s="227"/>
      <c r="IMG1721" s="227"/>
      <c r="IMH1721" s="227"/>
      <c r="IMI1721" s="227"/>
      <c r="IMJ1721" s="227"/>
      <c r="IMK1721" s="227"/>
      <c r="IML1721" s="227"/>
      <c r="IMM1721" s="227"/>
      <c r="IMN1721" s="227"/>
      <c r="IMO1721" s="227"/>
      <c r="IMP1721" s="227"/>
      <c r="IMQ1721" s="227"/>
      <c r="IMR1721" s="227"/>
      <c r="IMS1721" s="227"/>
      <c r="IMT1721" s="227"/>
      <c r="IMU1721" s="227"/>
      <c r="IMV1721" s="227"/>
      <c r="IMW1721" s="227"/>
      <c r="IMX1721" s="227"/>
      <c r="IMY1721" s="227"/>
      <c r="IMZ1721" s="227"/>
      <c r="INA1721" s="227"/>
      <c r="INB1721" s="227"/>
      <c r="INC1721" s="227"/>
      <c r="IND1721" s="227"/>
      <c r="INE1721" s="227"/>
      <c r="INF1721" s="227"/>
      <c r="ING1721" s="227"/>
      <c r="INH1721" s="227"/>
      <c r="INI1721" s="227"/>
      <c r="INJ1721" s="227"/>
      <c r="INK1721" s="227"/>
      <c r="INL1721" s="227"/>
      <c r="INM1721" s="227"/>
      <c r="INN1721" s="227"/>
      <c r="INO1721" s="227"/>
      <c r="INP1721" s="227"/>
      <c r="INQ1721" s="227"/>
      <c r="INR1721" s="227"/>
      <c r="INS1721" s="227"/>
      <c r="INT1721" s="227"/>
      <c r="INU1721" s="227"/>
      <c r="INV1721" s="227"/>
      <c r="INW1721" s="227"/>
      <c r="INX1721" s="227"/>
      <c r="INY1721" s="227"/>
      <c r="INZ1721" s="227"/>
      <c r="IOA1721" s="227"/>
      <c r="IOB1721" s="227"/>
      <c r="IOC1721" s="227"/>
      <c r="IOD1721" s="227"/>
      <c r="IOE1721" s="227"/>
      <c r="IOF1721" s="227"/>
      <c r="IOG1721" s="227"/>
      <c r="IOH1721" s="227"/>
      <c r="IOI1721" s="227"/>
      <c r="IOJ1721" s="227"/>
      <c r="IOK1721" s="227"/>
      <c r="IOL1721" s="227"/>
      <c r="IOM1721" s="227"/>
      <c r="ION1721" s="227"/>
      <c r="IOO1721" s="227"/>
      <c r="IOP1721" s="227"/>
      <c r="IOQ1721" s="227"/>
      <c r="IOR1721" s="227"/>
      <c r="IOS1721" s="227"/>
      <c r="IOT1721" s="227"/>
      <c r="IOU1721" s="227"/>
      <c r="IOV1721" s="227"/>
      <c r="IOW1721" s="227"/>
      <c r="IOX1721" s="227"/>
      <c r="IOY1721" s="227"/>
      <c r="IOZ1721" s="227"/>
      <c r="IPA1721" s="227"/>
      <c r="IPB1721" s="227"/>
      <c r="IPC1721" s="227"/>
      <c r="IPD1721" s="227"/>
      <c r="IPE1721" s="227"/>
      <c r="IPF1721" s="227"/>
      <c r="IPG1721" s="227"/>
      <c r="IPH1721" s="227"/>
      <c r="IPI1721" s="227"/>
      <c r="IPJ1721" s="227"/>
      <c r="IPK1721" s="227"/>
      <c r="IPL1721" s="227"/>
      <c r="IPM1721" s="227"/>
      <c r="IPN1721" s="227"/>
      <c r="IPO1721" s="227"/>
      <c r="IPP1721" s="227"/>
      <c r="IPQ1721" s="227"/>
      <c r="IPR1721" s="227"/>
      <c r="IPS1721" s="227"/>
      <c r="IPT1721" s="227"/>
      <c r="IPU1721" s="227"/>
      <c r="IPV1721" s="227"/>
      <c r="IPW1721" s="227"/>
      <c r="IPX1721" s="227"/>
      <c r="IPY1721" s="227"/>
      <c r="IPZ1721" s="227"/>
      <c r="IQA1721" s="227"/>
      <c r="IQB1721" s="227"/>
      <c r="IQC1721" s="227"/>
      <c r="IQD1721" s="227"/>
      <c r="IQE1721" s="227"/>
      <c r="IQF1721" s="227"/>
      <c r="IQG1721" s="227"/>
      <c r="IQH1721" s="227"/>
      <c r="IQI1721" s="227"/>
      <c r="IQJ1721" s="227"/>
      <c r="IQK1721" s="227"/>
      <c r="IQL1721" s="227"/>
      <c r="IQM1721" s="227"/>
      <c r="IQN1721" s="227"/>
      <c r="IQO1721" s="227"/>
      <c r="IQP1721" s="227"/>
      <c r="IQQ1721" s="227"/>
      <c r="IQR1721" s="227"/>
      <c r="IQS1721" s="227"/>
      <c r="IQT1721" s="227"/>
      <c r="IQU1721" s="227"/>
      <c r="IQV1721" s="227"/>
      <c r="IQW1721" s="227"/>
      <c r="IQX1721" s="227"/>
      <c r="IQY1721" s="227"/>
      <c r="IQZ1721" s="227"/>
      <c r="IRA1721" s="227"/>
      <c r="IRB1721" s="227"/>
      <c r="IRC1721" s="227"/>
      <c r="IRD1721" s="227"/>
      <c r="IRE1721" s="227"/>
      <c r="IRF1721" s="227"/>
      <c r="IRG1721" s="227"/>
      <c r="IRH1721" s="227"/>
      <c r="IRI1721" s="227"/>
      <c r="IRJ1721" s="227"/>
      <c r="IRK1721" s="227"/>
      <c r="IRL1721" s="227"/>
      <c r="IRM1721" s="227"/>
      <c r="IRN1721" s="227"/>
      <c r="IRO1721" s="227"/>
      <c r="IRP1721" s="227"/>
      <c r="IRQ1721" s="227"/>
      <c r="IRR1721" s="227"/>
      <c r="IRS1721" s="227"/>
      <c r="IRT1721" s="227"/>
      <c r="IRU1721" s="227"/>
      <c r="IRV1721" s="227"/>
      <c r="IRW1721" s="227"/>
      <c r="IRX1721" s="227"/>
      <c r="IRY1721" s="227"/>
      <c r="IRZ1721" s="227"/>
      <c r="ISA1721" s="227"/>
      <c r="ISB1721" s="227"/>
      <c r="ISC1721" s="227"/>
      <c r="ISD1721" s="227"/>
      <c r="ISE1721" s="227"/>
      <c r="ISF1721" s="227"/>
      <c r="ISG1721" s="227"/>
      <c r="ISH1721" s="227"/>
      <c r="ISI1721" s="227"/>
      <c r="ISJ1721" s="227"/>
      <c r="ISK1721" s="227"/>
      <c r="ISL1721" s="227"/>
      <c r="ISM1721" s="227"/>
      <c r="ISN1721" s="227"/>
      <c r="ISO1721" s="227"/>
      <c r="ISP1721" s="227"/>
      <c r="ISQ1721" s="227"/>
      <c r="ISR1721" s="227"/>
      <c r="ISS1721" s="227"/>
      <c r="IST1721" s="227"/>
      <c r="ISU1721" s="227"/>
      <c r="ISV1721" s="227"/>
      <c r="ISW1721" s="227"/>
      <c r="ISX1721" s="227"/>
      <c r="ISY1721" s="227"/>
      <c r="ISZ1721" s="227"/>
      <c r="ITA1721" s="227"/>
      <c r="ITB1721" s="227"/>
      <c r="ITC1721" s="227"/>
      <c r="ITD1721" s="227"/>
      <c r="ITE1721" s="227"/>
      <c r="ITF1721" s="227"/>
      <c r="ITG1721" s="227"/>
      <c r="ITH1721" s="227"/>
      <c r="ITI1721" s="227"/>
      <c r="ITJ1721" s="227"/>
      <c r="ITK1721" s="227"/>
      <c r="ITL1721" s="227"/>
      <c r="ITM1721" s="227"/>
      <c r="ITN1721" s="227"/>
      <c r="ITO1721" s="227"/>
      <c r="ITP1721" s="227"/>
      <c r="ITQ1721" s="227"/>
      <c r="ITR1721" s="227"/>
      <c r="ITS1721" s="227"/>
      <c r="ITT1721" s="227"/>
      <c r="ITU1721" s="227"/>
      <c r="ITV1721" s="227"/>
      <c r="ITW1721" s="227"/>
      <c r="ITX1721" s="227"/>
      <c r="ITY1721" s="227"/>
      <c r="ITZ1721" s="227"/>
      <c r="IUA1721" s="227"/>
      <c r="IUB1721" s="227"/>
      <c r="IUC1721" s="227"/>
      <c r="IUD1721" s="227"/>
      <c r="IUE1721" s="227"/>
      <c r="IUF1721" s="227"/>
      <c r="IUG1721" s="227"/>
      <c r="IUH1721" s="227"/>
      <c r="IUI1721" s="227"/>
      <c r="IUJ1721" s="227"/>
      <c r="IUK1721" s="227"/>
      <c r="IUL1721" s="227"/>
      <c r="IUM1721" s="227"/>
      <c r="IUN1721" s="227"/>
      <c r="IUO1721" s="227"/>
      <c r="IUP1721" s="227"/>
      <c r="IUQ1721" s="227"/>
      <c r="IUR1721" s="227"/>
      <c r="IUS1721" s="227"/>
      <c r="IUT1721" s="227"/>
      <c r="IUU1721" s="227"/>
      <c r="IUV1721" s="227"/>
      <c r="IUW1721" s="227"/>
      <c r="IUX1721" s="227"/>
      <c r="IUY1721" s="227"/>
      <c r="IUZ1721" s="227"/>
      <c r="IVA1721" s="227"/>
      <c r="IVB1721" s="227"/>
      <c r="IVC1721" s="227"/>
      <c r="IVD1721" s="227"/>
      <c r="IVE1721" s="227"/>
      <c r="IVF1721" s="227"/>
      <c r="IVG1721" s="227"/>
      <c r="IVH1721" s="227"/>
      <c r="IVI1721" s="227"/>
      <c r="IVJ1721" s="227"/>
      <c r="IVK1721" s="227"/>
      <c r="IVL1721" s="227"/>
      <c r="IVM1721" s="227"/>
      <c r="IVN1721" s="227"/>
      <c r="IVO1721" s="227"/>
      <c r="IVP1721" s="227"/>
      <c r="IVQ1721" s="227"/>
      <c r="IVR1721" s="227"/>
      <c r="IVS1721" s="227"/>
      <c r="IVT1721" s="227"/>
      <c r="IVU1721" s="227"/>
      <c r="IVV1721" s="227"/>
      <c r="IVW1721" s="227"/>
      <c r="IVX1721" s="227"/>
      <c r="IVY1721" s="227"/>
      <c r="IVZ1721" s="227"/>
      <c r="IWA1721" s="227"/>
      <c r="IWB1721" s="227"/>
      <c r="IWC1721" s="227"/>
      <c r="IWD1721" s="227"/>
      <c r="IWE1721" s="227"/>
      <c r="IWF1721" s="227"/>
      <c r="IWG1721" s="227"/>
      <c r="IWH1721" s="227"/>
      <c r="IWI1721" s="227"/>
      <c r="IWJ1721" s="227"/>
      <c r="IWK1721" s="227"/>
      <c r="IWL1721" s="227"/>
      <c r="IWM1721" s="227"/>
      <c r="IWN1721" s="227"/>
      <c r="IWO1721" s="227"/>
      <c r="IWP1721" s="227"/>
      <c r="IWQ1721" s="227"/>
      <c r="IWR1721" s="227"/>
      <c r="IWS1721" s="227"/>
      <c r="IWT1721" s="227"/>
      <c r="IWU1721" s="227"/>
      <c r="IWV1721" s="227"/>
      <c r="IWW1721" s="227"/>
      <c r="IWX1721" s="227"/>
      <c r="IWY1721" s="227"/>
      <c r="IWZ1721" s="227"/>
      <c r="IXA1721" s="227"/>
      <c r="IXB1721" s="227"/>
      <c r="IXC1721" s="227"/>
      <c r="IXD1721" s="227"/>
      <c r="IXE1721" s="227"/>
      <c r="IXF1721" s="227"/>
      <c r="IXG1721" s="227"/>
      <c r="IXH1721" s="227"/>
      <c r="IXI1721" s="227"/>
      <c r="IXJ1721" s="227"/>
      <c r="IXK1721" s="227"/>
      <c r="IXL1721" s="227"/>
      <c r="IXM1721" s="227"/>
      <c r="IXN1721" s="227"/>
      <c r="IXO1721" s="227"/>
      <c r="IXP1721" s="227"/>
      <c r="IXQ1721" s="227"/>
      <c r="IXR1721" s="227"/>
      <c r="IXS1721" s="227"/>
      <c r="IXT1721" s="227"/>
      <c r="IXU1721" s="227"/>
      <c r="IXV1721" s="227"/>
      <c r="IXW1721" s="227"/>
      <c r="IXX1721" s="227"/>
      <c r="IXY1721" s="227"/>
      <c r="IXZ1721" s="227"/>
      <c r="IYA1721" s="227"/>
      <c r="IYB1721" s="227"/>
      <c r="IYC1721" s="227"/>
      <c r="IYD1721" s="227"/>
      <c r="IYE1721" s="227"/>
      <c r="IYF1721" s="227"/>
      <c r="IYG1721" s="227"/>
      <c r="IYH1721" s="227"/>
      <c r="IYI1721" s="227"/>
      <c r="IYJ1721" s="227"/>
      <c r="IYK1721" s="227"/>
      <c r="IYL1721" s="227"/>
      <c r="IYM1721" s="227"/>
      <c r="IYN1721" s="227"/>
      <c r="IYO1721" s="227"/>
      <c r="IYP1721" s="227"/>
      <c r="IYQ1721" s="227"/>
      <c r="IYR1721" s="227"/>
      <c r="IYS1721" s="227"/>
      <c r="IYT1721" s="227"/>
      <c r="IYU1721" s="227"/>
      <c r="IYV1721" s="227"/>
      <c r="IYW1721" s="227"/>
      <c r="IYX1721" s="227"/>
      <c r="IYY1721" s="227"/>
      <c r="IYZ1721" s="227"/>
      <c r="IZA1721" s="227"/>
      <c r="IZB1721" s="227"/>
      <c r="IZC1721" s="227"/>
      <c r="IZD1721" s="227"/>
      <c r="IZE1721" s="227"/>
      <c r="IZF1721" s="227"/>
      <c r="IZG1721" s="227"/>
      <c r="IZH1721" s="227"/>
      <c r="IZI1721" s="227"/>
      <c r="IZJ1721" s="227"/>
      <c r="IZK1721" s="227"/>
      <c r="IZL1721" s="227"/>
      <c r="IZM1721" s="227"/>
      <c r="IZN1721" s="227"/>
      <c r="IZO1721" s="227"/>
      <c r="IZP1721" s="227"/>
      <c r="IZQ1721" s="227"/>
      <c r="IZR1721" s="227"/>
      <c r="IZS1721" s="227"/>
      <c r="IZT1721" s="227"/>
      <c r="IZU1721" s="227"/>
      <c r="IZV1721" s="227"/>
      <c r="IZW1721" s="227"/>
      <c r="IZX1721" s="227"/>
      <c r="IZY1721" s="227"/>
      <c r="IZZ1721" s="227"/>
      <c r="JAA1721" s="227"/>
      <c r="JAB1721" s="227"/>
      <c r="JAC1721" s="227"/>
      <c r="JAD1721" s="227"/>
      <c r="JAE1721" s="227"/>
      <c r="JAF1721" s="227"/>
      <c r="JAG1721" s="227"/>
      <c r="JAH1721" s="227"/>
      <c r="JAI1721" s="227"/>
      <c r="JAJ1721" s="227"/>
      <c r="JAK1721" s="227"/>
      <c r="JAL1721" s="227"/>
      <c r="JAM1721" s="227"/>
      <c r="JAN1721" s="227"/>
      <c r="JAO1721" s="227"/>
      <c r="JAP1721" s="227"/>
      <c r="JAQ1721" s="227"/>
      <c r="JAR1721" s="227"/>
      <c r="JAS1721" s="227"/>
      <c r="JAT1721" s="227"/>
      <c r="JAU1721" s="227"/>
      <c r="JAV1721" s="227"/>
      <c r="JAW1721" s="227"/>
      <c r="JAX1721" s="227"/>
      <c r="JAY1721" s="227"/>
      <c r="JAZ1721" s="227"/>
      <c r="JBA1721" s="227"/>
      <c r="JBB1721" s="227"/>
      <c r="JBC1721" s="227"/>
      <c r="JBD1721" s="227"/>
      <c r="JBE1721" s="227"/>
      <c r="JBF1721" s="227"/>
      <c r="JBG1721" s="227"/>
      <c r="JBH1721" s="227"/>
      <c r="JBI1721" s="227"/>
      <c r="JBJ1721" s="227"/>
      <c r="JBK1721" s="227"/>
      <c r="JBL1721" s="227"/>
      <c r="JBM1721" s="227"/>
      <c r="JBN1721" s="227"/>
      <c r="JBO1721" s="227"/>
      <c r="JBP1721" s="227"/>
      <c r="JBQ1721" s="227"/>
      <c r="JBR1721" s="227"/>
      <c r="JBS1721" s="227"/>
      <c r="JBT1721" s="227"/>
      <c r="JBU1721" s="227"/>
      <c r="JBV1721" s="227"/>
      <c r="JBW1721" s="227"/>
      <c r="JBX1721" s="227"/>
      <c r="JBY1721" s="227"/>
      <c r="JBZ1721" s="227"/>
      <c r="JCA1721" s="227"/>
      <c r="JCB1721" s="227"/>
      <c r="JCC1721" s="227"/>
      <c r="JCD1721" s="227"/>
      <c r="JCE1721" s="227"/>
      <c r="JCF1721" s="227"/>
      <c r="JCG1721" s="227"/>
      <c r="JCH1721" s="227"/>
      <c r="JCI1721" s="227"/>
      <c r="JCJ1721" s="227"/>
      <c r="JCK1721" s="227"/>
      <c r="JCL1721" s="227"/>
      <c r="JCM1721" s="227"/>
      <c r="JCN1721" s="227"/>
      <c r="JCO1721" s="227"/>
      <c r="JCP1721" s="227"/>
      <c r="JCQ1721" s="227"/>
      <c r="JCR1721" s="227"/>
      <c r="JCS1721" s="227"/>
      <c r="JCT1721" s="227"/>
      <c r="JCU1721" s="227"/>
      <c r="JCV1721" s="227"/>
      <c r="JCW1721" s="227"/>
      <c r="JCX1721" s="227"/>
      <c r="JCY1721" s="227"/>
      <c r="JCZ1721" s="227"/>
      <c r="JDA1721" s="227"/>
      <c r="JDB1721" s="227"/>
      <c r="JDC1721" s="227"/>
      <c r="JDD1721" s="227"/>
      <c r="JDE1721" s="227"/>
      <c r="JDF1721" s="227"/>
      <c r="JDG1721" s="227"/>
      <c r="JDH1721" s="227"/>
      <c r="JDI1721" s="227"/>
      <c r="JDJ1721" s="227"/>
      <c r="JDK1721" s="227"/>
      <c r="JDL1721" s="227"/>
      <c r="JDM1721" s="227"/>
      <c r="JDN1721" s="227"/>
      <c r="JDO1721" s="227"/>
      <c r="JDP1721" s="227"/>
      <c r="JDQ1721" s="227"/>
      <c r="JDR1721" s="227"/>
      <c r="JDS1721" s="227"/>
      <c r="JDT1721" s="227"/>
      <c r="JDU1721" s="227"/>
      <c r="JDV1721" s="227"/>
      <c r="JDW1721" s="227"/>
      <c r="JDX1721" s="227"/>
      <c r="JDY1721" s="227"/>
      <c r="JDZ1721" s="227"/>
      <c r="JEA1721" s="227"/>
      <c r="JEB1721" s="227"/>
      <c r="JEC1721" s="227"/>
      <c r="JED1721" s="227"/>
      <c r="JEE1721" s="227"/>
      <c r="JEF1721" s="227"/>
      <c r="JEG1721" s="227"/>
      <c r="JEH1721" s="227"/>
      <c r="JEI1721" s="227"/>
      <c r="JEJ1721" s="227"/>
      <c r="JEK1721" s="227"/>
      <c r="JEL1721" s="227"/>
      <c r="JEM1721" s="227"/>
      <c r="JEN1721" s="227"/>
      <c r="JEO1721" s="227"/>
      <c r="JEP1721" s="227"/>
      <c r="JEQ1721" s="227"/>
      <c r="JER1721" s="227"/>
      <c r="JES1721" s="227"/>
      <c r="JET1721" s="227"/>
      <c r="JEU1721" s="227"/>
      <c r="JEV1721" s="227"/>
      <c r="JEW1721" s="227"/>
      <c r="JEX1721" s="227"/>
      <c r="JEY1721" s="227"/>
      <c r="JEZ1721" s="227"/>
      <c r="JFA1721" s="227"/>
      <c r="JFB1721" s="227"/>
      <c r="JFC1721" s="227"/>
      <c r="JFD1721" s="227"/>
      <c r="JFE1721" s="227"/>
      <c r="JFF1721" s="227"/>
      <c r="JFG1721" s="227"/>
      <c r="JFH1721" s="227"/>
      <c r="JFI1721" s="227"/>
      <c r="JFJ1721" s="227"/>
      <c r="JFK1721" s="227"/>
      <c r="JFL1721" s="227"/>
      <c r="JFM1721" s="227"/>
      <c r="JFN1721" s="227"/>
      <c r="JFO1721" s="227"/>
      <c r="JFP1721" s="227"/>
      <c r="JFQ1721" s="227"/>
      <c r="JFR1721" s="227"/>
      <c r="JFS1721" s="227"/>
      <c r="JFT1721" s="227"/>
      <c r="JFU1721" s="227"/>
      <c r="JFV1721" s="227"/>
      <c r="JFW1721" s="227"/>
      <c r="JFX1721" s="227"/>
      <c r="JFY1721" s="227"/>
      <c r="JFZ1721" s="227"/>
      <c r="JGA1721" s="227"/>
      <c r="JGB1721" s="227"/>
      <c r="JGC1721" s="227"/>
      <c r="JGD1721" s="227"/>
      <c r="JGE1721" s="227"/>
      <c r="JGF1721" s="227"/>
      <c r="JGG1721" s="227"/>
      <c r="JGH1721" s="227"/>
      <c r="JGI1721" s="227"/>
      <c r="JGJ1721" s="227"/>
      <c r="JGK1721" s="227"/>
      <c r="JGL1721" s="227"/>
      <c r="JGM1721" s="227"/>
      <c r="JGN1721" s="227"/>
      <c r="JGO1721" s="227"/>
      <c r="JGP1721" s="227"/>
      <c r="JGQ1721" s="227"/>
      <c r="JGR1721" s="227"/>
      <c r="JGS1721" s="227"/>
      <c r="JGT1721" s="227"/>
      <c r="JGU1721" s="227"/>
      <c r="JGV1721" s="227"/>
      <c r="JGW1721" s="227"/>
      <c r="JGX1721" s="227"/>
      <c r="JGY1721" s="227"/>
      <c r="JGZ1721" s="227"/>
      <c r="JHA1721" s="227"/>
      <c r="JHB1721" s="227"/>
      <c r="JHC1721" s="227"/>
      <c r="JHD1721" s="227"/>
      <c r="JHE1721" s="227"/>
      <c r="JHF1721" s="227"/>
      <c r="JHG1721" s="227"/>
      <c r="JHH1721" s="227"/>
      <c r="JHI1721" s="227"/>
      <c r="JHJ1721" s="227"/>
      <c r="JHK1721" s="227"/>
      <c r="JHL1721" s="227"/>
      <c r="JHM1721" s="227"/>
      <c r="JHN1721" s="227"/>
      <c r="JHO1721" s="227"/>
      <c r="JHP1721" s="227"/>
      <c r="JHQ1721" s="227"/>
      <c r="JHR1721" s="227"/>
      <c r="JHS1721" s="227"/>
      <c r="JHT1721" s="227"/>
      <c r="JHU1721" s="227"/>
      <c r="JHV1721" s="227"/>
      <c r="JHW1721" s="227"/>
      <c r="JHX1721" s="227"/>
      <c r="JHY1721" s="227"/>
      <c r="JHZ1721" s="227"/>
      <c r="JIA1721" s="227"/>
      <c r="JIB1721" s="227"/>
      <c r="JIC1721" s="227"/>
      <c r="JID1721" s="227"/>
      <c r="JIE1721" s="227"/>
      <c r="JIF1721" s="227"/>
      <c r="JIG1721" s="227"/>
      <c r="JIH1721" s="227"/>
      <c r="JII1721" s="227"/>
      <c r="JIJ1721" s="227"/>
      <c r="JIK1721" s="227"/>
      <c r="JIL1721" s="227"/>
      <c r="JIM1721" s="227"/>
      <c r="JIN1721" s="227"/>
      <c r="JIO1721" s="227"/>
      <c r="JIP1721" s="227"/>
      <c r="JIQ1721" s="227"/>
      <c r="JIR1721" s="227"/>
      <c r="JIS1721" s="227"/>
      <c r="JIT1721" s="227"/>
      <c r="JIU1721" s="227"/>
      <c r="JIV1721" s="227"/>
      <c r="JIW1721" s="227"/>
      <c r="JIX1721" s="227"/>
      <c r="JIY1721" s="227"/>
      <c r="JIZ1721" s="227"/>
      <c r="JJA1721" s="227"/>
      <c r="JJB1721" s="227"/>
      <c r="JJC1721" s="227"/>
      <c r="JJD1721" s="227"/>
      <c r="JJE1721" s="227"/>
      <c r="JJF1721" s="227"/>
      <c r="JJG1721" s="227"/>
      <c r="JJH1721" s="227"/>
      <c r="JJI1721" s="227"/>
      <c r="JJJ1721" s="227"/>
      <c r="JJK1721" s="227"/>
      <c r="JJL1721" s="227"/>
      <c r="JJM1721" s="227"/>
      <c r="JJN1721" s="227"/>
      <c r="JJO1721" s="227"/>
      <c r="JJP1721" s="227"/>
      <c r="JJQ1721" s="227"/>
      <c r="JJR1721" s="227"/>
      <c r="JJS1721" s="227"/>
      <c r="JJT1721" s="227"/>
      <c r="JJU1721" s="227"/>
      <c r="JJV1721" s="227"/>
      <c r="JJW1721" s="227"/>
      <c r="JJX1721" s="227"/>
      <c r="JJY1721" s="227"/>
      <c r="JJZ1721" s="227"/>
      <c r="JKA1721" s="227"/>
      <c r="JKB1721" s="227"/>
      <c r="JKC1721" s="227"/>
      <c r="JKD1721" s="227"/>
      <c r="JKE1721" s="227"/>
      <c r="JKF1721" s="227"/>
      <c r="JKG1721" s="227"/>
      <c r="JKH1721" s="227"/>
      <c r="JKI1721" s="227"/>
      <c r="JKJ1721" s="227"/>
      <c r="JKK1721" s="227"/>
      <c r="JKL1721" s="227"/>
      <c r="JKM1721" s="227"/>
      <c r="JKN1721" s="227"/>
      <c r="JKO1721" s="227"/>
      <c r="JKP1721" s="227"/>
      <c r="JKQ1721" s="227"/>
      <c r="JKR1721" s="227"/>
      <c r="JKS1721" s="227"/>
      <c r="JKT1721" s="227"/>
      <c r="JKU1721" s="227"/>
      <c r="JKV1721" s="227"/>
      <c r="JKW1721" s="227"/>
      <c r="JKX1721" s="227"/>
      <c r="JKY1721" s="227"/>
      <c r="JKZ1721" s="227"/>
      <c r="JLA1721" s="227"/>
      <c r="JLB1721" s="227"/>
      <c r="JLC1721" s="227"/>
      <c r="JLD1721" s="227"/>
      <c r="JLE1721" s="227"/>
      <c r="JLF1721" s="227"/>
      <c r="JLG1721" s="227"/>
      <c r="JLH1721" s="227"/>
      <c r="JLI1721" s="227"/>
      <c r="JLJ1721" s="227"/>
      <c r="JLK1721" s="227"/>
      <c r="JLL1721" s="227"/>
      <c r="JLM1721" s="227"/>
      <c r="JLN1721" s="227"/>
      <c r="JLO1721" s="227"/>
      <c r="JLP1721" s="227"/>
      <c r="JLQ1721" s="227"/>
      <c r="JLR1721" s="227"/>
      <c r="JLS1721" s="227"/>
      <c r="JLT1721" s="227"/>
      <c r="JLU1721" s="227"/>
      <c r="JLV1721" s="227"/>
      <c r="JLW1721" s="227"/>
      <c r="JLX1721" s="227"/>
      <c r="JLY1721" s="227"/>
      <c r="JLZ1721" s="227"/>
      <c r="JMA1721" s="227"/>
      <c r="JMB1721" s="227"/>
      <c r="JMC1721" s="227"/>
      <c r="JMD1721" s="227"/>
      <c r="JME1721" s="227"/>
      <c r="JMF1721" s="227"/>
      <c r="JMG1721" s="227"/>
      <c r="JMH1721" s="227"/>
      <c r="JMI1721" s="227"/>
      <c r="JMJ1721" s="227"/>
      <c r="JMK1721" s="227"/>
      <c r="JML1721" s="227"/>
      <c r="JMM1721" s="227"/>
      <c r="JMN1721" s="227"/>
      <c r="JMO1721" s="227"/>
      <c r="JMP1721" s="227"/>
      <c r="JMQ1721" s="227"/>
      <c r="JMR1721" s="227"/>
      <c r="JMS1721" s="227"/>
      <c r="JMT1721" s="227"/>
      <c r="JMU1721" s="227"/>
      <c r="JMV1721" s="227"/>
      <c r="JMW1721" s="227"/>
      <c r="JMX1721" s="227"/>
      <c r="JMY1721" s="227"/>
      <c r="JMZ1721" s="227"/>
      <c r="JNA1721" s="227"/>
      <c r="JNB1721" s="227"/>
      <c r="JNC1721" s="227"/>
      <c r="JND1721" s="227"/>
      <c r="JNE1721" s="227"/>
      <c r="JNF1721" s="227"/>
      <c r="JNG1721" s="227"/>
      <c r="JNH1721" s="227"/>
      <c r="JNI1721" s="227"/>
      <c r="JNJ1721" s="227"/>
      <c r="JNK1721" s="227"/>
      <c r="JNL1721" s="227"/>
      <c r="JNM1721" s="227"/>
      <c r="JNN1721" s="227"/>
      <c r="JNO1721" s="227"/>
      <c r="JNP1721" s="227"/>
      <c r="JNQ1721" s="227"/>
      <c r="JNR1721" s="227"/>
      <c r="JNS1721" s="227"/>
      <c r="JNT1721" s="227"/>
      <c r="JNU1721" s="227"/>
      <c r="JNV1721" s="227"/>
      <c r="JNW1721" s="227"/>
      <c r="JNX1721" s="227"/>
      <c r="JNY1721" s="227"/>
      <c r="JNZ1721" s="227"/>
      <c r="JOA1721" s="227"/>
      <c r="JOB1721" s="227"/>
      <c r="JOC1721" s="227"/>
      <c r="JOD1721" s="227"/>
      <c r="JOE1721" s="227"/>
      <c r="JOF1721" s="227"/>
      <c r="JOG1721" s="227"/>
      <c r="JOH1721" s="227"/>
      <c r="JOI1721" s="227"/>
      <c r="JOJ1721" s="227"/>
      <c r="JOK1721" s="227"/>
      <c r="JOL1721" s="227"/>
      <c r="JOM1721" s="227"/>
      <c r="JON1721" s="227"/>
      <c r="JOO1721" s="227"/>
      <c r="JOP1721" s="227"/>
      <c r="JOQ1721" s="227"/>
      <c r="JOR1721" s="227"/>
      <c r="JOS1721" s="227"/>
      <c r="JOT1721" s="227"/>
      <c r="JOU1721" s="227"/>
      <c r="JOV1721" s="227"/>
      <c r="JOW1721" s="227"/>
      <c r="JOX1721" s="227"/>
      <c r="JOY1721" s="227"/>
      <c r="JOZ1721" s="227"/>
      <c r="JPA1721" s="227"/>
      <c r="JPB1721" s="227"/>
      <c r="JPC1721" s="227"/>
      <c r="JPD1721" s="227"/>
      <c r="JPE1721" s="227"/>
      <c r="JPF1721" s="227"/>
      <c r="JPG1721" s="227"/>
      <c r="JPH1721" s="227"/>
      <c r="JPI1721" s="227"/>
      <c r="JPJ1721" s="227"/>
      <c r="JPK1721" s="227"/>
      <c r="JPL1721" s="227"/>
      <c r="JPM1721" s="227"/>
      <c r="JPN1721" s="227"/>
      <c r="JPO1721" s="227"/>
      <c r="JPP1721" s="227"/>
      <c r="JPQ1721" s="227"/>
      <c r="JPR1721" s="227"/>
      <c r="JPS1721" s="227"/>
      <c r="JPT1721" s="227"/>
      <c r="JPU1721" s="227"/>
      <c r="JPV1721" s="227"/>
      <c r="JPW1721" s="227"/>
      <c r="JPX1721" s="227"/>
      <c r="JPY1721" s="227"/>
      <c r="JPZ1721" s="227"/>
      <c r="JQA1721" s="227"/>
      <c r="JQB1721" s="227"/>
      <c r="JQC1721" s="227"/>
      <c r="JQD1721" s="227"/>
      <c r="JQE1721" s="227"/>
      <c r="JQF1721" s="227"/>
      <c r="JQG1721" s="227"/>
      <c r="JQH1721" s="227"/>
      <c r="JQI1721" s="227"/>
      <c r="JQJ1721" s="227"/>
      <c r="JQK1721" s="227"/>
      <c r="JQL1721" s="227"/>
      <c r="JQM1721" s="227"/>
      <c r="JQN1721" s="227"/>
      <c r="JQO1721" s="227"/>
      <c r="JQP1721" s="227"/>
      <c r="JQQ1721" s="227"/>
      <c r="JQR1721" s="227"/>
      <c r="JQS1721" s="227"/>
      <c r="JQT1721" s="227"/>
      <c r="JQU1721" s="227"/>
      <c r="JQV1721" s="227"/>
      <c r="JQW1721" s="227"/>
      <c r="JQX1721" s="227"/>
      <c r="JQY1721" s="227"/>
      <c r="JQZ1721" s="227"/>
      <c r="JRA1721" s="227"/>
      <c r="JRB1721" s="227"/>
      <c r="JRC1721" s="227"/>
      <c r="JRD1721" s="227"/>
      <c r="JRE1721" s="227"/>
      <c r="JRF1721" s="227"/>
      <c r="JRG1721" s="227"/>
      <c r="JRH1721" s="227"/>
      <c r="JRI1721" s="227"/>
      <c r="JRJ1721" s="227"/>
      <c r="JRK1721" s="227"/>
      <c r="JRL1721" s="227"/>
      <c r="JRM1721" s="227"/>
      <c r="JRN1721" s="227"/>
      <c r="JRO1721" s="227"/>
      <c r="JRP1721" s="227"/>
      <c r="JRQ1721" s="227"/>
      <c r="JRR1721" s="227"/>
      <c r="JRS1721" s="227"/>
      <c r="JRT1721" s="227"/>
      <c r="JRU1721" s="227"/>
      <c r="JRV1721" s="227"/>
      <c r="JRW1721" s="227"/>
      <c r="JRX1721" s="227"/>
      <c r="JRY1721" s="227"/>
      <c r="JRZ1721" s="227"/>
      <c r="JSA1721" s="227"/>
      <c r="JSB1721" s="227"/>
      <c r="JSC1721" s="227"/>
      <c r="JSD1721" s="227"/>
      <c r="JSE1721" s="227"/>
      <c r="JSF1721" s="227"/>
      <c r="JSG1721" s="227"/>
      <c r="JSH1721" s="227"/>
      <c r="JSI1721" s="227"/>
      <c r="JSJ1721" s="227"/>
      <c r="JSK1721" s="227"/>
      <c r="JSL1721" s="227"/>
      <c r="JSM1721" s="227"/>
      <c r="JSN1721" s="227"/>
      <c r="JSO1721" s="227"/>
      <c r="JSP1721" s="227"/>
      <c r="JSQ1721" s="227"/>
      <c r="JSR1721" s="227"/>
      <c r="JSS1721" s="227"/>
      <c r="JST1721" s="227"/>
      <c r="JSU1721" s="227"/>
      <c r="JSV1721" s="227"/>
      <c r="JSW1721" s="227"/>
      <c r="JSX1721" s="227"/>
      <c r="JSY1721" s="227"/>
      <c r="JSZ1721" s="227"/>
      <c r="JTA1721" s="227"/>
      <c r="JTB1721" s="227"/>
      <c r="JTC1721" s="227"/>
      <c r="JTD1721" s="227"/>
      <c r="JTE1721" s="227"/>
      <c r="JTF1721" s="227"/>
      <c r="JTG1721" s="227"/>
      <c r="JTH1721" s="227"/>
      <c r="JTI1721" s="227"/>
      <c r="JTJ1721" s="227"/>
      <c r="JTK1721" s="227"/>
      <c r="JTL1721" s="227"/>
      <c r="JTM1721" s="227"/>
      <c r="JTN1721" s="227"/>
      <c r="JTO1721" s="227"/>
      <c r="JTP1721" s="227"/>
      <c r="JTQ1721" s="227"/>
      <c r="JTR1721" s="227"/>
      <c r="JTS1721" s="227"/>
      <c r="JTT1721" s="227"/>
      <c r="JTU1721" s="227"/>
      <c r="JTV1721" s="227"/>
      <c r="JTW1721" s="227"/>
      <c r="JTX1721" s="227"/>
      <c r="JTY1721" s="227"/>
      <c r="JTZ1721" s="227"/>
      <c r="JUA1721" s="227"/>
      <c r="JUB1721" s="227"/>
      <c r="JUC1721" s="227"/>
      <c r="JUD1721" s="227"/>
      <c r="JUE1721" s="227"/>
      <c r="JUF1721" s="227"/>
      <c r="JUG1721" s="227"/>
      <c r="JUH1721" s="227"/>
      <c r="JUI1721" s="227"/>
      <c r="JUJ1721" s="227"/>
      <c r="JUK1721" s="227"/>
      <c r="JUL1721" s="227"/>
      <c r="JUM1721" s="227"/>
      <c r="JUN1721" s="227"/>
      <c r="JUO1721" s="227"/>
      <c r="JUP1721" s="227"/>
      <c r="JUQ1721" s="227"/>
      <c r="JUR1721" s="227"/>
      <c r="JUS1721" s="227"/>
      <c r="JUT1721" s="227"/>
      <c r="JUU1721" s="227"/>
      <c r="JUV1721" s="227"/>
      <c r="JUW1721" s="227"/>
      <c r="JUX1721" s="227"/>
      <c r="JUY1721" s="227"/>
      <c r="JUZ1721" s="227"/>
      <c r="JVA1721" s="227"/>
      <c r="JVB1721" s="227"/>
      <c r="JVC1721" s="227"/>
      <c r="JVD1721" s="227"/>
      <c r="JVE1721" s="227"/>
      <c r="JVF1721" s="227"/>
      <c r="JVG1721" s="227"/>
      <c r="JVH1721" s="227"/>
      <c r="JVI1721" s="227"/>
      <c r="JVJ1721" s="227"/>
      <c r="JVK1721" s="227"/>
      <c r="JVL1721" s="227"/>
      <c r="JVM1721" s="227"/>
      <c r="JVN1721" s="227"/>
      <c r="JVO1721" s="227"/>
      <c r="JVP1721" s="227"/>
      <c r="JVQ1721" s="227"/>
      <c r="JVR1721" s="227"/>
      <c r="JVS1721" s="227"/>
      <c r="JVT1721" s="227"/>
      <c r="JVU1721" s="227"/>
      <c r="JVV1721" s="227"/>
      <c r="JVW1721" s="227"/>
      <c r="JVX1721" s="227"/>
      <c r="JVY1721" s="227"/>
      <c r="JVZ1721" s="227"/>
      <c r="JWA1721" s="227"/>
      <c r="JWB1721" s="227"/>
      <c r="JWC1721" s="227"/>
      <c r="JWD1721" s="227"/>
      <c r="JWE1721" s="227"/>
      <c r="JWF1721" s="227"/>
      <c r="JWG1721" s="227"/>
      <c r="JWH1721" s="227"/>
      <c r="JWI1721" s="227"/>
      <c r="JWJ1721" s="227"/>
      <c r="JWK1721" s="227"/>
      <c r="JWL1721" s="227"/>
      <c r="JWM1721" s="227"/>
      <c r="JWN1721" s="227"/>
      <c r="JWO1721" s="227"/>
      <c r="JWP1721" s="227"/>
      <c r="JWQ1721" s="227"/>
      <c r="JWR1721" s="227"/>
      <c r="JWS1721" s="227"/>
      <c r="JWT1721" s="227"/>
      <c r="JWU1721" s="227"/>
      <c r="JWV1721" s="227"/>
      <c r="JWW1721" s="227"/>
      <c r="JWX1721" s="227"/>
      <c r="JWY1721" s="227"/>
      <c r="JWZ1721" s="227"/>
      <c r="JXA1721" s="227"/>
      <c r="JXB1721" s="227"/>
      <c r="JXC1721" s="227"/>
      <c r="JXD1721" s="227"/>
      <c r="JXE1721" s="227"/>
      <c r="JXF1721" s="227"/>
      <c r="JXG1721" s="227"/>
      <c r="JXH1721" s="227"/>
      <c r="JXI1721" s="227"/>
      <c r="JXJ1721" s="227"/>
      <c r="JXK1721" s="227"/>
      <c r="JXL1721" s="227"/>
      <c r="JXM1721" s="227"/>
      <c r="JXN1721" s="227"/>
      <c r="JXO1721" s="227"/>
      <c r="JXP1721" s="227"/>
      <c r="JXQ1721" s="227"/>
      <c r="JXR1721" s="227"/>
      <c r="JXS1721" s="227"/>
      <c r="JXT1721" s="227"/>
      <c r="JXU1721" s="227"/>
      <c r="JXV1721" s="227"/>
      <c r="JXW1721" s="227"/>
      <c r="JXX1721" s="227"/>
      <c r="JXY1721" s="227"/>
      <c r="JXZ1721" s="227"/>
      <c r="JYA1721" s="227"/>
      <c r="JYB1721" s="227"/>
      <c r="JYC1721" s="227"/>
      <c r="JYD1721" s="227"/>
      <c r="JYE1721" s="227"/>
      <c r="JYF1721" s="227"/>
      <c r="JYG1721" s="227"/>
      <c r="JYH1721" s="227"/>
      <c r="JYI1721" s="227"/>
      <c r="JYJ1721" s="227"/>
      <c r="JYK1721" s="227"/>
      <c r="JYL1721" s="227"/>
      <c r="JYM1721" s="227"/>
      <c r="JYN1721" s="227"/>
      <c r="JYO1721" s="227"/>
      <c r="JYP1721" s="227"/>
      <c r="JYQ1721" s="227"/>
      <c r="JYR1721" s="227"/>
      <c r="JYS1721" s="227"/>
      <c r="JYT1721" s="227"/>
      <c r="JYU1721" s="227"/>
      <c r="JYV1721" s="227"/>
      <c r="JYW1721" s="227"/>
      <c r="JYX1721" s="227"/>
      <c r="JYY1721" s="227"/>
      <c r="JYZ1721" s="227"/>
      <c r="JZA1721" s="227"/>
      <c r="JZB1721" s="227"/>
      <c r="JZC1721" s="227"/>
      <c r="JZD1721" s="227"/>
      <c r="JZE1721" s="227"/>
      <c r="JZF1721" s="227"/>
      <c r="JZG1721" s="227"/>
      <c r="JZH1721" s="227"/>
      <c r="JZI1721" s="227"/>
      <c r="JZJ1721" s="227"/>
      <c r="JZK1721" s="227"/>
      <c r="JZL1721" s="227"/>
      <c r="JZM1721" s="227"/>
      <c r="JZN1721" s="227"/>
      <c r="JZO1721" s="227"/>
      <c r="JZP1721" s="227"/>
      <c r="JZQ1721" s="227"/>
      <c r="JZR1721" s="227"/>
      <c r="JZS1721" s="227"/>
      <c r="JZT1721" s="227"/>
      <c r="JZU1721" s="227"/>
      <c r="JZV1721" s="227"/>
      <c r="JZW1721" s="227"/>
      <c r="JZX1721" s="227"/>
      <c r="JZY1721" s="227"/>
      <c r="JZZ1721" s="227"/>
      <c r="KAA1721" s="227"/>
      <c r="KAB1721" s="227"/>
      <c r="KAC1721" s="227"/>
      <c r="KAD1721" s="227"/>
      <c r="KAE1721" s="227"/>
      <c r="KAF1721" s="227"/>
      <c r="KAG1721" s="227"/>
      <c r="KAH1721" s="227"/>
      <c r="KAI1721" s="227"/>
      <c r="KAJ1721" s="227"/>
      <c r="KAK1721" s="227"/>
      <c r="KAL1721" s="227"/>
      <c r="KAM1721" s="227"/>
      <c r="KAN1721" s="227"/>
      <c r="KAO1721" s="227"/>
      <c r="KAP1721" s="227"/>
      <c r="KAQ1721" s="227"/>
      <c r="KAR1721" s="227"/>
      <c r="KAS1721" s="227"/>
      <c r="KAT1721" s="227"/>
      <c r="KAU1721" s="227"/>
      <c r="KAV1721" s="227"/>
      <c r="KAW1721" s="227"/>
      <c r="KAX1721" s="227"/>
      <c r="KAY1721" s="227"/>
      <c r="KAZ1721" s="227"/>
      <c r="KBA1721" s="227"/>
      <c r="KBB1721" s="227"/>
      <c r="KBC1721" s="227"/>
      <c r="KBD1721" s="227"/>
      <c r="KBE1721" s="227"/>
      <c r="KBF1721" s="227"/>
      <c r="KBG1721" s="227"/>
      <c r="KBH1721" s="227"/>
      <c r="KBI1721" s="227"/>
      <c r="KBJ1721" s="227"/>
      <c r="KBK1721" s="227"/>
      <c r="KBL1721" s="227"/>
      <c r="KBM1721" s="227"/>
      <c r="KBN1721" s="227"/>
      <c r="KBO1721" s="227"/>
      <c r="KBP1721" s="227"/>
      <c r="KBQ1721" s="227"/>
      <c r="KBR1721" s="227"/>
      <c r="KBS1721" s="227"/>
      <c r="KBT1721" s="227"/>
      <c r="KBU1721" s="227"/>
      <c r="KBV1721" s="227"/>
      <c r="KBW1721" s="227"/>
      <c r="KBX1721" s="227"/>
      <c r="KBY1721" s="227"/>
      <c r="KBZ1721" s="227"/>
      <c r="KCA1721" s="227"/>
      <c r="KCB1721" s="227"/>
      <c r="KCC1721" s="227"/>
      <c r="KCD1721" s="227"/>
      <c r="KCE1721" s="227"/>
      <c r="KCF1721" s="227"/>
      <c r="KCG1721" s="227"/>
      <c r="KCH1721" s="227"/>
      <c r="KCI1721" s="227"/>
      <c r="KCJ1721" s="227"/>
      <c r="KCK1721" s="227"/>
      <c r="KCL1721" s="227"/>
      <c r="KCM1721" s="227"/>
      <c r="KCN1721" s="227"/>
      <c r="KCO1721" s="227"/>
      <c r="KCP1721" s="227"/>
      <c r="KCQ1721" s="227"/>
      <c r="KCR1721" s="227"/>
      <c r="KCS1721" s="227"/>
      <c r="KCT1721" s="227"/>
      <c r="KCU1721" s="227"/>
      <c r="KCV1721" s="227"/>
      <c r="KCW1721" s="227"/>
      <c r="KCX1721" s="227"/>
      <c r="KCY1721" s="227"/>
      <c r="KCZ1721" s="227"/>
      <c r="KDA1721" s="227"/>
      <c r="KDB1721" s="227"/>
      <c r="KDC1721" s="227"/>
      <c r="KDD1721" s="227"/>
      <c r="KDE1721" s="227"/>
      <c r="KDF1721" s="227"/>
      <c r="KDG1721" s="227"/>
      <c r="KDH1721" s="227"/>
      <c r="KDI1721" s="227"/>
      <c r="KDJ1721" s="227"/>
      <c r="KDK1721" s="227"/>
      <c r="KDL1721" s="227"/>
      <c r="KDM1721" s="227"/>
      <c r="KDN1721" s="227"/>
      <c r="KDO1721" s="227"/>
      <c r="KDP1721" s="227"/>
      <c r="KDQ1721" s="227"/>
      <c r="KDR1721" s="227"/>
      <c r="KDS1721" s="227"/>
      <c r="KDT1721" s="227"/>
      <c r="KDU1721" s="227"/>
      <c r="KDV1721" s="227"/>
      <c r="KDW1721" s="227"/>
      <c r="KDX1721" s="227"/>
      <c r="KDY1721" s="227"/>
      <c r="KDZ1721" s="227"/>
      <c r="KEA1721" s="227"/>
      <c r="KEB1721" s="227"/>
      <c r="KEC1721" s="227"/>
      <c r="KED1721" s="227"/>
      <c r="KEE1721" s="227"/>
      <c r="KEF1721" s="227"/>
      <c r="KEG1721" s="227"/>
      <c r="KEH1721" s="227"/>
      <c r="KEI1721" s="227"/>
      <c r="KEJ1721" s="227"/>
      <c r="KEK1721" s="227"/>
      <c r="KEL1721" s="227"/>
      <c r="KEM1721" s="227"/>
      <c r="KEN1721" s="227"/>
      <c r="KEO1721" s="227"/>
      <c r="KEP1721" s="227"/>
      <c r="KEQ1721" s="227"/>
      <c r="KER1721" s="227"/>
      <c r="KES1721" s="227"/>
      <c r="KET1721" s="227"/>
      <c r="KEU1721" s="227"/>
      <c r="KEV1721" s="227"/>
      <c r="KEW1721" s="227"/>
      <c r="KEX1721" s="227"/>
      <c r="KEY1721" s="227"/>
      <c r="KEZ1721" s="227"/>
      <c r="KFA1721" s="227"/>
      <c r="KFB1721" s="227"/>
      <c r="KFC1721" s="227"/>
      <c r="KFD1721" s="227"/>
      <c r="KFE1721" s="227"/>
      <c r="KFF1721" s="227"/>
      <c r="KFG1721" s="227"/>
      <c r="KFH1721" s="227"/>
      <c r="KFI1721" s="227"/>
      <c r="KFJ1721" s="227"/>
      <c r="KFK1721" s="227"/>
      <c r="KFL1721" s="227"/>
      <c r="KFM1721" s="227"/>
      <c r="KFN1721" s="227"/>
      <c r="KFO1721" s="227"/>
      <c r="KFP1721" s="227"/>
      <c r="KFQ1721" s="227"/>
      <c r="KFR1721" s="227"/>
      <c r="KFS1721" s="227"/>
      <c r="KFT1721" s="227"/>
      <c r="KFU1721" s="227"/>
      <c r="KFV1721" s="227"/>
      <c r="KFW1721" s="227"/>
      <c r="KFX1721" s="227"/>
      <c r="KFY1721" s="227"/>
      <c r="KFZ1721" s="227"/>
      <c r="KGA1721" s="227"/>
      <c r="KGB1721" s="227"/>
      <c r="KGC1721" s="227"/>
      <c r="KGD1721" s="227"/>
      <c r="KGE1721" s="227"/>
      <c r="KGF1721" s="227"/>
      <c r="KGG1721" s="227"/>
      <c r="KGH1721" s="227"/>
      <c r="KGI1721" s="227"/>
      <c r="KGJ1721" s="227"/>
      <c r="KGK1721" s="227"/>
      <c r="KGL1721" s="227"/>
      <c r="KGM1721" s="227"/>
      <c r="KGN1721" s="227"/>
      <c r="KGO1721" s="227"/>
      <c r="KGP1721" s="227"/>
      <c r="KGQ1721" s="227"/>
      <c r="KGR1721" s="227"/>
      <c r="KGS1721" s="227"/>
      <c r="KGT1721" s="227"/>
      <c r="KGU1721" s="227"/>
      <c r="KGV1721" s="227"/>
      <c r="KGW1721" s="227"/>
      <c r="KGX1721" s="227"/>
      <c r="KGY1721" s="227"/>
      <c r="KGZ1721" s="227"/>
      <c r="KHA1721" s="227"/>
      <c r="KHB1721" s="227"/>
      <c r="KHC1721" s="227"/>
      <c r="KHD1721" s="227"/>
      <c r="KHE1721" s="227"/>
      <c r="KHF1721" s="227"/>
      <c r="KHG1721" s="227"/>
      <c r="KHH1721" s="227"/>
      <c r="KHI1721" s="227"/>
      <c r="KHJ1721" s="227"/>
      <c r="KHK1721" s="227"/>
      <c r="KHL1721" s="227"/>
      <c r="KHM1721" s="227"/>
      <c r="KHN1721" s="227"/>
      <c r="KHO1721" s="227"/>
      <c r="KHP1721" s="227"/>
      <c r="KHQ1721" s="227"/>
      <c r="KHR1721" s="227"/>
      <c r="KHS1721" s="227"/>
      <c r="KHT1721" s="227"/>
      <c r="KHU1721" s="227"/>
      <c r="KHV1721" s="227"/>
      <c r="KHW1721" s="227"/>
      <c r="KHX1721" s="227"/>
      <c r="KHY1721" s="227"/>
      <c r="KHZ1721" s="227"/>
      <c r="KIA1721" s="227"/>
      <c r="KIB1721" s="227"/>
      <c r="KIC1721" s="227"/>
      <c r="KID1721" s="227"/>
      <c r="KIE1721" s="227"/>
      <c r="KIF1721" s="227"/>
      <c r="KIG1721" s="227"/>
      <c r="KIH1721" s="227"/>
      <c r="KII1721" s="227"/>
      <c r="KIJ1721" s="227"/>
      <c r="KIK1721" s="227"/>
      <c r="KIL1721" s="227"/>
      <c r="KIM1721" s="227"/>
      <c r="KIN1721" s="227"/>
      <c r="KIO1721" s="227"/>
      <c r="KIP1721" s="227"/>
      <c r="KIQ1721" s="227"/>
      <c r="KIR1721" s="227"/>
      <c r="KIS1721" s="227"/>
      <c r="KIT1721" s="227"/>
      <c r="KIU1721" s="227"/>
      <c r="KIV1721" s="227"/>
      <c r="KIW1721" s="227"/>
      <c r="KIX1721" s="227"/>
      <c r="KIY1721" s="227"/>
      <c r="KIZ1721" s="227"/>
      <c r="KJA1721" s="227"/>
      <c r="KJB1721" s="227"/>
      <c r="KJC1721" s="227"/>
      <c r="KJD1721" s="227"/>
      <c r="KJE1721" s="227"/>
      <c r="KJF1721" s="227"/>
      <c r="KJG1721" s="227"/>
      <c r="KJH1721" s="227"/>
      <c r="KJI1721" s="227"/>
      <c r="KJJ1721" s="227"/>
      <c r="KJK1721" s="227"/>
      <c r="KJL1721" s="227"/>
      <c r="KJM1721" s="227"/>
      <c r="KJN1721" s="227"/>
      <c r="KJO1721" s="227"/>
      <c r="KJP1721" s="227"/>
      <c r="KJQ1721" s="227"/>
      <c r="KJR1721" s="227"/>
      <c r="KJS1721" s="227"/>
      <c r="KJT1721" s="227"/>
      <c r="KJU1721" s="227"/>
      <c r="KJV1721" s="227"/>
      <c r="KJW1721" s="227"/>
      <c r="KJX1721" s="227"/>
      <c r="KJY1721" s="227"/>
      <c r="KJZ1721" s="227"/>
      <c r="KKA1721" s="227"/>
      <c r="KKB1721" s="227"/>
      <c r="KKC1721" s="227"/>
      <c r="KKD1721" s="227"/>
      <c r="KKE1721" s="227"/>
      <c r="KKF1721" s="227"/>
      <c r="KKG1721" s="227"/>
      <c r="KKH1721" s="227"/>
      <c r="KKI1721" s="227"/>
      <c r="KKJ1721" s="227"/>
      <c r="KKK1721" s="227"/>
      <c r="KKL1721" s="227"/>
      <c r="KKM1721" s="227"/>
      <c r="KKN1721" s="227"/>
      <c r="KKO1721" s="227"/>
      <c r="KKP1721" s="227"/>
      <c r="KKQ1721" s="227"/>
      <c r="KKR1721" s="227"/>
      <c r="KKS1721" s="227"/>
      <c r="KKT1721" s="227"/>
      <c r="KKU1721" s="227"/>
      <c r="KKV1721" s="227"/>
      <c r="KKW1721" s="227"/>
      <c r="KKX1721" s="227"/>
      <c r="KKY1721" s="227"/>
      <c r="KKZ1721" s="227"/>
      <c r="KLA1721" s="227"/>
      <c r="KLB1721" s="227"/>
      <c r="KLC1721" s="227"/>
      <c r="KLD1721" s="227"/>
      <c r="KLE1721" s="227"/>
      <c r="KLF1721" s="227"/>
      <c r="KLG1721" s="227"/>
      <c r="KLH1721" s="227"/>
      <c r="KLI1721" s="227"/>
      <c r="KLJ1721" s="227"/>
      <c r="KLK1721" s="227"/>
      <c r="KLL1721" s="227"/>
      <c r="KLM1721" s="227"/>
      <c r="KLN1721" s="227"/>
      <c r="KLO1721" s="227"/>
      <c r="KLP1721" s="227"/>
      <c r="KLQ1721" s="227"/>
      <c r="KLR1721" s="227"/>
      <c r="KLS1721" s="227"/>
      <c r="KLT1721" s="227"/>
      <c r="KLU1721" s="227"/>
      <c r="KLV1721" s="227"/>
      <c r="KLW1721" s="227"/>
      <c r="KLX1721" s="227"/>
      <c r="KLY1721" s="227"/>
      <c r="KLZ1721" s="227"/>
      <c r="KMA1721" s="227"/>
      <c r="KMB1721" s="227"/>
      <c r="KMC1721" s="227"/>
      <c r="KMD1721" s="227"/>
      <c r="KME1721" s="227"/>
      <c r="KMF1721" s="227"/>
      <c r="KMG1721" s="227"/>
      <c r="KMH1721" s="227"/>
      <c r="KMI1721" s="227"/>
      <c r="KMJ1721" s="227"/>
      <c r="KMK1721" s="227"/>
      <c r="KML1721" s="227"/>
      <c r="KMM1721" s="227"/>
      <c r="KMN1721" s="227"/>
      <c r="KMO1721" s="227"/>
      <c r="KMP1721" s="227"/>
      <c r="KMQ1721" s="227"/>
      <c r="KMR1721" s="227"/>
      <c r="KMS1721" s="227"/>
      <c r="KMT1721" s="227"/>
      <c r="KMU1721" s="227"/>
      <c r="KMV1721" s="227"/>
      <c r="KMW1721" s="227"/>
      <c r="KMX1721" s="227"/>
      <c r="KMY1721" s="227"/>
      <c r="KMZ1721" s="227"/>
      <c r="KNA1721" s="227"/>
      <c r="KNB1721" s="227"/>
      <c r="KNC1721" s="227"/>
      <c r="KND1721" s="227"/>
      <c r="KNE1721" s="227"/>
      <c r="KNF1721" s="227"/>
      <c r="KNG1721" s="227"/>
      <c r="KNH1721" s="227"/>
      <c r="KNI1721" s="227"/>
      <c r="KNJ1721" s="227"/>
      <c r="KNK1721" s="227"/>
      <c r="KNL1721" s="227"/>
      <c r="KNM1721" s="227"/>
      <c r="KNN1721" s="227"/>
      <c r="KNO1721" s="227"/>
      <c r="KNP1721" s="227"/>
      <c r="KNQ1721" s="227"/>
      <c r="KNR1721" s="227"/>
      <c r="KNS1721" s="227"/>
      <c r="KNT1721" s="227"/>
      <c r="KNU1721" s="227"/>
      <c r="KNV1721" s="227"/>
      <c r="KNW1721" s="227"/>
      <c r="KNX1721" s="227"/>
      <c r="KNY1721" s="227"/>
      <c r="KNZ1721" s="227"/>
      <c r="KOA1721" s="227"/>
      <c r="KOB1721" s="227"/>
      <c r="KOC1721" s="227"/>
      <c r="KOD1721" s="227"/>
      <c r="KOE1721" s="227"/>
      <c r="KOF1721" s="227"/>
      <c r="KOG1721" s="227"/>
      <c r="KOH1721" s="227"/>
      <c r="KOI1721" s="227"/>
      <c r="KOJ1721" s="227"/>
      <c r="KOK1721" s="227"/>
      <c r="KOL1721" s="227"/>
      <c r="KOM1721" s="227"/>
      <c r="KON1721" s="227"/>
      <c r="KOO1721" s="227"/>
      <c r="KOP1721" s="227"/>
      <c r="KOQ1721" s="227"/>
      <c r="KOR1721" s="227"/>
      <c r="KOS1721" s="227"/>
      <c r="KOT1721" s="227"/>
      <c r="KOU1721" s="227"/>
      <c r="KOV1721" s="227"/>
      <c r="KOW1721" s="227"/>
      <c r="KOX1721" s="227"/>
      <c r="KOY1721" s="227"/>
      <c r="KOZ1721" s="227"/>
      <c r="KPA1721" s="227"/>
      <c r="KPB1721" s="227"/>
      <c r="KPC1721" s="227"/>
      <c r="KPD1721" s="227"/>
      <c r="KPE1721" s="227"/>
      <c r="KPF1721" s="227"/>
      <c r="KPG1721" s="227"/>
      <c r="KPH1721" s="227"/>
      <c r="KPI1721" s="227"/>
      <c r="KPJ1721" s="227"/>
      <c r="KPK1721" s="227"/>
      <c r="KPL1721" s="227"/>
      <c r="KPM1721" s="227"/>
      <c r="KPN1721" s="227"/>
      <c r="KPO1721" s="227"/>
      <c r="KPP1721" s="227"/>
      <c r="KPQ1721" s="227"/>
      <c r="KPR1721" s="227"/>
      <c r="KPS1721" s="227"/>
      <c r="KPT1721" s="227"/>
      <c r="KPU1721" s="227"/>
      <c r="KPV1721" s="227"/>
      <c r="KPW1721" s="227"/>
      <c r="KPX1721" s="227"/>
      <c r="KPY1721" s="227"/>
      <c r="KPZ1721" s="227"/>
      <c r="KQA1721" s="227"/>
      <c r="KQB1721" s="227"/>
      <c r="KQC1721" s="227"/>
      <c r="KQD1721" s="227"/>
      <c r="KQE1721" s="227"/>
      <c r="KQF1721" s="227"/>
      <c r="KQG1721" s="227"/>
      <c r="KQH1721" s="227"/>
      <c r="KQI1721" s="227"/>
      <c r="KQJ1721" s="227"/>
      <c r="KQK1721" s="227"/>
      <c r="KQL1721" s="227"/>
      <c r="KQM1721" s="227"/>
      <c r="KQN1721" s="227"/>
      <c r="KQO1721" s="227"/>
      <c r="KQP1721" s="227"/>
      <c r="KQQ1721" s="227"/>
      <c r="KQR1721" s="227"/>
      <c r="KQS1721" s="227"/>
      <c r="KQT1721" s="227"/>
      <c r="KQU1721" s="227"/>
      <c r="KQV1721" s="227"/>
      <c r="KQW1721" s="227"/>
      <c r="KQX1721" s="227"/>
      <c r="KQY1721" s="227"/>
      <c r="KQZ1721" s="227"/>
      <c r="KRA1721" s="227"/>
      <c r="KRB1721" s="227"/>
      <c r="KRC1721" s="227"/>
      <c r="KRD1721" s="227"/>
      <c r="KRE1721" s="227"/>
      <c r="KRF1721" s="227"/>
      <c r="KRG1721" s="227"/>
      <c r="KRH1721" s="227"/>
      <c r="KRI1721" s="227"/>
      <c r="KRJ1721" s="227"/>
      <c r="KRK1721" s="227"/>
      <c r="KRL1721" s="227"/>
      <c r="KRM1721" s="227"/>
      <c r="KRN1721" s="227"/>
      <c r="KRO1721" s="227"/>
      <c r="KRP1721" s="227"/>
      <c r="KRQ1721" s="227"/>
      <c r="KRR1721" s="227"/>
      <c r="KRS1721" s="227"/>
      <c r="KRT1721" s="227"/>
      <c r="KRU1721" s="227"/>
      <c r="KRV1721" s="227"/>
      <c r="KRW1721" s="227"/>
      <c r="KRX1721" s="227"/>
      <c r="KRY1721" s="227"/>
      <c r="KRZ1721" s="227"/>
      <c r="KSA1721" s="227"/>
      <c r="KSB1721" s="227"/>
      <c r="KSC1721" s="227"/>
      <c r="KSD1721" s="227"/>
      <c r="KSE1721" s="227"/>
      <c r="KSF1721" s="227"/>
      <c r="KSG1721" s="227"/>
      <c r="KSH1721" s="227"/>
      <c r="KSI1721" s="227"/>
      <c r="KSJ1721" s="227"/>
      <c r="KSK1721" s="227"/>
      <c r="KSL1721" s="227"/>
      <c r="KSM1721" s="227"/>
      <c r="KSN1721" s="227"/>
      <c r="KSO1721" s="227"/>
      <c r="KSP1721" s="227"/>
      <c r="KSQ1721" s="227"/>
      <c r="KSR1721" s="227"/>
      <c r="KSS1721" s="227"/>
      <c r="KST1721" s="227"/>
      <c r="KSU1721" s="227"/>
      <c r="KSV1721" s="227"/>
      <c r="KSW1721" s="227"/>
      <c r="KSX1721" s="227"/>
      <c r="KSY1721" s="227"/>
      <c r="KSZ1721" s="227"/>
      <c r="KTA1721" s="227"/>
      <c r="KTB1721" s="227"/>
      <c r="KTC1721" s="227"/>
      <c r="KTD1721" s="227"/>
      <c r="KTE1721" s="227"/>
      <c r="KTF1721" s="227"/>
      <c r="KTG1721" s="227"/>
      <c r="KTH1721" s="227"/>
      <c r="KTI1721" s="227"/>
      <c r="KTJ1721" s="227"/>
      <c r="KTK1721" s="227"/>
      <c r="KTL1721" s="227"/>
      <c r="KTM1721" s="227"/>
      <c r="KTN1721" s="227"/>
      <c r="KTO1721" s="227"/>
      <c r="KTP1721" s="227"/>
      <c r="KTQ1721" s="227"/>
      <c r="KTR1721" s="227"/>
      <c r="KTS1721" s="227"/>
      <c r="KTT1721" s="227"/>
      <c r="KTU1721" s="227"/>
      <c r="KTV1721" s="227"/>
      <c r="KTW1721" s="227"/>
      <c r="KTX1721" s="227"/>
      <c r="KTY1721" s="227"/>
      <c r="KTZ1721" s="227"/>
      <c r="KUA1721" s="227"/>
      <c r="KUB1721" s="227"/>
      <c r="KUC1721" s="227"/>
      <c r="KUD1721" s="227"/>
      <c r="KUE1721" s="227"/>
      <c r="KUF1721" s="227"/>
      <c r="KUG1721" s="227"/>
      <c r="KUH1721" s="227"/>
      <c r="KUI1721" s="227"/>
      <c r="KUJ1721" s="227"/>
      <c r="KUK1721" s="227"/>
      <c r="KUL1721" s="227"/>
      <c r="KUM1721" s="227"/>
      <c r="KUN1721" s="227"/>
      <c r="KUO1721" s="227"/>
      <c r="KUP1721" s="227"/>
      <c r="KUQ1721" s="227"/>
      <c r="KUR1721" s="227"/>
      <c r="KUS1721" s="227"/>
      <c r="KUT1721" s="227"/>
      <c r="KUU1721" s="227"/>
      <c r="KUV1721" s="227"/>
      <c r="KUW1721" s="227"/>
      <c r="KUX1721" s="227"/>
      <c r="KUY1721" s="227"/>
      <c r="KUZ1721" s="227"/>
      <c r="KVA1721" s="227"/>
      <c r="KVB1721" s="227"/>
      <c r="KVC1721" s="227"/>
      <c r="KVD1721" s="227"/>
      <c r="KVE1721" s="227"/>
      <c r="KVF1721" s="227"/>
      <c r="KVG1721" s="227"/>
      <c r="KVH1721" s="227"/>
      <c r="KVI1721" s="227"/>
      <c r="KVJ1721" s="227"/>
      <c r="KVK1721" s="227"/>
      <c r="KVL1721" s="227"/>
      <c r="KVM1721" s="227"/>
      <c r="KVN1721" s="227"/>
      <c r="KVO1721" s="227"/>
      <c r="KVP1721" s="227"/>
      <c r="KVQ1721" s="227"/>
      <c r="KVR1721" s="227"/>
      <c r="KVS1721" s="227"/>
      <c r="KVT1721" s="227"/>
      <c r="KVU1721" s="227"/>
      <c r="KVV1721" s="227"/>
      <c r="KVW1721" s="227"/>
      <c r="KVX1721" s="227"/>
      <c r="KVY1721" s="227"/>
      <c r="KVZ1721" s="227"/>
      <c r="KWA1721" s="227"/>
      <c r="KWB1721" s="227"/>
      <c r="KWC1721" s="227"/>
      <c r="KWD1721" s="227"/>
      <c r="KWE1721" s="227"/>
      <c r="KWF1721" s="227"/>
      <c r="KWG1721" s="227"/>
      <c r="KWH1721" s="227"/>
      <c r="KWI1721" s="227"/>
      <c r="KWJ1721" s="227"/>
      <c r="KWK1721" s="227"/>
      <c r="KWL1721" s="227"/>
      <c r="KWM1721" s="227"/>
      <c r="KWN1721" s="227"/>
      <c r="KWO1721" s="227"/>
      <c r="KWP1721" s="227"/>
      <c r="KWQ1721" s="227"/>
      <c r="KWR1721" s="227"/>
      <c r="KWS1721" s="227"/>
      <c r="KWT1721" s="227"/>
      <c r="KWU1721" s="227"/>
      <c r="KWV1721" s="227"/>
      <c r="KWW1721" s="227"/>
      <c r="KWX1721" s="227"/>
      <c r="KWY1721" s="227"/>
      <c r="KWZ1721" s="227"/>
      <c r="KXA1721" s="227"/>
      <c r="KXB1721" s="227"/>
      <c r="KXC1721" s="227"/>
      <c r="KXD1721" s="227"/>
      <c r="KXE1721" s="227"/>
      <c r="KXF1721" s="227"/>
      <c r="KXG1721" s="227"/>
      <c r="KXH1721" s="227"/>
      <c r="KXI1721" s="227"/>
      <c r="KXJ1721" s="227"/>
      <c r="KXK1721" s="227"/>
      <c r="KXL1721" s="227"/>
      <c r="KXM1721" s="227"/>
      <c r="KXN1721" s="227"/>
      <c r="KXO1721" s="227"/>
      <c r="KXP1721" s="227"/>
      <c r="KXQ1721" s="227"/>
      <c r="KXR1721" s="227"/>
      <c r="KXS1721" s="227"/>
      <c r="KXT1721" s="227"/>
      <c r="KXU1721" s="227"/>
      <c r="KXV1721" s="227"/>
      <c r="KXW1721" s="227"/>
      <c r="KXX1721" s="227"/>
      <c r="KXY1721" s="227"/>
      <c r="KXZ1721" s="227"/>
      <c r="KYA1721" s="227"/>
      <c r="KYB1721" s="227"/>
      <c r="KYC1721" s="227"/>
      <c r="KYD1721" s="227"/>
      <c r="KYE1721" s="227"/>
      <c r="KYF1721" s="227"/>
      <c r="KYG1721" s="227"/>
      <c r="KYH1721" s="227"/>
      <c r="KYI1721" s="227"/>
      <c r="KYJ1721" s="227"/>
      <c r="KYK1721" s="227"/>
      <c r="KYL1721" s="227"/>
      <c r="KYM1721" s="227"/>
      <c r="KYN1721" s="227"/>
      <c r="KYO1721" s="227"/>
      <c r="KYP1721" s="227"/>
      <c r="KYQ1721" s="227"/>
      <c r="KYR1721" s="227"/>
      <c r="KYS1721" s="227"/>
      <c r="KYT1721" s="227"/>
      <c r="KYU1721" s="227"/>
      <c r="KYV1721" s="227"/>
      <c r="KYW1721" s="227"/>
      <c r="KYX1721" s="227"/>
      <c r="KYY1721" s="227"/>
      <c r="KYZ1721" s="227"/>
      <c r="KZA1721" s="227"/>
      <c r="KZB1721" s="227"/>
      <c r="KZC1721" s="227"/>
      <c r="KZD1721" s="227"/>
      <c r="KZE1721" s="227"/>
      <c r="KZF1721" s="227"/>
      <c r="KZG1721" s="227"/>
      <c r="KZH1721" s="227"/>
      <c r="KZI1721" s="227"/>
      <c r="KZJ1721" s="227"/>
      <c r="KZK1721" s="227"/>
      <c r="KZL1721" s="227"/>
      <c r="KZM1721" s="227"/>
      <c r="KZN1721" s="227"/>
      <c r="KZO1721" s="227"/>
      <c r="KZP1721" s="227"/>
      <c r="KZQ1721" s="227"/>
      <c r="KZR1721" s="227"/>
      <c r="KZS1721" s="227"/>
      <c r="KZT1721" s="227"/>
      <c r="KZU1721" s="227"/>
      <c r="KZV1721" s="227"/>
      <c r="KZW1721" s="227"/>
      <c r="KZX1721" s="227"/>
      <c r="KZY1721" s="227"/>
      <c r="KZZ1721" s="227"/>
      <c r="LAA1721" s="227"/>
      <c r="LAB1721" s="227"/>
      <c r="LAC1721" s="227"/>
      <c r="LAD1721" s="227"/>
      <c r="LAE1721" s="227"/>
      <c r="LAF1721" s="227"/>
      <c r="LAG1721" s="227"/>
      <c r="LAH1721" s="227"/>
      <c r="LAI1721" s="227"/>
      <c r="LAJ1721" s="227"/>
      <c r="LAK1721" s="227"/>
      <c r="LAL1721" s="227"/>
      <c r="LAM1721" s="227"/>
      <c r="LAN1721" s="227"/>
      <c r="LAO1721" s="227"/>
      <c r="LAP1721" s="227"/>
      <c r="LAQ1721" s="227"/>
      <c r="LAR1721" s="227"/>
      <c r="LAS1721" s="227"/>
      <c r="LAT1721" s="227"/>
      <c r="LAU1721" s="227"/>
      <c r="LAV1721" s="227"/>
      <c r="LAW1721" s="227"/>
      <c r="LAX1721" s="227"/>
      <c r="LAY1721" s="227"/>
      <c r="LAZ1721" s="227"/>
      <c r="LBA1721" s="227"/>
      <c r="LBB1721" s="227"/>
      <c r="LBC1721" s="227"/>
      <c r="LBD1721" s="227"/>
      <c r="LBE1721" s="227"/>
      <c r="LBF1721" s="227"/>
      <c r="LBG1721" s="227"/>
      <c r="LBH1721" s="227"/>
      <c r="LBI1721" s="227"/>
      <c r="LBJ1721" s="227"/>
      <c r="LBK1721" s="227"/>
      <c r="LBL1721" s="227"/>
      <c r="LBM1721" s="227"/>
      <c r="LBN1721" s="227"/>
      <c r="LBO1721" s="227"/>
      <c r="LBP1721" s="227"/>
      <c r="LBQ1721" s="227"/>
      <c r="LBR1721" s="227"/>
      <c r="LBS1721" s="227"/>
      <c r="LBT1721" s="227"/>
      <c r="LBU1721" s="227"/>
      <c r="LBV1721" s="227"/>
      <c r="LBW1721" s="227"/>
      <c r="LBX1721" s="227"/>
      <c r="LBY1721" s="227"/>
      <c r="LBZ1721" s="227"/>
      <c r="LCA1721" s="227"/>
      <c r="LCB1721" s="227"/>
      <c r="LCC1721" s="227"/>
      <c r="LCD1721" s="227"/>
      <c r="LCE1721" s="227"/>
      <c r="LCF1721" s="227"/>
      <c r="LCG1721" s="227"/>
      <c r="LCH1721" s="227"/>
      <c r="LCI1721" s="227"/>
      <c r="LCJ1721" s="227"/>
      <c r="LCK1721" s="227"/>
      <c r="LCL1721" s="227"/>
      <c r="LCM1721" s="227"/>
      <c r="LCN1721" s="227"/>
      <c r="LCO1721" s="227"/>
      <c r="LCP1721" s="227"/>
      <c r="LCQ1721" s="227"/>
      <c r="LCR1721" s="227"/>
      <c r="LCS1721" s="227"/>
      <c r="LCT1721" s="227"/>
      <c r="LCU1721" s="227"/>
      <c r="LCV1721" s="227"/>
      <c r="LCW1721" s="227"/>
      <c r="LCX1721" s="227"/>
      <c r="LCY1721" s="227"/>
      <c r="LCZ1721" s="227"/>
      <c r="LDA1721" s="227"/>
      <c r="LDB1721" s="227"/>
      <c r="LDC1721" s="227"/>
      <c r="LDD1721" s="227"/>
      <c r="LDE1721" s="227"/>
      <c r="LDF1721" s="227"/>
      <c r="LDG1721" s="227"/>
      <c r="LDH1721" s="227"/>
      <c r="LDI1721" s="227"/>
      <c r="LDJ1721" s="227"/>
      <c r="LDK1721" s="227"/>
      <c r="LDL1721" s="227"/>
      <c r="LDM1721" s="227"/>
      <c r="LDN1721" s="227"/>
      <c r="LDO1721" s="227"/>
      <c r="LDP1721" s="227"/>
      <c r="LDQ1721" s="227"/>
      <c r="LDR1721" s="227"/>
      <c r="LDS1721" s="227"/>
      <c r="LDT1721" s="227"/>
      <c r="LDU1721" s="227"/>
      <c r="LDV1721" s="227"/>
      <c r="LDW1721" s="227"/>
      <c r="LDX1721" s="227"/>
      <c r="LDY1721" s="227"/>
      <c r="LDZ1721" s="227"/>
      <c r="LEA1721" s="227"/>
      <c r="LEB1721" s="227"/>
      <c r="LEC1721" s="227"/>
      <c r="LED1721" s="227"/>
      <c r="LEE1721" s="227"/>
      <c r="LEF1721" s="227"/>
      <c r="LEG1721" s="227"/>
      <c r="LEH1721" s="227"/>
      <c r="LEI1721" s="227"/>
      <c r="LEJ1721" s="227"/>
      <c r="LEK1721" s="227"/>
      <c r="LEL1721" s="227"/>
      <c r="LEM1721" s="227"/>
      <c r="LEN1721" s="227"/>
      <c r="LEO1721" s="227"/>
      <c r="LEP1721" s="227"/>
      <c r="LEQ1721" s="227"/>
      <c r="LER1721" s="227"/>
      <c r="LES1721" s="227"/>
      <c r="LET1721" s="227"/>
      <c r="LEU1721" s="227"/>
      <c r="LEV1721" s="227"/>
      <c r="LEW1721" s="227"/>
      <c r="LEX1721" s="227"/>
      <c r="LEY1721" s="227"/>
      <c r="LEZ1721" s="227"/>
      <c r="LFA1721" s="227"/>
      <c r="LFB1721" s="227"/>
      <c r="LFC1721" s="227"/>
      <c r="LFD1721" s="227"/>
      <c r="LFE1721" s="227"/>
      <c r="LFF1721" s="227"/>
      <c r="LFG1721" s="227"/>
      <c r="LFH1721" s="227"/>
      <c r="LFI1721" s="227"/>
      <c r="LFJ1721" s="227"/>
      <c r="LFK1721" s="227"/>
      <c r="LFL1721" s="227"/>
      <c r="LFM1721" s="227"/>
      <c r="LFN1721" s="227"/>
      <c r="LFO1721" s="227"/>
      <c r="LFP1721" s="227"/>
      <c r="LFQ1721" s="227"/>
      <c r="LFR1721" s="227"/>
      <c r="LFS1721" s="227"/>
      <c r="LFT1721" s="227"/>
      <c r="LFU1721" s="227"/>
      <c r="LFV1721" s="227"/>
      <c r="LFW1721" s="227"/>
      <c r="LFX1721" s="227"/>
      <c r="LFY1721" s="227"/>
      <c r="LFZ1721" s="227"/>
      <c r="LGA1721" s="227"/>
      <c r="LGB1721" s="227"/>
      <c r="LGC1721" s="227"/>
      <c r="LGD1721" s="227"/>
      <c r="LGE1721" s="227"/>
      <c r="LGF1721" s="227"/>
      <c r="LGG1721" s="227"/>
      <c r="LGH1721" s="227"/>
      <c r="LGI1721" s="227"/>
      <c r="LGJ1721" s="227"/>
      <c r="LGK1721" s="227"/>
      <c r="LGL1721" s="227"/>
      <c r="LGM1721" s="227"/>
      <c r="LGN1721" s="227"/>
      <c r="LGO1721" s="227"/>
      <c r="LGP1721" s="227"/>
      <c r="LGQ1721" s="227"/>
      <c r="LGR1721" s="227"/>
      <c r="LGS1721" s="227"/>
      <c r="LGT1721" s="227"/>
      <c r="LGU1721" s="227"/>
      <c r="LGV1721" s="227"/>
      <c r="LGW1721" s="227"/>
      <c r="LGX1721" s="227"/>
      <c r="LGY1721" s="227"/>
      <c r="LGZ1721" s="227"/>
      <c r="LHA1721" s="227"/>
      <c r="LHB1721" s="227"/>
      <c r="LHC1721" s="227"/>
      <c r="LHD1721" s="227"/>
      <c r="LHE1721" s="227"/>
      <c r="LHF1721" s="227"/>
      <c r="LHG1721" s="227"/>
      <c r="LHH1721" s="227"/>
      <c r="LHI1721" s="227"/>
      <c r="LHJ1721" s="227"/>
      <c r="LHK1721" s="227"/>
      <c r="LHL1721" s="227"/>
      <c r="LHM1721" s="227"/>
      <c r="LHN1721" s="227"/>
      <c r="LHO1721" s="227"/>
      <c r="LHP1721" s="227"/>
      <c r="LHQ1721" s="227"/>
      <c r="LHR1721" s="227"/>
      <c r="LHS1721" s="227"/>
      <c r="LHT1721" s="227"/>
      <c r="LHU1721" s="227"/>
      <c r="LHV1721" s="227"/>
      <c r="LHW1721" s="227"/>
      <c r="LHX1721" s="227"/>
      <c r="LHY1721" s="227"/>
      <c r="LHZ1721" s="227"/>
      <c r="LIA1721" s="227"/>
      <c r="LIB1721" s="227"/>
      <c r="LIC1721" s="227"/>
      <c r="LID1721" s="227"/>
      <c r="LIE1721" s="227"/>
      <c r="LIF1721" s="227"/>
      <c r="LIG1721" s="227"/>
      <c r="LIH1721" s="227"/>
      <c r="LII1721" s="227"/>
      <c r="LIJ1721" s="227"/>
      <c r="LIK1721" s="227"/>
      <c r="LIL1721" s="227"/>
      <c r="LIM1721" s="227"/>
      <c r="LIN1721" s="227"/>
      <c r="LIO1721" s="227"/>
      <c r="LIP1721" s="227"/>
      <c r="LIQ1721" s="227"/>
      <c r="LIR1721" s="227"/>
      <c r="LIS1721" s="227"/>
      <c r="LIT1721" s="227"/>
      <c r="LIU1721" s="227"/>
      <c r="LIV1721" s="227"/>
      <c r="LIW1721" s="227"/>
      <c r="LIX1721" s="227"/>
      <c r="LIY1721" s="227"/>
      <c r="LIZ1721" s="227"/>
      <c r="LJA1721" s="227"/>
      <c r="LJB1721" s="227"/>
      <c r="LJC1721" s="227"/>
      <c r="LJD1721" s="227"/>
      <c r="LJE1721" s="227"/>
      <c r="LJF1721" s="227"/>
      <c r="LJG1721" s="227"/>
      <c r="LJH1721" s="227"/>
      <c r="LJI1721" s="227"/>
      <c r="LJJ1721" s="227"/>
      <c r="LJK1721" s="227"/>
      <c r="LJL1721" s="227"/>
      <c r="LJM1721" s="227"/>
      <c r="LJN1721" s="227"/>
      <c r="LJO1721" s="227"/>
      <c r="LJP1721" s="227"/>
      <c r="LJQ1721" s="227"/>
      <c r="LJR1721" s="227"/>
      <c r="LJS1721" s="227"/>
      <c r="LJT1721" s="227"/>
      <c r="LJU1721" s="227"/>
      <c r="LJV1721" s="227"/>
      <c r="LJW1721" s="227"/>
      <c r="LJX1721" s="227"/>
      <c r="LJY1721" s="227"/>
      <c r="LJZ1721" s="227"/>
      <c r="LKA1721" s="227"/>
      <c r="LKB1721" s="227"/>
      <c r="LKC1721" s="227"/>
      <c r="LKD1721" s="227"/>
      <c r="LKE1721" s="227"/>
      <c r="LKF1721" s="227"/>
      <c r="LKG1721" s="227"/>
      <c r="LKH1721" s="227"/>
      <c r="LKI1721" s="227"/>
      <c r="LKJ1721" s="227"/>
      <c r="LKK1721" s="227"/>
      <c r="LKL1721" s="227"/>
      <c r="LKM1721" s="227"/>
      <c r="LKN1721" s="227"/>
      <c r="LKO1721" s="227"/>
      <c r="LKP1721" s="227"/>
      <c r="LKQ1721" s="227"/>
      <c r="LKR1721" s="227"/>
      <c r="LKS1721" s="227"/>
      <c r="LKT1721" s="227"/>
      <c r="LKU1721" s="227"/>
      <c r="LKV1721" s="227"/>
      <c r="LKW1721" s="227"/>
      <c r="LKX1721" s="227"/>
      <c r="LKY1721" s="227"/>
      <c r="LKZ1721" s="227"/>
      <c r="LLA1721" s="227"/>
      <c r="LLB1721" s="227"/>
      <c r="LLC1721" s="227"/>
      <c r="LLD1721" s="227"/>
      <c r="LLE1721" s="227"/>
      <c r="LLF1721" s="227"/>
      <c r="LLG1721" s="227"/>
      <c r="LLH1721" s="227"/>
      <c r="LLI1721" s="227"/>
      <c r="LLJ1721" s="227"/>
      <c r="LLK1721" s="227"/>
      <c r="LLL1721" s="227"/>
      <c r="LLM1721" s="227"/>
      <c r="LLN1721" s="227"/>
      <c r="LLO1721" s="227"/>
      <c r="LLP1721" s="227"/>
      <c r="LLQ1721" s="227"/>
      <c r="LLR1721" s="227"/>
      <c r="LLS1721" s="227"/>
      <c r="LLT1721" s="227"/>
      <c r="LLU1721" s="227"/>
      <c r="LLV1721" s="227"/>
      <c r="LLW1721" s="227"/>
      <c r="LLX1721" s="227"/>
      <c r="LLY1721" s="227"/>
      <c r="LLZ1721" s="227"/>
      <c r="LMA1721" s="227"/>
      <c r="LMB1721" s="227"/>
      <c r="LMC1721" s="227"/>
      <c r="LMD1721" s="227"/>
      <c r="LME1721" s="227"/>
      <c r="LMF1721" s="227"/>
      <c r="LMG1721" s="227"/>
      <c r="LMH1721" s="227"/>
      <c r="LMI1721" s="227"/>
      <c r="LMJ1721" s="227"/>
      <c r="LMK1721" s="227"/>
      <c r="LML1721" s="227"/>
      <c r="LMM1721" s="227"/>
      <c r="LMN1721" s="227"/>
      <c r="LMO1721" s="227"/>
      <c r="LMP1721" s="227"/>
      <c r="LMQ1721" s="227"/>
      <c r="LMR1721" s="227"/>
      <c r="LMS1721" s="227"/>
      <c r="LMT1721" s="227"/>
      <c r="LMU1721" s="227"/>
      <c r="LMV1721" s="227"/>
      <c r="LMW1721" s="227"/>
      <c r="LMX1721" s="227"/>
      <c r="LMY1721" s="227"/>
      <c r="LMZ1721" s="227"/>
      <c r="LNA1721" s="227"/>
      <c r="LNB1721" s="227"/>
      <c r="LNC1721" s="227"/>
      <c r="LND1721" s="227"/>
      <c r="LNE1721" s="227"/>
      <c r="LNF1721" s="227"/>
      <c r="LNG1721" s="227"/>
      <c r="LNH1721" s="227"/>
      <c r="LNI1721" s="227"/>
      <c r="LNJ1721" s="227"/>
      <c r="LNK1721" s="227"/>
      <c r="LNL1721" s="227"/>
      <c r="LNM1721" s="227"/>
      <c r="LNN1721" s="227"/>
      <c r="LNO1721" s="227"/>
      <c r="LNP1721" s="227"/>
      <c r="LNQ1721" s="227"/>
      <c r="LNR1721" s="227"/>
      <c r="LNS1721" s="227"/>
      <c r="LNT1721" s="227"/>
      <c r="LNU1721" s="227"/>
      <c r="LNV1721" s="227"/>
      <c r="LNW1721" s="227"/>
      <c r="LNX1721" s="227"/>
      <c r="LNY1721" s="227"/>
      <c r="LNZ1721" s="227"/>
      <c r="LOA1721" s="227"/>
      <c r="LOB1721" s="227"/>
      <c r="LOC1721" s="227"/>
      <c r="LOD1721" s="227"/>
      <c r="LOE1721" s="227"/>
      <c r="LOF1721" s="227"/>
      <c r="LOG1721" s="227"/>
      <c r="LOH1721" s="227"/>
      <c r="LOI1721" s="227"/>
      <c r="LOJ1721" s="227"/>
      <c r="LOK1721" s="227"/>
      <c r="LOL1721" s="227"/>
      <c r="LOM1721" s="227"/>
      <c r="LON1721" s="227"/>
      <c r="LOO1721" s="227"/>
      <c r="LOP1721" s="227"/>
      <c r="LOQ1721" s="227"/>
      <c r="LOR1721" s="227"/>
      <c r="LOS1721" s="227"/>
      <c r="LOT1721" s="227"/>
      <c r="LOU1721" s="227"/>
      <c r="LOV1721" s="227"/>
      <c r="LOW1721" s="227"/>
      <c r="LOX1721" s="227"/>
      <c r="LOY1721" s="227"/>
      <c r="LOZ1721" s="227"/>
      <c r="LPA1721" s="227"/>
      <c r="LPB1721" s="227"/>
      <c r="LPC1721" s="227"/>
      <c r="LPD1721" s="227"/>
      <c r="LPE1721" s="227"/>
      <c r="LPF1721" s="227"/>
      <c r="LPG1721" s="227"/>
      <c r="LPH1721" s="227"/>
      <c r="LPI1721" s="227"/>
      <c r="LPJ1721" s="227"/>
      <c r="LPK1721" s="227"/>
      <c r="LPL1721" s="227"/>
      <c r="LPM1721" s="227"/>
      <c r="LPN1721" s="227"/>
      <c r="LPO1721" s="227"/>
      <c r="LPP1721" s="227"/>
      <c r="LPQ1721" s="227"/>
      <c r="LPR1721" s="227"/>
      <c r="LPS1721" s="227"/>
      <c r="LPT1721" s="227"/>
      <c r="LPU1721" s="227"/>
      <c r="LPV1721" s="227"/>
      <c r="LPW1721" s="227"/>
      <c r="LPX1721" s="227"/>
      <c r="LPY1721" s="227"/>
      <c r="LPZ1721" s="227"/>
      <c r="LQA1721" s="227"/>
      <c r="LQB1721" s="227"/>
      <c r="LQC1721" s="227"/>
      <c r="LQD1721" s="227"/>
      <c r="LQE1721" s="227"/>
      <c r="LQF1721" s="227"/>
      <c r="LQG1721" s="227"/>
      <c r="LQH1721" s="227"/>
      <c r="LQI1721" s="227"/>
      <c r="LQJ1721" s="227"/>
      <c r="LQK1721" s="227"/>
      <c r="LQL1721" s="227"/>
      <c r="LQM1721" s="227"/>
      <c r="LQN1721" s="227"/>
      <c r="LQO1721" s="227"/>
      <c r="LQP1721" s="227"/>
      <c r="LQQ1721" s="227"/>
      <c r="LQR1721" s="227"/>
      <c r="LQS1721" s="227"/>
      <c r="LQT1721" s="227"/>
      <c r="LQU1721" s="227"/>
      <c r="LQV1721" s="227"/>
      <c r="LQW1721" s="227"/>
      <c r="LQX1721" s="227"/>
      <c r="LQY1721" s="227"/>
      <c r="LQZ1721" s="227"/>
      <c r="LRA1721" s="227"/>
      <c r="LRB1721" s="227"/>
      <c r="LRC1721" s="227"/>
      <c r="LRD1721" s="227"/>
      <c r="LRE1721" s="227"/>
      <c r="LRF1721" s="227"/>
      <c r="LRG1721" s="227"/>
      <c r="LRH1721" s="227"/>
      <c r="LRI1721" s="227"/>
      <c r="LRJ1721" s="227"/>
      <c r="LRK1721" s="227"/>
      <c r="LRL1721" s="227"/>
      <c r="LRM1721" s="227"/>
      <c r="LRN1721" s="227"/>
      <c r="LRO1721" s="227"/>
      <c r="LRP1721" s="227"/>
      <c r="LRQ1721" s="227"/>
      <c r="LRR1721" s="227"/>
      <c r="LRS1721" s="227"/>
      <c r="LRT1721" s="227"/>
      <c r="LRU1721" s="227"/>
      <c r="LRV1721" s="227"/>
      <c r="LRW1721" s="227"/>
      <c r="LRX1721" s="227"/>
      <c r="LRY1721" s="227"/>
      <c r="LRZ1721" s="227"/>
      <c r="LSA1721" s="227"/>
      <c r="LSB1721" s="227"/>
      <c r="LSC1721" s="227"/>
      <c r="LSD1721" s="227"/>
      <c r="LSE1721" s="227"/>
      <c r="LSF1721" s="227"/>
      <c r="LSG1721" s="227"/>
      <c r="LSH1721" s="227"/>
      <c r="LSI1721" s="227"/>
      <c r="LSJ1721" s="227"/>
      <c r="LSK1721" s="227"/>
      <c r="LSL1721" s="227"/>
      <c r="LSM1721" s="227"/>
      <c r="LSN1721" s="227"/>
      <c r="LSO1721" s="227"/>
      <c r="LSP1721" s="227"/>
      <c r="LSQ1721" s="227"/>
      <c r="LSR1721" s="227"/>
      <c r="LSS1721" s="227"/>
      <c r="LST1721" s="227"/>
      <c r="LSU1721" s="227"/>
      <c r="LSV1721" s="227"/>
      <c r="LSW1721" s="227"/>
      <c r="LSX1721" s="227"/>
      <c r="LSY1721" s="227"/>
      <c r="LSZ1721" s="227"/>
      <c r="LTA1721" s="227"/>
      <c r="LTB1721" s="227"/>
      <c r="LTC1721" s="227"/>
      <c r="LTD1721" s="227"/>
      <c r="LTE1721" s="227"/>
      <c r="LTF1721" s="227"/>
      <c r="LTG1721" s="227"/>
      <c r="LTH1721" s="227"/>
      <c r="LTI1721" s="227"/>
      <c r="LTJ1721" s="227"/>
      <c r="LTK1721" s="227"/>
      <c r="LTL1721" s="227"/>
      <c r="LTM1721" s="227"/>
      <c r="LTN1721" s="227"/>
      <c r="LTO1721" s="227"/>
      <c r="LTP1721" s="227"/>
      <c r="LTQ1721" s="227"/>
      <c r="LTR1721" s="227"/>
      <c r="LTS1721" s="227"/>
      <c r="LTT1721" s="227"/>
      <c r="LTU1721" s="227"/>
      <c r="LTV1721" s="227"/>
      <c r="LTW1721" s="227"/>
      <c r="LTX1721" s="227"/>
      <c r="LTY1721" s="227"/>
      <c r="LTZ1721" s="227"/>
      <c r="LUA1721" s="227"/>
      <c r="LUB1721" s="227"/>
      <c r="LUC1721" s="227"/>
      <c r="LUD1721" s="227"/>
      <c r="LUE1721" s="227"/>
      <c r="LUF1721" s="227"/>
      <c r="LUG1721" s="227"/>
      <c r="LUH1721" s="227"/>
      <c r="LUI1721" s="227"/>
      <c r="LUJ1721" s="227"/>
      <c r="LUK1721" s="227"/>
      <c r="LUL1721" s="227"/>
      <c r="LUM1721" s="227"/>
      <c r="LUN1721" s="227"/>
      <c r="LUO1721" s="227"/>
      <c r="LUP1721" s="227"/>
      <c r="LUQ1721" s="227"/>
      <c r="LUR1721" s="227"/>
      <c r="LUS1721" s="227"/>
      <c r="LUT1721" s="227"/>
      <c r="LUU1721" s="227"/>
      <c r="LUV1721" s="227"/>
      <c r="LUW1721" s="227"/>
      <c r="LUX1721" s="227"/>
      <c r="LUY1721" s="227"/>
      <c r="LUZ1721" s="227"/>
      <c r="LVA1721" s="227"/>
      <c r="LVB1721" s="227"/>
      <c r="LVC1721" s="227"/>
      <c r="LVD1721" s="227"/>
      <c r="LVE1721" s="227"/>
      <c r="LVF1721" s="227"/>
      <c r="LVG1721" s="227"/>
      <c r="LVH1721" s="227"/>
      <c r="LVI1721" s="227"/>
      <c r="LVJ1721" s="227"/>
      <c r="LVK1721" s="227"/>
      <c r="LVL1721" s="227"/>
      <c r="LVM1721" s="227"/>
      <c r="LVN1721" s="227"/>
      <c r="LVO1721" s="227"/>
      <c r="LVP1721" s="227"/>
      <c r="LVQ1721" s="227"/>
      <c r="LVR1721" s="227"/>
      <c r="LVS1721" s="227"/>
      <c r="LVT1721" s="227"/>
      <c r="LVU1721" s="227"/>
      <c r="LVV1721" s="227"/>
      <c r="LVW1721" s="227"/>
      <c r="LVX1721" s="227"/>
      <c r="LVY1721" s="227"/>
      <c r="LVZ1721" s="227"/>
      <c r="LWA1721" s="227"/>
      <c r="LWB1721" s="227"/>
      <c r="LWC1721" s="227"/>
      <c r="LWD1721" s="227"/>
      <c r="LWE1721" s="227"/>
      <c r="LWF1721" s="227"/>
      <c r="LWG1721" s="227"/>
      <c r="LWH1721" s="227"/>
      <c r="LWI1721" s="227"/>
      <c r="LWJ1721" s="227"/>
      <c r="LWK1721" s="227"/>
      <c r="LWL1721" s="227"/>
      <c r="LWM1721" s="227"/>
      <c r="LWN1721" s="227"/>
      <c r="LWO1721" s="227"/>
      <c r="LWP1721" s="227"/>
      <c r="LWQ1721" s="227"/>
      <c r="LWR1721" s="227"/>
      <c r="LWS1721" s="227"/>
      <c r="LWT1721" s="227"/>
      <c r="LWU1721" s="227"/>
      <c r="LWV1721" s="227"/>
      <c r="LWW1721" s="227"/>
      <c r="LWX1721" s="227"/>
      <c r="LWY1721" s="227"/>
      <c r="LWZ1721" s="227"/>
      <c r="LXA1721" s="227"/>
      <c r="LXB1721" s="227"/>
      <c r="LXC1721" s="227"/>
      <c r="LXD1721" s="227"/>
      <c r="LXE1721" s="227"/>
      <c r="LXF1721" s="227"/>
      <c r="LXG1721" s="227"/>
      <c r="LXH1721" s="227"/>
      <c r="LXI1721" s="227"/>
      <c r="LXJ1721" s="227"/>
      <c r="LXK1721" s="227"/>
      <c r="LXL1721" s="227"/>
      <c r="LXM1721" s="227"/>
      <c r="LXN1721" s="227"/>
      <c r="LXO1721" s="227"/>
      <c r="LXP1721" s="227"/>
      <c r="LXQ1721" s="227"/>
      <c r="LXR1721" s="227"/>
      <c r="LXS1721" s="227"/>
      <c r="LXT1721" s="227"/>
      <c r="LXU1721" s="227"/>
      <c r="LXV1721" s="227"/>
      <c r="LXW1721" s="227"/>
      <c r="LXX1721" s="227"/>
      <c r="LXY1721" s="227"/>
      <c r="LXZ1721" s="227"/>
      <c r="LYA1721" s="227"/>
      <c r="LYB1721" s="227"/>
      <c r="LYC1721" s="227"/>
      <c r="LYD1721" s="227"/>
      <c r="LYE1721" s="227"/>
      <c r="LYF1721" s="227"/>
      <c r="LYG1721" s="227"/>
      <c r="LYH1721" s="227"/>
      <c r="LYI1721" s="227"/>
      <c r="LYJ1721" s="227"/>
      <c r="LYK1721" s="227"/>
      <c r="LYL1721" s="227"/>
      <c r="LYM1721" s="227"/>
      <c r="LYN1721" s="227"/>
      <c r="LYO1721" s="227"/>
      <c r="LYP1721" s="227"/>
      <c r="LYQ1721" s="227"/>
      <c r="LYR1721" s="227"/>
      <c r="LYS1721" s="227"/>
      <c r="LYT1721" s="227"/>
      <c r="LYU1721" s="227"/>
      <c r="LYV1721" s="227"/>
      <c r="LYW1721" s="227"/>
      <c r="LYX1721" s="227"/>
      <c r="LYY1721" s="227"/>
      <c r="LYZ1721" s="227"/>
      <c r="LZA1721" s="227"/>
      <c r="LZB1721" s="227"/>
      <c r="LZC1721" s="227"/>
      <c r="LZD1721" s="227"/>
      <c r="LZE1721" s="227"/>
      <c r="LZF1721" s="227"/>
      <c r="LZG1721" s="227"/>
      <c r="LZH1721" s="227"/>
      <c r="LZI1721" s="227"/>
      <c r="LZJ1721" s="227"/>
      <c r="LZK1721" s="227"/>
      <c r="LZL1721" s="227"/>
      <c r="LZM1721" s="227"/>
      <c r="LZN1721" s="227"/>
      <c r="LZO1721" s="227"/>
      <c r="LZP1721" s="227"/>
      <c r="LZQ1721" s="227"/>
      <c r="LZR1721" s="227"/>
      <c r="LZS1721" s="227"/>
      <c r="LZT1721" s="227"/>
      <c r="LZU1721" s="227"/>
      <c r="LZV1721" s="227"/>
      <c r="LZW1721" s="227"/>
      <c r="LZX1721" s="227"/>
      <c r="LZY1721" s="227"/>
      <c r="LZZ1721" s="227"/>
      <c r="MAA1721" s="227"/>
      <c r="MAB1721" s="227"/>
      <c r="MAC1721" s="227"/>
      <c r="MAD1721" s="227"/>
      <c r="MAE1721" s="227"/>
      <c r="MAF1721" s="227"/>
      <c r="MAG1721" s="227"/>
      <c r="MAH1721" s="227"/>
      <c r="MAI1721" s="227"/>
      <c r="MAJ1721" s="227"/>
      <c r="MAK1721" s="227"/>
      <c r="MAL1721" s="227"/>
      <c r="MAM1721" s="227"/>
      <c r="MAN1721" s="227"/>
      <c r="MAO1721" s="227"/>
      <c r="MAP1721" s="227"/>
      <c r="MAQ1721" s="227"/>
      <c r="MAR1721" s="227"/>
      <c r="MAS1721" s="227"/>
      <c r="MAT1721" s="227"/>
      <c r="MAU1721" s="227"/>
      <c r="MAV1721" s="227"/>
      <c r="MAW1721" s="227"/>
      <c r="MAX1721" s="227"/>
      <c r="MAY1721" s="227"/>
      <c r="MAZ1721" s="227"/>
      <c r="MBA1721" s="227"/>
      <c r="MBB1721" s="227"/>
      <c r="MBC1721" s="227"/>
      <c r="MBD1721" s="227"/>
      <c r="MBE1721" s="227"/>
      <c r="MBF1721" s="227"/>
      <c r="MBG1721" s="227"/>
      <c r="MBH1721" s="227"/>
      <c r="MBI1721" s="227"/>
      <c r="MBJ1721" s="227"/>
      <c r="MBK1721" s="227"/>
      <c r="MBL1721" s="227"/>
      <c r="MBM1721" s="227"/>
      <c r="MBN1721" s="227"/>
      <c r="MBO1721" s="227"/>
      <c r="MBP1721" s="227"/>
      <c r="MBQ1721" s="227"/>
      <c r="MBR1721" s="227"/>
      <c r="MBS1721" s="227"/>
      <c r="MBT1721" s="227"/>
      <c r="MBU1721" s="227"/>
      <c r="MBV1721" s="227"/>
      <c r="MBW1721" s="227"/>
      <c r="MBX1721" s="227"/>
      <c r="MBY1721" s="227"/>
      <c r="MBZ1721" s="227"/>
      <c r="MCA1721" s="227"/>
      <c r="MCB1721" s="227"/>
      <c r="MCC1721" s="227"/>
      <c r="MCD1721" s="227"/>
      <c r="MCE1721" s="227"/>
      <c r="MCF1721" s="227"/>
      <c r="MCG1721" s="227"/>
      <c r="MCH1721" s="227"/>
      <c r="MCI1721" s="227"/>
      <c r="MCJ1721" s="227"/>
      <c r="MCK1721" s="227"/>
      <c r="MCL1721" s="227"/>
      <c r="MCM1721" s="227"/>
      <c r="MCN1721" s="227"/>
      <c r="MCO1721" s="227"/>
      <c r="MCP1721" s="227"/>
      <c r="MCQ1721" s="227"/>
      <c r="MCR1721" s="227"/>
      <c r="MCS1721" s="227"/>
      <c r="MCT1721" s="227"/>
      <c r="MCU1721" s="227"/>
      <c r="MCV1721" s="227"/>
      <c r="MCW1721" s="227"/>
      <c r="MCX1721" s="227"/>
      <c r="MCY1721" s="227"/>
      <c r="MCZ1721" s="227"/>
      <c r="MDA1721" s="227"/>
      <c r="MDB1721" s="227"/>
      <c r="MDC1721" s="227"/>
      <c r="MDD1721" s="227"/>
      <c r="MDE1721" s="227"/>
      <c r="MDF1721" s="227"/>
      <c r="MDG1721" s="227"/>
      <c r="MDH1721" s="227"/>
      <c r="MDI1721" s="227"/>
      <c r="MDJ1721" s="227"/>
      <c r="MDK1721" s="227"/>
      <c r="MDL1721" s="227"/>
      <c r="MDM1721" s="227"/>
      <c r="MDN1721" s="227"/>
      <c r="MDO1721" s="227"/>
      <c r="MDP1721" s="227"/>
      <c r="MDQ1721" s="227"/>
      <c r="MDR1721" s="227"/>
      <c r="MDS1721" s="227"/>
      <c r="MDT1721" s="227"/>
      <c r="MDU1721" s="227"/>
      <c r="MDV1721" s="227"/>
      <c r="MDW1721" s="227"/>
      <c r="MDX1721" s="227"/>
      <c r="MDY1721" s="227"/>
      <c r="MDZ1721" s="227"/>
      <c r="MEA1721" s="227"/>
      <c r="MEB1721" s="227"/>
      <c r="MEC1721" s="227"/>
      <c r="MED1721" s="227"/>
      <c r="MEE1721" s="227"/>
      <c r="MEF1721" s="227"/>
      <c r="MEG1721" s="227"/>
      <c r="MEH1721" s="227"/>
      <c r="MEI1721" s="227"/>
      <c r="MEJ1721" s="227"/>
      <c r="MEK1721" s="227"/>
      <c r="MEL1721" s="227"/>
      <c r="MEM1721" s="227"/>
      <c r="MEN1721" s="227"/>
      <c r="MEO1721" s="227"/>
      <c r="MEP1721" s="227"/>
      <c r="MEQ1721" s="227"/>
      <c r="MER1721" s="227"/>
      <c r="MES1721" s="227"/>
      <c r="MET1721" s="227"/>
      <c r="MEU1721" s="227"/>
      <c r="MEV1721" s="227"/>
      <c r="MEW1721" s="227"/>
      <c r="MEX1721" s="227"/>
      <c r="MEY1721" s="227"/>
      <c r="MEZ1721" s="227"/>
      <c r="MFA1721" s="227"/>
      <c r="MFB1721" s="227"/>
      <c r="MFC1721" s="227"/>
      <c r="MFD1721" s="227"/>
      <c r="MFE1721" s="227"/>
      <c r="MFF1721" s="227"/>
      <c r="MFG1721" s="227"/>
      <c r="MFH1721" s="227"/>
      <c r="MFI1721" s="227"/>
      <c r="MFJ1721" s="227"/>
      <c r="MFK1721" s="227"/>
      <c r="MFL1721" s="227"/>
      <c r="MFM1721" s="227"/>
      <c r="MFN1721" s="227"/>
      <c r="MFO1721" s="227"/>
      <c r="MFP1721" s="227"/>
      <c r="MFQ1721" s="227"/>
      <c r="MFR1721" s="227"/>
      <c r="MFS1721" s="227"/>
      <c r="MFT1721" s="227"/>
      <c r="MFU1721" s="227"/>
      <c r="MFV1721" s="227"/>
      <c r="MFW1721" s="227"/>
      <c r="MFX1721" s="227"/>
      <c r="MFY1721" s="227"/>
      <c r="MFZ1721" s="227"/>
      <c r="MGA1721" s="227"/>
      <c r="MGB1721" s="227"/>
      <c r="MGC1721" s="227"/>
      <c r="MGD1721" s="227"/>
      <c r="MGE1721" s="227"/>
      <c r="MGF1721" s="227"/>
      <c r="MGG1721" s="227"/>
      <c r="MGH1721" s="227"/>
      <c r="MGI1721" s="227"/>
      <c r="MGJ1721" s="227"/>
      <c r="MGK1721" s="227"/>
      <c r="MGL1721" s="227"/>
      <c r="MGM1721" s="227"/>
      <c r="MGN1721" s="227"/>
      <c r="MGO1721" s="227"/>
      <c r="MGP1721" s="227"/>
      <c r="MGQ1721" s="227"/>
      <c r="MGR1721" s="227"/>
      <c r="MGS1721" s="227"/>
      <c r="MGT1721" s="227"/>
      <c r="MGU1721" s="227"/>
      <c r="MGV1721" s="227"/>
      <c r="MGW1721" s="227"/>
      <c r="MGX1721" s="227"/>
      <c r="MGY1721" s="227"/>
      <c r="MGZ1721" s="227"/>
      <c r="MHA1721" s="227"/>
      <c r="MHB1721" s="227"/>
      <c r="MHC1721" s="227"/>
      <c r="MHD1721" s="227"/>
      <c r="MHE1721" s="227"/>
      <c r="MHF1721" s="227"/>
      <c r="MHG1721" s="227"/>
      <c r="MHH1721" s="227"/>
      <c r="MHI1721" s="227"/>
      <c r="MHJ1721" s="227"/>
      <c r="MHK1721" s="227"/>
      <c r="MHL1721" s="227"/>
      <c r="MHM1721" s="227"/>
      <c r="MHN1721" s="227"/>
      <c r="MHO1721" s="227"/>
      <c r="MHP1721" s="227"/>
      <c r="MHQ1721" s="227"/>
      <c r="MHR1721" s="227"/>
      <c r="MHS1721" s="227"/>
      <c r="MHT1721" s="227"/>
      <c r="MHU1721" s="227"/>
      <c r="MHV1721" s="227"/>
      <c r="MHW1721" s="227"/>
      <c r="MHX1721" s="227"/>
      <c r="MHY1721" s="227"/>
      <c r="MHZ1721" s="227"/>
      <c r="MIA1721" s="227"/>
      <c r="MIB1721" s="227"/>
      <c r="MIC1721" s="227"/>
      <c r="MID1721" s="227"/>
      <c r="MIE1721" s="227"/>
      <c r="MIF1721" s="227"/>
      <c r="MIG1721" s="227"/>
      <c r="MIH1721" s="227"/>
      <c r="MII1721" s="227"/>
      <c r="MIJ1721" s="227"/>
      <c r="MIK1721" s="227"/>
      <c r="MIL1721" s="227"/>
      <c r="MIM1721" s="227"/>
      <c r="MIN1721" s="227"/>
      <c r="MIO1721" s="227"/>
      <c r="MIP1721" s="227"/>
      <c r="MIQ1721" s="227"/>
      <c r="MIR1721" s="227"/>
      <c r="MIS1721" s="227"/>
      <c r="MIT1721" s="227"/>
      <c r="MIU1721" s="227"/>
      <c r="MIV1721" s="227"/>
      <c r="MIW1721" s="227"/>
      <c r="MIX1721" s="227"/>
      <c r="MIY1721" s="227"/>
      <c r="MIZ1721" s="227"/>
      <c r="MJA1721" s="227"/>
      <c r="MJB1721" s="227"/>
      <c r="MJC1721" s="227"/>
      <c r="MJD1721" s="227"/>
      <c r="MJE1721" s="227"/>
      <c r="MJF1721" s="227"/>
      <c r="MJG1721" s="227"/>
      <c r="MJH1721" s="227"/>
      <c r="MJI1721" s="227"/>
      <c r="MJJ1721" s="227"/>
      <c r="MJK1721" s="227"/>
      <c r="MJL1721" s="227"/>
      <c r="MJM1721" s="227"/>
      <c r="MJN1721" s="227"/>
      <c r="MJO1721" s="227"/>
      <c r="MJP1721" s="227"/>
      <c r="MJQ1721" s="227"/>
      <c r="MJR1721" s="227"/>
      <c r="MJS1721" s="227"/>
      <c r="MJT1721" s="227"/>
      <c r="MJU1721" s="227"/>
      <c r="MJV1721" s="227"/>
      <c r="MJW1721" s="227"/>
      <c r="MJX1721" s="227"/>
      <c r="MJY1721" s="227"/>
      <c r="MJZ1721" s="227"/>
      <c r="MKA1721" s="227"/>
      <c r="MKB1721" s="227"/>
      <c r="MKC1721" s="227"/>
      <c r="MKD1721" s="227"/>
      <c r="MKE1721" s="227"/>
      <c r="MKF1721" s="227"/>
      <c r="MKG1721" s="227"/>
      <c r="MKH1721" s="227"/>
      <c r="MKI1721" s="227"/>
      <c r="MKJ1721" s="227"/>
      <c r="MKK1721" s="227"/>
      <c r="MKL1721" s="227"/>
      <c r="MKM1721" s="227"/>
      <c r="MKN1721" s="227"/>
      <c r="MKO1721" s="227"/>
      <c r="MKP1721" s="227"/>
      <c r="MKQ1721" s="227"/>
      <c r="MKR1721" s="227"/>
      <c r="MKS1721" s="227"/>
      <c r="MKT1721" s="227"/>
      <c r="MKU1721" s="227"/>
      <c r="MKV1721" s="227"/>
      <c r="MKW1721" s="227"/>
      <c r="MKX1721" s="227"/>
      <c r="MKY1721" s="227"/>
      <c r="MKZ1721" s="227"/>
      <c r="MLA1721" s="227"/>
      <c r="MLB1721" s="227"/>
      <c r="MLC1721" s="227"/>
      <c r="MLD1721" s="227"/>
      <c r="MLE1721" s="227"/>
      <c r="MLF1721" s="227"/>
      <c r="MLG1721" s="227"/>
      <c r="MLH1721" s="227"/>
      <c r="MLI1721" s="227"/>
      <c r="MLJ1721" s="227"/>
      <c r="MLK1721" s="227"/>
      <c r="MLL1721" s="227"/>
      <c r="MLM1721" s="227"/>
      <c r="MLN1721" s="227"/>
      <c r="MLO1721" s="227"/>
      <c r="MLP1721" s="227"/>
      <c r="MLQ1721" s="227"/>
      <c r="MLR1721" s="227"/>
      <c r="MLS1721" s="227"/>
      <c r="MLT1721" s="227"/>
      <c r="MLU1721" s="227"/>
      <c r="MLV1721" s="227"/>
      <c r="MLW1721" s="227"/>
      <c r="MLX1721" s="227"/>
      <c r="MLY1721" s="227"/>
      <c r="MLZ1721" s="227"/>
      <c r="MMA1721" s="227"/>
      <c r="MMB1721" s="227"/>
      <c r="MMC1721" s="227"/>
      <c r="MMD1721" s="227"/>
      <c r="MME1721" s="227"/>
      <c r="MMF1721" s="227"/>
      <c r="MMG1721" s="227"/>
      <c r="MMH1721" s="227"/>
      <c r="MMI1721" s="227"/>
      <c r="MMJ1721" s="227"/>
      <c r="MMK1721" s="227"/>
      <c r="MML1721" s="227"/>
      <c r="MMM1721" s="227"/>
      <c r="MMN1721" s="227"/>
      <c r="MMO1721" s="227"/>
      <c r="MMP1721" s="227"/>
      <c r="MMQ1721" s="227"/>
      <c r="MMR1721" s="227"/>
      <c r="MMS1721" s="227"/>
      <c r="MMT1721" s="227"/>
      <c r="MMU1721" s="227"/>
      <c r="MMV1721" s="227"/>
      <c r="MMW1721" s="227"/>
      <c r="MMX1721" s="227"/>
      <c r="MMY1721" s="227"/>
      <c r="MMZ1721" s="227"/>
      <c r="MNA1721" s="227"/>
      <c r="MNB1721" s="227"/>
      <c r="MNC1721" s="227"/>
      <c r="MND1721" s="227"/>
      <c r="MNE1721" s="227"/>
      <c r="MNF1721" s="227"/>
      <c r="MNG1721" s="227"/>
      <c r="MNH1721" s="227"/>
      <c r="MNI1721" s="227"/>
      <c r="MNJ1721" s="227"/>
      <c r="MNK1721" s="227"/>
      <c r="MNL1721" s="227"/>
      <c r="MNM1721" s="227"/>
      <c r="MNN1721" s="227"/>
      <c r="MNO1721" s="227"/>
      <c r="MNP1721" s="227"/>
      <c r="MNQ1721" s="227"/>
      <c r="MNR1721" s="227"/>
      <c r="MNS1721" s="227"/>
      <c r="MNT1721" s="227"/>
      <c r="MNU1721" s="227"/>
      <c r="MNV1721" s="227"/>
      <c r="MNW1721" s="227"/>
      <c r="MNX1721" s="227"/>
      <c r="MNY1721" s="227"/>
      <c r="MNZ1721" s="227"/>
      <c r="MOA1721" s="227"/>
      <c r="MOB1721" s="227"/>
      <c r="MOC1721" s="227"/>
      <c r="MOD1721" s="227"/>
      <c r="MOE1721" s="227"/>
      <c r="MOF1721" s="227"/>
      <c r="MOG1721" s="227"/>
      <c r="MOH1721" s="227"/>
      <c r="MOI1721" s="227"/>
      <c r="MOJ1721" s="227"/>
      <c r="MOK1721" s="227"/>
      <c r="MOL1721" s="227"/>
      <c r="MOM1721" s="227"/>
      <c r="MON1721" s="227"/>
      <c r="MOO1721" s="227"/>
      <c r="MOP1721" s="227"/>
      <c r="MOQ1721" s="227"/>
      <c r="MOR1721" s="227"/>
      <c r="MOS1721" s="227"/>
      <c r="MOT1721" s="227"/>
      <c r="MOU1721" s="227"/>
      <c r="MOV1721" s="227"/>
      <c r="MOW1721" s="227"/>
      <c r="MOX1721" s="227"/>
      <c r="MOY1721" s="227"/>
      <c r="MOZ1721" s="227"/>
      <c r="MPA1721" s="227"/>
      <c r="MPB1721" s="227"/>
      <c r="MPC1721" s="227"/>
      <c r="MPD1721" s="227"/>
      <c r="MPE1721" s="227"/>
      <c r="MPF1721" s="227"/>
      <c r="MPG1721" s="227"/>
      <c r="MPH1721" s="227"/>
      <c r="MPI1721" s="227"/>
      <c r="MPJ1721" s="227"/>
      <c r="MPK1721" s="227"/>
      <c r="MPL1721" s="227"/>
      <c r="MPM1721" s="227"/>
      <c r="MPN1721" s="227"/>
      <c r="MPO1721" s="227"/>
      <c r="MPP1721" s="227"/>
      <c r="MPQ1721" s="227"/>
      <c r="MPR1721" s="227"/>
      <c r="MPS1721" s="227"/>
      <c r="MPT1721" s="227"/>
      <c r="MPU1721" s="227"/>
      <c r="MPV1721" s="227"/>
      <c r="MPW1721" s="227"/>
      <c r="MPX1721" s="227"/>
      <c r="MPY1721" s="227"/>
      <c r="MPZ1721" s="227"/>
      <c r="MQA1721" s="227"/>
      <c r="MQB1721" s="227"/>
      <c r="MQC1721" s="227"/>
      <c r="MQD1721" s="227"/>
      <c r="MQE1721" s="227"/>
      <c r="MQF1721" s="227"/>
      <c r="MQG1721" s="227"/>
      <c r="MQH1721" s="227"/>
      <c r="MQI1721" s="227"/>
      <c r="MQJ1721" s="227"/>
      <c r="MQK1721" s="227"/>
      <c r="MQL1721" s="227"/>
      <c r="MQM1721" s="227"/>
      <c r="MQN1721" s="227"/>
      <c r="MQO1721" s="227"/>
      <c r="MQP1721" s="227"/>
      <c r="MQQ1721" s="227"/>
      <c r="MQR1721" s="227"/>
      <c r="MQS1721" s="227"/>
      <c r="MQT1721" s="227"/>
      <c r="MQU1721" s="227"/>
      <c r="MQV1721" s="227"/>
      <c r="MQW1721" s="227"/>
      <c r="MQX1721" s="227"/>
      <c r="MQY1721" s="227"/>
      <c r="MQZ1721" s="227"/>
      <c r="MRA1721" s="227"/>
      <c r="MRB1721" s="227"/>
      <c r="MRC1721" s="227"/>
      <c r="MRD1721" s="227"/>
      <c r="MRE1721" s="227"/>
      <c r="MRF1721" s="227"/>
      <c r="MRG1721" s="227"/>
      <c r="MRH1721" s="227"/>
      <c r="MRI1721" s="227"/>
      <c r="MRJ1721" s="227"/>
      <c r="MRK1721" s="227"/>
      <c r="MRL1721" s="227"/>
      <c r="MRM1721" s="227"/>
      <c r="MRN1721" s="227"/>
      <c r="MRO1721" s="227"/>
      <c r="MRP1721" s="227"/>
      <c r="MRQ1721" s="227"/>
      <c r="MRR1721" s="227"/>
      <c r="MRS1721" s="227"/>
      <c r="MRT1721" s="227"/>
      <c r="MRU1721" s="227"/>
      <c r="MRV1721" s="227"/>
      <c r="MRW1721" s="227"/>
      <c r="MRX1721" s="227"/>
      <c r="MRY1721" s="227"/>
      <c r="MRZ1721" s="227"/>
      <c r="MSA1721" s="227"/>
      <c r="MSB1721" s="227"/>
      <c r="MSC1721" s="227"/>
      <c r="MSD1721" s="227"/>
      <c r="MSE1721" s="227"/>
      <c r="MSF1721" s="227"/>
      <c r="MSG1721" s="227"/>
      <c r="MSH1721" s="227"/>
      <c r="MSI1721" s="227"/>
      <c r="MSJ1721" s="227"/>
      <c r="MSK1721" s="227"/>
      <c r="MSL1721" s="227"/>
      <c r="MSM1721" s="227"/>
      <c r="MSN1721" s="227"/>
      <c r="MSO1721" s="227"/>
      <c r="MSP1721" s="227"/>
      <c r="MSQ1721" s="227"/>
      <c r="MSR1721" s="227"/>
      <c r="MSS1721" s="227"/>
      <c r="MST1721" s="227"/>
      <c r="MSU1721" s="227"/>
      <c r="MSV1721" s="227"/>
      <c r="MSW1721" s="227"/>
      <c r="MSX1721" s="227"/>
      <c r="MSY1721" s="227"/>
      <c r="MSZ1721" s="227"/>
      <c r="MTA1721" s="227"/>
      <c r="MTB1721" s="227"/>
      <c r="MTC1721" s="227"/>
      <c r="MTD1721" s="227"/>
      <c r="MTE1721" s="227"/>
      <c r="MTF1721" s="227"/>
      <c r="MTG1721" s="227"/>
      <c r="MTH1721" s="227"/>
      <c r="MTI1721" s="227"/>
      <c r="MTJ1721" s="227"/>
      <c r="MTK1721" s="227"/>
      <c r="MTL1721" s="227"/>
      <c r="MTM1721" s="227"/>
      <c r="MTN1721" s="227"/>
      <c r="MTO1721" s="227"/>
      <c r="MTP1721" s="227"/>
      <c r="MTQ1721" s="227"/>
      <c r="MTR1721" s="227"/>
      <c r="MTS1721" s="227"/>
      <c r="MTT1721" s="227"/>
      <c r="MTU1721" s="227"/>
      <c r="MTV1721" s="227"/>
      <c r="MTW1721" s="227"/>
      <c r="MTX1721" s="227"/>
      <c r="MTY1721" s="227"/>
      <c r="MTZ1721" s="227"/>
      <c r="MUA1721" s="227"/>
      <c r="MUB1721" s="227"/>
      <c r="MUC1721" s="227"/>
      <c r="MUD1721" s="227"/>
      <c r="MUE1721" s="227"/>
      <c r="MUF1721" s="227"/>
      <c r="MUG1721" s="227"/>
      <c r="MUH1721" s="227"/>
      <c r="MUI1721" s="227"/>
      <c r="MUJ1721" s="227"/>
      <c r="MUK1721" s="227"/>
      <c r="MUL1721" s="227"/>
      <c r="MUM1721" s="227"/>
      <c r="MUN1721" s="227"/>
      <c r="MUO1721" s="227"/>
      <c r="MUP1721" s="227"/>
      <c r="MUQ1721" s="227"/>
      <c r="MUR1721" s="227"/>
      <c r="MUS1721" s="227"/>
      <c r="MUT1721" s="227"/>
      <c r="MUU1721" s="227"/>
      <c r="MUV1721" s="227"/>
      <c r="MUW1721" s="227"/>
      <c r="MUX1721" s="227"/>
      <c r="MUY1721" s="227"/>
      <c r="MUZ1721" s="227"/>
      <c r="MVA1721" s="227"/>
      <c r="MVB1721" s="227"/>
      <c r="MVC1721" s="227"/>
      <c r="MVD1721" s="227"/>
      <c r="MVE1721" s="227"/>
      <c r="MVF1721" s="227"/>
      <c r="MVG1721" s="227"/>
      <c r="MVH1721" s="227"/>
      <c r="MVI1721" s="227"/>
      <c r="MVJ1721" s="227"/>
      <c r="MVK1721" s="227"/>
      <c r="MVL1721" s="227"/>
      <c r="MVM1721" s="227"/>
      <c r="MVN1721" s="227"/>
      <c r="MVO1721" s="227"/>
      <c r="MVP1721" s="227"/>
      <c r="MVQ1721" s="227"/>
      <c r="MVR1721" s="227"/>
      <c r="MVS1721" s="227"/>
      <c r="MVT1721" s="227"/>
      <c r="MVU1721" s="227"/>
      <c r="MVV1721" s="227"/>
      <c r="MVW1721" s="227"/>
      <c r="MVX1721" s="227"/>
      <c r="MVY1721" s="227"/>
      <c r="MVZ1721" s="227"/>
      <c r="MWA1721" s="227"/>
      <c r="MWB1721" s="227"/>
      <c r="MWC1721" s="227"/>
      <c r="MWD1721" s="227"/>
      <c r="MWE1721" s="227"/>
      <c r="MWF1721" s="227"/>
      <c r="MWG1721" s="227"/>
      <c r="MWH1721" s="227"/>
      <c r="MWI1721" s="227"/>
      <c r="MWJ1721" s="227"/>
      <c r="MWK1721" s="227"/>
      <c r="MWL1721" s="227"/>
      <c r="MWM1721" s="227"/>
      <c r="MWN1721" s="227"/>
      <c r="MWO1721" s="227"/>
      <c r="MWP1721" s="227"/>
      <c r="MWQ1721" s="227"/>
      <c r="MWR1721" s="227"/>
      <c r="MWS1721" s="227"/>
      <c r="MWT1721" s="227"/>
      <c r="MWU1721" s="227"/>
      <c r="MWV1721" s="227"/>
      <c r="MWW1721" s="227"/>
      <c r="MWX1721" s="227"/>
      <c r="MWY1721" s="227"/>
      <c r="MWZ1721" s="227"/>
      <c r="MXA1721" s="227"/>
      <c r="MXB1721" s="227"/>
      <c r="MXC1721" s="227"/>
      <c r="MXD1721" s="227"/>
      <c r="MXE1721" s="227"/>
      <c r="MXF1721" s="227"/>
      <c r="MXG1721" s="227"/>
      <c r="MXH1721" s="227"/>
      <c r="MXI1721" s="227"/>
      <c r="MXJ1721" s="227"/>
      <c r="MXK1721" s="227"/>
      <c r="MXL1721" s="227"/>
      <c r="MXM1721" s="227"/>
      <c r="MXN1721" s="227"/>
      <c r="MXO1721" s="227"/>
      <c r="MXP1721" s="227"/>
      <c r="MXQ1721" s="227"/>
      <c r="MXR1721" s="227"/>
      <c r="MXS1721" s="227"/>
      <c r="MXT1721" s="227"/>
      <c r="MXU1721" s="227"/>
      <c r="MXV1721" s="227"/>
      <c r="MXW1721" s="227"/>
      <c r="MXX1721" s="227"/>
      <c r="MXY1721" s="227"/>
      <c r="MXZ1721" s="227"/>
      <c r="MYA1721" s="227"/>
      <c r="MYB1721" s="227"/>
      <c r="MYC1721" s="227"/>
      <c r="MYD1721" s="227"/>
      <c r="MYE1721" s="227"/>
      <c r="MYF1721" s="227"/>
      <c r="MYG1721" s="227"/>
      <c r="MYH1721" s="227"/>
      <c r="MYI1721" s="227"/>
      <c r="MYJ1721" s="227"/>
      <c r="MYK1721" s="227"/>
      <c r="MYL1721" s="227"/>
      <c r="MYM1721" s="227"/>
      <c r="MYN1721" s="227"/>
      <c r="MYO1721" s="227"/>
      <c r="MYP1721" s="227"/>
      <c r="MYQ1721" s="227"/>
      <c r="MYR1721" s="227"/>
      <c r="MYS1721" s="227"/>
      <c r="MYT1721" s="227"/>
      <c r="MYU1721" s="227"/>
      <c r="MYV1721" s="227"/>
      <c r="MYW1721" s="227"/>
      <c r="MYX1721" s="227"/>
      <c r="MYY1721" s="227"/>
      <c r="MYZ1721" s="227"/>
      <c r="MZA1721" s="227"/>
      <c r="MZB1721" s="227"/>
      <c r="MZC1721" s="227"/>
      <c r="MZD1721" s="227"/>
      <c r="MZE1721" s="227"/>
      <c r="MZF1721" s="227"/>
      <c r="MZG1721" s="227"/>
      <c r="MZH1721" s="227"/>
      <c r="MZI1721" s="227"/>
      <c r="MZJ1721" s="227"/>
      <c r="MZK1721" s="227"/>
      <c r="MZL1721" s="227"/>
      <c r="MZM1721" s="227"/>
      <c r="MZN1721" s="227"/>
      <c r="MZO1721" s="227"/>
      <c r="MZP1721" s="227"/>
      <c r="MZQ1721" s="227"/>
      <c r="MZR1721" s="227"/>
      <c r="MZS1721" s="227"/>
      <c r="MZT1721" s="227"/>
      <c r="MZU1721" s="227"/>
      <c r="MZV1721" s="227"/>
      <c r="MZW1721" s="227"/>
      <c r="MZX1721" s="227"/>
      <c r="MZY1721" s="227"/>
      <c r="MZZ1721" s="227"/>
      <c r="NAA1721" s="227"/>
      <c r="NAB1721" s="227"/>
      <c r="NAC1721" s="227"/>
      <c r="NAD1721" s="227"/>
      <c r="NAE1721" s="227"/>
      <c r="NAF1721" s="227"/>
      <c r="NAG1721" s="227"/>
      <c r="NAH1721" s="227"/>
      <c r="NAI1721" s="227"/>
      <c r="NAJ1721" s="227"/>
      <c r="NAK1721" s="227"/>
      <c r="NAL1721" s="227"/>
      <c r="NAM1721" s="227"/>
      <c r="NAN1721" s="227"/>
      <c r="NAO1721" s="227"/>
      <c r="NAP1721" s="227"/>
      <c r="NAQ1721" s="227"/>
      <c r="NAR1721" s="227"/>
      <c r="NAS1721" s="227"/>
      <c r="NAT1721" s="227"/>
      <c r="NAU1721" s="227"/>
      <c r="NAV1721" s="227"/>
      <c r="NAW1721" s="227"/>
      <c r="NAX1721" s="227"/>
      <c r="NAY1721" s="227"/>
      <c r="NAZ1721" s="227"/>
      <c r="NBA1721" s="227"/>
      <c r="NBB1721" s="227"/>
      <c r="NBC1721" s="227"/>
      <c r="NBD1721" s="227"/>
      <c r="NBE1721" s="227"/>
      <c r="NBF1721" s="227"/>
      <c r="NBG1721" s="227"/>
      <c r="NBH1721" s="227"/>
      <c r="NBI1721" s="227"/>
      <c r="NBJ1721" s="227"/>
      <c r="NBK1721" s="227"/>
      <c r="NBL1721" s="227"/>
      <c r="NBM1721" s="227"/>
      <c r="NBN1721" s="227"/>
      <c r="NBO1721" s="227"/>
      <c r="NBP1721" s="227"/>
      <c r="NBQ1721" s="227"/>
      <c r="NBR1721" s="227"/>
      <c r="NBS1721" s="227"/>
      <c r="NBT1721" s="227"/>
      <c r="NBU1721" s="227"/>
      <c r="NBV1721" s="227"/>
      <c r="NBW1721" s="227"/>
      <c r="NBX1721" s="227"/>
      <c r="NBY1721" s="227"/>
      <c r="NBZ1721" s="227"/>
      <c r="NCA1721" s="227"/>
      <c r="NCB1721" s="227"/>
      <c r="NCC1721" s="227"/>
      <c r="NCD1721" s="227"/>
      <c r="NCE1721" s="227"/>
      <c r="NCF1721" s="227"/>
      <c r="NCG1721" s="227"/>
      <c r="NCH1721" s="227"/>
      <c r="NCI1721" s="227"/>
      <c r="NCJ1721" s="227"/>
      <c r="NCK1721" s="227"/>
      <c r="NCL1721" s="227"/>
      <c r="NCM1721" s="227"/>
      <c r="NCN1721" s="227"/>
      <c r="NCO1721" s="227"/>
      <c r="NCP1721" s="227"/>
      <c r="NCQ1721" s="227"/>
      <c r="NCR1721" s="227"/>
      <c r="NCS1721" s="227"/>
      <c r="NCT1721" s="227"/>
      <c r="NCU1721" s="227"/>
      <c r="NCV1721" s="227"/>
      <c r="NCW1721" s="227"/>
      <c r="NCX1721" s="227"/>
      <c r="NCY1721" s="227"/>
      <c r="NCZ1721" s="227"/>
      <c r="NDA1721" s="227"/>
      <c r="NDB1721" s="227"/>
      <c r="NDC1721" s="227"/>
      <c r="NDD1721" s="227"/>
      <c r="NDE1721" s="227"/>
      <c r="NDF1721" s="227"/>
      <c r="NDG1721" s="227"/>
      <c r="NDH1721" s="227"/>
      <c r="NDI1721" s="227"/>
      <c r="NDJ1721" s="227"/>
      <c r="NDK1721" s="227"/>
      <c r="NDL1721" s="227"/>
      <c r="NDM1721" s="227"/>
      <c r="NDN1721" s="227"/>
      <c r="NDO1721" s="227"/>
      <c r="NDP1721" s="227"/>
      <c r="NDQ1721" s="227"/>
      <c r="NDR1721" s="227"/>
      <c r="NDS1721" s="227"/>
      <c r="NDT1721" s="227"/>
      <c r="NDU1721" s="227"/>
      <c r="NDV1721" s="227"/>
      <c r="NDW1721" s="227"/>
      <c r="NDX1721" s="227"/>
      <c r="NDY1721" s="227"/>
      <c r="NDZ1721" s="227"/>
      <c r="NEA1721" s="227"/>
      <c r="NEB1721" s="227"/>
      <c r="NEC1721" s="227"/>
      <c r="NED1721" s="227"/>
      <c r="NEE1721" s="227"/>
      <c r="NEF1721" s="227"/>
      <c r="NEG1721" s="227"/>
      <c r="NEH1721" s="227"/>
      <c r="NEI1721" s="227"/>
      <c r="NEJ1721" s="227"/>
      <c r="NEK1721" s="227"/>
      <c r="NEL1721" s="227"/>
      <c r="NEM1721" s="227"/>
      <c r="NEN1721" s="227"/>
      <c r="NEO1721" s="227"/>
      <c r="NEP1721" s="227"/>
      <c r="NEQ1721" s="227"/>
      <c r="NER1721" s="227"/>
      <c r="NES1721" s="227"/>
      <c r="NET1721" s="227"/>
      <c r="NEU1721" s="227"/>
      <c r="NEV1721" s="227"/>
      <c r="NEW1721" s="227"/>
      <c r="NEX1721" s="227"/>
      <c r="NEY1721" s="227"/>
      <c r="NEZ1721" s="227"/>
      <c r="NFA1721" s="227"/>
      <c r="NFB1721" s="227"/>
      <c r="NFC1721" s="227"/>
      <c r="NFD1721" s="227"/>
      <c r="NFE1721" s="227"/>
      <c r="NFF1721" s="227"/>
      <c r="NFG1721" s="227"/>
      <c r="NFH1721" s="227"/>
      <c r="NFI1721" s="227"/>
      <c r="NFJ1721" s="227"/>
      <c r="NFK1721" s="227"/>
      <c r="NFL1721" s="227"/>
      <c r="NFM1721" s="227"/>
      <c r="NFN1721" s="227"/>
      <c r="NFO1721" s="227"/>
      <c r="NFP1721" s="227"/>
      <c r="NFQ1721" s="227"/>
      <c r="NFR1721" s="227"/>
      <c r="NFS1721" s="227"/>
      <c r="NFT1721" s="227"/>
      <c r="NFU1721" s="227"/>
      <c r="NFV1721" s="227"/>
      <c r="NFW1721" s="227"/>
      <c r="NFX1721" s="227"/>
      <c r="NFY1721" s="227"/>
      <c r="NFZ1721" s="227"/>
      <c r="NGA1721" s="227"/>
      <c r="NGB1721" s="227"/>
      <c r="NGC1721" s="227"/>
      <c r="NGD1721" s="227"/>
      <c r="NGE1721" s="227"/>
      <c r="NGF1721" s="227"/>
      <c r="NGG1721" s="227"/>
      <c r="NGH1721" s="227"/>
      <c r="NGI1721" s="227"/>
      <c r="NGJ1721" s="227"/>
      <c r="NGK1721" s="227"/>
      <c r="NGL1721" s="227"/>
      <c r="NGM1721" s="227"/>
      <c r="NGN1721" s="227"/>
      <c r="NGO1721" s="227"/>
      <c r="NGP1721" s="227"/>
      <c r="NGQ1721" s="227"/>
      <c r="NGR1721" s="227"/>
      <c r="NGS1721" s="227"/>
      <c r="NGT1721" s="227"/>
      <c r="NGU1721" s="227"/>
      <c r="NGV1721" s="227"/>
      <c r="NGW1721" s="227"/>
      <c r="NGX1721" s="227"/>
      <c r="NGY1721" s="227"/>
      <c r="NGZ1721" s="227"/>
      <c r="NHA1721" s="227"/>
      <c r="NHB1721" s="227"/>
      <c r="NHC1721" s="227"/>
      <c r="NHD1721" s="227"/>
      <c r="NHE1721" s="227"/>
      <c r="NHF1721" s="227"/>
      <c r="NHG1721" s="227"/>
      <c r="NHH1721" s="227"/>
      <c r="NHI1721" s="227"/>
      <c r="NHJ1721" s="227"/>
      <c r="NHK1721" s="227"/>
      <c r="NHL1721" s="227"/>
      <c r="NHM1721" s="227"/>
      <c r="NHN1721" s="227"/>
      <c r="NHO1721" s="227"/>
      <c r="NHP1721" s="227"/>
      <c r="NHQ1721" s="227"/>
      <c r="NHR1721" s="227"/>
      <c r="NHS1721" s="227"/>
      <c r="NHT1721" s="227"/>
      <c r="NHU1721" s="227"/>
      <c r="NHV1721" s="227"/>
      <c r="NHW1721" s="227"/>
      <c r="NHX1721" s="227"/>
      <c r="NHY1721" s="227"/>
      <c r="NHZ1721" s="227"/>
      <c r="NIA1721" s="227"/>
      <c r="NIB1721" s="227"/>
      <c r="NIC1721" s="227"/>
      <c r="NID1721" s="227"/>
      <c r="NIE1721" s="227"/>
      <c r="NIF1721" s="227"/>
      <c r="NIG1721" s="227"/>
      <c r="NIH1721" s="227"/>
      <c r="NII1721" s="227"/>
      <c r="NIJ1721" s="227"/>
      <c r="NIK1721" s="227"/>
      <c r="NIL1721" s="227"/>
      <c r="NIM1721" s="227"/>
      <c r="NIN1721" s="227"/>
      <c r="NIO1721" s="227"/>
      <c r="NIP1721" s="227"/>
      <c r="NIQ1721" s="227"/>
      <c r="NIR1721" s="227"/>
      <c r="NIS1721" s="227"/>
      <c r="NIT1721" s="227"/>
      <c r="NIU1721" s="227"/>
      <c r="NIV1721" s="227"/>
      <c r="NIW1721" s="227"/>
      <c r="NIX1721" s="227"/>
      <c r="NIY1721" s="227"/>
      <c r="NIZ1721" s="227"/>
      <c r="NJA1721" s="227"/>
      <c r="NJB1721" s="227"/>
      <c r="NJC1721" s="227"/>
      <c r="NJD1721" s="227"/>
      <c r="NJE1721" s="227"/>
      <c r="NJF1721" s="227"/>
      <c r="NJG1721" s="227"/>
      <c r="NJH1721" s="227"/>
      <c r="NJI1721" s="227"/>
      <c r="NJJ1721" s="227"/>
      <c r="NJK1721" s="227"/>
      <c r="NJL1721" s="227"/>
      <c r="NJM1721" s="227"/>
      <c r="NJN1721" s="227"/>
      <c r="NJO1721" s="227"/>
      <c r="NJP1721" s="227"/>
      <c r="NJQ1721" s="227"/>
      <c r="NJR1721" s="227"/>
      <c r="NJS1721" s="227"/>
      <c r="NJT1721" s="227"/>
      <c r="NJU1721" s="227"/>
      <c r="NJV1721" s="227"/>
      <c r="NJW1721" s="227"/>
      <c r="NJX1721" s="227"/>
      <c r="NJY1721" s="227"/>
      <c r="NJZ1721" s="227"/>
      <c r="NKA1721" s="227"/>
      <c r="NKB1721" s="227"/>
      <c r="NKC1721" s="227"/>
      <c r="NKD1721" s="227"/>
      <c r="NKE1721" s="227"/>
      <c r="NKF1721" s="227"/>
      <c r="NKG1721" s="227"/>
      <c r="NKH1721" s="227"/>
      <c r="NKI1721" s="227"/>
      <c r="NKJ1721" s="227"/>
      <c r="NKK1721" s="227"/>
      <c r="NKL1721" s="227"/>
      <c r="NKM1721" s="227"/>
      <c r="NKN1721" s="227"/>
      <c r="NKO1721" s="227"/>
      <c r="NKP1721" s="227"/>
      <c r="NKQ1721" s="227"/>
      <c r="NKR1721" s="227"/>
      <c r="NKS1721" s="227"/>
      <c r="NKT1721" s="227"/>
      <c r="NKU1721" s="227"/>
      <c r="NKV1721" s="227"/>
      <c r="NKW1721" s="227"/>
      <c r="NKX1721" s="227"/>
      <c r="NKY1721" s="227"/>
      <c r="NKZ1721" s="227"/>
      <c r="NLA1721" s="227"/>
      <c r="NLB1721" s="227"/>
      <c r="NLC1721" s="227"/>
      <c r="NLD1721" s="227"/>
      <c r="NLE1721" s="227"/>
      <c r="NLF1721" s="227"/>
      <c r="NLG1721" s="227"/>
      <c r="NLH1721" s="227"/>
      <c r="NLI1721" s="227"/>
      <c r="NLJ1721" s="227"/>
      <c r="NLK1721" s="227"/>
      <c r="NLL1721" s="227"/>
      <c r="NLM1721" s="227"/>
      <c r="NLN1721" s="227"/>
      <c r="NLO1721" s="227"/>
      <c r="NLP1721" s="227"/>
      <c r="NLQ1721" s="227"/>
      <c r="NLR1721" s="227"/>
      <c r="NLS1721" s="227"/>
      <c r="NLT1721" s="227"/>
      <c r="NLU1721" s="227"/>
      <c r="NLV1721" s="227"/>
      <c r="NLW1721" s="227"/>
      <c r="NLX1721" s="227"/>
      <c r="NLY1721" s="227"/>
      <c r="NLZ1721" s="227"/>
      <c r="NMA1721" s="227"/>
      <c r="NMB1721" s="227"/>
      <c r="NMC1721" s="227"/>
      <c r="NMD1721" s="227"/>
      <c r="NME1721" s="227"/>
      <c r="NMF1721" s="227"/>
      <c r="NMG1721" s="227"/>
      <c r="NMH1721" s="227"/>
      <c r="NMI1721" s="227"/>
      <c r="NMJ1721" s="227"/>
      <c r="NMK1721" s="227"/>
      <c r="NML1721" s="227"/>
      <c r="NMM1721" s="227"/>
      <c r="NMN1721" s="227"/>
      <c r="NMO1721" s="227"/>
      <c r="NMP1721" s="227"/>
      <c r="NMQ1721" s="227"/>
      <c r="NMR1721" s="227"/>
      <c r="NMS1721" s="227"/>
      <c r="NMT1721" s="227"/>
      <c r="NMU1721" s="227"/>
      <c r="NMV1721" s="227"/>
      <c r="NMW1721" s="227"/>
      <c r="NMX1721" s="227"/>
      <c r="NMY1721" s="227"/>
      <c r="NMZ1721" s="227"/>
      <c r="NNA1721" s="227"/>
      <c r="NNB1721" s="227"/>
      <c r="NNC1721" s="227"/>
      <c r="NND1721" s="227"/>
      <c r="NNE1721" s="227"/>
      <c r="NNF1721" s="227"/>
      <c r="NNG1721" s="227"/>
      <c r="NNH1721" s="227"/>
      <c r="NNI1721" s="227"/>
      <c r="NNJ1721" s="227"/>
      <c r="NNK1721" s="227"/>
      <c r="NNL1721" s="227"/>
      <c r="NNM1721" s="227"/>
      <c r="NNN1721" s="227"/>
      <c r="NNO1721" s="227"/>
      <c r="NNP1721" s="227"/>
      <c r="NNQ1721" s="227"/>
      <c r="NNR1721" s="227"/>
      <c r="NNS1721" s="227"/>
      <c r="NNT1721" s="227"/>
      <c r="NNU1721" s="227"/>
      <c r="NNV1721" s="227"/>
      <c r="NNW1721" s="227"/>
      <c r="NNX1721" s="227"/>
      <c r="NNY1721" s="227"/>
      <c r="NNZ1721" s="227"/>
      <c r="NOA1721" s="227"/>
      <c r="NOB1721" s="227"/>
      <c r="NOC1721" s="227"/>
      <c r="NOD1721" s="227"/>
      <c r="NOE1721" s="227"/>
      <c r="NOF1721" s="227"/>
      <c r="NOG1721" s="227"/>
      <c r="NOH1721" s="227"/>
      <c r="NOI1721" s="227"/>
      <c r="NOJ1721" s="227"/>
      <c r="NOK1721" s="227"/>
      <c r="NOL1721" s="227"/>
      <c r="NOM1721" s="227"/>
      <c r="NON1721" s="227"/>
      <c r="NOO1721" s="227"/>
      <c r="NOP1721" s="227"/>
      <c r="NOQ1721" s="227"/>
      <c r="NOR1721" s="227"/>
      <c r="NOS1721" s="227"/>
      <c r="NOT1721" s="227"/>
      <c r="NOU1721" s="227"/>
      <c r="NOV1721" s="227"/>
      <c r="NOW1721" s="227"/>
      <c r="NOX1721" s="227"/>
      <c r="NOY1721" s="227"/>
      <c r="NOZ1721" s="227"/>
      <c r="NPA1721" s="227"/>
      <c r="NPB1721" s="227"/>
      <c r="NPC1721" s="227"/>
      <c r="NPD1721" s="227"/>
      <c r="NPE1721" s="227"/>
      <c r="NPF1721" s="227"/>
      <c r="NPG1721" s="227"/>
      <c r="NPH1721" s="227"/>
      <c r="NPI1721" s="227"/>
      <c r="NPJ1721" s="227"/>
      <c r="NPK1721" s="227"/>
      <c r="NPL1721" s="227"/>
      <c r="NPM1721" s="227"/>
      <c r="NPN1721" s="227"/>
      <c r="NPO1721" s="227"/>
      <c r="NPP1721" s="227"/>
      <c r="NPQ1721" s="227"/>
      <c r="NPR1721" s="227"/>
      <c r="NPS1721" s="227"/>
      <c r="NPT1721" s="227"/>
      <c r="NPU1721" s="227"/>
      <c r="NPV1721" s="227"/>
      <c r="NPW1721" s="227"/>
      <c r="NPX1721" s="227"/>
      <c r="NPY1721" s="227"/>
      <c r="NPZ1721" s="227"/>
      <c r="NQA1721" s="227"/>
      <c r="NQB1721" s="227"/>
      <c r="NQC1721" s="227"/>
      <c r="NQD1721" s="227"/>
      <c r="NQE1721" s="227"/>
      <c r="NQF1721" s="227"/>
      <c r="NQG1721" s="227"/>
      <c r="NQH1721" s="227"/>
      <c r="NQI1721" s="227"/>
      <c r="NQJ1721" s="227"/>
      <c r="NQK1721" s="227"/>
      <c r="NQL1721" s="227"/>
      <c r="NQM1721" s="227"/>
      <c r="NQN1721" s="227"/>
      <c r="NQO1721" s="227"/>
      <c r="NQP1721" s="227"/>
      <c r="NQQ1721" s="227"/>
      <c r="NQR1721" s="227"/>
      <c r="NQS1721" s="227"/>
      <c r="NQT1721" s="227"/>
      <c r="NQU1721" s="227"/>
      <c r="NQV1721" s="227"/>
      <c r="NQW1721" s="227"/>
      <c r="NQX1721" s="227"/>
      <c r="NQY1721" s="227"/>
      <c r="NQZ1721" s="227"/>
      <c r="NRA1721" s="227"/>
      <c r="NRB1721" s="227"/>
      <c r="NRC1721" s="227"/>
      <c r="NRD1721" s="227"/>
      <c r="NRE1721" s="227"/>
      <c r="NRF1721" s="227"/>
      <c r="NRG1721" s="227"/>
      <c r="NRH1721" s="227"/>
      <c r="NRI1721" s="227"/>
      <c r="NRJ1721" s="227"/>
      <c r="NRK1721" s="227"/>
      <c r="NRL1721" s="227"/>
      <c r="NRM1721" s="227"/>
      <c r="NRN1721" s="227"/>
      <c r="NRO1721" s="227"/>
      <c r="NRP1721" s="227"/>
      <c r="NRQ1721" s="227"/>
      <c r="NRR1721" s="227"/>
      <c r="NRS1721" s="227"/>
      <c r="NRT1721" s="227"/>
      <c r="NRU1721" s="227"/>
      <c r="NRV1721" s="227"/>
      <c r="NRW1721" s="227"/>
      <c r="NRX1721" s="227"/>
      <c r="NRY1721" s="227"/>
      <c r="NRZ1721" s="227"/>
      <c r="NSA1721" s="227"/>
      <c r="NSB1721" s="227"/>
      <c r="NSC1721" s="227"/>
      <c r="NSD1721" s="227"/>
      <c r="NSE1721" s="227"/>
      <c r="NSF1721" s="227"/>
      <c r="NSG1721" s="227"/>
      <c r="NSH1721" s="227"/>
      <c r="NSI1721" s="227"/>
      <c r="NSJ1721" s="227"/>
      <c r="NSK1721" s="227"/>
      <c r="NSL1721" s="227"/>
      <c r="NSM1721" s="227"/>
      <c r="NSN1721" s="227"/>
      <c r="NSO1721" s="227"/>
      <c r="NSP1721" s="227"/>
      <c r="NSQ1721" s="227"/>
      <c r="NSR1721" s="227"/>
      <c r="NSS1721" s="227"/>
      <c r="NST1721" s="227"/>
      <c r="NSU1721" s="227"/>
      <c r="NSV1721" s="227"/>
      <c r="NSW1721" s="227"/>
      <c r="NSX1721" s="227"/>
      <c r="NSY1721" s="227"/>
      <c r="NSZ1721" s="227"/>
      <c r="NTA1721" s="227"/>
      <c r="NTB1721" s="227"/>
      <c r="NTC1721" s="227"/>
      <c r="NTD1721" s="227"/>
      <c r="NTE1721" s="227"/>
      <c r="NTF1721" s="227"/>
      <c r="NTG1721" s="227"/>
      <c r="NTH1721" s="227"/>
      <c r="NTI1721" s="227"/>
      <c r="NTJ1721" s="227"/>
      <c r="NTK1721" s="227"/>
      <c r="NTL1721" s="227"/>
      <c r="NTM1721" s="227"/>
      <c r="NTN1721" s="227"/>
      <c r="NTO1721" s="227"/>
      <c r="NTP1721" s="227"/>
      <c r="NTQ1721" s="227"/>
      <c r="NTR1721" s="227"/>
      <c r="NTS1721" s="227"/>
      <c r="NTT1721" s="227"/>
      <c r="NTU1721" s="227"/>
      <c r="NTV1721" s="227"/>
      <c r="NTW1721" s="227"/>
      <c r="NTX1721" s="227"/>
      <c r="NTY1721" s="227"/>
      <c r="NTZ1721" s="227"/>
      <c r="NUA1721" s="227"/>
      <c r="NUB1721" s="227"/>
      <c r="NUC1721" s="227"/>
      <c r="NUD1721" s="227"/>
      <c r="NUE1721" s="227"/>
      <c r="NUF1721" s="227"/>
      <c r="NUG1721" s="227"/>
      <c r="NUH1721" s="227"/>
      <c r="NUI1721" s="227"/>
      <c r="NUJ1721" s="227"/>
      <c r="NUK1721" s="227"/>
      <c r="NUL1721" s="227"/>
      <c r="NUM1721" s="227"/>
      <c r="NUN1721" s="227"/>
      <c r="NUO1721" s="227"/>
      <c r="NUP1721" s="227"/>
      <c r="NUQ1721" s="227"/>
      <c r="NUR1721" s="227"/>
      <c r="NUS1721" s="227"/>
      <c r="NUT1721" s="227"/>
      <c r="NUU1721" s="227"/>
      <c r="NUV1721" s="227"/>
      <c r="NUW1721" s="227"/>
      <c r="NUX1721" s="227"/>
      <c r="NUY1721" s="227"/>
      <c r="NUZ1721" s="227"/>
      <c r="NVA1721" s="227"/>
      <c r="NVB1721" s="227"/>
      <c r="NVC1721" s="227"/>
      <c r="NVD1721" s="227"/>
      <c r="NVE1721" s="227"/>
      <c r="NVF1721" s="227"/>
      <c r="NVG1721" s="227"/>
      <c r="NVH1721" s="227"/>
      <c r="NVI1721" s="227"/>
      <c r="NVJ1721" s="227"/>
      <c r="NVK1721" s="227"/>
      <c r="NVL1721" s="227"/>
      <c r="NVM1721" s="227"/>
      <c r="NVN1721" s="227"/>
      <c r="NVO1721" s="227"/>
      <c r="NVP1721" s="227"/>
      <c r="NVQ1721" s="227"/>
      <c r="NVR1721" s="227"/>
      <c r="NVS1721" s="227"/>
      <c r="NVT1721" s="227"/>
      <c r="NVU1721" s="227"/>
      <c r="NVV1721" s="227"/>
      <c r="NVW1721" s="227"/>
      <c r="NVX1721" s="227"/>
      <c r="NVY1721" s="227"/>
      <c r="NVZ1721" s="227"/>
      <c r="NWA1721" s="227"/>
      <c r="NWB1721" s="227"/>
      <c r="NWC1721" s="227"/>
      <c r="NWD1721" s="227"/>
      <c r="NWE1721" s="227"/>
      <c r="NWF1721" s="227"/>
      <c r="NWG1721" s="227"/>
      <c r="NWH1721" s="227"/>
      <c r="NWI1721" s="227"/>
      <c r="NWJ1721" s="227"/>
      <c r="NWK1721" s="227"/>
      <c r="NWL1721" s="227"/>
      <c r="NWM1721" s="227"/>
      <c r="NWN1721" s="227"/>
      <c r="NWO1721" s="227"/>
      <c r="NWP1721" s="227"/>
      <c r="NWQ1721" s="227"/>
      <c r="NWR1721" s="227"/>
      <c r="NWS1721" s="227"/>
      <c r="NWT1721" s="227"/>
      <c r="NWU1721" s="227"/>
      <c r="NWV1721" s="227"/>
      <c r="NWW1721" s="227"/>
      <c r="NWX1721" s="227"/>
      <c r="NWY1721" s="227"/>
      <c r="NWZ1721" s="227"/>
      <c r="NXA1721" s="227"/>
      <c r="NXB1721" s="227"/>
      <c r="NXC1721" s="227"/>
      <c r="NXD1721" s="227"/>
      <c r="NXE1721" s="227"/>
      <c r="NXF1721" s="227"/>
      <c r="NXG1721" s="227"/>
      <c r="NXH1721" s="227"/>
      <c r="NXI1721" s="227"/>
      <c r="NXJ1721" s="227"/>
      <c r="NXK1721" s="227"/>
      <c r="NXL1721" s="227"/>
      <c r="NXM1721" s="227"/>
      <c r="NXN1721" s="227"/>
      <c r="NXO1721" s="227"/>
      <c r="NXP1721" s="227"/>
      <c r="NXQ1721" s="227"/>
      <c r="NXR1721" s="227"/>
      <c r="NXS1721" s="227"/>
      <c r="NXT1721" s="227"/>
      <c r="NXU1721" s="227"/>
      <c r="NXV1721" s="227"/>
      <c r="NXW1721" s="227"/>
      <c r="NXX1721" s="227"/>
      <c r="NXY1721" s="227"/>
      <c r="NXZ1721" s="227"/>
      <c r="NYA1721" s="227"/>
      <c r="NYB1721" s="227"/>
      <c r="NYC1721" s="227"/>
      <c r="NYD1721" s="227"/>
      <c r="NYE1721" s="227"/>
      <c r="NYF1721" s="227"/>
      <c r="NYG1721" s="227"/>
      <c r="NYH1721" s="227"/>
      <c r="NYI1721" s="227"/>
      <c r="NYJ1721" s="227"/>
      <c r="NYK1721" s="227"/>
      <c r="NYL1721" s="227"/>
      <c r="NYM1721" s="227"/>
      <c r="NYN1721" s="227"/>
      <c r="NYO1721" s="227"/>
      <c r="NYP1721" s="227"/>
      <c r="NYQ1721" s="227"/>
      <c r="NYR1721" s="227"/>
      <c r="NYS1721" s="227"/>
      <c r="NYT1721" s="227"/>
      <c r="NYU1721" s="227"/>
      <c r="NYV1721" s="227"/>
      <c r="NYW1721" s="227"/>
      <c r="NYX1721" s="227"/>
      <c r="NYY1721" s="227"/>
      <c r="NYZ1721" s="227"/>
      <c r="NZA1721" s="227"/>
      <c r="NZB1721" s="227"/>
      <c r="NZC1721" s="227"/>
      <c r="NZD1721" s="227"/>
      <c r="NZE1721" s="227"/>
      <c r="NZF1721" s="227"/>
      <c r="NZG1721" s="227"/>
      <c r="NZH1721" s="227"/>
      <c r="NZI1721" s="227"/>
      <c r="NZJ1721" s="227"/>
      <c r="NZK1721" s="227"/>
      <c r="NZL1721" s="227"/>
      <c r="NZM1721" s="227"/>
      <c r="NZN1721" s="227"/>
      <c r="NZO1721" s="227"/>
      <c r="NZP1721" s="227"/>
      <c r="NZQ1721" s="227"/>
      <c r="NZR1721" s="227"/>
      <c r="NZS1721" s="227"/>
      <c r="NZT1721" s="227"/>
      <c r="NZU1721" s="227"/>
      <c r="NZV1721" s="227"/>
      <c r="NZW1721" s="227"/>
      <c r="NZX1721" s="227"/>
      <c r="NZY1721" s="227"/>
      <c r="NZZ1721" s="227"/>
      <c r="OAA1721" s="227"/>
      <c r="OAB1721" s="227"/>
      <c r="OAC1721" s="227"/>
      <c r="OAD1721" s="227"/>
      <c r="OAE1721" s="227"/>
      <c r="OAF1721" s="227"/>
      <c r="OAG1721" s="227"/>
      <c r="OAH1721" s="227"/>
      <c r="OAI1721" s="227"/>
      <c r="OAJ1721" s="227"/>
      <c r="OAK1721" s="227"/>
      <c r="OAL1721" s="227"/>
      <c r="OAM1721" s="227"/>
      <c r="OAN1721" s="227"/>
      <c r="OAO1721" s="227"/>
      <c r="OAP1721" s="227"/>
      <c r="OAQ1721" s="227"/>
      <c r="OAR1721" s="227"/>
      <c r="OAS1721" s="227"/>
      <c r="OAT1721" s="227"/>
      <c r="OAU1721" s="227"/>
      <c r="OAV1721" s="227"/>
      <c r="OAW1721" s="227"/>
      <c r="OAX1721" s="227"/>
      <c r="OAY1721" s="227"/>
      <c r="OAZ1721" s="227"/>
      <c r="OBA1721" s="227"/>
      <c r="OBB1721" s="227"/>
      <c r="OBC1721" s="227"/>
      <c r="OBD1721" s="227"/>
      <c r="OBE1721" s="227"/>
      <c r="OBF1721" s="227"/>
      <c r="OBG1721" s="227"/>
      <c r="OBH1721" s="227"/>
      <c r="OBI1721" s="227"/>
      <c r="OBJ1721" s="227"/>
      <c r="OBK1721" s="227"/>
      <c r="OBL1721" s="227"/>
      <c r="OBM1721" s="227"/>
      <c r="OBN1721" s="227"/>
      <c r="OBO1721" s="227"/>
      <c r="OBP1721" s="227"/>
      <c r="OBQ1721" s="227"/>
      <c r="OBR1721" s="227"/>
      <c r="OBS1721" s="227"/>
      <c r="OBT1721" s="227"/>
      <c r="OBU1721" s="227"/>
      <c r="OBV1721" s="227"/>
      <c r="OBW1721" s="227"/>
      <c r="OBX1721" s="227"/>
      <c r="OBY1721" s="227"/>
      <c r="OBZ1721" s="227"/>
      <c r="OCA1721" s="227"/>
      <c r="OCB1721" s="227"/>
      <c r="OCC1721" s="227"/>
      <c r="OCD1721" s="227"/>
      <c r="OCE1721" s="227"/>
      <c r="OCF1721" s="227"/>
      <c r="OCG1721" s="227"/>
      <c r="OCH1721" s="227"/>
      <c r="OCI1721" s="227"/>
      <c r="OCJ1721" s="227"/>
      <c r="OCK1721" s="227"/>
      <c r="OCL1721" s="227"/>
      <c r="OCM1721" s="227"/>
      <c r="OCN1721" s="227"/>
      <c r="OCO1721" s="227"/>
      <c r="OCP1721" s="227"/>
      <c r="OCQ1721" s="227"/>
      <c r="OCR1721" s="227"/>
      <c r="OCS1721" s="227"/>
      <c r="OCT1721" s="227"/>
      <c r="OCU1721" s="227"/>
      <c r="OCV1721" s="227"/>
      <c r="OCW1721" s="227"/>
      <c r="OCX1721" s="227"/>
      <c r="OCY1721" s="227"/>
      <c r="OCZ1721" s="227"/>
      <c r="ODA1721" s="227"/>
      <c r="ODB1721" s="227"/>
      <c r="ODC1721" s="227"/>
      <c r="ODD1721" s="227"/>
      <c r="ODE1721" s="227"/>
      <c r="ODF1721" s="227"/>
      <c r="ODG1721" s="227"/>
      <c r="ODH1721" s="227"/>
      <c r="ODI1721" s="227"/>
      <c r="ODJ1721" s="227"/>
      <c r="ODK1721" s="227"/>
      <c r="ODL1721" s="227"/>
      <c r="ODM1721" s="227"/>
      <c r="ODN1721" s="227"/>
      <c r="ODO1721" s="227"/>
      <c r="ODP1721" s="227"/>
      <c r="ODQ1721" s="227"/>
      <c r="ODR1721" s="227"/>
      <c r="ODS1721" s="227"/>
      <c r="ODT1721" s="227"/>
      <c r="ODU1721" s="227"/>
      <c r="ODV1721" s="227"/>
      <c r="ODW1721" s="227"/>
      <c r="ODX1721" s="227"/>
      <c r="ODY1721" s="227"/>
      <c r="ODZ1721" s="227"/>
      <c r="OEA1721" s="227"/>
      <c r="OEB1721" s="227"/>
      <c r="OEC1721" s="227"/>
      <c r="OED1721" s="227"/>
      <c r="OEE1721" s="227"/>
      <c r="OEF1721" s="227"/>
      <c r="OEG1721" s="227"/>
      <c r="OEH1721" s="227"/>
      <c r="OEI1721" s="227"/>
      <c r="OEJ1721" s="227"/>
      <c r="OEK1721" s="227"/>
      <c r="OEL1721" s="227"/>
      <c r="OEM1721" s="227"/>
      <c r="OEN1721" s="227"/>
      <c r="OEO1721" s="227"/>
      <c r="OEP1721" s="227"/>
      <c r="OEQ1721" s="227"/>
      <c r="OER1721" s="227"/>
      <c r="OES1721" s="227"/>
      <c r="OET1721" s="227"/>
      <c r="OEU1721" s="227"/>
      <c r="OEV1721" s="227"/>
      <c r="OEW1721" s="227"/>
      <c r="OEX1721" s="227"/>
      <c r="OEY1721" s="227"/>
      <c r="OEZ1721" s="227"/>
      <c r="OFA1721" s="227"/>
      <c r="OFB1721" s="227"/>
      <c r="OFC1721" s="227"/>
      <c r="OFD1721" s="227"/>
      <c r="OFE1721" s="227"/>
      <c r="OFF1721" s="227"/>
      <c r="OFG1721" s="227"/>
      <c r="OFH1721" s="227"/>
      <c r="OFI1721" s="227"/>
      <c r="OFJ1721" s="227"/>
      <c r="OFK1721" s="227"/>
      <c r="OFL1721" s="227"/>
      <c r="OFM1721" s="227"/>
      <c r="OFN1721" s="227"/>
      <c r="OFO1721" s="227"/>
      <c r="OFP1721" s="227"/>
      <c r="OFQ1721" s="227"/>
      <c r="OFR1721" s="227"/>
      <c r="OFS1721" s="227"/>
      <c r="OFT1721" s="227"/>
      <c r="OFU1721" s="227"/>
      <c r="OFV1721" s="227"/>
      <c r="OFW1721" s="227"/>
      <c r="OFX1721" s="227"/>
      <c r="OFY1721" s="227"/>
      <c r="OFZ1721" s="227"/>
      <c r="OGA1721" s="227"/>
      <c r="OGB1721" s="227"/>
      <c r="OGC1721" s="227"/>
      <c r="OGD1721" s="227"/>
      <c r="OGE1721" s="227"/>
      <c r="OGF1721" s="227"/>
      <c r="OGG1721" s="227"/>
      <c r="OGH1721" s="227"/>
      <c r="OGI1721" s="227"/>
      <c r="OGJ1721" s="227"/>
      <c r="OGK1721" s="227"/>
      <c r="OGL1721" s="227"/>
      <c r="OGM1721" s="227"/>
      <c r="OGN1721" s="227"/>
      <c r="OGO1721" s="227"/>
      <c r="OGP1721" s="227"/>
      <c r="OGQ1721" s="227"/>
      <c r="OGR1721" s="227"/>
      <c r="OGS1721" s="227"/>
      <c r="OGT1721" s="227"/>
      <c r="OGU1721" s="227"/>
      <c r="OGV1721" s="227"/>
      <c r="OGW1721" s="227"/>
      <c r="OGX1721" s="227"/>
      <c r="OGY1721" s="227"/>
      <c r="OGZ1721" s="227"/>
      <c r="OHA1721" s="227"/>
      <c r="OHB1721" s="227"/>
      <c r="OHC1721" s="227"/>
      <c r="OHD1721" s="227"/>
      <c r="OHE1721" s="227"/>
      <c r="OHF1721" s="227"/>
      <c r="OHG1721" s="227"/>
      <c r="OHH1721" s="227"/>
      <c r="OHI1721" s="227"/>
      <c r="OHJ1721" s="227"/>
      <c r="OHK1721" s="227"/>
      <c r="OHL1721" s="227"/>
      <c r="OHM1721" s="227"/>
      <c r="OHN1721" s="227"/>
      <c r="OHO1721" s="227"/>
      <c r="OHP1721" s="227"/>
      <c r="OHQ1721" s="227"/>
      <c r="OHR1721" s="227"/>
      <c r="OHS1721" s="227"/>
      <c r="OHT1721" s="227"/>
      <c r="OHU1721" s="227"/>
      <c r="OHV1721" s="227"/>
      <c r="OHW1721" s="227"/>
      <c r="OHX1721" s="227"/>
      <c r="OHY1721" s="227"/>
      <c r="OHZ1721" s="227"/>
      <c r="OIA1721" s="227"/>
      <c r="OIB1721" s="227"/>
      <c r="OIC1721" s="227"/>
      <c r="OID1721" s="227"/>
      <c r="OIE1721" s="227"/>
      <c r="OIF1721" s="227"/>
      <c r="OIG1721" s="227"/>
      <c r="OIH1721" s="227"/>
      <c r="OII1721" s="227"/>
      <c r="OIJ1721" s="227"/>
      <c r="OIK1721" s="227"/>
      <c r="OIL1721" s="227"/>
      <c r="OIM1721" s="227"/>
      <c r="OIN1721" s="227"/>
      <c r="OIO1721" s="227"/>
      <c r="OIP1721" s="227"/>
      <c r="OIQ1721" s="227"/>
      <c r="OIR1721" s="227"/>
      <c r="OIS1721" s="227"/>
      <c r="OIT1721" s="227"/>
      <c r="OIU1721" s="227"/>
      <c r="OIV1721" s="227"/>
      <c r="OIW1721" s="227"/>
      <c r="OIX1721" s="227"/>
      <c r="OIY1721" s="227"/>
      <c r="OIZ1721" s="227"/>
      <c r="OJA1721" s="227"/>
      <c r="OJB1721" s="227"/>
      <c r="OJC1721" s="227"/>
      <c r="OJD1721" s="227"/>
      <c r="OJE1721" s="227"/>
      <c r="OJF1721" s="227"/>
      <c r="OJG1721" s="227"/>
      <c r="OJH1721" s="227"/>
      <c r="OJI1721" s="227"/>
      <c r="OJJ1721" s="227"/>
      <c r="OJK1721" s="227"/>
      <c r="OJL1721" s="227"/>
      <c r="OJM1721" s="227"/>
      <c r="OJN1721" s="227"/>
      <c r="OJO1721" s="227"/>
      <c r="OJP1721" s="227"/>
      <c r="OJQ1721" s="227"/>
      <c r="OJR1721" s="227"/>
      <c r="OJS1721" s="227"/>
      <c r="OJT1721" s="227"/>
      <c r="OJU1721" s="227"/>
      <c r="OJV1721" s="227"/>
      <c r="OJW1721" s="227"/>
      <c r="OJX1721" s="227"/>
      <c r="OJY1721" s="227"/>
      <c r="OJZ1721" s="227"/>
      <c r="OKA1721" s="227"/>
      <c r="OKB1721" s="227"/>
      <c r="OKC1721" s="227"/>
      <c r="OKD1721" s="227"/>
      <c r="OKE1721" s="227"/>
      <c r="OKF1721" s="227"/>
      <c r="OKG1721" s="227"/>
      <c r="OKH1721" s="227"/>
      <c r="OKI1721" s="227"/>
      <c r="OKJ1721" s="227"/>
      <c r="OKK1721" s="227"/>
      <c r="OKL1721" s="227"/>
      <c r="OKM1721" s="227"/>
      <c r="OKN1721" s="227"/>
      <c r="OKO1721" s="227"/>
      <c r="OKP1721" s="227"/>
      <c r="OKQ1721" s="227"/>
      <c r="OKR1721" s="227"/>
      <c r="OKS1721" s="227"/>
      <c r="OKT1721" s="227"/>
      <c r="OKU1721" s="227"/>
      <c r="OKV1721" s="227"/>
      <c r="OKW1721" s="227"/>
      <c r="OKX1721" s="227"/>
      <c r="OKY1721" s="227"/>
      <c r="OKZ1721" s="227"/>
      <c r="OLA1721" s="227"/>
      <c r="OLB1721" s="227"/>
      <c r="OLC1721" s="227"/>
      <c r="OLD1721" s="227"/>
      <c r="OLE1721" s="227"/>
      <c r="OLF1721" s="227"/>
      <c r="OLG1721" s="227"/>
      <c r="OLH1721" s="227"/>
      <c r="OLI1721" s="227"/>
      <c r="OLJ1721" s="227"/>
      <c r="OLK1721" s="227"/>
      <c r="OLL1721" s="227"/>
      <c r="OLM1721" s="227"/>
      <c r="OLN1721" s="227"/>
      <c r="OLO1721" s="227"/>
      <c r="OLP1721" s="227"/>
      <c r="OLQ1721" s="227"/>
      <c r="OLR1721" s="227"/>
      <c r="OLS1721" s="227"/>
      <c r="OLT1721" s="227"/>
      <c r="OLU1721" s="227"/>
      <c r="OLV1721" s="227"/>
      <c r="OLW1721" s="227"/>
      <c r="OLX1721" s="227"/>
      <c r="OLY1721" s="227"/>
      <c r="OLZ1721" s="227"/>
      <c r="OMA1721" s="227"/>
      <c r="OMB1721" s="227"/>
      <c r="OMC1721" s="227"/>
      <c r="OMD1721" s="227"/>
      <c r="OME1721" s="227"/>
      <c r="OMF1721" s="227"/>
      <c r="OMG1721" s="227"/>
      <c r="OMH1721" s="227"/>
      <c r="OMI1721" s="227"/>
      <c r="OMJ1721" s="227"/>
      <c r="OMK1721" s="227"/>
      <c r="OML1721" s="227"/>
      <c r="OMM1721" s="227"/>
      <c r="OMN1721" s="227"/>
      <c r="OMO1721" s="227"/>
      <c r="OMP1721" s="227"/>
      <c r="OMQ1721" s="227"/>
      <c r="OMR1721" s="227"/>
      <c r="OMS1721" s="227"/>
      <c r="OMT1721" s="227"/>
      <c r="OMU1721" s="227"/>
      <c r="OMV1721" s="227"/>
      <c r="OMW1721" s="227"/>
      <c r="OMX1721" s="227"/>
      <c r="OMY1721" s="227"/>
      <c r="OMZ1721" s="227"/>
      <c r="ONA1721" s="227"/>
      <c r="ONB1721" s="227"/>
      <c r="ONC1721" s="227"/>
      <c r="OND1721" s="227"/>
      <c r="ONE1721" s="227"/>
      <c r="ONF1721" s="227"/>
      <c r="ONG1721" s="227"/>
      <c r="ONH1721" s="227"/>
      <c r="ONI1721" s="227"/>
      <c r="ONJ1721" s="227"/>
      <c r="ONK1721" s="227"/>
      <c r="ONL1721" s="227"/>
      <c r="ONM1721" s="227"/>
      <c r="ONN1721" s="227"/>
      <c r="ONO1721" s="227"/>
      <c r="ONP1721" s="227"/>
      <c r="ONQ1721" s="227"/>
      <c r="ONR1721" s="227"/>
      <c r="ONS1721" s="227"/>
      <c r="ONT1721" s="227"/>
      <c r="ONU1721" s="227"/>
      <c r="ONV1721" s="227"/>
      <c r="ONW1721" s="227"/>
      <c r="ONX1721" s="227"/>
      <c r="ONY1721" s="227"/>
      <c r="ONZ1721" s="227"/>
      <c r="OOA1721" s="227"/>
      <c r="OOB1721" s="227"/>
      <c r="OOC1721" s="227"/>
      <c r="OOD1721" s="227"/>
      <c r="OOE1721" s="227"/>
      <c r="OOF1721" s="227"/>
      <c r="OOG1721" s="227"/>
      <c r="OOH1721" s="227"/>
      <c r="OOI1721" s="227"/>
      <c r="OOJ1721" s="227"/>
      <c r="OOK1721" s="227"/>
      <c r="OOL1721" s="227"/>
      <c r="OOM1721" s="227"/>
      <c r="OON1721" s="227"/>
      <c r="OOO1721" s="227"/>
      <c r="OOP1721" s="227"/>
      <c r="OOQ1721" s="227"/>
      <c r="OOR1721" s="227"/>
      <c r="OOS1721" s="227"/>
      <c r="OOT1721" s="227"/>
      <c r="OOU1721" s="227"/>
      <c r="OOV1721" s="227"/>
      <c r="OOW1721" s="227"/>
      <c r="OOX1721" s="227"/>
      <c r="OOY1721" s="227"/>
      <c r="OOZ1721" s="227"/>
      <c r="OPA1721" s="227"/>
      <c r="OPB1721" s="227"/>
      <c r="OPC1721" s="227"/>
      <c r="OPD1721" s="227"/>
      <c r="OPE1721" s="227"/>
      <c r="OPF1721" s="227"/>
      <c r="OPG1721" s="227"/>
      <c r="OPH1721" s="227"/>
      <c r="OPI1721" s="227"/>
      <c r="OPJ1721" s="227"/>
      <c r="OPK1721" s="227"/>
      <c r="OPL1721" s="227"/>
      <c r="OPM1721" s="227"/>
      <c r="OPN1721" s="227"/>
      <c r="OPO1721" s="227"/>
      <c r="OPP1721" s="227"/>
      <c r="OPQ1721" s="227"/>
      <c r="OPR1721" s="227"/>
      <c r="OPS1721" s="227"/>
      <c r="OPT1721" s="227"/>
      <c r="OPU1721" s="227"/>
      <c r="OPV1721" s="227"/>
      <c r="OPW1721" s="227"/>
      <c r="OPX1721" s="227"/>
      <c r="OPY1721" s="227"/>
      <c r="OPZ1721" s="227"/>
      <c r="OQA1721" s="227"/>
      <c r="OQB1721" s="227"/>
      <c r="OQC1721" s="227"/>
      <c r="OQD1721" s="227"/>
      <c r="OQE1721" s="227"/>
      <c r="OQF1721" s="227"/>
      <c r="OQG1721" s="227"/>
      <c r="OQH1721" s="227"/>
      <c r="OQI1721" s="227"/>
      <c r="OQJ1721" s="227"/>
      <c r="OQK1721" s="227"/>
      <c r="OQL1721" s="227"/>
      <c r="OQM1721" s="227"/>
      <c r="OQN1721" s="227"/>
      <c r="OQO1721" s="227"/>
      <c r="OQP1721" s="227"/>
      <c r="OQQ1721" s="227"/>
      <c r="OQR1721" s="227"/>
      <c r="OQS1721" s="227"/>
      <c r="OQT1721" s="227"/>
      <c r="OQU1721" s="227"/>
      <c r="OQV1721" s="227"/>
      <c r="OQW1721" s="227"/>
      <c r="OQX1721" s="227"/>
      <c r="OQY1721" s="227"/>
      <c r="OQZ1721" s="227"/>
      <c r="ORA1721" s="227"/>
      <c r="ORB1721" s="227"/>
      <c r="ORC1721" s="227"/>
      <c r="ORD1721" s="227"/>
      <c r="ORE1721" s="227"/>
      <c r="ORF1721" s="227"/>
      <c r="ORG1721" s="227"/>
      <c r="ORH1721" s="227"/>
      <c r="ORI1721" s="227"/>
      <c r="ORJ1721" s="227"/>
      <c r="ORK1721" s="227"/>
      <c r="ORL1721" s="227"/>
      <c r="ORM1721" s="227"/>
      <c r="ORN1721" s="227"/>
      <c r="ORO1721" s="227"/>
      <c r="ORP1721" s="227"/>
      <c r="ORQ1721" s="227"/>
      <c r="ORR1721" s="227"/>
      <c r="ORS1721" s="227"/>
      <c r="ORT1721" s="227"/>
      <c r="ORU1721" s="227"/>
      <c r="ORV1721" s="227"/>
      <c r="ORW1721" s="227"/>
      <c r="ORX1721" s="227"/>
      <c r="ORY1721" s="227"/>
      <c r="ORZ1721" s="227"/>
      <c r="OSA1721" s="227"/>
      <c r="OSB1721" s="227"/>
      <c r="OSC1721" s="227"/>
      <c r="OSD1721" s="227"/>
      <c r="OSE1721" s="227"/>
      <c r="OSF1721" s="227"/>
      <c r="OSG1721" s="227"/>
      <c r="OSH1721" s="227"/>
      <c r="OSI1721" s="227"/>
      <c r="OSJ1721" s="227"/>
      <c r="OSK1721" s="227"/>
      <c r="OSL1721" s="227"/>
      <c r="OSM1721" s="227"/>
      <c r="OSN1721" s="227"/>
      <c r="OSO1721" s="227"/>
      <c r="OSP1721" s="227"/>
      <c r="OSQ1721" s="227"/>
      <c r="OSR1721" s="227"/>
      <c r="OSS1721" s="227"/>
      <c r="OST1721" s="227"/>
      <c r="OSU1721" s="227"/>
      <c r="OSV1721" s="227"/>
      <c r="OSW1721" s="227"/>
      <c r="OSX1721" s="227"/>
      <c r="OSY1721" s="227"/>
      <c r="OSZ1721" s="227"/>
      <c r="OTA1721" s="227"/>
      <c r="OTB1721" s="227"/>
      <c r="OTC1721" s="227"/>
      <c r="OTD1721" s="227"/>
      <c r="OTE1721" s="227"/>
      <c r="OTF1721" s="227"/>
      <c r="OTG1721" s="227"/>
      <c r="OTH1721" s="227"/>
      <c r="OTI1721" s="227"/>
      <c r="OTJ1721" s="227"/>
      <c r="OTK1721" s="227"/>
      <c r="OTL1721" s="227"/>
      <c r="OTM1721" s="227"/>
      <c r="OTN1721" s="227"/>
      <c r="OTO1721" s="227"/>
      <c r="OTP1721" s="227"/>
      <c r="OTQ1721" s="227"/>
      <c r="OTR1721" s="227"/>
      <c r="OTS1721" s="227"/>
      <c r="OTT1721" s="227"/>
      <c r="OTU1721" s="227"/>
      <c r="OTV1721" s="227"/>
      <c r="OTW1721" s="227"/>
      <c r="OTX1721" s="227"/>
      <c r="OTY1721" s="227"/>
      <c r="OTZ1721" s="227"/>
      <c r="OUA1721" s="227"/>
      <c r="OUB1721" s="227"/>
      <c r="OUC1721" s="227"/>
      <c r="OUD1721" s="227"/>
      <c r="OUE1721" s="227"/>
      <c r="OUF1721" s="227"/>
      <c r="OUG1721" s="227"/>
      <c r="OUH1721" s="227"/>
      <c r="OUI1721" s="227"/>
      <c r="OUJ1721" s="227"/>
      <c r="OUK1721" s="227"/>
      <c r="OUL1721" s="227"/>
      <c r="OUM1721" s="227"/>
      <c r="OUN1721" s="227"/>
      <c r="OUO1721" s="227"/>
      <c r="OUP1721" s="227"/>
      <c r="OUQ1721" s="227"/>
      <c r="OUR1721" s="227"/>
      <c r="OUS1721" s="227"/>
      <c r="OUT1721" s="227"/>
      <c r="OUU1721" s="227"/>
      <c r="OUV1721" s="227"/>
      <c r="OUW1721" s="227"/>
      <c r="OUX1721" s="227"/>
      <c r="OUY1721" s="227"/>
      <c r="OUZ1721" s="227"/>
      <c r="OVA1721" s="227"/>
      <c r="OVB1721" s="227"/>
      <c r="OVC1721" s="227"/>
      <c r="OVD1721" s="227"/>
      <c r="OVE1721" s="227"/>
      <c r="OVF1721" s="227"/>
      <c r="OVG1721" s="227"/>
      <c r="OVH1721" s="227"/>
      <c r="OVI1721" s="227"/>
      <c r="OVJ1721" s="227"/>
      <c r="OVK1721" s="227"/>
      <c r="OVL1721" s="227"/>
      <c r="OVM1721" s="227"/>
      <c r="OVN1721" s="227"/>
      <c r="OVO1721" s="227"/>
      <c r="OVP1721" s="227"/>
      <c r="OVQ1721" s="227"/>
      <c r="OVR1721" s="227"/>
      <c r="OVS1721" s="227"/>
      <c r="OVT1721" s="227"/>
      <c r="OVU1721" s="227"/>
      <c r="OVV1721" s="227"/>
      <c r="OVW1721" s="227"/>
      <c r="OVX1721" s="227"/>
      <c r="OVY1721" s="227"/>
      <c r="OVZ1721" s="227"/>
      <c r="OWA1721" s="227"/>
      <c r="OWB1721" s="227"/>
      <c r="OWC1721" s="227"/>
      <c r="OWD1721" s="227"/>
      <c r="OWE1721" s="227"/>
      <c r="OWF1721" s="227"/>
      <c r="OWG1721" s="227"/>
      <c r="OWH1721" s="227"/>
      <c r="OWI1721" s="227"/>
      <c r="OWJ1721" s="227"/>
      <c r="OWK1721" s="227"/>
      <c r="OWL1721" s="227"/>
      <c r="OWM1721" s="227"/>
      <c r="OWN1721" s="227"/>
      <c r="OWO1721" s="227"/>
      <c r="OWP1721" s="227"/>
      <c r="OWQ1721" s="227"/>
      <c r="OWR1721" s="227"/>
      <c r="OWS1721" s="227"/>
      <c r="OWT1721" s="227"/>
      <c r="OWU1721" s="227"/>
      <c r="OWV1721" s="227"/>
      <c r="OWW1721" s="227"/>
      <c r="OWX1721" s="227"/>
      <c r="OWY1721" s="227"/>
      <c r="OWZ1721" s="227"/>
      <c r="OXA1721" s="227"/>
      <c r="OXB1721" s="227"/>
      <c r="OXC1721" s="227"/>
      <c r="OXD1721" s="227"/>
      <c r="OXE1721" s="227"/>
      <c r="OXF1721" s="227"/>
      <c r="OXG1721" s="227"/>
      <c r="OXH1721" s="227"/>
      <c r="OXI1721" s="227"/>
      <c r="OXJ1721" s="227"/>
      <c r="OXK1721" s="227"/>
      <c r="OXL1721" s="227"/>
      <c r="OXM1721" s="227"/>
      <c r="OXN1721" s="227"/>
      <c r="OXO1721" s="227"/>
      <c r="OXP1721" s="227"/>
      <c r="OXQ1721" s="227"/>
      <c r="OXR1721" s="227"/>
      <c r="OXS1721" s="227"/>
      <c r="OXT1721" s="227"/>
      <c r="OXU1721" s="227"/>
      <c r="OXV1721" s="227"/>
      <c r="OXW1721" s="227"/>
      <c r="OXX1721" s="227"/>
      <c r="OXY1721" s="227"/>
      <c r="OXZ1721" s="227"/>
      <c r="OYA1721" s="227"/>
      <c r="OYB1721" s="227"/>
      <c r="OYC1721" s="227"/>
      <c r="OYD1721" s="227"/>
      <c r="OYE1721" s="227"/>
      <c r="OYF1721" s="227"/>
      <c r="OYG1721" s="227"/>
      <c r="OYH1721" s="227"/>
      <c r="OYI1721" s="227"/>
      <c r="OYJ1721" s="227"/>
      <c r="OYK1721" s="227"/>
      <c r="OYL1721" s="227"/>
      <c r="OYM1721" s="227"/>
      <c r="OYN1721" s="227"/>
      <c r="OYO1721" s="227"/>
      <c r="OYP1721" s="227"/>
      <c r="OYQ1721" s="227"/>
      <c r="OYR1721" s="227"/>
      <c r="OYS1721" s="227"/>
      <c r="OYT1721" s="227"/>
      <c r="OYU1721" s="227"/>
      <c r="OYV1721" s="227"/>
      <c r="OYW1721" s="227"/>
      <c r="OYX1721" s="227"/>
      <c r="OYY1721" s="227"/>
      <c r="OYZ1721" s="227"/>
      <c r="OZA1721" s="227"/>
      <c r="OZB1721" s="227"/>
      <c r="OZC1721" s="227"/>
      <c r="OZD1721" s="227"/>
      <c r="OZE1721" s="227"/>
      <c r="OZF1721" s="227"/>
      <c r="OZG1721" s="227"/>
      <c r="OZH1721" s="227"/>
      <c r="OZI1721" s="227"/>
      <c r="OZJ1721" s="227"/>
      <c r="OZK1721" s="227"/>
      <c r="OZL1721" s="227"/>
      <c r="OZM1721" s="227"/>
      <c r="OZN1721" s="227"/>
      <c r="OZO1721" s="227"/>
      <c r="OZP1721" s="227"/>
      <c r="OZQ1721" s="227"/>
      <c r="OZR1721" s="227"/>
      <c r="OZS1721" s="227"/>
      <c r="OZT1721" s="227"/>
      <c r="OZU1721" s="227"/>
      <c r="OZV1721" s="227"/>
      <c r="OZW1721" s="227"/>
      <c r="OZX1721" s="227"/>
      <c r="OZY1721" s="227"/>
      <c r="OZZ1721" s="227"/>
      <c r="PAA1721" s="227"/>
      <c r="PAB1721" s="227"/>
      <c r="PAC1721" s="227"/>
      <c r="PAD1721" s="227"/>
      <c r="PAE1721" s="227"/>
      <c r="PAF1721" s="227"/>
      <c r="PAG1721" s="227"/>
      <c r="PAH1721" s="227"/>
      <c r="PAI1721" s="227"/>
      <c r="PAJ1721" s="227"/>
      <c r="PAK1721" s="227"/>
      <c r="PAL1721" s="227"/>
      <c r="PAM1721" s="227"/>
      <c r="PAN1721" s="227"/>
      <c r="PAO1721" s="227"/>
      <c r="PAP1721" s="227"/>
      <c r="PAQ1721" s="227"/>
      <c r="PAR1721" s="227"/>
      <c r="PAS1721" s="227"/>
      <c r="PAT1721" s="227"/>
      <c r="PAU1721" s="227"/>
      <c r="PAV1721" s="227"/>
      <c r="PAW1721" s="227"/>
      <c r="PAX1721" s="227"/>
      <c r="PAY1721" s="227"/>
      <c r="PAZ1721" s="227"/>
      <c r="PBA1721" s="227"/>
      <c r="PBB1721" s="227"/>
      <c r="PBC1721" s="227"/>
      <c r="PBD1721" s="227"/>
      <c r="PBE1721" s="227"/>
      <c r="PBF1721" s="227"/>
      <c r="PBG1721" s="227"/>
      <c r="PBH1721" s="227"/>
      <c r="PBI1721" s="227"/>
      <c r="PBJ1721" s="227"/>
      <c r="PBK1721" s="227"/>
      <c r="PBL1721" s="227"/>
      <c r="PBM1721" s="227"/>
      <c r="PBN1721" s="227"/>
      <c r="PBO1721" s="227"/>
      <c r="PBP1721" s="227"/>
      <c r="PBQ1721" s="227"/>
      <c r="PBR1721" s="227"/>
      <c r="PBS1721" s="227"/>
      <c r="PBT1721" s="227"/>
      <c r="PBU1721" s="227"/>
      <c r="PBV1721" s="227"/>
      <c r="PBW1721" s="227"/>
      <c r="PBX1721" s="227"/>
      <c r="PBY1721" s="227"/>
      <c r="PBZ1721" s="227"/>
      <c r="PCA1721" s="227"/>
      <c r="PCB1721" s="227"/>
      <c r="PCC1721" s="227"/>
      <c r="PCD1721" s="227"/>
      <c r="PCE1721" s="227"/>
      <c r="PCF1721" s="227"/>
      <c r="PCG1721" s="227"/>
      <c r="PCH1721" s="227"/>
      <c r="PCI1721" s="227"/>
      <c r="PCJ1721" s="227"/>
      <c r="PCK1721" s="227"/>
      <c r="PCL1721" s="227"/>
      <c r="PCM1721" s="227"/>
      <c r="PCN1721" s="227"/>
      <c r="PCO1721" s="227"/>
      <c r="PCP1721" s="227"/>
      <c r="PCQ1721" s="227"/>
      <c r="PCR1721" s="227"/>
      <c r="PCS1721" s="227"/>
      <c r="PCT1721" s="227"/>
      <c r="PCU1721" s="227"/>
      <c r="PCV1721" s="227"/>
      <c r="PCW1721" s="227"/>
      <c r="PCX1721" s="227"/>
      <c r="PCY1721" s="227"/>
      <c r="PCZ1721" s="227"/>
      <c r="PDA1721" s="227"/>
      <c r="PDB1721" s="227"/>
      <c r="PDC1721" s="227"/>
      <c r="PDD1721" s="227"/>
      <c r="PDE1721" s="227"/>
      <c r="PDF1721" s="227"/>
      <c r="PDG1721" s="227"/>
      <c r="PDH1721" s="227"/>
      <c r="PDI1721" s="227"/>
      <c r="PDJ1721" s="227"/>
      <c r="PDK1721" s="227"/>
      <c r="PDL1721" s="227"/>
      <c r="PDM1721" s="227"/>
      <c r="PDN1721" s="227"/>
      <c r="PDO1721" s="227"/>
      <c r="PDP1721" s="227"/>
      <c r="PDQ1721" s="227"/>
      <c r="PDR1721" s="227"/>
      <c r="PDS1721" s="227"/>
      <c r="PDT1721" s="227"/>
      <c r="PDU1721" s="227"/>
      <c r="PDV1721" s="227"/>
      <c r="PDW1721" s="227"/>
      <c r="PDX1721" s="227"/>
      <c r="PDY1721" s="227"/>
      <c r="PDZ1721" s="227"/>
      <c r="PEA1721" s="227"/>
      <c r="PEB1721" s="227"/>
      <c r="PEC1721" s="227"/>
      <c r="PED1721" s="227"/>
      <c r="PEE1721" s="227"/>
      <c r="PEF1721" s="227"/>
      <c r="PEG1721" s="227"/>
      <c r="PEH1721" s="227"/>
      <c r="PEI1721" s="227"/>
      <c r="PEJ1721" s="227"/>
      <c r="PEK1721" s="227"/>
      <c r="PEL1721" s="227"/>
      <c r="PEM1721" s="227"/>
      <c r="PEN1721" s="227"/>
      <c r="PEO1721" s="227"/>
      <c r="PEP1721" s="227"/>
      <c r="PEQ1721" s="227"/>
      <c r="PER1721" s="227"/>
      <c r="PES1721" s="227"/>
      <c r="PET1721" s="227"/>
      <c r="PEU1721" s="227"/>
      <c r="PEV1721" s="227"/>
      <c r="PEW1721" s="227"/>
      <c r="PEX1721" s="227"/>
      <c r="PEY1721" s="227"/>
      <c r="PEZ1721" s="227"/>
      <c r="PFA1721" s="227"/>
      <c r="PFB1721" s="227"/>
      <c r="PFC1721" s="227"/>
      <c r="PFD1721" s="227"/>
      <c r="PFE1721" s="227"/>
      <c r="PFF1721" s="227"/>
      <c r="PFG1721" s="227"/>
      <c r="PFH1721" s="227"/>
      <c r="PFI1721" s="227"/>
      <c r="PFJ1721" s="227"/>
      <c r="PFK1721" s="227"/>
      <c r="PFL1721" s="227"/>
      <c r="PFM1721" s="227"/>
      <c r="PFN1721" s="227"/>
      <c r="PFO1721" s="227"/>
      <c r="PFP1721" s="227"/>
      <c r="PFQ1721" s="227"/>
      <c r="PFR1721" s="227"/>
      <c r="PFS1721" s="227"/>
      <c r="PFT1721" s="227"/>
      <c r="PFU1721" s="227"/>
      <c r="PFV1721" s="227"/>
      <c r="PFW1721" s="227"/>
      <c r="PFX1721" s="227"/>
      <c r="PFY1721" s="227"/>
      <c r="PFZ1721" s="227"/>
      <c r="PGA1721" s="227"/>
      <c r="PGB1721" s="227"/>
      <c r="PGC1721" s="227"/>
      <c r="PGD1721" s="227"/>
      <c r="PGE1721" s="227"/>
      <c r="PGF1721" s="227"/>
      <c r="PGG1721" s="227"/>
      <c r="PGH1721" s="227"/>
      <c r="PGI1721" s="227"/>
      <c r="PGJ1721" s="227"/>
      <c r="PGK1721" s="227"/>
      <c r="PGL1721" s="227"/>
      <c r="PGM1721" s="227"/>
      <c r="PGN1721" s="227"/>
      <c r="PGO1721" s="227"/>
      <c r="PGP1721" s="227"/>
      <c r="PGQ1721" s="227"/>
      <c r="PGR1721" s="227"/>
      <c r="PGS1721" s="227"/>
      <c r="PGT1721" s="227"/>
      <c r="PGU1721" s="227"/>
      <c r="PGV1721" s="227"/>
      <c r="PGW1721" s="227"/>
      <c r="PGX1721" s="227"/>
      <c r="PGY1721" s="227"/>
      <c r="PGZ1721" s="227"/>
      <c r="PHA1721" s="227"/>
      <c r="PHB1721" s="227"/>
      <c r="PHC1721" s="227"/>
      <c r="PHD1721" s="227"/>
      <c r="PHE1721" s="227"/>
      <c r="PHF1721" s="227"/>
      <c r="PHG1721" s="227"/>
      <c r="PHH1721" s="227"/>
      <c r="PHI1721" s="227"/>
      <c r="PHJ1721" s="227"/>
      <c r="PHK1721" s="227"/>
      <c r="PHL1721" s="227"/>
      <c r="PHM1721" s="227"/>
      <c r="PHN1721" s="227"/>
      <c r="PHO1721" s="227"/>
      <c r="PHP1721" s="227"/>
      <c r="PHQ1721" s="227"/>
      <c r="PHR1721" s="227"/>
      <c r="PHS1721" s="227"/>
      <c r="PHT1721" s="227"/>
      <c r="PHU1721" s="227"/>
      <c r="PHV1721" s="227"/>
      <c r="PHW1721" s="227"/>
      <c r="PHX1721" s="227"/>
      <c r="PHY1721" s="227"/>
      <c r="PHZ1721" s="227"/>
      <c r="PIA1721" s="227"/>
      <c r="PIB1721" s="227"/>
      <c r="PIC1721" s="227"/>
      <c r="PID1721" s="227"/>
      <c r="PIE1721" s="227"/>
      <c r="PIF1721" s="227"/>
      <c r="PIG1721" s="227"/>
      <c r="PIH1721" s="227"/>
      <c r="PII1721" s="227"/>
      <c r="PIJ1721" s="227"/>
      <c r="PIK1721" s="227"/>
      <c r="PIL1721" s="227"/>
      <c r="PIM1721" s="227"/>
      <c r="PIN1721" s="227"/>
      <c r="PIO1721" s="227"/>
      <c r="PIP1721" s="227"/>
      <c r="PIQ1721" s="227"/>
      <c r="PIR1721" s="227"/>
      <c r="PIS1721" s="227"/>
      <c r="PIT1721" s="227"/>
      <c r="PIU1721" s="227"/>
      <c r="PIV1721" s="227"/>
      <c r="PIW1721" s="227"/>
      <c r="PIX1721" s="227"/>
      <c r="PIY1721" s="227"/>
      <c r="PIZ1721" s="227"/>
      <c r="PJA1721" s="227"/>
      <c r="PJB1721" s="227"/>
      <c r="PJC1721" s="227"/>
      <c r="PJD1721" s="227"/>
      <c r="PJE1721" s="227"/>
      <c r="PJF1721" s="227"/>
      <c r="PJG1721" s="227"/>
      <c r="PJH1721" s="227"/>
      <c r="PJI1721" s="227"/>
      <c r="PJJ1721" s="227"/>
      <c r="PJK1721" s="227"/>
      <c r="PJL1721" s="227"/>
      <c r="PJM1721" s="227"/>
      <c r="PJN1721" s="227"/>
      <c r="PJO1721" s="227"/>
      <c r="PJP1721" s="227"/>
      <c r="PJQ1721" s="227"/>
      <c r="PJR1721" s="227"/>
      <c r="PJS1721" s="227"/>
      <c r="PJT1721" s="227"/>
      <c r="PJU1721" s="227"/>
      <c r="PJV1721" s="227"/>
      <c r="PJW1721" s="227"/>
      <c r="PJX1721" s="227"/>
      <c r="PJY1721" s="227"/>
      <c r="PJZ1721" s="227"/>
      <c r="PKA1721" s="227"/>
      <c r="PKB1721" s="227"/>
      <c r="PKC1721" s="227"/>
      <c r="PKD1721" s="227"/>
      <c r="PKE1721" s="227"/>
      <c r="PKF1721" s="227"/>
      <c r="PKG1721" s="227"/>
      <c r="PKH1721" s="227"/>
      <c r="PKI1721" s="227"/>
      <c r="PKJ1721" s="227"/>
      <c r="PKK1721" s="227"/>
      <c r="PKL1721" s="227"/>
      <c r="PKM1721" s="227"/>
      <c r="PKN1721" s="227"/>
      <c r="PKO1721" s="227"/>
      <c r="PKP1721" s="227"/>
      <c r="PKQ1721" s="227"/>
      <c r="PKR1721" s="227"/>
      <c r="PKS1721" s="227"/>
      <c r="PKT1721" s="227"/>
      <c r="PKU1721" s="227"/>
      <c r="PKV1721" s="227"/>
      <c r="PKW1721" s="227"/>
      <c r="PKX1721" s="227"/>
      <c r="PKY1721" s="227"/>
      <c r="PKZ1721" s="227"/>
      <c r="PLA1721" s="227"/>
      <c r="PLB1721" s="227"/>
      <c r="PLC1721" s="227"/>
      <c r="PLD1721" s="227"/>
      <c r="PLE1721" s="227"/>
      <c r="PLF1721" s="227"/>
      <c r="PLG1721" s="227"/>
      <c r="PLH1721" s="227"/>
      <c r="PLI1721" s="227"/>
      <c r="PLJ1721" s="227"/>
      <c r="PLK1721" s="227"/>
      <c r="PLL1721" s="227"/>
      <c r="PLM1721" s="227"/>
      <c r="PLN1721" s="227"/>
      <c r="PLO1721" s="227"/>
      <c r="PLP1721" s="227"/>
      <c r="PLQ1721" s="227"/>
      <c r="PLR1721" s="227"/>
      <c r="PLS1721" s="227"/>
      <c r="PLT1721" s="227"/>
      <c r="PLU1721" s="227"/>
      <c r="PLV1721" s="227"/>
      <c r="PLW1721" s="227"/>
      <c r="PLX1721" s="227"/>
      <c r="PLY1721" s="227"/>
      <c r="PLZ1721" s="227"/>
      <c r="PMA1721" s="227"/>
      <c r="PMB1721" s="227"/>
      <c r="PMC1721" s="227"/>
      <c r="PMD1721" s="227"/>
      <c r="PME1721" s="227"/>
      <c r="PMF1721" s="227"/>
      <c r="PMG1721" s="227"/>
      <c r="PMH1721" s="227"/>
      <c r="PMI1721" s="227"/>
      <c r="PMJ1721" s="227"/>
      <c r="PMK1721" s="227"/>
      <c r="PML1721" s="227"/>
      <c r="PMM1721" s="227"/>
      <c r="PMN1721" s="227"/>
      <c r="PMO1721" s="227"/>
      <c r="PMP1721" s="227"/>
      <c r="PMQ1721" s="227"/>
      <c r="PMR1721" s="227"/>
      <c r="PMS1721" s="227"/>
      <c r="PMT1721" s="227"/>
      <c r="PMU1721" s="227"/>
      <c r="PMV1721" s="227"/>
      <c r="PMW1721" s="227"/>
      <c r="PMX1721" s="227"/>
      <c r="PMY1721" s="227"/>
      <c r="PMZ1721" s="227"/>
      <c r="PNA1721" s="227"/>
      <c r="PNB1721" s="227"/>
      <c r="PNC1721" s="227"/>
      <c r="PND1721" s="227"/>
      <c r="PNE1721" s="227"/>
      <c r="PNF1721" s="227"/>
      <c r="PNG1721" s="227"/>
      <c r="PNH1721" s="227"/>
      <c r="PNI1721" s="227"/>
      <c r="PNJ1721" s="227"/>
      <c r="PNK1721" s="227"/>
      <c r="PNL1721" s="227"/>
      <c r="PNM1721" s="227"/>
      <c r="PNN1721" s="227"/>
      <c r="PNO1721" s="227"/>
      <c r="PNP1721" s="227"/>
      <c r="PNQ1721" s="227"/>
      <c r="PNR1721" s="227"/>
      <c r="PNS1721" s="227"/>
      <c r="PNT1721" s="227"/>
      <c r="PNU1721" s="227"/>
      <c r="PNV1721" s="227"/>
      <c r="PNW1721" s="227"/>
      <c r="PNX1721" s="227"/>
      <c r="PNY1721" s="227"/>
      <c r="PNZ1721" s="227"/>
      <c r="POA1721" s="227"/>
      <c r="POB1721" s="227"/>
      <c r="POC1721" s="227"/>
      <c r="POD1721" s="227"/>
      <c r="POE1721" s="227"/>
      <c r="POF1721" s="227"/>
      <c r="POG1721" s="227"/>
      <c r="POH1721" s="227"/>
      <c r="POI1721" s="227"/>
      <c r="POJ1721" s="227"/>
      <c r="POK1721" s="227"/>
      <c r="POL1721" s="227"/>
      <c r="POM1721" s="227"/>
      <c r="PON1721" s="227"/>
      <c r="POO1721" s="227"/>
      <c r="POP1721" s="227"/>
      <c r="POQ1721" s="227"/>
      <c r="POR1721" s="227"/>
      <c r="POS1721" s="227"/>
      <c r="POT1721" s="227"/>
      <c r="POU1721" s="227"/>
      <c r="POV1721" s="227"/>
      <c r="POW1721" s="227"/>
      <c r="POX1721" s="227"/>
      <c r="POY1721" s="227"/>
      <c r="POZ1721" s="227"/>
      <c r="PPA1721" s="227"/>
      <c r="PPB1721" s="227"/>
      <c r="PPC1721" s="227"/>
      <c r="PPD1721" s="227"/>
      <c r="PPE1721" s="227"/>
      <c r="PPF1721" s="227"/>
      <c r="PPG1721" s="227"/>
      <c r="PPH1721" s="227"/>
      <c r="PPI1721" s="227"/>
      <c r="PPJ1721" s="227"/>
      <c r="PPK1721" s="227"/>
      <c r="PPL1721" s="227"/>
      <c r="PPM1721" s="227"/>
      <c r="PPN1721" s="227"/>
      <c r="PPO1721" s="227"/>
      <c r="PPP1721" s="227"/>
      <c r="PPQ1721" s="227"/>
      <c r="PPR1721" s="227"/>
      <c r="PPS1721" s="227"/>
      <c r="PPT1721" s="227"/>
      <c r="PPU1721" s="227"/>
      <c r="PPV1721" s="227"/>
      <c r="PPW1721" s="227"/>
      <c r="PPX1721" s="227"/>
      <c r="PPY1721" s="227"/>
      <c r="PPZ1721" s="227"/>
      <c r="PQA1721" s="227"/>
      <c r="PQB1721" s="227"/>
      <c r="PQC1721" s="227"/>
      <c r="PQD1721" s="227"/>
      <c r="PQE1721" s="227"/>
      <c r="PQF1721" s="227"/>
      <c r="PQG1721" s="227"/>
      <c r="PQH1721" s="227"/>
      <c r="PQI1721" s="227"/>
      <c r="PQJ1721" s="227"/>
      <c r="PQK1721" s="227"/>
      <c r="PQL1721" s="227"/>
      <c r="PQM1721" s="227"/>
      <c r="PQN1721" s="227"/>
      <c r="PQO1721" s="227"/>
      <c r="PQP1721" s="227"/>
      <c r="PQQ1721" s="227"/>
      <c r="PQR1721" s="227"/>
      <c r="PQS1721" s="227"/>
      <c r="PQT1721" s="227"/>
      <c r="PQU1721" s="227"/>
      <c r="PQV1721" s="227"/>
      <c r="PQW1721" s="227"/>
      <c r="PQX1721" s="227"/>
      <c r="PQY1721" s="227"/>
      <c r="PQZ1721" s="227"/>
      <c r="PRA1721" s="227"/>
      <c r="PRB1721" s="227"/>
      <c r="PRC1721" s="227"/>
      <c r="PRD1721" s="227"/>
      <c r="PRE1721" s="227"/>
      <c r="PRF1721" s="227"/>
      <c r="PRG1721" s="227"/>
      <c r="PRH1721" s="227"/>
      <c r="PRI1721" s="227"/>
      <c r="PRJ1721" s="227"/>
      <c r="PRK1721" s="227"/>
      <c r="PRL1721" s="227"/>
      <c r="PRM1721" s="227"/>
      <c r="PRN1721" s="227"/>
      <c r="PRO1721" s="227"/>
      <c r="PRP1721" s="227"/>
      <c r="PRQ1721" s="227"/>
      <c r="PRR1721" s="227"/>
      <c r="PRS1721" s="227"/>
      <c r="PRT1721" s="227"/>
      <c r="PRU1721" s="227"/>
      <c r="PRV1721" s="227"/>
      <c r="PRW1721" s="227"/>
      <c r="PRX1721" s="227"/>
      <c r="PRY1721" s="227"/>
      <c r="PRZ1721" s="227"/>
      <c r="PSA1721" s="227"/>
      <c r="PSB1721" s="227"/>
      <c r="PSC1721" s="227"/>
      <c r="PSD1721" s="227"/>
      <c r="PSE1721" s="227"/>
      <c r="PSF1721" s="227"/>
      <c r="PSG1721" s="227"/>
      <c r="PSH1721" s="227"/>
      <c r="PSI1721" s="227"/>
      <c r="PSJ1721" s="227"/>
      <c r="PSK1721" s="227"/>
      <c r="PSL1721" s="227"/>
      <c r="PSM1721" s="227"/>
      <c r="PSN1721" s="227"/>
      <c r="PSO1721" s="227"/>
      <c r="PSP1721" s="227"/>
      <c r="PSQ1721" s="227"/>
      <c r="PSR1721" s="227"/>
      <c r="PSS1721" s="227"/>
      <c r="PST1721" s="227"/>
      <c r="PSU1721" s="227"/>
      <c r="PSV1721" s="227"/>
      <c r="PSW1721" s="227"/>
      <c r="PSX1721" s="227"/>
      <c r="PSY1721" s="227"/>
      <c r="PSZ1721" s="227"/>
      <c r="PTA1721" s="227"/>
      <c r="PTB1721" s="227"/>
      <c r="PTC1721" s="227"/>
      <c r="PTD1721" s="227"/>
      <c r="PTE1721" s="227"/>
      <c r="PTF1721" s="227"/>
      <c r="PTG1721" s="227"/>
      <c r="PTH1721" s="227"/>
      <c r="PTI1721" s="227"/>
      <c r="PTJ1721" s="227"/>
      <c r="PTK1721" s="227"/>
      <c r="PTL1721" s="227"/>
      <c r="PTM1721" s="227"/>
      <c r="PTN1721" s="227"/>
      <c r="PTO1721" s="227"/>
      <c r="PTP1721" s="227"/>
      <c r="PTQ1721" s="227"/>
      <c r="PTR1721" s="227"/>
      <c r="PTS1721" s="227"/>
      <c r="PTT1721" s="227"/>
      <c r="PTU1721" s="227"/>
      <c r="PTV1721" s="227"/>
      <c r="PTW1721" s="227"/>
      <c r="PTX1721" s="227"/>
      <c r="PTY1721" s="227"/>
      <c r="PTZ1721" s="227"/>
      <c r="PUA1721" s="227"/>
      <c r="PUB1721" s="227"/>
      <c r="PUC1721" s="227"/>
      <c r="PUD1721" s="227"/>
      <c r="PUE1721" s="227"/>
      <c r="PUF1721" s="227"/>
      <c r="PUG1721" s="227"/>
      <c r="PUH1721" s="227"/>
      <c r="PUI1721" s="227"/>
      <c r="PUJ1721" s="227"/>
      <c r="PUK1721" s="227"/>
      <c r="PUL1721" s="227"/>
      <c r="PUM1721" s="227"/>
      <c r="PUN1721" s="227"/>
      <c r="PUO1721" s="227"/>
      <c r="PUP1721" s="227"/>
      <c r="PUQ1721" s="227"/>
      <c r="PUR1721" s="227"/>
      <c r="PUS1721" s="227"/>
      <c r="PUT1721" s="227"/>
      <c r="PUU1721" s="227"/>
      <c r="PUV1721" s="227"/>
      <c r="PUW1721" s="227"/>
      <c r="PUX1721" s="227"/>
      <c r="PUY1721" s="227"/>
      <c r="PUZ1721" s="227"/>
      <c r="PVA1721" s="227"/>
      <c r="PVB1721" s="227"/>
      <c r="PVC1721" s="227"/>
      <c r="PVD1721" s="227"/>
      <c r="PVE1721" s="227"/>
      <c r="PVF1721" s="227"/>
      <c r="PVG1721" s="227"/>
      <c r="PVH1721" s="227"/>
      <c r="PVI1721" s="227"/>
      <c r="PVJ1721" s="227"/>
      <c r="PVK1721" s="227"/>
      <c r="PVL1721" s="227"/>
      <c r="PVM1721" s="227"/>
      <c r="PVN1721" s="227"/>
      <c r="PVO1721" s="227"/>
      <c r="PVP1721" s="227"/>
      <c r="PVQ1721" s="227"/>
      <c r="PVR1721" s="227"/>
      <c r="PVS1721" s="227"/>
      <c r="PVT1721" s="227"/>
      <c r="PVU1721" s="227"/>
      <c r="PVV1721" s="227"/>
      <c r="PVW1721" s="227"/>
      <c r="PVX1721" s="227"/>
      <c r="PVY1721" s="227"/>
      <c r="PVZ1721" s="227"/>
      <c r="PWA1721" s="227"/>
      <c r="PWB1721" s="227"/>
      <c r="PWC1721" s="227"/>
      <c r="PWD1721" s="227"/>
      <c r="PWE1721" s="227"/>
      <c r="PWF1721" s="227"/>
      <c r="PWG1721" s="227"/>
      <c r="PWH1721" s="227"/>
      <c r="PWI1721" s="227"/>
      <c r="PWJ1721" s="227"/>
      <c r="PWK1721" s="227"/>
      <c r="PWL1721" s="227"/>
      <c r="PWM1721" s="227"/>
      <c r="PWN1721" s="227"/>
      <c r="PWO1721" s="227"/>
      <c r="PWP1721" s="227"/>
      <c r="PWQ1721" s="227"/>
      <c r="PWR1721" s="227"/>
      <c r="PWS1721" s="227"/>
      <c r="PWT1721" s="227"/>
      <c r="PWU1721" s="227"/>
      <c r="PWV1721" s="227"/>
      <c r="PWW1721" s="227"/>
      <c r="PWX1721" s="227"/>
      <c r="PWY1721" s="227"/>
      <c r="PWZ1721" s="227"/>
      <c r="PXA1721" s="227"/>
      <c r="PXB1721" s="227"/>
      <c r="PXC1721" s="227"/>
      <c r="PXD1721" s="227"/>
      <c r="PXE1721" s="227"/>
      <c r="PXF1721" s="227"/>
      <c r="PXG1721" s="227"/>
      <c r="PXH1721" s="227"/>
      <c r="PXI1721" s="227"/>
      <c r="PXJ1721" s="227"/>
      <c r="PXK1721" s="227"/>
      <c r="PXL1721" s="227"/>
      <c r="PXM1721" s="227"/>
      <c r="PXN1721" s="227"/>
      <c r="PXO1721" s="227"/>
      <c r="PXP1721" s="227"/>
      <c r="PXQ1721" s="227"/>
      <c r="PXR1721" s="227"/>
      <c r="PXS1721" s="227"/>
      <c r="PXT1721" s="227"/>
      <c r="PXU1721" s="227"/>
      <c r="PXV1721" s="227"/>
      <c r="PXW1721" s="227"/>
      <c r="PXX1721" s="227"/>
      <c r="PXY1721" s="227"/>
      <c r="PXZ1721" s="227"/>
      <c r="PYA1721" s="227"/>
      <c r="PYB1721" s="227"/>
      <c r="PYC1721" s="227"/>
      <c r="PYD1721" s="227"/>
      <c r="PYE1721" s="227"/>
      <c r="PYF1721" s="227"/>
      <c r="PYG1721" s="227"/>
      <c r="PYH1721" s="227"/>
      <c r="PYI1721" s="227"/>
      <c r="PYJ1721" s="227"/>
      <c r="PYK1721" s="227"/>
      <c r="PYL1721" s="227"/>
      <c r="PYM1721" s="227"/>
      <c r="PYN1721" s="227"/>
      <c r="PYO1721" s="227"/>
      <c r="PYP1721" s="227"/>
      <c r="PYQ1721" s="227"/>
      <c r="PYR1721" s="227"/>
      <c r="PYS1721" s="227"/>
      <c r="PYT1721" s="227"/>
      <c r="PYU1721" s="227"/>
      <c r="PYV1721" s="227"/>
      <c r="PYW1721" s="227"/>
      <c r="PYX1721" s="227"/>
      <c r="PYY1721" s="227"/>
      <c r="PYZ1721" s="227"/>
      <c r="PZA1721" s="227"/>
      <c r="PZB1721" s="227"/>
      <c r="PZC1721" s="227"/>
      <c r="PZD1721" s="227"/>
      <c r="PZE1721" s="227"/>
      <c r="PZF1721" s="227"/>
      <c r="PZG1721" s="227"/>
      <c r="PZH1721" s="227"/>
      <c r="PZI1721" s="227"/>
      <c r="PZJ1721" s="227"/>
      <c r="PZK1721" s="227"/>
      <c r="PZL1721" s="227"/>
      <c r="PZM1721" s="227"/>
      <c r="PZN1721" s="227"/>
      <c r="PZO1721" s="227"/>
      <c r="PZP1721" s="227"/>
      <c r="PZQ1721" s="227"/>
      <c r="PZR1721" s="227"/>
      <c r="PZS1721" s="227"/>
      <c r="PZT1721" s="227"/>
      <c r="PZU1721" s="227"/>
      <c r="PZV1721" s="227"/>
      <c r="PZW1721" s="227"/>
      <c r="PZX1721" s="227"/>
      <c r="PZY1721" s="227"/>
      <c r="PZZ1721" s="227"/>
      <c r="QAA1721" s="227"/>
      <c r="QAB1721" s="227"/>
      <c r="QAC1721" s="227"/>
      <c r="QAD1721" s="227"/>
      <c r="QAE1721" s="227"/>
      <c r="QAF1721" s="227"/>
      <c r="QAG1721" s="227"/>
      <c r="QAH1721" s="227"/>
      <c r="QAI1721" s="227"/>
      <c r="QAJ1721" s="227"/>
      <c r="QAK1721" s="227"/>
      <c r="QAL1721" s="227"/>
      <c r="QAM1721" s="227"/>
      <c r="QAN1721" s="227"/>
      <c r="QAO1721" s="227"/>
      <c r="QAP1721" s="227"/>
      <c r="QAQ1721" s="227"/>
      <c r="QAR1721" s="227"/>
      <c r="QAS1721" s="227"/>
      <c r="QAT1721" s="227"/>
      <c r="QAU1721" s="227"/>
      <c r="QAV1721" s="227"/>
      <c r="QAW1721" s="227"/>
      <c r="QAX1721" s="227"/>
      <c r="QAY1721" s="227"/>
      <c r="QAZ1721" s="227"/>
      <c r="QBA1721" s="227"/>
      <c r="QBB1721" s="227"/>
      <c r="QBC1721" s="227"/>
      <c r="QBD1721" s="227"/>
      <c r="QBE1721" s="227"/>
      <c r="QBF1721" s="227"/>
      <c r="QBG1721" s="227"/>
      <c r="QBH1721" s="227"/>
      <c r="QBI1721" s="227"/>
      <c r="QBJ1721" s="227"/>
      <c r="QBK1721" s="227"/>
      <c r="QBL1721" s="227"/>
      <c r="QBM1721" s="227"/>
      <c r="QBN1721" s="227"/>
      <c r="QBO1721" s="227"/>
      <c r="QBP1721" s="227"/>
      <c r="QBQ1721" s="227"/>
      <c r="QBR1721" s="227"/>
      <c r="QBS1721" s="227"/>
      <c r="QBT1721" s="227"/>
      <c r="QBU1721" s="227"/>
      <c r="QBV1721" s="227"/>
      <c r="QBW1721" s="227"/>
      <c r="QBX1721" s="227"/>
      <c r="QBY1721" s="227"/>
      <c r="QBZ1721" s="227"/>
      <c r="QCA1721" s="227"/>
      <c r="QCB1721" s="227"/>
      <c r="QCC1721" s="227"/>
      <c r="QCD1721" s="227"/>
      <c r="QCE1721" s="227"/>
      <c r="QCF1721" s="227"/>
      <c r="QCG1721" s="227"/>
      <c r="QCH1721" s="227"/>
      <c r="QCI1721" s="227"/>
      <c r="QCJ1721" s="227"/>
      <c r="QCK1721" s="227"/>
      <c r="QCL1721" s="227"/>
      <c r="QCM1721" s="227"/>
      <c r="QCN1721" s="227"/>
      <c r="QCO1721" s="227"/>
      <c r="QCP1721" s="227"/>
      <c r="QCQ1721" s="227"/>
      <c r="QCR1721" s="227"/>
      <c r="QCS1721" s="227"/>
      <c r="QCT1721" s="227"/>
      <c r="QCU1721" s="227"/>
      <c r="QCV1721" s="227"/>
      <c r="QCW1721" s="227"/>
      <c r="QCX1721" s="227"/>
      <c r="QCY1721" s="227"/>
      <c r="QCZ1721" s="227"/>
      <c r="QDA1721" s="227"/>
      <c r="QDB1721" s="227"/>
      <c r="QDC1721" s="227"/>
      <c r="QDD1721" s="227"/>
      <c r="QDE1721" s="227"/>
      <c r="QDF1721" s="227"/>
      <c r="QDG1721" s="227"/>
      <c r="QDH1721" s="227"/>
      <c r="QDI1721" s="227"/>
      <c r="QDJ1721" s="227"/>
      <c r="QDK1721" s="227"/>
      <c r="QDL1721" s="227"/>
      <c r="QDM1721" s="227"/>
      <c r="QDN1721" s="227"/>
      <c r="QDO1721" s="227"/>
      <c r="QDP1721" s="227"/>
      <c r="QDQ1721" s="227"/>
      <c r="QDR1721" s="227"/>
      <c r="QDS1721" s="227"/>
      <c r="QDT1721" s="227"/>
      <c r="QDU1721" s="227"/>
      <c r="QDV1721" s="227"/>
      <c r="QDW1721" s="227"/>
      <c r="QDX1721" s="227"/>
      <c r="QDY1721" s="227"/>
      <c r="QDZ1721" s="227"/>
      <c r="QEA1721" s="227"/>
      <c r="QEB1721" s="227"/>
      <c r="QEC1721" s="227"/>
      <c r="QED1721" s="227"/>
      <c r="QEE1721" s="227"/>
      <c r="QEF1721" s="227"/>
      <c r="QEG1721" s="227"/>
      <c r="QEH1721" s="227"/>
      <c r="QEI1721" s="227"/>
      <c r="QEJ1721" s="227"/>
      <c r="QEK1721" s="227"/>
      <c r="QEL1721" s="227"/>
      <c r="QEM1721" s="227"/>
      <c r="QEN1721" s="227"/>
      <c r="QEO1721" s="227"/>
      <c r="QEP1721" s="227"/>
      <c r="QEQ1721" s="227"/>
      <c r="QER1721" s="227"/>
      <c r="QES1721" s="227"/>
      <c r="QET1721" s="227"/>
      <c r="QEU1721" s="227"/>
      <c r="QEV1721" s="227"/>
      <c r="QEW1721" s="227"/>
      <c r="QEX1721" s="227"/>
      <c r="QEY1721" s="227"/>
      <c r="QEZ1721" s="227"/>
      <c r="QFA1721" s="227"/>
      <c r="QFB1721" s="227"/>
      <c r="QFC1721" s="227"/>
      <c r="QFD1721" s="227"/>
      <c r="QFE1721" s="227"/>
      <c r="QFF1721" s="227"/>
      <c r="QFG1721" s="227"/>
      <c r="QFH1721" s="227"/>
      <c r="QFI1721" s="227"/>
      <c r="QFJ1721" s="227"/>
      <c r="QFK1721" s="227"/>
      <c r="QFL1721" s="227"/>
      <c r="QFM1721" s="227"/>
      <c r="QFN1721" s="227"/>
      <c r="QFO1721" s="227"/>
      <c r="QFP1721" s="227"/>
      <c r="QFQ1721" s="227"/>
      <c r="QFR1721" s="227"/>
      <c r="QFS1721" s="227"/>
      <c r="QFT1721" s="227"/>
      <c r="QFU1721" s="227"/>
      <c r="QFV1721" s="227"/>
      <c r="QFW1721" s="227"/>
      <c r="QFX1721" s="227"/>
      <c r="QFY1721" s="227"/>
      <c r="QFZ1721" s="227"/>
      <c r="QGA1721" s="227"/>
      <c r="QGB1721" s="227"/>
      <c r="QGC1721" s="227"/>
      <c r="QGD1721" s="227"/>
      <c r="QGE1721" s="227"/>
      <c r="QGF1721" s="227"/>
      <c r="QGG1721" s="227"/>
      <c r="QGH1721" s="227"/>
      <c r="QGI1721" s="227"/>
      <c r="QGJ1721" s="227"/>
      <c r="QGK1721" s="227"/>
      <c r="QGL1721" s="227"/>
      <c r="QGM1721" s="227"/>
      <c r="QGN1721" s="227"/>
      <c r="QGO1721" s="227"/>
      <c r="QGP1721" s="227"/>
      <c r="QGQ1721" s="227"/>
      <c r="QGR1721" s="227"/>
      <c r="QGS1721" s="227"/>
      <c r="QGT1721" s="227"/>
      <c r="QGU1721" s="227"/>
      <c r="QGV1721" s="227"/>
      <c r="QGW1721" s="227"/>
      <c r="QGX1721" s="227"/>
      <c r="QGY1721" s="227"/>
      <c r="QGZ1721" s="227"/>
      <c r="QHA1721" s="227"/>
      <c r="QHB1721" s="227"/>
      <c r="QHC1721" s="227"/>
      <c r="QHD1721" s="227"/>
      <c r="QHE1721" s="227"/>
      <c r="QHF1721" s="227"/>
      <c r="QHG1721" s="227"/>
      <c r="QHH1721" s="227"/>
      <c r="QHI1721" s="227"/>
      <c r="QHJ1721" s="227"/>
      <c r="QHK1721" s="227"/>
      <c r="QHL1721" s="227"/>
      <c r="QHM1721" s="227"/>
      <c r="QHN1721" s="227"/>
      <c r="QHO1721" s="227"/>
      <c r="QHP1721" s="227"/>
      <c r="QHQ1721" s="227"/>
      <c r="QHR1721" s="227"/>
      <c r="QHS1721" s="227"/>
      <c r="QHT1721" s="227"/>
      <c r="QHU1721" s="227"/>
      <c r="QHV1721" s="227"/>
      <c r="QHW1721" s="227"/>
      <c r="QHX1721" s="227"/>
      <c r="QHY1721" s="227"/>
      <c r="QHZ1721" s="227"/>
      <c r="QIA1721" s="227"/>
      <c r="QIB1721" s="227"/>
      <c r="QIC1721" s="227"/>
      <c r="QID1721" s="227"/>
      <c r="QIE1721" s="227"/>
      <c r="QIF1721" s="227"/>
      <c r="QIG1721" s="227"/>
      <c r="QIH1721" s="227"/>
      <c r="QII1721" s="227"/>
      <c r="QIJ1721" s="227"/>
      <c r="QIK1721" s="227"/>
      <c r="QIL1721" s="227"/>
      <c r="QIM1721" s="227"/>
      <c r="QIN1721" s="227"/>
      <c r="QIO1721" s="227"/>
      <c r="QIP1721" s="227"/>
      <c r="QIQ1721" s="227"/>
      <c r="QIR1721" s="227"/>
      <c r="QIS1721" s="227"/>
      <c r="QIT1721" s="227"/>
      <c r="QIU1721" s="227"/>
      <c r="QIV1721" s="227"/>
      <c r="QIW1721" s="227"/>
      <c r="QIX1721" s="227"/>
      <c r="QIY1721" s="227"/>
      <c r="QIZ1721" s="227"/>
      <c r="QJA1721" s="227"/>
      <c r="QJB1721" s="227"/>
      <c r="QJC1721" s="227"/>
      <c r="QJD1721" s="227"/>
      <c r="QJE1721" s="227"/>
      <c r="QJF1721" s="227"/>
      <c r="QJG1721" s="227"/>
      <c r="QJH1721" s="227"/>
      <c r="QJI1721" s="227"/>
      <c r="QJJ1721" s="227"/>
      <c r="QJK1721" s="227"/>
      <c r="QJL1721" s="227"/>
      <c r="QJM1721" s="227"/>
      <c r="QJN1721" s="227"/>
      <c r="QJO1721" s="227"/>
      <c r="QJP1721" s="227"/>
      <c r="QJQ1721" s="227"/>
      <c r="QJR1721" s="227"/>
      <c r="QJS1721" s="227"/>
      <c r="QJT1721" s="227"/>
      <c r="QJU1721" s="227"/>
      <c r="QJV1721" s="227"/>
      <c r="QJW1721" s="227"/>
      <c r="QJX1721" s="227"/>
      <c r="QJY1721" s="227"/>
      <c r="QJZ1721" s="227"/>
      <c r="QKA1721" s="227"/>
      <c r="QKB1721" s="227"/>
      <c r="QKC1721" s="227"/>
      <c r="QKD1721" s="227"/>
      <c r="QKE1721" s="227"/>
      <c r="QKF1721" s="227"/>
      <c r="QKG1721" s="227"/>
      <c r="QKH1721" s="227"/>
      <c r="QKI1721" s="227"/>
      <c r="QKJ1721" s="227"/>
      <c r="QKK1721" s="227"/>
      <c r="QKL1721" s="227"/>
      <c r="QKM1721" s="227"/>
      <c r="QKN1721" s="227"/>
      <c r="QKO1721" s="227"/>
      <c r="QKP1721" s="227"/>
      <c r="QKQ1721" s="227"/>
      <c r="QKR1721" s="227"/>
      <c r="QKS1721" s="227"/>
      <c r="QKT1721" s="227"/>
      <c r="QKU1721" s="227"/>
      <c r="QKV1721" s="227"/>
      <c r="QKW1721" s="227"/>
      <c r="QKX1721" s="227"/>
      <c r="QKY1721" s="227"/>
      <c r="QKZ1721" s="227"/>
      <c r="QLA1721" s="227"/>
      <c r="QLB1721" s="227"/>
      <c r="QLC1721" s="227"/>
      <c r="QLD1721" s="227"/>
      <c r="QLE1721" s="227"/>
      <c r="QLF1721" s="227"/>
      <c r="QLG1721" s="227"/>
      <c r="QLH1721" s="227"/>
      <c r="QLI1721" s="227"/>
      <c r="QLJ1721" s="227"/>
      <c r="QLK1721" s="227"/>
      <c r="QLL1721" s="227"/>
      <c r="QLM1721" s="227"/>
      <c r="QLN1721" s="227"/>
      <c r="QLO1721" s="227"/>
      <c r="QLP1721" s="227"/>
      <c r="QLQ1721" s="227"/>
      <c r="QLR1721" s="227"/>
      <c r="QLS1721" s="227"/>
      <c r="QLT1721" s="227"/>
      <c r="QLU1721" s="227"/>
      <c r="QLV1721" s="227"/>
      <c r="QLW1721" s="227"/>
      <c r="QLX1721" s="227"/>
      <c r="QLY1721" s="227"/>
      <c r="QLZ1721" s="227"/>
      <c r="QMA1721" s="227"/>
      <c r="QMB1721" s="227"/>
      <c r="QMC1721" s="227"/>
      <c r="QMD1721" s="227"/>
      <c r="QME1721" s="227"/>
      <c r="QMF1721" s="227"/>
      <c r="QMG1721" s="227"/>
      <c r="QMH1721" s="227"/>
      <c r="QMI1721" s="227"/>
      <c r="QMJ1721" s="227"/>
      <c r="QMK1721" s="227"/>
      <c r="QML1721" s="227"/>
      <c r="QMM1721" s="227"/>
      <c r="QMN1721" s="227"/>
      <c r="QMO1721" s="227"/>
      <c r="QMP1721" s="227"/>
      <c r="QMQ1721" s="227"/>
      <c r="QMR1721" s="227"/>
      <c r="QMS1721" s="227"/>
      <c r="QMT1721" s="227"/>
      <c r="QMU1721" s="227"/>
      <c r="QMV1721" s="227"/>
      <c r="QMW1721" s="227"/>
      <c r="QMX1721" s="227"/>
      <c r="QMY1721" s="227"/>
      <c r="QMZ1721" s="227"/>
      <c r="QNA1721" s="227"/>
      <c r="QNB1721" s="227"/>
      <c r="QNC1721" s="227"/>
      <c r="QND1721" s="227"/>
      <c r="QNE1721" s="227"/>
      <c r="QNF1721" s="227"/>
      <c r="QNG1721" s="227"/>
      <c r="QNH1721" s="227"/>
      <c r="QNI1721" s="227"/>
      <c r="QNJ1721" s="227"/>
      <c r="QNK1721" s="227"/>
      <c r="QNL1721" s="227"/>
      <c r="QNM1721" s="227"/>
      <c r="QNN1721" s="227"/>
      <c r="QNO1721" s="227"/>
      <c r="QNP1721" s="227"/>
      <c r="QNQ1721" s="227"/>
      <c r="QNR1721" s="227"/>
      <c r="QNS1721" s="227"/>
      <c r="QNT1721" s="227"/>
      <c r="QNU1721" s="227"/>
      <c r="QNV1721" s="227"/>
      <c r="QNW1721" s="227"/>
      <c r="QNX1721" s="227"/>
      <c r="QNY1721" s="227"/>
      <c r="QNZ1721" s="227"/>
      <c r="QOA1721" s="227"/>
      <c r="QOB1721" s="227"/>
      <c r="QOC1721" s="227"/>
      <c r="QOD1721" s="227"/>
      <c r="QOE1721" s="227"/>
      <c r="QOF1721" s="227"/>
      <c r="QOG1721" s="227"/>
      <c r="QOH1721" s="227"/>
      <c r="QOI1721" s="227"/>
      <c r="QOJ1721" s="227"/>
      <c r="QOK1721" s="227"/>
      <c r="QOL1721" s="227"/>
      <c r="QOM1721" s="227"/>
      <c r="QON1721" s="227"/>
      <c r="QOO1721" s="227"/>
      <c r="QOP1721" s="227"/>
      <c r="QOQ1721" s="227"/>
      <c r="QOR1721" s="227"/>
      <c r="QOS1721" s="227"/>
      <c r="QOT1721" s="227"/>
      <c r="QOU1721" s="227"/>
      <c r="QOV1721" s="227"/>
      <c r="QOW1721" s="227"/>
      <c r="QOX1721" s="227"/>
      <c r="QOY1721" s="227"/>
      <c r="QOZ1721" s="227"/>
      <c r="QPA1721" s="227"/>
      <c r="QPB1721" s="227"/>
      <c r="QPC1721" s="227"/>
      <c r="QPD1721" s="227"/>
      <c r="QPE1721" s="227"/>
      <c r="QPF1721" s="227"/>
      <c r="QPG1721" s="227"/>
      <c r="QPH1721" s="227"/>
      <c r="QPI1721" s="227"/>
      <c r="QPJ1721" s="227"/>
      <c r="QPK1721" s="227"/>
      <c r="QPL1721" s="227"/>
      <c r="QPM1721" s="227"/>
      <c r="QPN1721" s="227"/>
      <c r="QPO1721" s="227"/>
      <c r="QPP1721" s="227"/>
      <c r="QPQ1721" s="227"/>
      <c r="QPR1721" s="227"/>
      <c r="QPS1721" s="227"/>
      <c r="QPT1721" s="227"/>
      <c r="QPU1721" s="227"/>
      <c r="QPV1721" s="227"/>
      <c r="QPW1721" s="227"/>
      <c r="QPX1721" s="227"/>
      <c r="QPY1721" s="227"/>
      <c r="QPZ1721" s="227"/>
      <c r="QQA1721" s="227"/>
      <c r="QQB1721" s="227"/>
      <c r="QQC1721" s="227"/>
      <c r="QQD1721" s="227"/>
      <c r="QQE1721" s="227"/>
      <c r="QQF1721" s="227"/>
      <c r="QQG1721" s="227"/>
      <c r="QQH1721" s="227"/>
      <c r="QQI1721" s="227"/>
      <c r="QQJ1721" s="227"/>
      <c r="QQK1721" s="227"/>
      <c r="QQL1721" s="227"/>
      <c r="QQM1721" s="227"/>
      <c r="QQN1721" s="227"/>
      <c r="QQO1721" s="227"/>
      <c r="QQP1721" s="227"/>
      <c r="QQQ1721" s="227"/>
      <c r="QQR1721" s="227"/>
      <c r="QQS1721" s="227"/>
      <c r="QQT1721" s="227"/>
      <c r="QQU1721" s="227"/>
      <c r="QQV1721" s="227"/>
      <c r="QQW1721" s="227"/>
      <c r="QQX1721" s="227"/>
      <c r="QQY1721" s="227"/>
      <c r="QQZ1721" s="227"/>
      <c r="QRA1721" s="227"/>
      <c r="QRB1721" s="227"/>
      <c r="QRC1721" s="227"/>
      <c r="QRD1721" s="227"/>
      <c r="QRE1721" s="227"/>
      <c r="QRF1721" s="227"/>
      <c r="QRG1721" s="227"/>
      <c r="QRH1721" s="227"/>
      <c r="QRI1721" s="227"/>
      <c r="QRJ1721" s="227"/>
      <c r="QRK1721" s="227"/>
      <c r="QRL1721" s="227"/>
      <c r="QRM1721" s="227"/>
      <c r="QRN1721" s="227"/>
      <c r="QRO1721" s="227"/>
      <c r="QRP1721" s="227"/>
      <c r="QRQ1721" s="227"/>
      <c r="QRR1721" s="227"/>
      <c r="QRS1721" s="227"/>
      <c r="QRT1721" s="227"/>
      <c r="QRU1721" s="227"/>
      <c r="QRV1721" s="227"/>
      <c r="QRW1721" s="227"/>
      <c r="QRX1721" s="227"/>
      <c r="QRY1721" s="227"/>
      <c r="QRZ1721" s="227"/>
      <c r="QSA1721" s="227"/>
      <c r="QSB1721" s="227"/>
      <c r="QSC1721" s="227"/>
      <c r="QSD1721" s="227"/>
      <c r="QSE1721" s="227"/>
      <c r="QSF1721" s="227"/>
      <c r="QSG1721" s="227"/>
      <c r="QSH1721" s="227"/>
      <c r="QSI1721" s="227"/>
      <c r="QSJ1721" s="227"/>
      <c r="QSK1721" s="227"/>
      <c r="QSL1721" s="227"/>
      <c r="QSM1721" s="227"/>
      <c r="QSN1721" s="227"/>
      <c r="QSO1721" s="227"/>
      <c r="QSP1721" s="227"/>
      <c r="QSQ1721" s="227"/>
      <c r="QSR1721" s="227"/>
      <c r="QSS1721" s="227"/>
      <c r="QST1721" s="227"/>
      <c r="QSU1721" s="227"/>
      <c r="QSV1721" s="227"/>
      <c r="QSW1721" s="227"/>
      <c r="QSX1721" s="227"/>
      <c r="QSY1721" s="227"/>
      <c r="QSZ1721" s="227"/>
      <c r="QTA1721" s="227"/>
      <c r="QTB1721" s="227"/>
      <c r="QTC1721" s="227"/>
      <c r="QTD1721" s="227"/>
      <c r="QTE1721" s="227"/>
      <c r="QTF1721" s="227"/>
      <c r="QTG1721" s="227"/>
      <c r="QTH1721" s="227"/>
      <c r="QTI1721" s="227"/>
      <c r="QTJ1721" s="227"/>
      <c r="QTK1721" s="227"/>
      <c r="QTL1721" s="227"/>
      <c r="QTM1721" s="227"/>
      <c r="QTN1721" s="227"/>
      <c r="QTO1721" s="227"/>
      <c r="QTP1721" s="227"/>
      <c r="QTQ1721" s="227"/>
      <c r="QTR1721" s="227"/>
      <c r="QTS1721" s="227"/>
      <c r="QTT1721" s="227"/>
      <c r="QTU1721" s="227"/>
      <c r="QTV1721" s="227"/>
      <c r="QTW1721" s="227"/>
      <c r="QTX1721" s="227"/>
      <c r="QTY1721" s="227"/>
      <c r="QTZ1721" s="227"/>
      <c r="QUA1721" s="227"/>
      <c r="QUB1721" s="227"/>
      <c r="QUC1721" s="227"/>
      <c r="QUD1721" s="227"/>
      <c r="QUE1721" s="227"/>
      <c r="QUF1721" s="227"/>
      <c r="QUG1721" s="227"/>
      <c r="QUH1721" s="227"/>
      <c r="QUI1721" s="227"/>
      <c r="QUJ1721" s="227"/>
      <c r="QUK1721" s="227"/>
      <c r="QUL1721" s="227"/>
      <c r="QUM1721" s="227"/>
      <c r="QUN1721" s="227"/>
      <c r="QUO1721" s="227"/>
      <c r="QUP1721" s="227"/>
      <c r="QUQ1721" s="227"/>
      <c r="QUR1721" s="227"/>
      <c r="QUS1721" s="227"/>
      <c r="QUT1721" s="227"/>
      <c r="QUU1721" s="227"/>
      <c r="QUV1721" s="227"/>
      <c r="QUW1721" s="227"/>
      <c r="QUX1721" s="227"/>
      <c r="QUY1721" s="227"/>
      <c r="QUZ1721" s="227"/>
      <c r="QVA1721" s="227"/>
      <c r="QVB1721" s="227"/>
      <c r="QVC1721" s="227"/>
      <c r="QVD1721" s="227"/>
      <c r="QVE1721" s="227"/>
      <c r="QVF1721" s="227"/>
      <c r="QVG1721" s="227"/>
      <c r="QVH1721" s="227"/>
      <c r="QVI1721" s="227"/>
      <c r="QVJ1721" s="227"/>
      <c r="QVK1721" s="227"/>
      <c r="QVL1721" s="227"/>
      <c r="QVM1721" s="227"/>
      <c r="QVN1721" s="227"/>
      <c r="QVO1721" s="227"/>
      <c r="QVP1721" s="227"/>
      <c r="QVQ1721" s="227"/>
      <c r="QVR1721" s="227"/>
      <c r="QVS1721" s="227"/>
      <c r="QVT1721" s="227"/>
      <c r="QVU1721" s="227"/>
      <c r="QVV1721" s="227"/>
      <c r="QVW1721" s="227"/>
      <c r="QVX1721" s="227"/>
      <c r="QVY1721" s="227"/>
      <c r="QVZ1721" s="227"/>
      <c r="QWA1721" s="227"/>
      <c r="QWB1721" s="227"/>
      <c r="QWC1721" s="227"/>
      <c r="QWD1721" s="227"/>
      <c r="QWE1721" s="227"/>
      <c r="QWF1721" s="227"/>
      <c r="QWG1721" s="227"/>
      <c r="QWH1721" s="227"/>
      <c r="QWI1721" s="227"/>
      <c r="QWJ1721" s="227"/>
      <c r="QWK1721" s="227"/>
      <c r="QWL1721" s="227"/>
      <c r="QWM1721" s="227"/>
      <c r="QWN1721" s="227"/>
      <c r="QWO1721" s="227"/>
      <c r="QWP1721" s="227"/>
      <c r="QWQ1721" s="227"/>
      <c r="QWR1721" s="227"/>
      <c r="QWS1721" s="227"/>
      <c r="QWT1721" s="227"/>
      <c r="QWU1721" s="227"/>
      <c r="QWV1721" s="227"/>
      <c r="QWW1721" s="227"/>
      <c r="QWX1721" s="227"/>
      <c r="QWY1721" s="227"/>
      <c r="QWZ1721" s="227"/>
      <c r="QXA1721" s="227"/>
      <c r="QXB1721" s="227"/>
      <c r="QXC1721" s="227"/>
      <c r="QXD1721" s="227"/>
      <c r="QXE1721" s="227"/>
      <c r="QXF1721" s="227"/>
      <c r="QXG1721" s="227"/>
      <c r="QXH1721" s="227"/>
      <c r="QXI1721" s="227"/>
      <c r="QXJ1721" s="227"/>
      <c r="QXK1721" s="227"/>
      <c r="QXL1721" s="227"/>
      <c r="QXM1721" s="227"/>
      <c r="QXN1721" s="227"/>
      <c r="QXO1721" s="227"/>
      <c r="QXP1721" s="227"/>
      <c r="QXQ1721" s="227"/>
      <c r="QXR1721" s="227"/>
      <c r="QXS1721" s="227"/>
      <c r="QXT1721" s="227"/>
      <c r="QXU1721" s="227"/>
      <c r="QXV1721" s="227"/>
      <c r="QXW1721" s="227"/>
      <c r="QXX1721" s="227"/>
      <c r="QXY1721" s="227"/>
      <c r="QXZ1721" s="227"/>
      <c r="QYA1721" s="227"/>
      <c r="QYB1721" s="227"/>
      <c r="QYC1721" s="227"/>
      <c r="QYD1721" s="227"/>
      <c r="QYE1721" s="227"/>
      <c r="QYF1721" s="227"/>
      <c r="QYG1721" s="227"/>
      <c r="QYH1721" s="227"/>
      <c r="QYI1721" s="227"/>
      <c r="QYJ1721" s="227"/>
      <c r="QYK1721" s="227"/>
      <c r="QYL1721" s="227"/>
      <c r="QYM1721" s="227"/>
      <c r="QYN1721" s="227"/>
      <c r="QYO1721" s="227"/>
      <c r="QYP1721" s="227"/>
      <c r="QYQ1721" s="227"/>
      <c r="QYR1721" s="227"/>
      <c r="QYS1721" s="227"/>
      <c r="QYT1721" s="227"/>
      <c r="QYU1721" s="227"/>
      <c r="QYV1721" s="227"/>
      <c r="QYW1721" s="227"/>
      <c r="QYX1721" s="227"/>
      <c r="QYY1721" s="227"/>
      <c r="QYZ1721" s="227"/>
      <c r="QZA1721" s="227"/>
      <c r="QZB1721" s="227"/>
      <c r="QZC1721" s="227"/>
      <c r="QZD1721" s="227"/>
      <c r="QZE1721" s="227"/>
      <c r="QZF1721" s="227"/>
      <c r="QZG1721" s="227"/>
      <c r="QZH1721" s="227"/>
      <c r="QZI1721" s="227"/>
      <c r="QZJ1721" s="227"/>
      <c r="QZK1721" s="227"/>
      <c r="QZL1721" s="227"/>
      <c r="QZM1721" s="227"/>
      <c r="QZN1721" s="227"/>
      <c r="QZO1721" s="227"/>
      <c r="QZP1721" s="227"/>
      <c r="QZQ1721" s="227"/>
      <c r="QZR1721" s="227"/>
      <c r="QZS1721" s="227"/>
      <c r="QZT1721" s="227"/>
      <c r="QZU1721" s="227"/>
      <c r="QZV1721" s="227"/>
      <c r="QZW1721" s="227"/>
      <c r="QZX1721" s="227"/>
      <c r="QZY1721" s="227"/>
      <c r="QZZ1721" s="227"/>
      <c r="RAA1721" s="227"/>
      <c r="RAB1721" s="227"/>
      <c r="RAC1721" s="227"/>
      <c r="RAD1721" s="227"/>
      <c r="RAE1721" s="227"/>
      <c r="RAF1721" s="227"/>
      <c r="RAG1721" s="227"/>
      <c r="RAH1721" s="227"/>
      <c r="RAI1721" s="227"/>
      <c r="RAJ1721" s="227"/>
      <c r="RAK1721" s="227"/>
      <c r="RAL1721" s="227"/>
      <c r="RAM1721" s="227"/>
      <c r="RAN1721" s="227"/>
      <c r="RAO1721" s="227"/>
      <c r="RAP1721" s="227"/>
      <c r="RAQ1721" s="227"/>
      <c r="RAR1721" s="227"/>
      <c r="RAS1721" s="227"/>
      <c r="RAT1721" s="227"/>
      <c r="RAU1721" s="227"/>
      <c r="RAV1721" s="227"/>
      <c r="RAW1721" s="227"/>
      <c r="RAX1721" s="227"/>
      <c r="RAY1721" s="227"/>
      <c r="RAZ1721" s="227"/>
      <c r="RBA1721" s="227"/>
      <c r="RBB1721" s="227"/>
      <c r="RBC1721" s="227"/>
      <c r="RBD1721" s="227"/>
      <c r="RBE1721" s="227"/>
      <c r="RBF1721" s="227"/>
      <c r="RBG1721" s="227"/>
      <c r="RBH1721" s="227"/>
      <c r="RBI1721" s="227"/>
      <c r="RBJ1721" s="227"/>
      <c r="RBK1721" s="227"/>
      <c r="RBL1721" s="227"/>
      <c r="RBM1721" s="227"/>
      <c r="RBN1721" s="227"/>
      <c r="RBO1721" s="227"/>
      <c r="RBP1721" s="227"/>
      <c r="RBQ1721" s="227"/>
      <c r="RBR1721" s="227"/>
      <c r="RBS1721" s="227"/>
      <c r="RBT1721" s="227"/>
      <c r="RBU1721" s="227"/>
      <c r="RBV1721" s="227"/>
      <c r="RBW1721" s="227"/>
      <c r="RBX1721" s="227"/>
      <c r="RBY1721" s="227"/>
      <c r="RBZ1721" s="227"/>
      <c r="RCA1721" s="227"/>
      <c r="RCB1721" s="227"/>
      <c r="RCC1721" s="227"/>
      <c r="RCD1721" s="227"/>
      <c r="RCE1721" s="227"/>
      <c r="RCF1721" s="227"/>
      <c r="RCG1721" s="227"/>
      <c r="RCH1721" s="227"/>
      <c r="RCI1721" s="227"/>
      <c r="RCJ1721" s="227"/>
      <c r="RCK1721" s="227"/>
      <c r="RCL1721" s="227"/>
      <c r="RCM1721" s="227"/>
      <c r="RCN1721" s="227"/>
      <c r="RCO1721" s="227"/>
      <c r="RCP1721" s="227"/>
      <c r="RCQ1721" s="227"/>
      <c r="RCR1721" s="227"/>
      <c r="RCS1721" s="227"/>
      <c r="RCT1721" s="227"/>
      <c r="RCU1721" s="227"/>
      <c r="RCV1721" s="227"/>
      <c r="RCW1721" s="227"/>
      <c r="RCX1721" s="227"/>
      <c r="RCY1721" s="227"/>
      <c r="RCZ1721" s="227"/>
      <c r="RDA1721" s="227"/>
      <c r="RDB1721" s="227"/>
      <c r="RDC1721" s="227"/>
      <c r="RDD1721" s="227"/>
      <c r="RDE1721" s="227"/>
      <c r="RDF1721" s="227"/>
      <c r="RDG1721" s="227"/>
      <c r="RDH1721" s="227"/>
      <c r="RDI1721" s="227"/>
      <c r="RDJ1721" s="227"/>
      <c r="RDK1721" s="227"/>
      <c r="RDL1721" s="227"/>
      <c r="RDM1721" s="227"/>
      <c r="RDN1721" s="227"/>
      <c r="RDO1721" s="227"/>
      <c r="RDP1721" s="227"/>
      <c r="RDQ1721" s="227"/>
      <c r="RDR1721" s="227"/>
      <c r="RDS1721" s="227"/>
      <c r="RDT1721" s="227"/>
      <c r="RDU1721" s="227"/>
      <c r="RDV1721" s="227"/>
      <c r="RDW1721" s="227"/>
      <c r="RDX1721" s="227"/>
      <c r="RDY1721" s="227"/>
      <c r="RDZ1721" s="227"/>
      <c r="REA1721" s="227"/>
      <c r="REB1721" s="227"/>
      <c r="REC1721" s="227"/>
      <c r="RED1721" s="227"/>
      <c r="REE1721" s="227"/>
      <c r="REF1721" s="227"/>
      <c r="REG1721" s="227"/>
      <c r="REH1721" s="227"/>
      <c r="REI1721" s="227"/>
      <c r="REJ1721" s="227"/>
      <c r="REK1721" s="227"/>
      <c r="REL1721" s="227"/>
      <c r="REM1721" s="227"/>
      <c r="REN1721" s="227"/>
      <c r="REO1721" s="227"/>
      <c r="REP1721" s="227"/>
      <c r="REQ1721" s="227"/>
      <c r="RER1721" s="227"/>
      <c r="RES1721" s="227"/>
      <c r="RET1721" s="227"/>
      <c r="REU1721" s="227"/>
      <c r="REV1721" s="227"/>
      <c r="REW1721" s="227"/>
      <c r="REX1721" s="227"/>
      <c r="REY1721" s="227"/>
      <c r="REZ1721" s="227"/>
      <c r="RFA1721" s="227"/>
      <c r="RFB1721" s="227"/>
      <c r="RFC1721" s="227"/>
      <c r="RFD1721" s="227"/>
      <c r="RFE1721" s="227"/>
      <c r="RFF1721" s="227"/>
      <c r="RFG1721" s="227"/>
      <c r="RFH1721" s="227"/>
      <c r="RFI1721" s="227"/>
      <c r="RFJ1721" s="227"/>
      <c r="RFK1721" s="227"/>
      <c r="RFL1721" s="227"/>
      <c r="RFM1721" s="227"/>
      <c r="RFN1721" s="227"/>
      <c r="RFO1721" s="227"/>
      <c r="RFP1721" s="227"/>
      <c r="RFQ1721" s="227"/>
      <c r="RFR1721" s="227"/>
      <c r="RFS1721" s="227"/>
      <c r="RFT1721" s="227"/>
      <c r="RFU1721" s="227"/>
      <c r="RFV1721" s="227"/>
      <c r="RFW1721" s="227"/>
      <c r="RFX1721" s="227"/>
      <c r="RFY1721" s="227"/>
      <c r="RFZ1721" s="227"/>
      <c r="RGA1721" s="227"/>
      <c r="RGB1721" s="227"/>
      <c r="RGC1721" s="227"/>
      <c r="RGD1721" s="227"/>
      <c r="RGE1721" s="227"/>
      <c r="RGF1721" s="227"/>
      <c r="RGG1721" s="227"/>
      <c r="RGH1721" s="227"/>
      <c r="RGI1721" s="227"/>
      <c r="RGJ1721" s="227"/>
      <c r="RGK1721" s="227"/>
      <c r="RGL1721" s="227"/>
      <c r="RGM1721" s="227"/>
      <c r="RGN1721" s="227"/>
      <c r="RGO1721" s="227"/>
      <c r="RGP1721" s="227"/>
      <c r="RGQ1721" s="227"/>
      <c r="RGR1721" s="227"/>
      <c r="RGS1721" s="227"/>
      <c r="RGT1721" s="227"/>
      <c r="RGU1721" s="227"/>
      <c r="RGV1721" s="227"/>
      <c r="RGW1721" s="227"/>
      <c r="RGX1721" s="227"/>
      <c r="RGY1721" s="227"/>
      <c r="RGZ1721" s="227"/>
      <c r="RHA1721" s="227"/>
      <c r="RHB1721" s="227"/>
      <c r="RHC1721" s="227"/>
      <c r="RHD1721" s="227"/>
      <c r="RHE1721" s="227"/>
      <c r="RHF1721" s="227"/>
      <c r="RHG1721" s="227"/>
      <c r="RHH1721" s="227"/>
      <c r="RHI1721" s="227"/>
      <c r="RHJ1721" s="227"/>
      <c r="RHK1721" s="227"/>
      <c r="RHL1721" s="227"/>
      <c r="RHM1721" s="227"/>
      <c r="RHN1721" s="227"/>
      <c r="RHO1721" s="227"/>
      <c r="RHP1721" s="227"/>
      <c r="RHQ1721" s="227"/>
      <c r="RHR1721" s="227"/>
      <c r="RHS1721" s="227"/>
      <c r="RHT1721" s="227"/>
      <c r="RHU1721" s="227"/>
      <c r="RHV1721" s="227"/>
      <c r="RHW1721" s="227"/>
      <c r="RHX1721" s="227"/>
      <c r="RHY1721" s="227"/>
      <c r="RHZ1721" s="227"/>
      <c r="RIA1721" s="227"/>
      <c r="RIB1721" s="227"/>
      <c r="RIC1721" s="227"/>
      <c r="RID1721" s="227"/>
      <c r="RIE1721" s="227"/>
      <c r="RIF1721" s="227"/>
      <c r="RIG1721" s="227"/>
      <c r="RIH1721" s="227"/>
      <c r="RII1721" s="227"/>
      <c r="RIJ1721" s="227"/>
      <c r="RIK1721" s="227"/>
      <c r="RIL1721" s="227"/>
      <c r="RIM1721" s="227"/>
      <c r="RIN1721" s="227"/>
      <c r="RIO1721" s="227"/>
      <c r="RIP1721" s="227"/>
      <c r="RIQ1721" s="227"/>
      <c r="RIR1721" s="227"/>
      <c r="RIS1721" s="227"/>
      <c r="RIT1721" s="227"/>
      <c r="RIU1721" s="227"/>
      <c r="RIV1721" s="227"/>
      <c r="RIW1721" s="227"/>
      <c r="RIX1721" s="227"/>
      <c r="RIY1721" s="227"/>
      <c r="RIZ1721" s="227"/>
      <c r="RJA1721" s="227"/>
      <c r="RJB1721" s="227"/>
      <c r="RJC1721" s="227"/>
      <c r="RJD1721" s="227"/>
      <c r="RJE1721" s="227"/>
      <c r="RJF1721" s="227"/>
      <c r="RJG1721" s="227"/>
      <c r="RJH1721" s="227"/>
      <c r="RJI1721" s="227"/>
      <c r="RJJ1721" s="227"/>
      <c r="RJK1721" s="227"/>
      <c r="RJL1721" s="227"/>
      <c r="RJM1721" s="227"/>
      <c r="RJN1721" s="227"/>
      <c r="RJO1721" s="227"/>
      <c r="RJP1721" s="227"/>
      <c r="RJQ1721" s="227"/>
      <c r="RJR1721" s="227"/>
      <c r="RJS1721" s="227"/>
      <c r="RJT1721" s="227"/>
      <c r="RJU1721" s="227"/>
      <c r="RJV1721" s="227"/>
      <c r="RJW1721" s="227"/>
      <c r="RJX1721" s="227"/>
      <c r="RJY1721" s="227"/>
      <c r="RJZ1721" s="227"/>
      <c r="RKA1721" s="227"/>
      <c r="RKB1721" s="227"/>
      <c r="RKC1721" s="227"/>
      <c r="RKD1721" s="227"/>
      <c r="RKE1721" s="227"/>
      <c r="RKF1721" s="227"/>
      <c r="RKG1721" s="227"/>
      <c r="RKH1721" s="227"/>
      <c r="RKI1721" s="227"/>
      <c r="RKJ1721" s="227"/>
      <c r="RKK1721" s="227"/>
      <c r="RKL1721" s="227"/>
      <c r="RKM1721" s="227"/>
      <c r="RKN1721" s="227"/>
      <c r="RKO1721" s="227"/>
      <c r="RKP1721" s="227"/>
      <c r="RKQ1721" s="227"/>
      <c r="RKR1721" s="227"/>
      <c r="RKS1721" s="227"/>
      <c r="RKT1721" s="227"/>
      <c r="RKU1721" s="227"/>
      <c r="RKV1721" s="227"/>
      <c r="RKW1721" s="227"/>
      <c r="RKX1721" s="227"/>
      <c r="RKY1721" s="227"/>
      <c r="RKZ1721" s="227"/>
      <c r="RLA1721" s="227"/>
      <c r="RLB1721" s="227"/>
      <c r="RLC1721" s="227"/>
      <c r="RLD1721" s="227"/>
      <c r="RLE1721" s="227"/>
      <c r="RLF1721" s="227"/>
      <c r="RLG1721" s="227"/>
      <c r="RLH1721" s="227"/>
      <c r="RLI1721" s="227"/>
      <c r="RLJ1721" s="227"/>
      <c r="RLK1721" s="227"/>
      <c r="RLL1721" s="227"/>
      <c r="RLM1721" s="227"/>
      <c r="RLN1721" s="227"/>
      <c r="RLO1721" s="227"/>
      <c r="RLP1721" s="227"/>
      <c r="RLQ1721" s="227"/>
      <c r="RLR1721" s="227"/>
      <c r="RLS1721" s="227"/>
      <c r="RLT1721" s="227"/>
      <c r="RLU1721" s="227"/>
      <c r="RLV1721" s="227"/>
      <c r="RLW1721" s="227"/>
      <c r="RLX1721" s="227"/>
      <c r="RLY1721" s="227"/>
      <c r="RLZ1721" s="227"/>
      <c r="RMA1721" s="227"/>
      <c r="RMB1721" s="227"/>
      <c r="RMC1721" s="227"/>
      <c r="RMD1721" s="227"/>
      <c r="RME1721" s="227"/>
      <c r="RMF1721" s="227"/>
      <c r="RMG1721" s="227"/>
      <c r="RMH1721" s="227"/>
      <c r="RMI1721" s="227"/>
      <c r="RMJ1721" s="227"/>
      <c r="RMK1721" s="227"/>
      <c r="RML1721" s="227"/>
      <c r="RMM1721" s="227"/>
      <c r="RMN1721" s="227"/>
      <c r="RMO1721" s="227"/>
      <c r="RMP1721" s="227"/>
      <c r="RMQ1721" s="227"/>
      <c r="RMR1721" s="227"/>
      <c r="RMS1721" s="227"/>
      <c r="RMT1721" s="227"/>
      <c r="RMU1721" s="227"/>
      <c r="RMV1721" s="227"/>
      <c r="RMW1721" s="227"/>
      <c r="RMX1721" s="227"/>
      <c r="RMY1721" s="227"/>
      <c r="RMZ1721" s="227"/>
      <c r="RNA1721" s="227"/>
      <c r="RNB1721" s="227"/>
      <c r="RNC1721" s="227"/>
      <c r="RND1721" s="227"/>
      <c r="RNE1721" s="227"/>
      <c r="RNF1721" s="227"/>
      <c r="RNG1721" s="227"/>
      <c r="RNH1721" s="227"/>
      <c r="RNI1721" s="227"/>
      <c r="RNJ1721" s="227"/>
      <c r="RNK1721" s="227"/>
      <c r="RNL1721" s="227"/>
      <c r="RNM1721" s="227"/>
      <c r="RNN1721" s="227"/>
      <c r="RNO1721" s="227"/>
      <c r="RNP1721" s="227"/>
      <c r="RNQ1721" s="227"/>
      <c r="RNR1721" s="227"/>
      <c r="RNS1721" s="227"/>
      <c r="RNT1721" s="227"/>
      <c r="RNU1721" s="227"/>
      <c r="RNV1721" s="227"/>
      <c r="RNW1721" s="227"/>
      <c r="RNX1721" s="227"/>
      <c r="RNY1721" s="227"/>
      <c r="RNZ1721" s="227"/>
      <c r="ROA1721" s="227"/>
      <c r="ROB1721" s="227"/>
      <c r="ROC1721" s="227"/>
      <c r="ROD1721" s="227"/>
      <c r="ROE1721" s="227"/>
      <c r="ROF1721" s="227"/>
      <c r="ROG1721" s="227"/>
      <c r="ROH1721" s="227"/>
      <c r="ROI1721" s="227"/>
      <c r="ROJ1721" s="227"/>
      <c r="ROK1721" s="227"/>
      <c r="ROL1721" s="227"/>
      <c r="ROM1721" s="227"/>
      <c r="RON1721" s="227"/>
      <c r="ROO1721" s="227"/>
      <c r="ROP1721" s="227"/>
      <c r="ROQ1721" s="227"/>
      <c r="ROR1721" s="227"/>
      <c r="ROS1721" s="227"/>
      <c r="ROT1721" s="227"/>
      <c r="ROU1721" s="227"/>
      <c r="ROV1721" s="227"/>
      <c r="ROW1721" s="227"/>
      <c r="ROX1721" s="227"/>
      <c r="ROY1721" s="227"/>
      <c r="ROZ1721" s="227"/>
      <c r="RPA1721" s="227"/>
      <c r="RPB1721" s="227"/>
      <c r="RPC1721" s="227"/>
      <c r="RPD1721" s="227"/>
      <c r="RPE1721" s="227"/>
      <c r="RPF1721" s="227"/>
      <c r="RPG1721" s="227"/>
      <c r="RPH1721" s="227"/>
      <c r="RPI1721" s="227"/>
      <c r="RPJ1721" s="227"/>
      <c r="RPK1721" s="227"/>
      <c r="RPL1721" s="227"/>
      <c r="RPM1721" s="227"/>
      <c r="RPN1721" s="227"/>
      <c r="RPO1721" s="227"/>
      <c r="RPP1721" s="227"/>
      <c r="RPQ1721" s="227"/>
      <c r="RPR1721" s="227"/>
      <c r="RPS1721" s="227"/>
      <c r="RPT1721" s="227"/>
      <c r="RPU1721" s="227"/>
      <c r="RPV1721" s="227"/>
      <c r="RPW1721" s="227"/>
      <c r="RPX1721" s="227"/>
      <c r="RPY1721" s="227"/>
      <c r="RPZ1721" s="227"/>
      <c r="RQA1721" s="227"/>
      <c r="RQB1721" s="227"/>
      <c r="RQC1721" s="227"/>
      <c r="RQD1721" s="227"/>
      <c r="RQE1721" s="227"/>
      <c r="RQF1721" s="227"/>
      <c r="RQG1721" s="227"/>
      <c r="RQH1721" s="227"/>
      <c r="RQI1721" s="227"/>
      <c r="RQJ1721" s="227"/>
      <c r="RQK1721" s="227"/>
      <c r="RQL1721" s="227"/>
      <c r="RQM1721" s="227"/>
      <c r="RQN1721" s="227"/>
      <c r="RQO1721" s="227"/>
      <c r="RQP1721" s="227"/>
      <c r="RQQ1721" s="227"/>
      <c r="RQR1721" s="227"/>
      <c r="RQS1721" s="227"/>
      <c r="RQT1721" s="227"/>
      <c r="RQU1721" s="227"/>
      <c r="RQV1721" s="227"/>
      <c r="RQW1721" s="227"/>
      <c r="RQX1721" s="227"/>
      <c r="RQY1721" s="227"/>
      <c r="RQZ1721" s="227"/>
      <c r="RRA1721" s="227"/>
      <c r="RRB1721" s="227"/>
      <c r="RRC1721" s="227"/>
      <c r="RRD1721" s="227"/>
      <c r="RRE1721" s="227"/>
      <c r="RRF1721" s="227"/>
      <c r="RRG1721" s="227"/>
      <c r="RRH1721" s="227"/>
      <c r="RRI1721" s="227"/>
      <c r="RRJ1721" s="227"/>
      <c r="RRK1721" s="227"/>
      <c r="RRL1721" s="227"/>
      <c r="RRM1721" s="227"/>
      <c r="RRN1721" s="227"/>
      <c r="RRO1721" s="227"/>
      <c r="RRP1721" s="227"/>
      <c r="RRQ1721" s="227"/>
      <c r="RRR1721" s="227"/>
      <c r="RRS1721" s="227"/>
      <c r="RRT1721" s="227"/>
      <c r="RRU1721" s="227"/>
      <c r="RRV1721" s="227"/>
      <c r="RRW1721" s="227"/>
      <c r="RRX1721" s="227"/>
      <c r="RRY1721" s="227"/>
      <c r="RRZ1721" s="227"/>
      <c r="RSA1721" s="227"/>
      <c r="RSB1721" s="227"/>
      <c r="RSC1721" s="227"/>
      <c r="RSD1721" s="227"/>
      <c r="RSE1721" s="227"/>
      <c r="RSF1721" s="227"/>
      <c r="RSG1721" s="227"/>
      <c r="RSH1721" s="227"/>
      <c r="RSI1721" s="227"/>
      <c r="RSJ1721" s="227"/>
      <c r="RSK1721" s="227"/>
      <c r="RSL1721" s="227"/>
      <c r="RSM1721" s="227"/>
      <c r="RSN1721" s="227"/>
      <c r="RSO1721" s="227"/>
      <c r="RSP1721" s="227"/>
      <c r="RSQ1721" s="227"/>
      <c r="RSR1721" s="227"/>
      <c r="RSS1721" s="227"/>
      <c r="RST1721" s="227"/>
      <c r="RSU1721" s="227"/>
      <c r="RSV1721" s="227"/>
      <c r="RSW1721" s="227"/>
      <c r="RSX1721" s="227"/>
      <c r="RSY1721" s="227"/>
      <c r="RSZ1721" s="227"/>
      <c r="RTA1721" s="227"/>
      <c r="RTB1721" s="227"/>
      <c r="RTC1721" s="227"/>
      <c r="RTD1721" s="227"/>
      <c r="RTE1721" s="227"/>
      <c r="RTF1721" s="227"/>
      <c r="RTG1721" s="227"/>
      <c r="RTH1721" s="227"/>
      <c r="RTI1721" s="227"/>
      <c r="RTJ1721" s="227"/>
      <c r="RTK1721" s="227"/>
      <c r="RTL1721" s="227"/>
      <c r="RTM1721" s="227"/>
      <c r="RTN1721" s="227"/>
      <c r="RTO1721" s="227"/>
      <c r="RTP1721" s="227"/>
      <c r="RTQ1721" s="227"/>
      <c r="RTR1721" s="227"/>
      <c r="RTS1721" s="227"/>
      <c r="RTT1721" s="227"/>
      <c r="RTU1721" s="227"/>
      <c r="RTV1721" s="227"/>
      <c r="RTW1721" s="227"/>
      <c r="RTX1721" s="227"/>
      <c r="RTY1721" s="227"/>
      <c r="RTZ1721" s="227"/>
      <c r="RUA1721" s="227"/>
      <c r="RUB1721" s="227"/>
      <c r="RUC1721" s="227"/>
      <c r="RUD1721" s="227"/>
      <c r="RUE1721" s="227"/>
      <c r="RUF1721" s="227"/>
      <c r="RUG1721" s="227"/>
      <c r="RUH1721" s="227"/>
      <c r="RUI1721" s="227"/>
      <c r="RUJ1721" s="227"/>
      <c r="RUK1721" s="227"/>
      <c r="RUL1721" s="227"/>
      <c r="RUM1721" s="227"/>
      <c r="RUN1721" s="227"/>
      <c r="RUO1721" s="227"/>
      <c r="RUP1721" s="227"/>
      <c r="RUQ1721" s="227"/>
      <c r="RUR1721" s="227"/>
      <c r="RUS1721" s="227"/>
      <c r="RUT1721" s="227"/>
      <c r="RUU1721" s="227"/>
      <c r="RUV1721" s="227"/>
      <c r="RUW1721" s="227"/>
      <c r="RUX1721" s="227"/>
      <c r="RUY1721" s="227"/>
      <c r="RUZ1721" s="227"/>
      <c r="RVA1721" s="227"/>
      <c r="RVB1721" s="227"/>
      <c r="RVC1721" s="227"/>
      <c r="RVD1721" s="227"/>
      <c r="RVE1721" s="227"/>
      <c r="RVF1721" s="227"/>
      <c r="RVG1721" s="227"/>
      <c r="RVH1721" s="227"/>
      <c r="RVI1721" s="227"/>
      <c r="RVJ1721" s="227"/>
      <c r="RVK1721" s="227"/>
      <c r="RVL1721" s="227"/>
      <c r="RVM1721" s="227"/>
      <c r="RVN1721" s="227"/>
      <c r="RVO1721" s="227"/>
      <c r="RVP1721" s="227"/>
      <c r="RVQ1721" s="227"/>
      <c r="RVR1721" s="227"/>
      <c r="RVS1721" s="227"/>
      <c r="RVT1721" s="227"/>
      <c r="RVU1721" s="227"/>
      <c r="RVV1721" s="227"/>
      <c r="RVW1721" s="227"/>
      <c r="RVX1721" s="227"/>
      <c r="RVY1721" s="227"/>
      <c r="RVZ1721" s="227"/>
      <c r="RWA1721" s="227"/>
      <c r="RWB1721" s="227"/>
      <c r="RWC1721" s="227"/>
      <c r="RWD1721" s="227"/>
      <c r="RWE1721" s="227"/>
      <c r="RWF1721" s="227"/>
      <c r="RWG1721" s="227"/>
      <c r="RWH1721" s="227"/>
      <c r="RWI1721" s="227"/>
      <c r="RWJ1721" s="227"/>
      <c r="RWK1721" s="227"/>
      <c r="RWL1721" s="227"/>
      <c r="RWM1721" s="227"/>
      <c r="RWN1721" s="227"/>
      <c r="RWO1721" s="227"/>
      <c r="RWP1721" s="227"/>
      <c r="RWQ1721" s="227"/>
      <c r="RWR1721" s="227"/>
      <c r="RWS1721" s="227"/>
      <c r="RWT1721" s="227"/>
      <c r="RWU1721" s="227"/>
      <c r="RWV1721" s="227"/>
      <c r="RWW1721" s="227"/>
      <c r="RWX1721" s="227"/>
      <c r="RWY1721" s="227"/>
      <c r="RWZ1721" s="227"/>
      <c r="RXA1721" s="227"/>
      <c r="RXB1721" s="227"/>
      <c r="RXC1721" s="227"/>
      <c r="RXD1721" s="227"/>
      <c r="RXE1721" s="227"/>
      <c r="RXF1721" s="227"/>
      <c r="RXG1721" s="227"/>
      <c r="RXH1721" s="227"/>
      <c r="RXI1721" s="227"/>
      <c r="RXJ1721" s="227"/>
      <c r="RXK1721" s="227"/>
      <c r="RXL1721" s="227"/>
      <c r="RXM1721" s="227"/>
      <c r="RXN1721" s="227"/>
      <c r="RXO1721" s="227"/>
      <c r="RXP1721" s="227"/>
      <c r="RXQ1721" s="227"/>
      <c r="RXR1721" s="227"/>
      <c r="RXS1721" s="227"/>
      <c r="RXT1721" s="227"/>
      <c r="RXU1721" s="227"/>
      <c r="RXV1721" s="227"/>
      <c r="RXW1721" s="227"/>
      <c r="RXX1721" s="227"/>
      <c r="RXY1721" s="227"/>
      <c r="RXZ1721" s="227"/>
      <c r="RYA1721" s="227"/>
      <c r="RYB1721" s="227"/>
      <c r="RYC1721" s="227"/>
      <c r="RYD1721" s="227"/>
      <c r="RYE1721" s="227"/>
      <c r="RYF1721" s="227"/>
      <c r="RYG1721" s="227"/>
      <c r="RYH1721" s="227"/>
      <c r="RYI1721" s="227"/>
      <c r="RYJ1721" s="227"/>
      <c r="RYK1721" s="227"/>
      <c r="RYL1721" s="227"/>
      <c r="RYM1721" s="227"/>
      <c r="RYN1721" s="227"/>
      <c r="RYO1721" s="227"/>
      <c r="RYP1721" s="227"/>
      <c r="RYQ1721" s="227"/>
      <c r="RYR1721" s="227"/>
      <c r="RYS1721" s="227"/>
      <c r="RYT1721" s="227"/>
      <c r="RYU1721" s="227"/>
      <c r="RYV1721" s="227"/>
      <c r="RYW1721" s="227"/>
      <c r="RYX1721" s="227"/>
      <c r="RYY1721" s="227"/>
      <c r="RYZ1721" s="227"/>
      <c r="RZA1721" s="227"/>
      <c r="RZB1721" s="227"/>
      <c r="RZC1721" s="227"/>
      <c r="RZD1721" s="227"/>
      <c r="RZE1721" s="227"/>
      <c r="RZF1721" s="227"/>
      <c r="RZG1721" s="227"/>
      <c r="RZH1721" s="227"/>
      <c r="RZI1721" s="227"/>
      <c r="RZJ1721" s="227"/>
      <c r="RZK1721" s="227"/>
      <c r="RZL1721" s="227"/>
      <c r="RZM1721" s="227"/>
      <c r="RZN1721" s="227"/>
      <c r="RZO1721" s="227"/>
      <c r="RZP1721" s="227"/>
      <c r="RZQ1721" s="227"/>
      <c r="RZR1721" s="227"/>
      <c r="RZS1721" s="227"/>
      <c r="RZT1721" s="227"/>
      <c r="RZU1721" s="227"/>
      <c r="RZV1721" s="227"/>
      <c r="RZW1721" s="227"/>
      <c r="RZX1721" s="227"/>
      <c r="RZY1721" s="227"/>
      <c r="RZZ1721" s="227"/>
      <c r="SAA1721" s="227"/>
      <c r="SAB1721" s="227"/>
      <c r="SAC1721" s="227"/>
      <c r="SAD1721" s="227"/>
      <c r="SAE1721" s="227"/>
      <c r="SAF1721" s="227"/>
      <c r="SAG1721" s="227"/>
      <c r="SAH1721" s="227"/>
      <c r="SAI1721" s="227"/>
      <c r="SAJ1721" s="227"/>
      <c r="SAK1721" s="227"/>
      <c r="SAL1721" s="227"/>
      <c r="SAM1721" s="227"/>
      <c r="SAN1721" s="227"/>
      <c r="SAO1721" s="227"/>
      <c r="SAP1721" s="227"/>
      <c r="SAQ1721" s="227"/>
      <c r="SAR1721" s="227"/>
      <c r="SAS1721" s="227"/>
      <c r="SAT1721" s="227"/>
      <c r="SAU1721" s="227"/>
      <c r="SAV1721" s="227"/>
      <c r="SAW1721" s="227"/>
      <c r="SAX1721" s="227"/>
      <c r="SAY1721" s="227"/>
      <c r="SAZ1721" s="227"/>
      <c r="SBA1721" s="227"/>
      <c r="SBB1721" s="227"/>
      <c r="SBC1721" s="227"/>
      <c r="SBD1721" s="227"/>
      <c r="SBE1721" s="227"/>
      <c r="SBF1721" s="227"/>
      <c r="SBG1721" s="227"/>
      <c r="SBH1721" s="227"/>
      <c r="SBI1721" s="227"/>
      <c r="SBJ1721" s="227"/>
      <c r="SBK1721" s="227"/>
      <c r="SBL1721" s="227"/>
      <c r="SBM1721" s="227"/>
      <c r="SBN1721" s="227"/>
      <c r="SBO1721" s="227"/>
      <c r="SBP1721" s="227"/>
      <c r="SBQ1721" s="227"/>
      <c r="SBR1721" s="227"/>
      <c r="SBS1721" s="227"/>
      <c r="SBT1721" s="227"/>
      <c r="SBU1721" s="227"/>
      <c r="SBV1721" s="227"/>
      <c r="SBW1721" s="227"/>
      <c r="SBX1721" s="227"/>
      <c r="SBY1721" s="227"/>
      <c r="SBZ1721" s="227"/>
      <c r="SCA1721" s="227"/>
      <c r="SCB1721" s="227"/>
      <c r="SCC1721" s="227"/>
      <c r="SCD1721" s="227"/>
      <c r="SCE1721" s="227"/>
      <c r="SCF1721" s="227"/>
      <c r="SCG1721" s="227"/>
      <c r="SCH1721" s="227"/>
      <c r="SCI1721" s="227"/>
      <c r="SCJ1721" s="227"/>
      <c r="SCK1721" s="227"/>
      <c r="SCL1721" s="227"/>
      <c r="SCM1721" s="227"/>
      <c r="SCN1721" s="227"/>
      <c r="SCO1721" s="227"/>
      <c r="SCP1721" s="227"/>
      <c r="SCQ1721" s="227"/>
      <c r="SCR1721" s="227"/>
      <c r="SCS1721" s="227"/>
      <c r="SCT1721" s="227"/>
      <c r="SCU1721" s="227"/>
      <c r="SCV1721" s="227"/>
      <c r="SCW1721" s="227"/>
      <c r="SCX1721" s="227"/>
      <c r="SCY1721" s="227"/>
      <c r="SCZ1721" s="227"/>
      <c r="SDA1721" s="227"/>
      <c r="SDB1721" s="227"/>
      <c r="SDC1721" s="227"/>
      <c r="SDD1721" s="227"/>
      <c r="SDE1721" s="227"/>
      <c r="SDF1721" s="227"/>
      <c r="SDG1721" s="227"/>
      <c r="SDH1721" s="227"/>
      <c r="SDI1721" s="227"/>
      <c r="SDJ1721" s="227"/>
      <c r="SDK1721" s="227"/>
      <c r="SDL1721" s="227"/>
      <c r="SDM1721" s="227"/>
      <c r="SDN1721" s="227"/>
      <c r="SDO1721" s="227"/>
      <c r="SDP1721" s="227"/>
      <c r="SDQ1721" s="227"/>
      <c r="SDR1721" s="227"/>
      <c r="SDS1721" s="227"/>
      <c r="SDT1721" s="227"/>
      <c r="SDU1721" s="227"/>
      <c r="SDV1721" s="227"/>
      <c r="SDW1721" s="227"/>
      <c r="SDX1721" s="227"/>
      <c r="SDY1721" s="227"/>
      <c r="SDZ1721" s="227"/>
      <c r="SEA1721" s="227"/>
      <c r="SEB1721" s="227"/>
      <c r="SEC1721" s="227"/>
      <c r="SED1721" s="227"/>
      <c r="SEE1721" s="227"/>
      <c r="SEF1721" s="227"/>
      <c r="SEG1721" s="227"/>
      <c r="SEH1721" s="227"/>
      <c r="SEI1721" s="227"/>
      <c r="SEJ1721" s="227"/>
      <c r="SEK1721" s="227"/>
      <c r="SEL1721" s="227"/>
      <c r="SEM1721" s="227"/>
      <c r="SEN1721" s="227"/>
      <c r="SEO1721" s="227"/>
      <c r="SEP1721" s="227"/>
      <c r="SEQ1721" s="227"/>
      <c r="SER1721" s="227"/>
      <c r="SES1721" s="227"/>
      <c r="SET1721" s="227"/>
      <c r="SEU1721" s="227"/>
      <c r="SEV1721" s="227"/>
      <c r="SEW1721" s="227"/>
      <c r="SEX1721" s="227"/>
      <c r="SEY1721" s="227"/>
      <c r="SEZ1721" s="227"/>
      <c r="SFA1721" s="227"/>
      <c r="SFB1721" s="227"/>
      <c r="SFC1721" s="227"/>
      <c r="SFD1721" s="227"/>
      <c r="SFE1721" s="227"/>
      <c r="SFF1721" s="227"/>
      <c r="SFG1721" s="227"/>
      <c r="SFH1721" s="227"/>
      <c r="SFI1721" s="227"/>
      <c r="SFJ1721" s="227"/>
      <c r="SFK1721" s="227"/>
      <c r="SFL1721" s="227"/>
      <c r="SFM1721" s="227"/>
      <c r="SFN1721" s="227"/>
      <c r="SFO1721" s="227"/>
      <c r="SFP1721" s="227"/>
      <c r="SFQ1721" s="227"/>
      <c r="SFR1721" s="227"/>
      <c r="SFS1721" s="227"/>
      <c r="SFT1721" s="227"/>
      <c r="SFU1721" s="227"/>
      <c r="SFV1721" s="227"/>
      <c r="SFW1721" s="227"/>
      <c r="SFX1721" s="227"/>
      <c r="SFY1721" s="227"/>
      <c r="SFZ1721" s="227"/>
      <c r="SGA1721" s="227"/>
      <c r="SGB1721" s="227"/>
      <c r="SGC1721" s="227"/>
      <c r="SGD1721" s="227"/>
      <c r="SGE1721" s="227"/>
      <c r="SGF1721" s="227"/>
      <c r="SGG1721" s="227"/>
      <c r="SGH1721" s="227"/>
      <c r="SGI1721" s="227"/>
      <c r="SGJ1721" s="227"/>
      <c r="SGK1721" s="227"/>
      <c r="SGL1721" s="227"/>
      <c r="SGM1721" s="227"/>
      <c r="SGN1721" s="227"/>
      <c r="SGO1721" s="227"/>
      <c r="SGP1721" s="227"/>
      <c r="SGQ1721" s="227"/>
      <c r="SGR1721" s="227"/>
      <c r="SGS1721" s="227"/>
      <c r="SGT1721" s="227"/>
      <c r="SGU1721" s="227"/>
      <c r="SGV1721" s="227"/>
      <c r="SGW1721" s="227"/>
      <c r="SGX1721" s="227"/>
      <c r="SGY1721" s="227"/>
      <c r="SGZ1721" s="227"/>
      <c r="SHA1721" s="227"/>
      <c r="SHB1721" s="227"/>
      <c r="SHC1721" s="227"/>
      <c r="SHD1721" s="227"/>
      <c r="SHE1721" s="227"/>
      <c r="SHF1721" s="227"/>
      <c r="SHG1721" s="227"/>
      <c r="SHH1721" s="227"/>
      <c r="SHI1721" s="227"/>
      <c r="SHJ1721" s="227"/>
      <c r="SHK1721" s="227"/>
      <c r="SHL1721" s="227"/>
      <c r="SHM1721" s="227"/>
      <c r="SHN1721" s="227"/>
      <c r="SHO1721" s="227"/>
      <c r="SHP1721" s="227"/>
      <c r="SHQ1721" s="227"/>
      <c r="SHR1721" s="227"/>
      <c r="SHS1721" s="227"/>
      <c r="SHT1721" s="227"/>
      <c r="SHU1721" s="227"/>
      <c r="SHV1721" s="227"/>
      <c r="SHW1721" s="227"/>
      <c r="SHX1721" s="227"/>
      <c r="SHY1721" s="227"/>
      <c r="SHZ1721" s="227"/>
      <c r="SIA1721" s="227"/>
      <c r="SIB1721" s="227"/>
      <c r="SIC1721" s="227"/>
      <c r="SID1721" s="227"/>
      <c r="SIE1721" s="227"/>
      <c r="SIF1721" s="227"/>
      <c r="SIG1721" s="227"/>
      <c r="SIH1721" s="227"/>
      <c r="SII1721" s="227"/>
      <c r="SIJ1721" s="227"/>
      <c r="SIK1721" s="227"/>
      <c r="SIL1721" s="227"/>
      <c r="SIM1721" s="227"/>
      <c r="SIN1721" s="227"/>
      <c r="SIO1721" s="227"/>
      <c r="SIP1721" s="227"/>
      <c r="SIQ1721" s="227"/>
      <c r="SIR1721" s="227"/>
      <c r="SIS1721" s="227"/>
      <c r="SIT1721" s="227"/>
      <c r="SIU1721" s="227"/>
      <c r="SIV1721" s="227"/>
      <c r="SIW1721" s="227"/>
      <c r="SIX1721" s="227"/>
      <c r="SIY1721" s="227"/>
      <c r="SIZ1721" s="227"/>
      <c r="SJA1721" s="227"/>
      <c r="SJB1721" s="227"/>
      <c r="SJC1721" s="227"/>
      <c r="SJD1721" s="227"/>
      <c r="SJE1721" s="227"/>
      <c r="SJF1721" s="227"/>
      <c r="SJG1721" s="227"/>
      <c r="SJH1721" s="227"/>
      <c r="SJI1721" s="227"/>
      <c r="SJJ1721" s="227"/>
      <c r="SJK1721" s="227"/>
      <c r="SJL1721" s="227"/>
      <c r="SJM1721" s="227"/>
      <c r="SJN1721" s="227"/>
      <c r="SJO1721" s="227"/>
      <c r="SJP1721" s="227"/>
      <c r="SJQ1721" s="227"/>
      <c r="SJR1721" s="227"/>
      <c r="SJS1721" s="227"/>
      <c r="SJT1721" s="227"/>
      <c r="SJU1721" s="227"/>
      <c r="SJV1721" s="227"/>
      <c r="SJW1721" s="227"/>
      <c r="SJX1721" s="227"/>
      <c r="SJY1721" s="227"/>
      <c r="SJZ1721" s="227"/>
      <c r="SKA1721" s="227"/>
      <c r="SKB1721" s="227"/>
      <c r="SKC1721" s="227"/>
      <c r="SKD1721" s="227"/>
      <c r="SKE1721" s="227"/>
      <c r="SKF1721" s="227"/>
      <c r="SKG1721" s="227"/>
      <c r="SKH1721" s="227"/>
      <c r="SKI1721" s="227"/>
      <c r="SKJ1721" s="227"/>
      <c r="SKK1721" s="227"/>
      <c r="SKL1721" s="227"/>
      <c r="SKM1721" s="227"/>
      <c r="SKN1721" s="227"/>
      <c r="SKO1721" s="227"/>
      <c r="SKP1721" s="227"/>
      <c r="SKQ1721" s="227"/>
      <c r="SKR1721" s="227"/>
      <c r="SKS1721" s="227"/>
      <c r="SKT1721" s="227"/>
      <c r="SKU1721" s="227"/>
      <c r="SKV1721" s="227"/>
      <c r="SKW1721" s="227"/>
      <c r="SKX1721" s="227"/>
      <c r="SKY1721" s="227"/>
      <c r="SKZ1721" s="227"/>
      <c r="SLA1721" s="227"/>
      <c r="SLB1721" s="227"/>
      <c r="SLC1721" s="227"/>
      <c r="SLD1721" s="227"/>
      <c r="SLE1721" s="227"/>
      <c r="SLF1721" s="227"/>
      <c r="SLG1721" s="227"/>
      <c r="SLH1721" s="227"/>
      <c r="SLI1721" s="227"/>
      <c r="SLJ1721" s="227"/>
      <c r="SLK1721" s="227"/>
      <c r="SLL1721" s="227"/>
      <c r="SLM1721" s="227"/>
      <c r="SLN1721" s="227"/>
      <c r="SLO1721" s="227"/>
      <c r="SLP1721" s="227"/>
      <c r="SLQ1721" s="227"/>
      <c r="SLR1721" s="227"/>
      <c r="SLS1721" s="227"/>
      <c r="SLT1721" s="227"/>
      <c r="SLU1721" s="227"/>
      <c r="SLV1721" s="227"/>
      <c r="SLW1721" s="227"/>
      <c r="SLX1721" s="227"/>
      <c r="SLY1721" s="227"/>
      <c r="SLZ1721" s="227"/>
      <c r="SMA1721" s="227"/>
      <c r="SMB1721" s="227"/>
      <c r="SMC1721" s="227"/>
      <c r="SMD1721" s="227"/>
      <c r="SME1721" s="227"/>
      <c r="SMF1721" s="227"/>
      <c r="SMG1721" s="227"/>
      <c r="SMH1721" s="227"/>
      <c r="SMI1721" s="227"/>
      <c r="SMJ1721" s="227"/>
      <c r="SMK1721" s="227"/>
      <c r="SML1721" s="227"/>
      <c r="SMM1721" s="227"/>
      <c r="SMN1721" s="227"/>
      <c r="SMO1721" s="227"/>
      <c r="SMP1721" s="227"/>
      <c r="SMQ1721" s="227"/>
      <c r="SMR1721" s="227"/>
      <c r="SMS1721" s="227"/>
      <c r="SMT1721" s="227"/>
      <c r="SMU1721" s="227"/>
      <c r="SMV1721" s="227"/>
      <c r="SMW1721" s="227"/>
      <c r="SMX1721" s="227"/>
      <c r="SMY1721" s="227"/>
      <c r="SMZ1721" s="227"/>
      <c r="SNA1721" s="227"/>
      <c r="SNB1721" s="227"/>
      <c r="SNC1721" s="227"/>
      <c r="SND1721" s="227"/>
      <c r="SNE1721" s="227"/>
      <c r="SNF1721" s="227"/>
      <c r="SNG1721" s="227"/>
      <c r="SNH1721" s="227"/>
      <c r="SNI1721" s="227"/>
      <c r="SNJ1721" s="227"/>
      <c r="SNK1721" s="227"/>
      <c r="SNL1721" s="227"/>
      <c r="SNM1721" s="227"/>
      <c r="SNN1721" s="227"/>
      <c r="SNO1721" s="227"/>
      <c r="SNP1721" s="227"/>
      <c r="SNQ1721" s="227"/>
      <c r="SNR1721" s="227"/>
      <c r="SNS1721" s="227"/>
      <c r="SNT1721" s="227"/>
      <c r="SNU1721" s="227"/>
      <c r="SNV1721" s="227"/>
      <c r="SNW1721" s="227"/>
      <c r="SNX1721" s="227"/>
      <c r="SNY1721" s="227"/>
      <c r="SNZ1721" s="227"/>
      <c r="SOA1721" s="227"/>
      <c r="SOB1721" s="227"/>
      <c r="SOC1721" s="227"/>
      <c r="SOD1721" s="227"/>
      <c r="SOE1721" s="227"/>
      <c r="SOF1721" s="227"/>
      <c r="SOG1721" s="227"/>
      <c r="SOH1721" s="227"/>
      <c r="SOI1721" s="227"/>
      <c r="SOJ1721" s="227"/>
      <c r="SOK1721" s="227"/>
      <c r="SOL1721" s="227"/>
      <c r="SOM1721" s="227"/>
      <c r="SON1721" s="227"/>
      <c r="SOO1721" s="227"/>
      <c r="SOP1721" s="227"/>
      <c r="SOQ1721" s="227"/>
      <c r="SOR1721" s="227"/>
      <c r="SOS1721" s="227"/>
      <c r="SOT1721" s="227"/>
      <c r="SOU1721" s="227"/>
      <c r="SOV1721" s="227"/>
      <c r="SOW1721" s="227"/>
      <c r="SOX1721" s="227"/>
      <c r="SOY1721" s="227"/>
      <c r="SOZ1721" s="227"/>
      <c r="SPA1721" s="227"/>
      <c r="SPB1721" s="227"/>
      <c r="SPC1721" s="227"/>
      <c r="SPD1721" s="227"/>
      <c r="SPE1721" s="227"/>
      <c r="SPF1721" s="227"/>
      <c r="SPG1721" s="227"/>
      <c r="SPH1721" s="227"/>
      <c r="SPI1721" s="227"/>
      <c r="SPJ1721" s="227"/>
      <c r="SPK1721" s="227"/>
      <c r="SPL1721" s="227"/>
      <c r="SPM1721" s="227"/>
      <c r="SPN1721" s="227"/>
      <c r="SPO1721" s="227"/>
      <c r="SPP1721" s="227"/>
      <c r="SPQ1721" s="227"/>
      <c r="SPR1721" s="227"/>
      <c r="SPS1721" s="227"/>
      <c r="SPT1721" s="227"/>
      <c r="SPU1721" s="227"/>
      <c r="SPV1721" s="227"/>
      <c r="SPW1721" s="227"/>
      <c r="SPX1721" s="227"/>
      <c r="SPY1721" s="227"/>
      <c r="SPZ1721" s="227"/>
      <c r="SQA1721" s="227"/>
      <c r="SQB1721" s="227"/>
      <c r="SQC1721" s="227"/>
      <c r="SQD1721" s="227"/>
      <c r="SQE1721" s="227"/>
      <c r="SQF1721" s="227"/>
      <c r="SQG1721" s="227"/>
      <c r="SQH1721" s="227"/>
      <c r="SQI1721" s="227"/>
      <c r="SQJ1721" s="227"/>
      <c r="SQK1721" s="227"/>
      <c r="SQL1721" s="227"/>
      <c r="SQM1721" s="227"/>
      <c r="SQN1721" s="227"/>
      <c r="SQO1721" s="227"/>
      <c r="SQP1721" s="227"/>
      <c r="SQQ1721" s="227"/>
      <c r="SQR1721" s="227"/>
      <c r="SQS1721" s="227"/>
      <c r="SQT1721" s="227"/>
      <c r="SQU1721" s="227"/>
      <c r="SQV1721" s="227"/>
      <c r="SQW1721" s="227"/>
      <c r="SQX1721" s="227"/>
      <c r="SQY1721" s="227"/>
      <c r="SQZ1721" s="227"/>
      <c r="SRA1721" s="227"/>
      <c r="SRB1721" s="227"/>
      <c r="SRC1721" s="227"/>
      <c r="SRD1721" s="227"/>
      <c r="SRE1721" s="227"/>
      <c r="SRF1721" s="227"/>
      <c r="SRG1721" s="227"/>
      <c r="SRH1721" s="227"/>
      <c r="SRI1721" s="227"/>
      <c r="SRJ1721" s="227"/>
      <c r="SRK1721" s="227"/>
      <c r="SRL1721" s="227"/>
      <c r="SRM1721" s="227"/>
      <c r="SRN1721" s="227"/>
      <c r="SRO1721" s="227"/>
      <c r="SRP1721" s="227"/>
      <c r="SRQ1721" s="227"/>
      <c r="SRR1721" s="227"/>
      <c r="SRS1721" s="227"/>
      <c r="SRT1721" s="227"/>
      <c r="SRU1721" s="227"/>
      <c r="SRV1721" s="227"/>
      <c r="SRW1721" s="227"/>
      <c r="SRX1721" s="227"/>
      <c r="SRY1721" s="227"/>
      <c r="SRZ1721" s="227"/>
      <c r="SSA1721" s="227"/>
      <c r="SSB1721" s="227"/>
      <c r="SSC1721" s="227"/>
      <c r="SSD1721" s="227"/>
      <c r="SSE1721" s="227"/>
      <c r="SSF1721" s="227"/>
      <c r="SSG1721" s="227"/>
      <c r="SSH1721" s="227"/>
      <c r="SSI1721" s="227"/>
      <c r="SSJ1721" s="227"/>
      <c r="SSK1721" s="227"/>
      <c r="SSL1721" s="227"/>
      <c r="SSM1721" s="227"/>
      <c r="SSN1721" s="227"/>
      <c r="SSO1721" s="227"/>
      <c r="SSP1721" s="227"/>
      <c r="SSQ1721" s="227"/>
      <c r="SSR1721" s="227"/>
      <c r="SSS1721" s="227"/>
      <c r="SST1721" s="227"/>
      <c r="SSU1721" s="227"/>
      <c r="SSV1721" s="227"/>
      <c r="SSW1721" s="227"/>
      <c r="SSX1721" s="227"/>
      <c r="SSY1721" s="227"/>
      <c r="SSZ1721" s="227"/>
      <c r="STA1721" s="227"/>
      <c r="STB1721" s="227"/>
      <c r="STC1721" s="227"/>
      <c r="STD1721" s="227"/>
      <c r="STE1721" s="227"/>
      <c r="STF1721" s="227"/>
      <c r="STG1721" s="227"/>
      <c r="STH1721" s="227"/>
      <c r="STI1721" s="227"/>
      <c r="STJ1721" s="227"/>
      <c r="STK1721" s="227"/>
      <c r="STL1721" s="227"/>
      <c r="STM1721" s="227"/>
      <c r="STN1721" s="227"/>
      <c r="STO1721" s="227"/>
      <c r="STP1721" s="227"/>
      <c r="STQ1721" s="227"/>
      <c r="STR1721" s="227"/>
      <c r="STS1721" s="227"/>
      <c r="STT1721" s="227"/>
      <c r="STU1721" s="227"/>
      <c r="STV1721" s="227"/>
      <c r="STW1721" s="227"/>
      <c r="STX1721" s="227"/>
      <c r="STY1721" s="227"/>
      <c r="STZ1721" s="227"/>
      <c r="SUA1721" s="227"/>
      <c r="SUB1721" s="227"/>
      <c r="SUC1721" s="227"/>
      <c r="SUD1721" s="227"/>
      <c r="SUE1721" s="227"/>
      <c r="SUF1721" s="227"/>
      <c r="SUG1721" s="227"/>
      <c r="SUH1721" s="227"/>
      <c r="SUI1721" s="227"/>
      <c r="SUJ1721" s="227"/>
      <c r="SUK1721" s="227"/>
      <c r="SUL1721" s="227"/>
      <c r="SUM1721" s="227"/>
      <c r="SUN1721" s="227"/>
      <c r="SUO1721" s="227"/>
      <c r="SUP1721" s="227"/>
      <c r="SUQ1721" s="227"/>
      <c r="SUR1721" s="227"/>
      <c r="SUS1721" s="227"/>
      <c r="SUT1721" s="227"/>
      <c r="SUU1721" s="227"/>
      <c r="SUV1721" s="227"/>
      <c r="SUW1721" s="227"/>
      <c r="SUX1721" s="227"/>
      <c r="SUY1721" s="227"/>
      <c r="SUZ1721" s="227"/>
      <c r="SVA1721" s="227"/>
      <c r="SVB1721" s="227"/>
      <c r="SVC1721" s="227"/>
      <c r="SVD1721" s="227"/>
      <c r="SVE1721" s="227"/>
      <c r="SVF1721" s="227"/>
      <c r="SVG1721" s="227"/>
      <c r="SVH1721" s="227"/>
      <c r="SVI1721" s="227"/>
      <c r="SVJ1721" s="227"/>
      <c r="SVK1721" s="227"/>
      <c r="SVL1721" s="227"/>
      <c r="SVM1721" s="227"/>
      <c r="SVN1721" s="227"/>
      <c r="SVO1721" s="227"/>
      <c r="SVP1721" s="227"/>
      <c r="SVQ1721" s="227"/>
      <c r="SVR1721" s="227"/>
      <c r="SVS1721" s="227"/>
      <c r="SVT1721" s="227"/>
      <c r="SVU1721" s="227"/>
      <c r="SVV1721" s="227"/>
      <c r="SVW1721" s="227"/>
      <c r="SVX1721" s="227"/>
      <c r="SVY1721" s="227"/>
      <c r="SVZ1721" s="227"/>
      <c r="SWA1721" s="227"/>
      <c r="SWB1721" s="227"/>
      <c r="SWC1721" s="227"/>
      <c r="SWD1721" s="227"/>
      <c r="SWE1721" s="227"/>
      <c r="SWF1721" s="227"/>
      <c r="SWG1721" s="227"/>
      <c r="SWH1721" s="227"/>
      <c r="SWI1721" s="227"/>
      <c r="SWJ1721" s="227"/>
      <c r="SWK1721" s="227"/>
      <c r="SWL1721" s="227"/>
      <c r="SWM1721" s="227"/>
      <c r="SWN1721" s="227"/>
      <c r="SWO1721" s="227"/>
      <c r="SWP1721" s="227"/>
      <c r="SWQ1721" s="227"/>
      <c r="SWR1721" s="227"/>
      <c r="SWS1721" s="227"/>
      <c r="SWT1721" s="227"/>
      <c r="SWU1721" s="227"/>
      <c r="SWV1721" s="227"/>
      <c r="SWW1721" s="227"/>
      <c r="SWX1721" s="227"/>
      <c r="SWY1721" s="227"/>
      <c r="SWZ1721" s="227"/>
      <c r="SXA1721" s="227"/>
      <c r="SXB1721" s="227"/>
      <c r="SXC1721" s="227"/>
      <c r="SXD1721" s="227"/>
      <c r="SXE1721" s="227"/>
      <c r="SXF1721" s="227"/>
      <c r="SXG1721" s="227"/>
      <c r="SXH1721" s="227"/>
      <c r="SXI1721" s="227"/>
      <c r="SXJ1721" s="227"/>
      <c r="SXK1721" s="227"/>
      <c r="SXL1721" s="227"/>
      <c r="SXM1721" s="227"/>
      <c r="SXN1721" s="227"/>
      <c r="SXO1721" s="227"/>
      <c r="SXP1721" s="227"/>
      <c r="SXQ1721" s="227"/>
      <c r="SXR1721" s="227"/>
      <c r="SXS1721" s="227"/>
      <c r="SXT1721" s="227"/>
      <c r="SXU1721" s="227"/>
      <c r="SXV1721" s="227"/>
      <c r="SXW1721" s="227"/>
      <c r="SXX1721" s="227"/>
      <c r="SXY1721" s="227"/>
      <c r="SXZ1721" s="227"/>
      <c r="SYA1721" s="227"/>
      <c r="SYB1721" s="227"/>
      <c r="SYC1721" s="227"/>
      <c r="SYD1721" s="227"/>
      <c r="SYE1721" s="227"/>
      <c r="SYF1721" s="227"/>
      <c r="SYG1721" s="227"/>
      <c r="SYH1721" s="227"/>
      <c r="SYI1721" s="227"/>
      <c r="SYJ1721" s="227"/>
      <c r="SYK1721" s="227"/>
      <c r="SYL1721" s="227"/>
      <c r="SYM1721" s="227"/>
      <c r="SYN1721" s="227"/>
      <c r="SYO1721" s="227"/>
      <c r="SYP1721" s="227"/>
      <c r="SYQ1721" s="227"/>
      <c r="SYR1721" s="227"/>
      <c r="SYS1721" s="227"/>
      <c r="SYT1721" s="227"/>
      <c r="SYU1721" s="227"/>
      <c r="SYV1721" s="227"/>
      <c r="SYW1721" s="227"/>
      <c r="SYX1721" s="227"/>
      <c r="SYY1721" s="227"/>
      <c r="SYZ1721" s="227"/>
      <c r="SZA1721" s="227"/>
      <c r="SZB1721" s="227"/>
      <c r="SZC1721" s="227"/>
      <c r="SZD1721" s="227"/>
      <c r="SZE1721" s="227"/>
      <c r="SZF1721" s="227"/>
      <c r="SZG1721" s="227"/>
      <c r="SZH1721" s="227"/>
      <c r="SZI1721" s="227"/>
      <c r="SZJ1721" s="227"/>
      <c r="SZK1721" s="227"/>
      <c r="SZL1721" s="227"/>
      <c r="SZM1721" s="227"/>
      <c r="SZN1721" s="227"/>
      <c r="SZO1721" s="227"/>
      <c r="SZP1721" s="227"/>
      <c r="SZQ1721" s="227"/>
      <c r="SZR1721" s="227"/>
      <c r="SZS1721" s="227"/>
      <c r="SZT1721" s="227"/>
      <c r="SZU1721" s="227"/>
      <c r="SZV1721" s="227"/>
      <c r="SZW1721" s="227"/>
      <c r="SZX1721" s="227"/>
      <c r="SZY1721" s="227"/>
      <c r="SZZ1721" s="227"/>
      <c r="TAA1721" s="227"/>
      <c r="TAB1721" s="227"/>
      <c r="TAC1721" s="227"/>
      <c r="TAD1721" s="227"/>
      <c r="TAE1721" s="227"/>
      <c r="TAF1721" s="227"/>
      <c r="TAG1721" s="227"/>
      <c r="TAH1721" s="227"/>
      <c r="TAI1721" s="227"/>
      <c r="TAJ1721" s="227"/>
      <c r="TAK1721" s="227"/>
      <c r="TAL1721" s="227"/>
      <c r="TAM1721" s="227"/>
      <c r="TAN1721" s="227"/>
      <c r="TAO1721" s="227"/>
      <c r="TAP1721" s="227"/>
      <c r="TAQ1721" s="227"/>
      <c r="TAR1721" s="227"/>
      <c r="TAS1721" s="227"/>
      <c r="TAT1721" s="227"/>
      <c r="TAU1721" s="227"/>
      <c r="TAV1721" s="227"/>
      <c r="TAW1721" s="227"/>
      <c r="TAX1721" s="227"/>
      <c r="TAY1721" s="227"/>
      <c r="TAZ1721" s="227"/>
      <c r="TBA1721" s="227"/>
      <c r="TBB1721" s="227"/>
      <c r="TBC1721" s="227"/>
      <c r="TBD1721" s="227"/>
      <c r="TBE1721" s="227"/>
      <c r="TBF1721" s="227"/>
      <c r="TBG1721" s="227"/>
      <c r="TBH1721" s="227"/>
      <c r="TBI1721" s="227"/>
      <c r="TBJ1721" s="227"/>
      <c r="TBK1721" s="227"/>
      <c r="TBL1721" s="227"/>
      <c r="TBM1721" s="227"/>
      <c r="TBN1721" s="227"/>
      <c r="TBO1721" s="227"/>
      <c r="TBP1721" s="227"/>
      <c r="TBQ1721" s="227"/>
      <c r="TBR1721" s="227"/>
      <c r="TBS1721" s="227"/>
      <c r="TBT1721" s="227"/>
      <c r="TBU1721" s="227"/>
      <c r="TBV1721" s="227"/>
      <c r="TBW1721" s="227"/>
      <c r="TBX1721" s="227"/>
      <c r="TBY1721" s="227"/>
      <c r="TBZ1721" s="227"/>
      <c r="TCA1721" s="227"/>
      <c r="TCB1721" s="227"/>
      <c r="TCC1721" s="227"/>
      <c r="TCD1721" s="227"/>
      <c r="TCE1721" s="227"/>
      <c r="TCF1721" s="227"/>
      <c r="TCG1721" s="227"/>
      <c r="TCH1721" s="227"/>
      <c r="TCI1721" s="227"/>
      <c r="TCJ1721" s="227"/>
      <c r="TCK1721" s="227"/>
      <c r="TCL1721" s="227"/>
      <c r="TCM1721" s="227"/>
      <c r="TCN1721" s="227"/>
      <c r="TCO1721" s="227"/>
      <c r="TCP1721" s="227"/>
      <c r="TCQ1721" s="227"/>
      <c r="TCR1721" s="227"/>
      <c r="TCS1721" s="227"/>
      <c r="TCT1721" s="227"/>
      <c r="TCU1721" s="227"/>
      <c r="TCV1721" s="227"/>
      <c r="TCW1721" s="227"/>
      <c r="TCX1721" s="227"/>
      <c r="TCY1721" s="227"/>
      <c r="TCZ1721" s="227"/>
      <c r="TDA1721" s="227"/>
      <c r="TDB1721" s="227"/>
      <c r="TDC1721" s="227"/>
      <c r="TDD1721" s="227"/>
      <c r="TDE1721" s="227"/>
      <c r="TDF1721" s="227"/>
      <c r="TDG1721" s="227"/>
      <c r="TDH1721" s="227"/>
      <c r="TDI1721" s="227"/>
      <c r="TDJ1721" s="227"/>
      <c r="TDK1721" s="227"/>
      <c r="TDL1721" s="227"/>
      <c r="TDM1721" s="227"/>
      <c r="TDN1721" s="227"/>
      <c r="TDO1721" s="227"/>
      <c r="TDP1721" s="227"/>
      <c r="TDQ1721" s="227"/>
      <c r="TDR1721" s="227"/>
      <c r="TDS1721" s="227"/>
      <c r="TDT1721" s="227"/>
      <c r="TDU1721" s="227"/>
      <c r="TDV1721" s="227"/>
      <c r="TDW1721" s="227"/>
      <c r="TDX1721" s="227"/>
      <c r="TDY1721" s="227"/>
      <c r="TDZ1721" s="227"/>
      <c r="TEA1721" s="227"/>
      <c r="TEB1721" s="227"/>
      <c r="TEC1721" s="227"/>
      <c r="TED1721" s="227"/>
      <c r="TEE1721" s="227"/>
      <c r="TEF1721" s="227"/>
      <c r="TEG1721" s="227"/>
      <c r="TEH1721" s="227"/>
      <c r="TEI1721" s="227"/>
      <c r="TEJ1721" s="227"/>
      <c r="TEK1721" s="227"/>
      <c r="TEL1721" s="227"/>
      <c r="TEM1721" s="227"/>
      <c r="TEN1721" s="227"/>
      <c r="TEO1721" s="227"/>
      <c r="TEP1721" s="227"/>
      <c r="TEQ1721" s="227"/>
      <c r="TER1721" s="227"/>
      <c r="TES1721" s="227"/>
      <c r="TET1721" s="227"/>
      <c r="TEU1721" s="227"/>
      <c r="TEV1721" s="227"/>
      <c r="TEW1721" s="227"/>
      <c r="TEX1721" s="227"/>
      <c r="TEY1721" s="227"/>
      <c r="TEZ1721" s="227"/>
      <c r="TFA1721" s="227"/>
      <c r="TFB1721" s="227"/>
      <c r="TFC1721" s="227"/>
      <c r="TFD1721" s="227"/>
      <c r="TFE1721" s="227"/>
      <c r="TFF1721" s="227"/>
      <c r="TFG1721" s="227"/>
      <c r="TFH1721" s="227"/>
      <c r="TFI1721" s="227"/>
      <c r="TFJ1721" s="227"/>
      <c r="TFK1721" s="227"/>
      <c r="TFL1721" s="227"/>
      <c r="TFM1721" s="227"/>
      <c r="TFN1721" s="227"/>
      <c r="TFO1721" s="227"/>
      <c r="TFP1721" s="227"/>
      <c r="TFQ1721" s="227"/>
      <c r="TFR1721" s="227"/>
      <c r="TFS1721" s="227"/>
      <c r="TFT1721" s="227"/>
      <c r="TFU1721" s="227"/>
      <c r="TFV1721" s="227"/>
      <c r="TFW1721" s="227"/>
      <c r="TFX1721" s="227"/>
      <c r="TFY1721" s="227"/>
      <c r="TFZ1721" s="227"/>
      <c r="TGA1721" s="227"/>
      <c r="TGB1721" s="227"/>
      <c r="TGC1721" s="227"/>
      <c r="TGD1721" s="227"/>
      <c r="TGE1721" s="227"/>
      <c r="TGF1721" s="227"/>
      <c r="TGG1721" s="227"/>
      <c r="TGH1721" s="227"/>
      <c r="TGI1721" s="227"/>
      <c r="TGJ1721" s="227"/>
      <c r="TGK1721" s="227"/>
      <c r="TGL1721" s="227"/>
      <c r="TGM1721" s="227"/>
      <c r="TGN1721" s="227"/>
      <c r="TGO1721" s="227"/>
      <c r="TGP1721" s="227"/>
      <c r="TGQ1721" s="227"/>
      <c r="TGR1721" s="227"/>
      <c r="TGS1721" s="227"/>
      <c r="TGT1721" s="227"/>
      <c r="TGU1721" s="227"/>
      <c r="TGV1721" s="227"/>
      <c r="TGW1721" s="227"/>
      <c r="TGX1721" s="227"/>
      <c r="TGY1721" s="227"/>
      <c r="TGZ1721" s="227"/>
      <c r="THA1721" s="227"/>
      <c r="THB1721" s="227"/>
      <c r="THC1721" s="227"/>
      <c r="THD1721" s="227"/>
      <c r="THE1721" s="227"/>
      <c r="THF1721" s="227"/>
      <c r="THG1721" s="227"/>
      <c r="THH1721" s="227"/>
      <c r="THI1721" s="227"/>
      <c r="THJ1721" s="227"/>
      <c r="THK1721" s="227"/>
      <c r="THL1721" s="227"/>
      <c r="THM1721" s="227"/>
      <c r="THN1721" s="227"/>
      <c r="THO1721" s="227"/>
      <c r="THP1721" s="227"/>
      <c r="THQ1721" s="227"/>
      <c r="THR1721" s="227"/>
      <c r="THS1721" s="227"/>
      <c r="THT1721" s="227"/>
      <c r="THU1721" s="227"/>
      <c r="THV1721" s="227"/>
      <c r="THW1721" s="227"/>
      <c r="THX1721" s="227"/>
      <c r="THY1721" s="227"/>
      <c r="THZ1721" s="227"/>
      <c r="TIA1721" s="227"/>
      <c r="TIB1721" s="227"/>
      <c r="TIC1721" s="227"/>
      <c r="TID1721" s="227"/>
      <c r="TIE1721" s="227"/>
      <c r="TIF1721" s="227"/>
      <c r="TIG1721" s="227"/>
      <c r="TIH1721" s="227"/>
      <c r="TII1721" s="227"/>
      <c r="TIJ1721" s="227"/>
      <c r="TIK1721" s="227"/>
      <c r="TIL1721" s="227"/>
      <c r="TIM1721" s="227"/>
      <c r="TIN1721" s="227"/>
      <c r="TIO1721" s="227"/>
      <c r="TIP1721" s="227"/>
      <c r="TIQ1721" s="227"/>
      <c r="TIR1721" s="227"/>
      <c r="TIS1721" s="227"/>
      <c r="TIT1721" s="227"/>
      <c r="TIU1721" s="227"/>
      <c r="TIV1721" s="227"/>
      <c r="TIW1721" s="227"/>
      <c r="TIX1721" s="227"/>
      <c r="TIY1721" s="227"/>
      <c r="TIZ1721" s="227"/>
      <c r="TJA1721" s="227"/>
      <c r="TJB1721" s="227"/>
      <c r="TJC1721" s="227"/>
      <c r="TJD1721" s="227"/>
      <c r="TJE1721" s="227"/>
      <c r="TJF1721" s="227"/>
      <c r="TJG1721" s="227"/>
      <c r="TJH1721" s="227"/>
      <c r="TJI1721" s="227"/>
      <c r="TJJ1721" s="227"/>
      <c r="TJK1721" s="227"/>
      <c r="TJL1721" s="227"/>
      <c r="TJM1721" s="227"/>
      <c r="TJN1721" s="227"/>
      <c r="TJO1721" s="227"/>
      <c r="TJP1721" s="227"/>
      <c r="TJQ1721" s="227"/>
      <c r="TJR1721" s="227"/>
      <c r="TJS1721" s="227"/>
      <c r="TJT1721" s="227"/>
      <c r="TJU1721" s="227"/>
      <c r="TJV1721" s="227"/>
      <c r="TJW1721" s="227"/>
      <c r="TJX1721" s="227"/>
      <c r="TJY1721" s="227"/>
      <c r="TJZ1721" s="227"/>
      <c r="TKA1721" s="227"/>
      <c r="TKB1721" s="227"/>
      <c r="TKC1721" s="227"/>
      <c r="TKD1721" s="227"/>
      <c r="TKE1721" s="227"/>
      <c r="TKF1721" s="227"/>
      <c r="TKG1721" s="227"/>
      <c r="TKH1721" s="227"/>
      <c r="TKI1721" s="227"/>
      <c r="TKJ1721" s="227"/>
      <c r="TKK1721" s="227"/>
      <c r="TKL1721" s="227"/>
      <c r="TKM1721" s="227"/>
      <c r="TKN1721" s="227"/>
      <c r="TKO1721" s="227"/>
      <c r="TKP1721" s="227"/>
      <c r="TKQ1721" s="227"/>
      <c r="TKR1721" s="227"/>
      <c r="TKS1721" s="227"/>
      <c r="TKT1721" s="227"/>
      <c r="TKU1721" s="227"/>
      <c r="TKV1721" s="227"/>
      <c r="TKW1721" s="227"/>
      <c r="TKX1721" s="227"/>
      <c r="TKY1721" s="227"/>
      <c r="TKZ1721" s="227"/>
      <c r="TLA1721" s="227"/>
      <c r="TLB1721" s="227"/>
      <c r="TLC1721" s="227"/>
      <c r="TLD1721" s="227"/>
      <c r="TLE1721" s="227"/>
      <c r="TLF1721" s="227"/>
      <c r="TLG1721" s="227"/>
      <c r="TLH1721" s="227"/>
      <c r="TLI1721" s="227"/>
      <c r="TLJ1721" s="227"/>
      <c r="TLK1721" s="227"/>
      <c r="TLL1721" s="227"/>
      <c r="TLM1721" s="227"/>
      <c r="TLN1721" s="227"/>
      <c r="TLO1721" s="227"/>
      <c r="TLP1721" s="227"/>
      <c r="TLQ1721" s="227"/>
      <c r="TLR1721" s="227"/>
      <c r="TLS1721" s="227"/>
      <c r="TLT1721" s="227"/>
      <c r="TLU1721" s="227"/>
      <c r="TLV1721" s="227"/>
      <c r="TLW1721" s="227"/>
      <c r="TLX1721" s="227"/>
      <c r="TLY1721" s="227"/>
      <c r="TLZ1721" s="227"/>
      <c r="TMA1721" s="227"/>
      <c r="TMB1721" s="227"/>
      <c r="TMC1721" s="227"/>
      <c r="TMD1721" s="227"/>
      <c r="TME1721" s="227"/>
      <c r="TMF1721" s="227"/>
      <c r="TMG1721" s="227"/>
      <c r="TMH1721" s="227"/>
      <c r="TMI1721" s="227"/>
      <c r="TMJ1721" s="227"/>
      <c r="TMK1721" s="227"/>
      <c r="TML1721" s="227"/>
      <c r="TMM1721" s="227"/>
      <c r="TMN1721" s="227"/>
      <c r="TMO1721" s="227"/>
      <c r="TMP1721" s="227"/>
      <c r="TMQ1721" s="227"/>
      <c r="TMR1721" s="227"/>
      <c r="TMS1721" s="227"/>
      <c r="TMT1721" s="227"/>
      <c r="TMU1721" s="227"/>
      <c r="TMV1721" s="227"/>
      <c r="TMW1721" s="227"/>
      <c r="TMX1721" s="227"/>
      <c r="TMY1721" s="227"/>
      <c r="TMZ1721" s="227"/>
      <c r="TNA1721" s="227"/>
      <c r="TNB1721" s="227"/>
      <c r="TNC1721" s="227"/>
      <c r="TND1721" s="227"/>
      <c r="TNE1721" s="227"/>
      <c r="TNF1721" s="227"/>
      <c r="TNG1721" s="227"/>
      <c r="TNH1721" s="227"/>
      <c r="TNI1721" s="227"/>
      <c r="TNJ1721" s="227"/>
      <c r="TNK1721" s="227"/>
      <c r="TNL1721" s="227"/>
      <c r="TNM1721" s="227"/>
      <c r="TNN1721" s="227"/>
      <c r="TNO1721" s="227"/>
      <c r="TNP1721" s="227"/>
      <c r="TNQ1721" s="227"/>
      <c r="TNR1721" s="227"/>
      <c r="TNS1721" s="227"/>
      <c r="TNT1721" s="227"/>
      <c r="TNU1721" s="227"/>
      <c r="TNV1721" s="227"/>
      <c r="TNW1721" s="227"/>
      <c r="TNX1721" s="227"/>
      <c r="TNY1721" s="227"/>
      <c r="TNZ1721" s="227"/>
      <c r="TOA1721" s="227"/>
      <c r="TOB1721" s="227"/>
      <c r="TOC1721" s="227"/>
      <c r="TOD1721" s="227"/>
      <c r="TOE1721" s="227"/>
      <c r="TOF1721" s="227"/>
      <c r="TOG1721" s="227"/>
      <c r="TOH1721" s="227"/>
      <c r="TOI1721" s="227"/>
      <c r="TOJ1721" s="227"/>
      <c r="TOK1721" s="227"/>
      <c r="TOL1721" s="227"/>
      <c r="TOM1721" s="227"/>
      <c r="TON1721" s="227"/>
      <c r="TOO1721" s="227"/>
      <c r="TOP1721" s="227"/>
      <c r="TOQ1721" s="227"/>
      <c r="TOR1721" s="227"/>
      <c r="TOS1721" s="227"/>
      <c r="TOT1721" s="227"/>
      <c r="TOU1721" s="227"/>
      <c r="TOV1721" s="227"/>
      <c r="TOW1721" s="227"/>
      <c r="TOX1721" s="227"/>
      <c r="TOY1721" s="227"/>
      <c r="TOZ1721" s="227"/>
      <c r="TPA1721" s="227"/>
      <c r="TPB1721" s="227"/>
      <c r="TPC1721" s="227"/>
      <c r="TPD1721" s="227"/>
      <c r="TPE1721" s="227"/>
      <c r="TPF1721" s="227"/>
      <c r="TPG1721" s="227"/>
      <c r="TPH1721" s="227"/>
      <c r="TPI1721" s="227"/>
      <c r="TPJ1721" s="227"/>
      <c r="TPK1721" s="227"/>
      <c r="TPL1721" s="227"/>
      <c r="TPM1721" s="227"/>
      <c r="TPN1721" s="227"/>
      <c r="TPO1721" s="227"/>
      <c r="TPP1721" s="227"/>
      <c r="TPQ1721" s="227"/>
      <c r="TPR1721" s="227"/>
      <c r="TPS1721" s="227"/>
      <c r="TPT1721" s="227"/>
      <c r="TPU1721" s="227"/>
      <c r="TPV1721" s="227"/>
      <c r="TPW1721" s="227"/>
      <c r="TPX1721" s="227"/>
      <c r="TPY1721" s="227"/>
      <c r="TPZ1721" s="227"/>
      <c r="TQA1721" s="227"/>
      <c r="TQB1721" s="227"/>
      <c r="TQC1721" s="227"/>
      <c r="TQD1721" s="227"/>
      <c r="TQE1721" s="227"/>
      <c r="TQF1721" s="227"/>
      <c r="TQG1721" s="227"/>
      <c r="TQH1721" s="227"/>
      <c r="TQI1721" s="227"/>
      <c r="TQJ1721" s="227"/>
      <c r="TQK1721" s="227"/>
      <c r="TQL1721" s="227"/>
      <c r="TQM1721" s="227"/>
      <c r="TQN1721" s="227"/>
      <c r="TQO1721" s="227"/>
      <c r="TQP1721" s="227"/>
      <c r="TQQ1721" s="227"/>
      <c r="TQR1721" s="227"/>
      <c r="TQS1721" s="227"/>
      <c r="TQT1721" s="227"/>
      <c r="TQU1721" s="227"/>
      <c r="TQV1721" s="227"/>
      <c r="TQW1721" s="227"/>
      <c r="TQX1721" s="227"/>
      <c r="TQY1721" s="227"/>
      <c r="TQZ1721" s="227"/>
      <c r="TRA1721" s="227"/>
      <c r="TRB1721" s="227"/>
      <c r="TRC1721" s="227"/>
      <c r="TRD1721" s="227"/>
      <c r="TRE1721" s="227"/>
      <c r="TRF1721" s="227"/>
      <c r="TRG1721" s="227"/>
      <c r="TRH1721" s="227"/>
      <c r="TRI1721" s="227"/>
      <c r="TRJ1721" s="227"/>
      <c r="TRK1721" s="227"/>
      <c r="TRL1721" s="227"/>
      <c r="TRM1721" s="227"/>
      <c r="TRN1721" s="227"/>
      <c r="TRO1721" s="227"/>
      <c r="TRP1721" s="227"/>
      <c r="TRQ1721" s="227"/>
      <c r="TRR1721" s="227"/>
      <c r="TRS1721" s="227"/>
      <c r="TRT1721" s="227"/>
      <c r="TRU1721" s="227"/>
      <c r="TRV1721" s="227"/>
      <c r="TRW1721" s="227"/>
      <c r="TRX1721" s="227"/>
      <c r="TRY1721" s="227"/>
      <c r="TRZ1721" s="227"/>
      <c r="TSA1721" s="227"/>
      <c r="TSB1721" s="227"/>
      <c r="TSC1721" s="227"/>
      <c r="TSD1721" s="227"/>
      <c r="TSE1721" s="227"/>
      <c r="TSF1721" s="227"/>
      <c r="TSG1721" s="227"/>
      <c r="TSH1721" s="227"/>
      <c r="TSI1721" s="227"/>
      <c r="TSJ1721" s="227"/>
      <c r="TSK1721" s="227"/>
      <c r="TSL1721" s="227"/>
      <c r="TSM1721" s="227"/>
      <c r="TSN1721" s="227"/>
      <c r="TSO1721" s="227"/>
      <c r="TSP1721" s="227"/>
      <c r="TSQ1721" s="227"/>
      <c r="TSR1721" s="227"/>
      <c r="TSS1721" s="227"/>
      <c r="TST1721" s="227"/>
      <c r="TSU1721" s="227"/>
      <c r="TSV1721" s="227"/>
      <c r="TSW1721" s="227"/>
      <c r="TSX1721" s="227"/>
      <c r="TSY1721" s="227"/>
      <c r="TSZ1721" s="227"/>
      <c r="TTA1721" s="227"/>
      <c r="TTB1721" s="227"/>
      <c r="TTC1721" s="227"/>
      <c r="TTD1721" s="227"/>
      <c r="TTE1721" s="227"/>
      <c r="TTF1721" s="227"/>
      <c r="TTG1721" s="227"/>
      <c r="TTH1721" s="227"/>
      <c r="TTI1721" s="227"/>
      <c r="TTJ1721" s="227"/>
      <c r="TTK1721" s="227"/>
      <c r="TTL1721" s="227"/>
      <c r="TTM1721" s="227"/>
      <c r="TTN1721" s="227"/>
      <c r="TTO1721" s="227"/>
      <c r="TTP1721" s="227"/>
      <c r="TTQ1721" s="227"/>
      <c r="TTR1721" s="227"/>
      <c r="TTS1721" s="227"/>
      <c r="TTT1721" s="227"/>
      <c r="TTU1721" s="227"/>
      <c r="TTV1721" s="227"/>
      <c r="TTW1721" s="227"/>
      <c r="TTX1721" s="227"/>
      <c r="TTY1721" s="227"/>
      <c r="TTZ1721" s="227"/>
      <c r="TUA1721" s="227"/>
      <c r="TUB1721" s="227"/>
      <c r="TUC1721" s="227"/>
      <c r="TUD1721" s="227"/>
      <c r="TUE1721" s="227"/>
      <c r="TUF1721" s="227"/>
      <c r="TUG1721" s="227"/>
      <c r="TUH1721" s="227"/>
      <c r="TUI1721" s="227"/>
      <c r="TUJ1721" s="227"/>
      <c r="TUK1721" s="227"/>
      <c r="TUL1721" s="227"/>
      <c r="TUM1721" s="227"/>
      <c r="TUN1721" s="227"/>
      <c r="TUO1721" s="227"/>
      <c r="TUP1721" s="227"/>
      <c r="TUQ1721" s="227"/>
      <c r="TUR1721" s="227"/>
      <c r="TUS1721" s="227"/>
      <c r="TUT1721" s="227"/>
      <c r="TUU1721" s="227"/>
      <c r="TUV1721" s="227"/>
      <c r="TUW1721" s="227"/>
      <c r="TUX1721" s="227"/>
      <c r="TUY1721" s="227"/>
      <c r="TUZ1721" s="227"/>
      <c r="TVA1721" s="227"/>
      <c r="TVB1721" s="227"/>
      <c r="TVC1721" s="227"/>
      <c r="TVD1721" s="227"/>
      <c r="TVE1721" s="227"/>
      <c r="TVF1721" s="227"/>
      <c r="TVG1721" s="227"/>
      <c r="TVH1721" s="227"/>
      <c r="TVI1721" s="227"/>
      <c r="TVJ1721" s="227"/>
      <c r="TVK1721" s="227"/>
      <c r="TVL1721" s="227"/>
      <c r="TVM1721" s="227"/>
      <c r="TVN1721" s="227"/>
      <c r="TVO1721" s="227"/>
      <c r="TVP1721" s="227"/>
      <c r="TVQ1721" s="227"/>
      <c r="TVR1721" s="227"/>
      <c r="TVS1721" s="227"/>
      <c r="TVT1721" s="227"/>
      <c r="TVU1721" s="227"/>
      <c r="TVV1721" s="227"/>
      <c r="TVW1721" s="227"/>
      <c r="TVX1721" s="227"/>
      <c r="TVY1721" s="227"/>
      <c r="TVZ1721" s="227"/>
      <c r="TWA1721" s="227"/>
      <c r="TWB1721" s="227"/>
      <c r="TWC1721" s="227"/>
      <c r="TWD1721" s="227"/>
      <c r="TWE1721" s="227"/>
      <c r="TWF1721" s="227"/>
      <c r="TWG1721" s="227"/>
      <c r="TWH1721" s="227"/>
      <c r="TWI1721" s="227"/>
      <c r="TWJ1721" s="227"/>
      <c r="TWK1721" s="227"/>
      <c r="TWL1721" s="227"/>
      <c r="TWM1721" s="227"/>
      <c r="TWN1721" s="227"/>
      <c r="TWO1721" s="227"/>
      <c r="TWP1721" s="227"/>
      <c r="TWQ1721" s="227"/>
      <c r="TWR1721" s="227"/>
      <c r="TWS1721" s="227"/>
      <c r="TWT1721" s="227"/>
      <c r="TWU1721" s="227"/>
      <c r="TWV1721" s="227"/>
      <c r="TWW1721" s="227"/>
      <c r="TWX1721" s="227"/>
      <c r="TWY1721" s="227"/>
      <c r="TWZ1721" s="227"/>
      <c r="TXA1721" s="227"/>
      <c r="TXB1721" s="227"/>
      <c r="TXC1721" s="227"/>
      <c r="TXD1721" s="227"/>
      <c r="TXE1721" s="227"/>
      <c r="TXF1721" s="227"/>
      <c r="TXG1721" s="227"/>
      <c r="TXH1721" s="227"/>
      <c r="TXI1721" s="227"/>
      <c r="TXJ1721" s="227"/>
      <c r="TXK1721" s="227"/>
      <c r="TXL1721" s="227"/>
      <c r="TXM1721" s="227"/>
      <c r="TXN1721" s="227"/>
      <c r="TXO1721" s="227"/>
      <c r="TXP1721" s="227"/>
      <c r="TXQ1721" s="227"/>
      <c r="TXR1721" s="227"/>
      <c r="TXS1721" s="227"/>
      <c r="TXT1721" s="227"/>
      <c r="TXU1721" s="227"/>
      <c r="TXV1721" s="227"/>
      <c r="TXW1721" s="227"/>
      <c r="TXX1721" s="227"/>
      <c r="TXY1721" s="227"/>
      <c r="TXZ1721" s="227"/>
      <c r="TYA1721" s="227"/>
      <c r="TYB1721" s="227"/>
      <c r="TYC1721" s="227"/>
      <c r="TYD1721" s="227"/>
      <c r="TYE1721" s="227"/>
      <c r="TYF1721" s="227"/>
      <c r="TYG1721" s="227"/>
      <c r="TYH1721" s="227"/>
      <c r="TYI1721" s="227"/>
      <c r="TYJ1721" s="227"/>
      <c r="TYK1721" s="227"/>
      <c r="TYL1721" s="227"/>
      <c r="TYM1721" s="227"/>
      <c r="TYN1721" s="227"/>
      <c r="TYO1721" s="227"/>
      <c r="TYP1721" s="227"/>
      <c r="TYQ1721" s="227"/>
      <c r="TYR1721" s="227"/>
      <c r="TYS1721" s="227"/>
      <c r="TYT1721" s="227"/>
      <c r="TYU1721" s="227"/>
      <c r="TYV1721" s="227"/>
      <c r="TYW1721" s="227"/>
      <c r="TYX1721" s="227"/>
      <c r="TYY1721" s="227"/>
      <c r="TYZ1721" s="227"/>
      <c r="TZA1721" s="227"/>
      <c r="TZB1721" s="227"/>
      <c r="TZC1721" s="227"/>
      <c r="TZD1721" s="227"/>
      <c r="TZE1721" s="227"/>
      <c r="TZF1721" s="227"/>
      <c r="TZG1721" s="227"/>
      <c r="TZH1721" s="227"/>
      <c r="TZI1721" s="227"/>
      <c r="TZJ1721" s="227"/>
      <c r="TZK1721" s="227"/>
      <c r="TZL1721" s="227"/>
      <c r="TZM1721" s="227"/>
      <c r="TZN1721" s="227"/>
      <c r="TZO1721" s="227"/>
      <c r="TZP1721" s="227"/>
      <c r="TZQ1721" s="227"/>
      <c r="TZR1721" s="227"/>
      <c r="TZS1721" s="227"/>
      <c r="TZT1721" s="227"/>
      <c r="TZU1721" s="227"/>
      <c r="TZV1721" s="227"/>
      <c r="TZW1721" s="227"/>
      <c r="TZX1721" s="227"/>
      <c r="TZY1721" s="227"/>
      <c r="TZZ1721" s="227"/>
      <c r="UAA1721" s="227"/>
      <c r="UAB1721" s="227"/>
      <c r="UAC1721" s="227"/>
      <c r="UAD1721" s="227"/>
      <c r="UAE1721" s="227"/>
      <c r="UAF1721" s="227"/>
      <c r="UAG1721" s="227"/>
      <c r="UAH1721" s="227"/>
      <c r="UAI1721" s="227"/>
      <c r="UAJ1721" s="227"/>
      <c r="UAK1721" s="227"/>
      <c r="UAL1721" s="227"/>
      <c r="UAM1721" s="227"/>
      <c r="UAN1721" s="227"/>
      <c r="UAO1721" s="227"/>
      <c r="UAP1721" s="227"/>
      <c r="UAQ1721" s="227"/>
      <c r="UAR1721" s="227"/>
      <c r="UAS1721" s="227"/>
      <c r="UAT1721" s="227"/>
      <c r="UAU1721" s="227"/>
      <c r="UAV1721" s="227"/>
      <c r="UAW1721" s="227"/>
      <c r="UAX1721" s="227"/>
      <c r="UAY1721" s="227"/>
      <c r="UAZ1721" s="227"/>
      <c r="UBA1721" s="227"/>
      <c r="UBB1721" s="227"/>
      <c r="UBC1721" s="227"/>
      <c r="UBD1721" s="227"/>
      <c r="UBE1721" s="227"/>
      <c r="UBF1721" s="227"/>
      <c r="UBG1721" s="227"/>
      <c r="UBH1721" s="227"/>
      <c r="UBI1721" s="227"/>
      <c r="UBJ1721" s="227"/>
      <c r="UBK1721" s="227"/>
      <c r="UBL1721" s="227"/>
      <c r="UBM1721" s="227"/>
      <c r="UBN1721" s="227"/>
      <c r="UBO1721" s="227"/>
      <c r="UBP1721" s="227"/>
      <c r="UBQ1721" s="227"/>
      <c r="UBR1721" s="227"/>
      <c r="UBS1721" s="227"/>
      <c r="UBT1721" s="227"/>
      <c r="UBU1721" s="227"/>
      <c r="UBV1721" s="227"/>
      <c r="UBW1721" s="227"/>
      <c r="UBX1721" s="227"/>
      <c r="UBY1721" s="227"/>
      <c r="UBZ1721" s="227"/>
      <c r="UCA1721" s="227"/>
      <c r="UCB1721" s="227"/>
      <c r="UCC1721" s="227"/>
      <c r="UCD1721" s="227"/>
      <c r="UCE1721" s="227"/>
      <c r="UCF1721" s="227"/>
      <c r="UCG1721" s="227"/>
      <c r="UCH1721" s="227"/>
      <c r="UCI1721" s="227"/>
      <c r="UCJ1721" s="227"/>
      <c r="UCK1721" s="227"/>
      <c r="UCL1721" s="227"/>
      <c r="UCM1721" s="227"/>
      <c r="UCN1721" s="227"/>
      <c r="UCO1721" s="227"/>
      <c r="UCP1721" s="227"/>
      <c r="UCQ1721" s="227"/>
      <c r="UCR1721" s="227"/>
      <c r="UCS1721" s="227"/>
      <c r="UCT1721" s="227"/>
      <c r="UCU1721" s="227"/>
      <c r="UCV1721" s="227"/>
      <c r="UCW1721" s="227"/>
      <c r="UCX1721" s="227"/>
      <c r="UCY1721" s="227"/>
      <c r="UCZ1721" s="227"/>
      <c r="UDA1721" s="227"/>
      <c r="UDB1721" s="227"/>
      <c r="UDC1721" s="227"/>
      <c r="UDD1721" s="227"/>
      <c r="UDE1721" s="227"/>
      <c r="UDF1721" s="227"/>
      <c r="UDG1721" s="227"/>
      <c r="UDH1721" s="227"/>
      <c r="UDI1721" s="227"/>
      <c r="UDJ1721" s="227"/>
      <c r="UDK1721" s="227"/>
      <c r="UDL1721" s="227"/>
      <c r="UDM1721" s="227"/>
      <c r="UDN1721" s="227"/>
      <c r="UDO1721" s="227"/>
      <c r="UDP1721" s="227"/>
      <c r="UDQ1721" s="227"/>
      <c r="UDR1721" s="227"/>
      <c r="UDS1721" s="227"/>
      <c r="UDT1721" s="227"/>
      <c r="UDU1721" s="227"/>
      <c r="UDV1721" s="227"/>
      <c r="UDW1721" s="227"/>
      <c r="UDX1721" s="227"/>
      <c r="UDY1721" s="227"/>
      <c r="UDZ1721" s="227"/>
      <c r="UEA1721" s="227"/>
      <c r="UEB1721" s="227"/>
      <c r="UEC1721" s="227"/>
      <c r="UED1721" s="227"/>
      <c r="UEE1721" s="227"/>
      <c r="UEF1721" s="227"/>
      <c r="UEG1721" s="227"/>
      <c r="UEH1721" s="227"/>
      <c r="UEI1721" s="227"/>
      <c r="UEJ1721" s="227"/>
      <c r="UEK1721" s="227"/>
      <c r="UEL1721" s="227"/>
      <c r="UEM1721" s="227"/>
      <c r="UEN1721" s="227"/>
      <c r="UEO1721" s="227"/>
      <c r="UEP1721" s="227"/>
      <c r="UEQ1721" s="227"/>
      <c r="UER1721" s="227"/>
      <c r="UES1721" s="227"/>
      <c r="UET1721" s="227"/>
      <c r="UEU1721" s="227"/>
      <c r="UEV1721" s="227"/>
      <c r="UEW1721" s="227"/>
      <c r="UEX1721" s="227"/>
      <c r="UEY1721" s="227"/>
      <c r="UEZ1721" s="227"/>
      <c r="UFA1721" s="227"/>
      <c r="UFB1721" s="227"/>
      <c r="UFC1721" s="227"/>
      <c r="UFD1721" s="227"/>
      <c r="UFE1721" s="227"/>
      <c r="UFF1721" s="227"/>
      <c r="UFG1721" s="227"/>
      <c r="UFH1721" s="227"/>
      <c r="UFI1721" s="227"/>
      <c r="UFJ1721" s="227"/>
      <c r="UFK1721" s="227"/>
      <c r="UFL1721" s="227"/>
      <c r="UFM1721" s="227"/>
      <c r="UFN1721" s="227"/>
      <c r="UFO1721" s="227"/>
      <c r="UFP1721" s="227"/>
      <c r="UFQ1721" s="227"/>
      <c r="UFR1721" s="227"/>
      <c r="UFS1721" s="227"/>
      <c r="UFT1721" s="227"/>
      <c r="UFU1721" s="227"/>
      <c r="UFV1721" s="227"/>
      <c r="UFW1721" s="227"/>
      <c r="UFX1721" s="227"/>
      <c r="UFY1721" s="227"/>
      <c r="UFZ1721" s="227"/>
      <c r="UGA1721" s="227"/>
      <c r="UGB1721" s="227"/>
      <c r="UGC1721" s="227"/>
      <c r="UGD1721" s="227"/>
      <c r="UGE1721" s="227"/>
      <c r="UGF1721" s="227"/>
      <c r="UGG1721" s="227"/>
      <c r="UGH1721" s="227"/>
      <c r="UGI1721" s="227"/>
      <c r="UGJ1721" s="227"/>
      <c r="UGK1721" s="227"/>
      <c r="UGL1721" s="227"/>
      <c r="UGM1721" s="227"/>
      <c r="UGN1721" s="227"/>
      <c r="UGO1721" s="227"/>
      <c r="UGP1721" s="227"/>
      <c r="UGQ1721" s="227"/>
      <c r="UGR1721" s="227"/>
      <c r="UGS1721" s="227"/>
      <c r="UGT1721" s="227"/>
      <c r="UGU1721" s="227"/>
      <c r="UGV1721" s="227"/>
      <c r="UGW1721" s="227"/>
      <c r="UGX1721" s="227"/>
      <c r="UGY1721" s="227"/>
      <c r="UGZ1721" s="227"/>
      <c r="UHA1721" s="227"/>
      <c r="UHB1721" s="227"/>
      <c r="UHC1721" s="227"/>
      <c r="UHD1721" s="227"/>
      <c r="UHE1721" s="227"/>
      <c r="UHF1721" s="227"/>
      <c r="UHG1721" s="227"/>
      <c r="UHH1721" s="227"/>
      <c r="UHI1721" s="227"/>
      <c r="UHJ1721" s="227"/>
      <c r="UHK1721" s="227"/>
      <c r="UHL1721" s="227"/>
      <c r="UHM1721" s="227"/>
      <c r="UHN1721" s="227"/>
      <c r="UHO1721" s="227"/>
      <c r="UHP1721" s="227"/>
      <c r="UHQ1721" s="227"/>
      <c r="UHR1721" s="227"/>
      <c r="UHS1721" s="227"/>
      <c r="UHT1721" s="227"/>
      <c r="UHU1721" s="227"/>
      <c r="UHV1721" s="227"/>
      <c r="UHW1721" s="227"/>
      <c r="UHX1721" s="227"/>
      <c r="UHY1721" s="227"/>
      <c r="UHZ1721" s="227"/>
      <c r="UIA1721" s="227"/>
      <c r="UIB1721" s="227"/>
      <c r="UIC1721" s="227"/>
      <c r="UID1721" s="227"/>
      <c r="UIE1721" s="227"/>
      <c r="UIF1721" s="227"/>
      <c r="UIG1721" s="227"/>
      <c r="UIH1721" s="227"/>
      <c r="UII1721" s="227"/>
      <c r="UIJ1721" s="227"/>
      <c r="UIK1721" s="227"/>
      <c r="UIL1721" s="227"/>
      <c r="UIM1721" s="227"/>
      <c r="UIN1721" s="227"/>
      <c r="UIO1721" s="227"/>
      <c r="UIP1721" s="227"/>
      <c r="UIQ1721" s="227"/>
      <c r="UIR1721" s="227"/>
      <c r="UIS1721" s="227"/>
      <c r="UIT1721" s="227"/>
      <c r="UIU1721" s="227"/>
      <c r="UIV1721" s="227"/>
      <c r="UIW1721" s="227"/>
      <c r="UIX1721" s="227"/>
      <c r="UIY1721" s="227"/>
      <c r="UIZ1721" s="227"/>
      <c r="UJA1721" s="227"/>
      <c r="UJB1721" s="227"/>
      <c r="UJC1721" s="227"/>
      <c r="UJD1721" s="227"/>
      <c r="UJE1721" s="227"/>
      <c r="UJF1721" s="227"/>
      <c r="UJG1721" s="227"/>
      <c r="UJH1721" s="227"/>
      <c r="UJI1721" s="227"/>
      <c r="UJJ1721" s="227"/>
      <c r="UJK1721" s="227"/>
      <c r="UJL1721" s="227"/>
      <c r="UJM1721" s="227"/>
      <c r="UJN1721" s="227"/>
      <c r="UJO1721" s="227"/>
      <c r="UJP1721" s="227"/>
      <c r="UJQ1721" s="227"/>
      <c r="UJR1721" s="227"/>
      <c r="UJS1721" s="227"/>
      <c r="UJT1721" s="227"/>
      <c r="UJU1721" s="227"/>
      <c r="UJV1721" s="227"/>
      <c r="UJW1721" s="227"/>
      <c r="UJX1721" s="227"/>
      <c r="UJY1721" s="227"/>
      <c r="UJZ1721" s="227"/>
      <c r="UKA1721" s="227"/>
      <c r="UKB1721" s="227"/>
      <c r="UKC1721" s="227"/>
      <c r="UKD1721" s="227"/>
      <c r="UKE1721" s="227"/>
      <c r="UKF1721" s="227"/>
      <c r="UKG1721" s="227"/>
      <c r="UKH1721" s="227"/>
      <c r="UKI1721" s="227"/>
      <c r="UKJ1721" s="227"/>
      <c r="UKK1721" s="227"/>
      <c r="UKL1721" s="227"/>
      <c r="UKM1721" s="227"/>
      <c r="UKN1721" s="227"/>
      <c r="UKO1721" s="227"/>
      <c r="UKP1721" s="227"/>
      <c r="UKQ1721" s="227"/>
      <c r="UKR1721" s="227"/>
      <c r="UKS1721" s="227"/>
      <c r="UKT1721" s="227"/>
      <c r="UKU1721" s="227"/>
      <c r="UKV1721" s="227"/>
      <c r="UKW1721" s="227"/>
      <c r="UKX1721" s="227"/>
      <c r="UKY1721" s="227"/>
      <c r="UKZ1721" s="227"/>
      <c r="ULA1721" s="227"/>
      <c r="ULB1721" s="227"/>
      <c r="ULC1721" s="227"/>
      <c r="ULD1721" s="227"/>
      <c r="ULE1721" s="227"/>
      <c r="ULF1721" s="227"/>
      <c r="ULG1721" s="227"/>
      <c r="ULH1721" s="227"/>
      <c r="ULI1721" s="227"/>
      <c r="ULJ1721" s="227"/>
      <c r="ULK1721" s="227"/>
      <c r="ULL1721" s="227"/>
      <c r="ULM1721" s="227"/>
      <c r="ULN1721" s="227"/>
      <c r="ULO1721" s="227"/>
      <c r="ULP1721" s="227"/>
      <c r="ULQ1721" s="227"/>
      <c r="ULR1721" s="227"/>
      <c r="ULS1721" s="227"/>
      <c r="ULT1721" s="227"/>
      <c r="ULU1721" s="227"/>
      <c r="ULV1721" s="227"/>
      <c r="ULW1721" s="227"/>
      <c r="ULX1721" s="227"/>
      <c r="ULY1721" s="227"/>
      <c r="ULZ1721" s="227"/>
      <c r="UMA1721" s="227"/>
      <c r="UMB1721" s="227"/>
      <c r="UMC1721" s="227"/>
      <c r="UMD1721" s="227"/>
      <c r="UME1721" s="227"/>
      <c r="UMF1721" s="227"/>
      <c r="UMG1721" s="227"/>
      <c r="UMH1721" s="227"/>
      <c r="UMI1721" s="227"/>
      <c r="UMJ1721" s="227"/>
      <c r="UMK1721" s="227"/>
      <c r="UML1721" s="227"/>
      <c r="UMM1721" s="227"/>
      <c r="UMN1721" s="227"/>
      <c r="UMO1721" s="227"/>
      <c r="UMP1721" s="227"/>
      <c r="UMQ1721" s="227"/>
      <c r="UMR1721" s="227"/>
      <c r="UMS1721" s="227"/>
      <c r="UMT1721" s="227"/>
      <c r="UMU1721" s="227"/>
      <c r="UMV1721" s="227"/>
      <c r="UMW1721" s="227"/>
      <c r="UMX1721" s="227"/>
      <c r="UMY1721" s="227"/>
      <c r="UMZ1721" s="227"/>
      <c r="UNA1721" s="227"/>
      <c r="UNB1721" s="227"/>
      <c r="UNC1721" s="227"/>
      <c r="UND1721" s="227"/>
      <c r="UNE1721" s="227"/>
      <c r="UNF1721" s="227"/>
      <c r="UNG1721" s="227"/>
      <c r="UNH1721" s="227"/>
      <c r="UNI1721" s="227"/>
      <c r="UNJ1721" s="227"/>
      <c r="UNK1721" s="227"/>
      <c r="UNL1721" s="227"/>
      <c r="UNM1721" s="227"/>
      <c r="UNN1721" s="227"/>
      <c r="UNO1721" s="227"/>
      <c r="UNP1721" s="227"/>
      <c r="UNQ1721" s="227"/>
      <c r="UNR1721" s="227"/>
      <c r="UNS1721" s="227"/>
      <c r="UNT1721" s="227"/>
      <c r="UNU1721" s="227"/>
      <c r="UNV1721" s="227"/>
      <c r="UNW1721" s="227"/>
      <c r="UNX1721" s="227"/>
      <c r="UNY1721" s="227"/>
      <c r="UNZ1721" s="227"/>
      <c r="UOA1721" s="227"/>
      <c r="UOB1721" s="227"/>
      <c r="UOC1721" s="227"/>
      <c r="UOD1721" s="227"/>
      <c r="UOE1721" s="227"/>
      <c r="UOF1721" s="227"/>
      <c r="UOG1721" s="227"/>
      <c r="UOH1721" s="227"/>
      <c r="UOI1721" s="227"/>
      <c r="UOJ1721" s="227"/>
      <c r="UOK1721" s="227"/>
      <c r="UOL1721" s="227"/>
      <c r="UOM1721" s="227"/>
      <c r="UON1721" s="227"/>
      <c r="UOO1721" s="227"/>
      <c r="UOP1721" s="227"/>
      <c r="UOQ1721" s="227"/>
      <c r="UOR1721" s="227"/>
      <c r="UOS1721" s="227"/>
      <c r="UOT1721" s="227"/>
      <c r="UOU1721" s="227"/>
      <c r="UOV1721" s="227"/>
      <c r="UOW1721" s="227"/>
      <c r="UOX1721" s="227"/>
      <c r="UOY1721" s="227"/>
      <c r="UOZ1721" s="227"/>
      <c r="UPA1721" s="227"/>
      <c r="UPB1721" s="227"/>
      <c r="UPC1721" s="227"/>
      <c r="UPD1721" s="227"/>
      <c r="UPE1721" s="227"/>
      <c r="UPF1721" s="227"/>
      <c r="UPG1721" s="227"/>
      <c r="UPH1721" s="227"/>
      <c r="UPI1721" s="227"/>
      <c r="UPJ1721" s="227"/>
      <c r="UPK1721" s="227"/>
      <c r="UPL1721" s="227"/>
      <c r="UPM1721" s="227"/>
      <c r="UPN1721" s="227"/>
      <c r="UPO1721" s="227"/>
      <c r="UPP1721" s="227"/>
      <c r="UPQ1721" s="227"/>
      <c r="UPR1721" s="227"/>
      <c r="UPS1721" s="227"/>
      <c r="UPT1721" s="227"/>
      <c r="UPU1721" s="227"/>
      <c r="UPV1721" s="227"/>
      <c r="UPW1721" s="227"/>
      <c r="UPX1721" s="227"/>
      <c r="UPY1721" s="227"/>
      <c r="UPZ1721" s="227"/>
      <c r="UQA1721" s="227"/>
      <c r="UQB1721" s="227"/>
      <c r="UQC1721" s="227"/>
      <c r="UQD1721" s="227"/>
      <c r="UQE1721" s="227"/>
      <c r="UQF1721" s="227"/>
      <c r="UQG1721" s="227"/>
      <c r="UQH1721" s="227"/>
      <c r="UQI1721" s="227"/>
      <c r="UQJ1721" s="227"/>
      <c r="UQK1721" s="227"/>
      <c r="UQL1721" s="227"/>
      <c r="UQM1721" s="227"/>
      <c r="UQN1721" s="227"/>
      <c r="UQO1721" s="227"/>
      <c r="UQP1721" s="227"/>
      <c r="UQQ1721" s="227"/>
      <c r="UQR1721" s="227"/>
      <c r="UQS1721" s="227"/>
      <c r="UQT1721" s="227"/>
      <c r="UQU1721" s="227"/>
      <c r="UQV1721" s="227"/>
      <c r="UQW1721" s="227"/>
      <c r="UQX1721" s="227"/>
      <c r="UQY1721" s="227"/>
      <c r="UQZ1721" s="227"/>
      <c r="URA1721" s="227"/>
      <c r="URB1721" s="227"/>
      <c r="URC1721" s="227"/>
      <c r="URD1721" s="227"/>
      <c r="URE1721" s="227"/>
      <c r="URF1721" s="227"/>
      <c r="URG1721" s="227"/>
      <c r="URH1721" s="227"/>
      <c r="URI1721" s="227"/>
      <c r="URJ1721" s="227"/>
      <c r="URK1721" s="227"/>
      <c r="URL1721" s="227"/>
      <c r="URM1721" s="227"/>
      <c r="URN1721" s="227"/>
      <c r="URO1721" s="227"/>
      <c r="URP1721" s="227"/>
      <c r="URQ1721" s="227"/>
      <c r="URR1721" s="227"/>
      <c r="URS1721" s="227"/>
      <c r="URT1721" s="227"/>
      <c r="URU1721" s="227"/>
      <c r="URV1721" s="227"/>
      <c r="URW1721" s="227"/>
      <c r="URX1721" s="227"/>
      <c r="URY1721" s="227"/>
      <c r="URZ1721" s="227"/>
      <c r="USA1721" s="227"/>
      <c r="USB1721" s="227"/>
      <c r="USC1721" s="227"/>
      <c r="USD1721" s="227"/>
      <c r="USE1721" s="227"/>
      <c r="USF1721" s="227"/>
      <c r="USG1721" s="227"/>
      <c r="USH1721" s="227"/>
      <c r="USI1721" s="227"/>
      <c r="USJ1721" s="227"/>
      <c r="USK1721" s="227"/>
      <c r="USL1721" s="227"/>
      <c r="USM1721" s="227"/>
      <c r="USN1721" s="227"/>
      <c r="USO1721" s="227"/>
      <c r="USP1721" s="227"/>
      <c r="USQ1721" s="227"/>
      <c r="USR1721" s="227"/>
      <c r="USS1721" s="227"/>
      <c r="UST1721" s="227"/>
      <c r="USU1721" s="227"/>
      <c r="USV1721" s="227"/>
      <c r="USW1721" s="227"/>
      <c r="USX1721" s="227"/>
      <c r="USY1721" s="227"/>
      <c r="USZ1721" s="227"/>
      <c r="UTA1721" s="227"/>
      <c r="UTB1721" s="227"/>
      <c r="UTC1721" s="227"/>
      <c r="UTD1721" s="227"/>
      <c r="UTE1721" s="227"/>
      <c r="UTF1721" s="227"/>
      <c r="UTG1721" s="227"/>
      <c r="UTH1721" s="227"/>
      <c r="UTI1721" s="227"/>
      <c r="UTJ1721" s="227"/>
      <c r="UTK1721" s="227"/>
      <c r="UTL1721" s="227"/>
      <c r="UTM1721" s="227"/>
      <c r="UTN1721" s="227"/>
      <c r="UTO1721" s="227"/>
      <c r="UTP1721" s="227"/>
      <c r="UTQ1721" s="227"/>
      <c r="UTR1721" s="227"/>
      <c r="UTS1721" s="227"/>
      <c r="UTT1721" s="227"/>
      <c r="UTU1721" s="227"/>
      <c r="UTV1721" s="227"/>
      <c r="UTW1721" s="227"/>
      <c r="UTX1721" s="227"/>
      <c r="UTY1721" s="227"/>
      <c r="UTZ1721" s="227"/>
      <c r="UUA1721" s="227"/>
      <c r="UUB1721" s="227"/>
      <c r="UUC1721" s="227"/>
      <c r="UUD1721" s="227"/>
      <c r="UUE1721" s="227"/>
      <c r="UUF1721" s="227"/>
      <c r="UUG1721" s="227"/>
      <c r="UUH1721" s="227"/>
      <c r="UUI1721" s="227"/>
      <c r="UUJ1721" s="227"/>
      <c r="UUK1721" s="227"/>
      <c r="UUL1721" s="227"/>
      <c r="UUM1721" s="227"/>
      <c r="UUN1721" s="227"/>
      <c r="UUO1721" s="227"/>
      <c r="UUP1721" s="227"/>
      <c r="UUQ1721" s="227"/>
      <c r="UUR1721" s="227"/>
      <c r="UUS1721" s="227"/>
      <c r="UUT1721" s="227"/>
      <c r="UUU1721" s="227"/>
      <c r="UUV1721" s="227"/>
      <c r="UUW1721" s="227"/>
      <c r="UUX1721" s="227"/>
      <c r="UUY1721" s="227"/>
      <c r="UUZ1721" s="227"/>
      <c r="UVA1721" s="227"/>
      <c r="UVB1721" s="227"/>
      <c r="UVC1721" s="227"/>
      <c r="UVD1721" s="227"/>
      <c r="UVE1721" s="227"/>
      <c r="UVF1721" s="227"/>
      <c r="UVG1721" s="227"/>
      <c r="UVH1721" s="227"/>
      <c r="UVI1721" s="227"/>
      <c r="UVJ1721" s="227"/>
      <c r="UVK1721" s="227"/>
      <c r="UVL1721" s="227"/>
      <c r="UVM1721" s="227"/>
      <c r="UVN1721" s="227"/>
      <c r="UVO1721" s="227"/>
      <c r="UVP1721" s="227"/>
      <c r="UVQ1721" s="227"/>
      <c r="UVR1721" s="227"/>
      <c r="UVS1721" s="227"/>
      <c r="UVT1721" s="227"/>
      <c r="UVU1721" s="227"/>
      <c r="UVV1721" s="227"/>
      <c r="UVW1721" s="227"/>
      <c r="UVX1721" s="227"/>
      <c r="UVY1721" s="227"/>
      <c r="UVZ1721" s="227"/>
      <c r="UWA1721" s="227"/>
      <c r="UWB1721" s="227"/>
      <c r="UWC1721" s="227"/>
      <c r="UWD1721" s="227"/>
      <c r="UWE1721" s="227"/>
      <c r="UWF1721" s="227"/>
      <c r="UWG1721" s="227"/>
      <c r="UWH1721" s="227"/>
      <c r="UWI1721" s="227"/>
      <c r="UWJ1721" s="227"/>
      <c r="UWK1721" s="227"/>
      <c r="UWL1721" s="227"/>
      <c r="UWM1721" s="227"/>
      <c r="UWN1721" s="227"/>
      <c r="UWO1721" s="227"/>
      <c r="UWP1721" s="227"/>
      <c r="UWQ1721" s="227"/>
      <c r="UWR1721" s="227"/>
      <c r="UWS1721" s="227"/>
      <c r="UWT1721" s="227"/>
      <c r="UWU1721" s="227"/>
      <c r="UWV1721" s="227"/>
      <c r="UWW1721" s="227"/>
      <c r="UWX1721" s="227"/>
      <c r="UWY1721" s="227"/>
      <c r="UWZ1721" s="227"/>
      <c r="UXA1721" s="227"/>
      <c r="UXB1721" s="227"/>
      <c r="UXC1721" s="227"/>
      <c r="UXD1721" s="227"/>
      <c r="UXE1721" s="227"/>
      <c r="UXF1721" s="227"/>
      <c r="UXG1721" s="227"/>
      <c r="UXH1721" s="227"/>
      <c r="UXI1721" s="227"/>
      <c r="UXJ1721" s="227"/>
      <c r="UXK1721" s="227"/>
      <c r="UXL1721" s="227"/>
      <c r="UXM1721" s="227"/>
      <c r="UXN1721" s="227"/>
      <c r="UXO1721" s="227"/>
      <c r="UXP1721" s="227"/>
      <c r="UXQ1721" s="227"/>
      <c r="UXR1721" s="227"/>
      <c r="UXS1721" s="227"/>
      <c r="UXT1721" s="227"/>
      <c r="UXU1721" s="227"/>
      <c r="UXV1721" s="227"/>
      <c r="UXW1721" s="227"/>
      <c r="UXX1721" s="227"/>
      <c r="UXY1721" s="227"/>
      <c r="UXZ1721" s="227"/>
      <c r="UYA1721" s="227"/>
      <c r="UYB1721" s="227"/>
      <c r="UYC1721" s="227"/>
      <c r="UYD1721" s="227"/>
      <c r="UYE1721" s="227"/>
      <c r="UYF1721" s="227"/>
      <c r="UYG1721" s="227"/>
      <c r="UYH1721" s="227"/>
      <c r="UYI1721" s="227"/>
      <c r="UYJ1721" s="227"/>
      <c r="UYK1721" s="227"/>
      <c r="UYL1721" s="227"/>
      <c r="UYM1721" s="227"/>
      <c r="UYN1721" s="227"/>
      <c r="UYO1721" s="227"/>
      <c r="UYP1721" s="227"/>
      <c r="UYQ1721" s="227"/>
      <c r="UYR1721" s="227"/>
      <c r="UYS1721" s="227"/>
      <c r="UYT1721" s="227"/>
      <c r="UYU1721" s="227"/>
      <c r="UYV1721" s="227"/>
      <c r="UYW1721" s="227"/>
      <c r="UYX1721" s="227"/>
      <c r="UYY1721" s="227"/>
      <c r="UYZ1721" s="227"/>
      <c r="UZA1721" s="227"/>
      <c r="UZB1721" s="227"/>
      <c r="UZC1721" s="227"/>
      <c r="UZD1721" s="227"/>
      <c r="UZE1721" s="227"/>
      <c r="UZF1721" s="227"/>
      <c r="UZG1721" s="227"/>
      <c r="UZH1721" s="227"/>
      <c r="UZI1721" s="227"/>
      <c r="UZJ1721" s="227"/>
      <c r="UZK1721" s="227"/>
      <c r="UZL1721" s="227"/>
      <c r="UZM1721" s="227"/>
      <c r="UZN1721" s="227"/>
      <c r="UZO1721" s="227"/>
      <c r="UZP1721" s="227"/>
      <c r="UZQ1721" s="227"/>
      <c r="UZR1721" s="227"/>
      <c r="UZS1721" s="227"/>
      <c r="UZT1721" s="227"/>
      <c r="UZU1721" s="227"/>
      <c r="UZV1721" s="227"/>
      <c r="UZW1721" s="227"/>
      <c r="UZX1721" s="227"/>
      <c r="UZY1721" s="227"/>
      <c r="UZZ1721" s="227"/>
      <c r="VAA1721" s="227"/>
      <c r="VAB1721" s="227"/>
      <c r="VAC1721" s="227"/>
      <c r="VAD1721" s="227"/>
      <c r="VAE1721" s="227"/>
      <c r="VAF1721" s="227"/>
      <c r="VAG1721" s="227"/>
      <c r="VAH1721" s="227"/>
      <c r="VAI1721" s="227"/>
      <c r="VAJ1721" s="227"/>
      <c r="VAK1721" s="227"/>
      <c r="VAL1721" s="227"/>
      <c r="VAM1721" s="227"/>
      <c r="VAN1721" s="227"/>
      <c r="VAO1721" s="227"/>
      <c r="VAP1721" s="227"/>
      <c r="VAQ1721" s="227"/>
      <c r="VAR1721" s="227"/>
      <c r="VAS1721" s="227"/>
      <c r="VAT1721" s="227"/>
      <c r="VAU1721" s="227"/>
      <c r="VAV1721" s="227"/>
      <c r="VAW1721" s="227"/>
      <c r="VAX1721" s="227"/>
      <c r="VAY1721" s="227"/>
      <c r="VAZ1721" s="227"/>
      <c r="VBA1721" s="227"/>
      <c r="VBB1721" s="227"/>
      <c r="VBC1721" s="227"/>
      <c r="VBD1721" s="227"/>
      <c r="VBE1721" s="227"/>
      <c r="VBF1721" s="227"/>
      <c r="VBG1721" s="227"/>
      <c r="VBH1721" s="227"/>
      <c r="VBI1721" s="227"/>
      <c r="VBJ1721" s="227"/>
      <c r="VBK1721" s="227"/>
      <c r="VBL1721" s="227"/>
      <c r="VBM1721" s="227"/>
      <c r="VBN1721" s="227"/>
      <c r="VBO1721" s="227"/>
      <c r="VBP1721" s="227"/>
      <c r="VBQ1721" s="227"/>
      <c r="VBR1721" s="227"/>
      <c r="VBS1721" s="227"/>
      <c r="VBT1721" s="227"/>
      <c r="VBU1721" s="227"/>
      <c r="VBV1721" s="227"/>
      <c r="VBW1721" s="227"/>
      <c r="VBX1721" s="227"/>
      <c r="VBY1721" s="227"/>
      <c r="VBZ1721" s="227"/>
      <c r="VCA1721" s="227"/>
      <c r="VCB1721" s="227"/>
      <c r="VCC1721" s="227"/>
      <c r="VCD1721" s="227"/>
      <c r="VCE1721" s="227"/>
      <c r="VCF1721" s="227"/>
      <c r="VCG1721" s="227"/>
      <c r="VCH1721" s="227"/>
      <c r="VCI1721" s="227"/>
      <c r="VCJ1721" s="227"/>
      <c r="VCK1721" s="227"/>
      <c r="VCL1721" s="227"/>
      <c r="VCM1721" s="227"/>
      <c r="VCN1721" s="227"/>
      <c r="VCO1721" s="227"/>
      <c r="VCP1721" s="227"/>
      <c r="VCQ1721" s="227"/>
      <c r="VCR1721" s="227"/>
      <c r="VCS1721" s="227"/>
      <c r="VCT1721" s="227"/>
      <c r="VCU1721" s="227"/>
      <c r="VCV1721" s="227"/>
      <c r="VCW1721" s="227"/>
      <c r="VCX1721" s="227"/>
      <c r="VCY1721" s="227"/>
      <c r="VCZ1721" s="227"/>
      <c r="VDA1721" s="227"/>
      <c r="VDB1721" s="227"/>
      <c r="VDC1721" s="227"/>
      <c r="VDD1721" s="227"/>
      <c r="VDE1721" s="227"/>
      <c r="VDF1721" s="227"/>
      <c r="VDG1721" s="227"/>
      <c r="VDH1721" s="227"/>
      <c r="VDI1721" s="227"/>
      <c r="VDJ1721" s="227"/>
      <c r="VDK1721" s="227"/>
      <c r="VDL1721" s="227"/>
      <c r="VDM1721" s="227"/>
      <c r="VDN1721" s="227"/>
      <c r="VDO1721" s="227"/>
      <c r="VDP1721" s="227"/>
      <c r="VDQ1721" s="227"/>
      <c r="VDR1721" s="227"/>
      <c r="VDS1721" s="227"/>
      <c r="VDT1721" s="227"/>
      <c r="VDU1721" s="227"/>
      <c r="VDV1721" s="227"/>
      <c r="VDW1721" s="227"/>
      <c r="VDX1721" s="227"/>
      <c r="VDY1721" s="227"/>
      <c r="VDZ1721" s="227"/>
      <c r="VEA1721" s="227"/>
      <c r="VEB1721" s="227"/>
      <c r="VEC1721" s="227"/>
      <c r="VED1721" s="227"/>
      <c r="VEE1721" s="227"/>
      <c r="VEF1721" s="227"/>
      <c r="VEG1721" s="227"/>
      <c r="VEH1721" s="227"/>
      <c r="VEI1721" s="227"/>
      <c r="VEJ1721" s="227"/>
      <c r="VEK1721" s="227"/>
      <c r="VEL1721" s="227"/>
      <c r="VEM1721" s="227"/>
      <c r="VEN1721" s="227"/>
      <c r="VEO1721" s="227"/>
      <c r="VEP1721" s="227"/>
      <c r="VEQ1721" s="227"/>
      <c r="VER1721" s="227"/>
      <c r="VES1721" s="227"/>
      <c r="VET1721" s="227"/>
      <c r="VEU1721" s="227"/>
      <c r="VEV1721" s="227"/>
      <c r="VEW1721" s="227"/>
      <c r="VEX1721" s="227"/>
      <c r="VEY1721" s="227"/>
      <c r="VEZ1721" s="227"/>
      <c r="VFA1721" s="227"/>
      <c r="VFB1721" s="227"/>
      <c r="VFC1721" s="227"/>
      <c r="VFD1721" s="227"/>
      <c r="VFE1721" s="227"/>
      <c r="VFF1721" s="227"/>
      <c r="VFG1721" s="227"/>
      <c r="VFH1721" s="227"/>
      <c r="VFI1721" s="227"/>
      <c r="VFJ1721" s="227"/>
      <c r="VFK1721" s="227"/>
      <c r="VFL1721" s="227"/>
      <c r="VFM1721" s="227"/>
      <c r="VFN1721" s="227"/>
      <c r="VFO1721" s="227"/>
      <c r="VFP1721" s="227"/>
      <c r="VFQ1721" s="227"/>
      <c r="VFR1721" s="227"/>
      <c r="VFS1721" s="227"/>
      <c r="VFT1721" s="227"/>
      <c r="VFU1721" s="227"/>
      <c r="VFV1721" s="227"/>
      <c r="VFW1721" s="227"/>
      <c r="VFX1721" s="227"/>
      <c r="VFY1721" s="227"/>
      <c r="VFZ1721" s="227"/>
      <c r="VGA1721" s="227"/>
      <c r="VGB1721" s="227"/>
      <c r="VGC1721" s="227"/>
      <c r="VGD1721" s="227"/>
      <c r="VGE1721" s="227"/>
      <c r="VGF1721" s="227"/>
      <c r="VGG1721" s="227"/>
      <c r="VGH1721" s="227"/>
      <c r="VGI1721" s="227"/>
      <c r="VGJ1721" s="227"/>
      <c r="VGK1721" s="227"/>
      <c r="VGL1721" s="227"/>
      <c r="VGM1721" s="227"/>
      <c r="VGN1721" s="227"/>
      <c r="VGO1721" s="227"/>
      <c r="VGP1721" s="227"/>
      <c r="VGQ1721" s="227"/>
      <c r="VGR1721" s="227"/>
      <c r="VGS1721" s="227"/>
      <c r="VGT1721" s="227"/>
      <c r="VGU1721" s="227"/>
      <c r="VGV1721" s="227"/>
      <c r="VGW1721" s="227"/>
      <c r="VGX1721" s="227"/>
      <c r="VGY1721" s="227"/>
      <c r="VGZ1721" s="227"/>
      <c r="VHA1721" s="227"/>
      <c r="VHB1721" s="227"/>
      <c r="VHC1721" s="227"/>
      <c r="VHD1721" s="227"/>
      <c r="VHE1721" s="227"/>
      <c r="VHF1721" s="227"/>
      <c r="VHG1721" s="227"/>
      <c r="VHH1721" s="227"/>
      <c r="VHI1721" s="227"/>
      <c r="VHJ1721" s="227"/>
      <c r="VHK1721" s="227"/>
      <c r="VHL1721" s="227"/>
      <c r="VHM1721" s="227"/>
      <c r="VHN1721" s="227"/>
      <c r="VHO1721" s="227"/>
      <c r="VHP1721" s="227"/>
      <c r="VHQ1721" s="227"/>
      <c r="VHR1721" s="227"/>
      <c r="VHS1721" s="227"/>
      <c r="VHT1721" s="227"/>
      <c r="VHU1721" s="227"/>
      <c r="VHV1721" s="227"/>
      <c r="VHW1721" s="227"/>
      <c r="VHX1721" s="227"/>
      <c r="VHY1721" s="227"/>
      <c r="VHZ1721" s="227"/>
      <c r="VIA1721" s="227"/>
      <c r="VIB1721" s="227"/>
      <c r="VIC1721" s="227"/>
      <c r="VID1721" s="227"/>
      <c r="VIE1721" s="227"/>
      <c r="VIF1721" s="227"/>
      <c r="VIG1721" s="227"/>
      <c r="VIH1721" s="227"/>
      <c r="VII1721" s="227"/>
      <c r="VIJ1721" s="227"/>
      <c r="VIK1721" s="227"/>
      <c r="VIL1721" s="227"/>
      <c r="VIM1721" s="227"/>
      <c r="VIN1721" s="227"/>
      <c r="VIO1721" s="227"/>
      <c r="VIP1721" s="227"/>
      <c r="VIQ1721" s="227"/>
      <c r="VIR1721" s="227"/>
      <c r="VIS1721" s="227"/>
      <c r="VIT1721" s="227"/>
      <c r="VIU1721" s="227"/>
      <c r="VIV1721" s="227"/>
      <c r="VIW1721" s="227"/>
      <c r="VIX1721" s="227"/>
      <c r="VIY1721" s="227"/>
      <c r="VIZ1721" s="227"/>
      <c r="VJA1721" s="227"/>
      <c r="VJB1721" s="227"/>
      <c r="VJC1721" s="227"/>
      <c r="VJD1721" s="227"/>
      <c r="VJE1721" s="227"/>
      <c r="VJF1721" s="227"/>
      <c r="VJG1721" s="227"/>
      <c r="VJH1721" s="227"/>
      <c r="VJI1721" s="227"/>
      <c r="VJJ1721" s="227"/>
      <c r="VJK1721" s="227"/>
      <c r="VJL1721" s="227"/>
      <c r="VJM1721" s="227"/>
      <c r="VJN1721" s="227"/>
      <c r="VJO1721" s="227"/>
      <c r="VJP1721" s="227"/>
      <c r="VJQ1721" s="227"/>
      <c r="VJR1721" s="227"/>
      <c r="VJS1721" s="227"/>
      <c r="VJT1721" s="227"/>
      <c r="VJU1721" s="227"/>
      <c r="VJV1721" s="227"/>
      <c r="VJW1721" s="227"/>
      <c r="VJX1721" s="227"/>
      <c r="VJY1721" s="227"/>
      <c r="VJZ1721" s="227"/>
      <c r="VKA1721" s="227"/>
      <c r="VKB1721" s="227"/>
      <c r="VKC1721" s="227"/>
      <c r="VKD1721" s="227"/>
      <c r="VKE1721" s="227"/>
      <c r="VKF1721" s="227"/>
      <c r="VKG1721" s="227"/>
      <c r="VKH1721" s="227"/>
      <c r="VKI1721" s="227"/>
      <c r="VKJ1721" s="227"/>
      <c r="VKK1721" s="227"/>
      <c r="VKL1721" s="227"/>
      <c r="VKM1721" s="227"/>
      <c r="VKN1721" s="227"/>
      <c r="VKO1721" s="227"/>
      <c r="VKP1721" s="227"/>
      <c r="VKQ1721" s="227"/>
      <c r="VKR1721" s="227"/>
      <c r="VKS1721" s="227"/>
      <c r="VKT1721" s="227"/>
      <c r="VKU1721" s="227"/>
      <c r="VKV1721" s="227"/>
      <c r="VKW1721" s="227"/>
      <c r="VKX1721" s="227"/>
      <c r="VKY1721" s="227"/>
      <c r="VKZ1721" s="227"/>
      <c r="VLA1721" s="227"/>
      <c r="VLB1721" s="227"/>
      <c r="VLC1721" s="227"/>
      <c r="VLD1721" s="227"/>
      <c r="VLE1721" s="227"/>
      <c r="VLF1721" s="227"/>
      <c r="VLG1721" s="227"/>
      <c r="VLH1721" s="227"/>
      <c r="VLI1721" s="227"/>
      <c r="VLJ1721" s="227"/>
      <c r="VLK1721" s="227"/>
      <c r="VLL1721" s="227"/>
      <c r="VLM1721" s="227"/>
      <c r="VLN1721" s="227"/>
      <c r="VLO1721" s="227"/>
      <c r="VLP1721" s="227"/>
      <c r="VLQ1721" s="227"/>
      <c r="VLR1721" s="227"/>
      <c r="VLS1721" s="227"/>
      <c r="VLT1721" s="227"/>
      <c r="VLU1721" s="227"/>
      <c r="VLV1721" s="227"/>
      <c r="VLW1721" s="227"/>
      <c r="VLX1721" s="227"/>
      <c r="VLY1721" s="227"/>
      <c r="VLZ1721" s="227"/>
      <c r="VMA1721" s="227"/>
      <c r="VMB1721" s="227"/>
      <c r="VMC1721" s="227"/>
      <c r="VMD1721" s="227"/>
      <c r="VME1721" s="227"/>
      <c r="VMF1721" s="227"/>
      <c r="VMG1721" s="227"/>
      <c r="VMH1721" s="227"/>
      <c r="VMI1721" s="227"/>
      <c r="VMJ1721" s="227"/>
      <c r="VMK1721" s="227"/>
      <c r="VML1721" s="227"/>
      <c r="VMM1721" s="227"/>
      <c r="VMN1721" s="227"/>
      <c r="VMO1721" s="227"/>
      <c r="VMP1721" s="227"/>
      <c r="VMQ1721" s="227"/>
      <c r="VMR1721" s="227"/>
      <c r="VMS1721" s="227"/>
      <c r="VMT1721" s="227"/>
      <c r="VMU1721" s="227"/>
      <c r="VMV1721" s="227"/>
      <c r="VMW1721" s="227"/>
      <c r="VMX1721" s="227"/>
      <c r="VMY1721" s="227"/>
      <c r="VMZ1721" s="227"/>
      <c r="VNA1721" s="227"/>
      <c r="VNB1721" s="227"/>
      <c r="VNC1721" s="227"/>
      <c r="VND1721" s="227"/>
      <c r="VNE1721" s="227"/>
      <c r="VNF1721" s="227"/>
      <c r="VNG1721" s="227"/>
      <c r="VNH1721" s="227"/>
      <c r="VNI1721" s="227"/>
      <c r="VNJ1721" s="227"/>
      <c r="VNK1721" s="227"/>
      <c r="VNL1721" s="227"/>
      <c r="VNM1721" s="227"/>
      <c r="VNN1721" s="227"/>
      <c r="VNO1721" s="227"/>
      <c r="VNP1721" s="227"/>
      <c r="VNQ1721" s="227"/>
      <c r="VNR1721" s="227"/>
      <c r="VNS1721" s="227"/>
      <c r="VNT1721" s="227"/>
      <c r="VNU1721" s="227"/>
      <c r="VNV1721" s="227"/>
      <c r="VNW1721" s="227"/>
      <c r="VNX1721" s="227"/>
      <c r="VNY1721" s="227"/>
      <c r="VNZ1721" s="227"/>
      <c r="VOA1721" s="227"/>
      <c r="VOB1721" s="227"/>
      <c r="VOC1721" s="227"/>
      <c r="VOD1721" s="227"/>
      <c r="VOE1721" s="227"/>
      <c r="VOF1721" s="227"/>
      <c r="VOG1721" s="227"/>
      <c r="VOH1721" s="227"/>
      <c r="VOI1721" s="227"/>
      <c r="VOJ1721" s="227"/>
      <c r="VOK1721" s="227"/>
      <c r="VOL1721" s="227"/>
      <c r="VOM1721" s="227"/>
      <c r="VON1721" s="227"/>
      <c r="VOO1721" s="227"/>
      <c r="VOP1721" s="227"/>
      <c r="VOQ1721" s="227"/>
      <c r="VOR1721" s="227"/>
      <c r="VOS1721" s="227"/>
      <c r="VOT1721" s="227"/>
      <c r="VOU1721" s="227"/>
      <c r="VOV1721" s="227"/>
      <c r="VOW1721" s="227"/>
      <c r="VOX1721" s="227"/>
      <c r="VOY1721" s="227"/>
      <c r="VOZ1721" s="227"/>
      <c r="VPA1721" s="227"/>
      <c r="VPB1721" s="227"/>
      <c r="VPC1721" s="227"/>
      <c r="VPD1721" s="227"/>
      <c r="VPE1721" s="227"/>
      <c r="VPF1721" s="227"/>
      <c r="VPG1721" s="227"/>
      <c r="VPH1721" s="227"/>
      <c r="VPI1721" s="227"/>
      <c r="VPJ1721" s="227"/>
      <c r="VPK1721" s="227"/>
      <c r="VPL1721" s="227"/>
      <c r="VPM1721" s="227"/>
      <c r="VPN1721" s="227"/>
      <c r="VPO1721" s="227"/>
      <c r="VPP1721" s="227"/>
      <c r="VPQ1721" s="227"/>
      <c r="VPR1721" s="227"/>
      <c r="VPS1721" s="227"/>
      <c r="VPT1721" s="227"/>
      <c r="VPU1721" s="227"/>
      <c r="VPV1721" s="227"/>
      <c r="VPW1721" s="227"/>
      <c r="VPX1721" s="227"/>
      <c r="VPY1721" s="227"/>
      <c r="VPZ1721" s="227"/>
      <c r="VQA1721" s="227"/>
      <c r="VQB1721" s="227"/>
      <c r="VQC1721" s="227"/>
      <c r="VQD1721" s="227"/>
      <c r="VQE1721" s="227"/>
      <c r="VQF1721" s="227"/>
      <c r="VQG1721" s="227"/>
      <c r="VQH1721" s="227"/>
      <c r="VQI1721" s="227"/>
      <c r="VQJ1721" s="227"/>
      <c r="VQK1721" s="227"/>
      <c r="VQL1721" s="227"/>
      <c r="VQM1721" s="227"/>
      <c r="VQN1721" s="227"/>
      <c r="VQO1721" s="227"/>
      <c r="VQP1721" s="227"/>
      <c r="VQQ1721" s="227"/>
      <c r="VQR1721" s="227"/>
      <c r="VQS1721" s="227"/>
      <c r="VQT1721" s="227"/>
      <c r="VQU1721" s="227"/>
      <c r="VQV1721" s="227"/>
      <c r="VQW1721" s="227"/>
      <c r="VQX1721" s="227"/>
      <c r="VQY1721" s="227"/>
      <c r="VQZ1721" s="227"/>
      <c r="VRA1721" s="227"/>
      <c r="VRB1721" s="227"/>
      <c r="VRC1721" s="227"/>
      <c r="VRD1721" s="227"/>
      <c r="VRE1721" s="227"/>
      <c r="VRF1721" s="227"/>
      <c r="VRG1721" s="227"/>
      <c r="VRH1721" s="227"/>
      <c r="VRI1721" s="227"/>
      <c r="VRJ1721" s="227"/>
      <c r="VRK1721" s="227"/>
      <c r="VRL1721" s="227"/>
      <c r="VRM1721" s="227"/>
      <c r="VRN1721" s="227"/>
      <c r="VRO1721" s="227"/>
      <c r="VRP1721" s="227"/>
      <c r="VRQ1721" s="227"/>
      <c r="VRR1721" s="227"/>
      <c r="VRS1721" s="227"/>
      <c r="VRT1721" s="227"/>
      <c r="VRU1721" s="227"/>
      <c r="VRV1721" s="227"/>
      <c r="VRW1721" s="227"/>
      <c r="VRX1721" s="227"/>
      <c r="VRY1721" s="227"/>
      <c r="VRZ1721" s="227"/>
      <c r="VSA1721" s="227"/>
      <c r="VSB1721" s="227"/>
      <c r="VSC1721" s="227"/>
      <c r="VSD1721" s="227"/>
      <c r="VSE1721" s="227"/>
      <c r="VSF1721" s="227"/>
      <c r="VSG1721" s="227"/>
      <c r="VSH1721" s="227"/>
      <c r="VSI1721" s="227"/>
      <c r="VSJ1721" s="227"/>
      <c r="VSK1721" s="227"/>
      <c r="VSL1721" s="227"/>
      <c r="VSM1721" s="227"/>
      <c r="VSN1721" s="227"/>
      <c r="VSO1721" s="227"/>
      <c r="VSP1721" s="227"/>
      <c r="VSQ1721" s="227"/>
      <c r="VSR1721" s="227"/>
      <c r="VSS1721" s="227"/>
      <c r="VST1721" s="227"/>
      <c r="VSU1721" s="227"/>
      <c r="VSV1721" s="227"/>
      <c r="VSW1721" s="227"/>
      <c r="VSX1721" s="227"/>
      <c r="VSY1721" s="227"/>
      <c r="VSZ1721" s="227"/>
      <c r="VTA1721" s="227"/>
      <c r="VTB1721" s="227"/>
      <c r="VTC1721" s="227"/>
      <c r="VTD1721" s="227"/>
      <c r="VTE1721" s="227"/>
      <c r="VTF1721" s="227"/>
      <c r="VTG1721" s="227"/>
      <c r="VTH1721" s="227"/>
      <c r="VTI1721" s="227"/>
      <c r="VTJ1721" s="227"/>
      <c r="VTK1721" s="227"/>
      <c r="VTL1721" s="227"/>
      <c r="VTM1721" s="227"/>
      <c r="VTN1721" s="227"/>
      <c r="VTO1721" s="227"/>
      <c r="VTP1721" s="227"/>
      <c r="VTQ1721" s="227"/>
      <c r="VTR1721" s="227"/>
      <c r="VTS1721" s="227"/>
      <c r="VTT1721" s="227"/>
      <c r="VTU1721" s="227"/>
      <c r="VTV1721" s="227"/>
      <c r="VTW1721" s="227"/>
      <c r="VTX1721" s="227"/>
      <c r="VTY1721" s="227"/>
      <c r="VTZ1721" s="227"/>
      <c r="VUA1721" s="227"/>
      <c r="VUB1721" s="227"/>
      <c r="VUC1721" s="227"/>
      <c r="VUD1721" s="227"/>
      <c r="VUE1721" s="227"/>
      <c r="VUF1721" s="227"/>
      <c r="VUG1721" s="227"/>
      <c r="VUH1721" s="227"/>
      <c r="VUI1721" s="227"/>
      <c r="VUJ1721" s="227"/>
      <c r="VUK1721" s="227"/>
      <c r="VUL1721" s="227"/>
      <c r="VUM1721" s="227"/>
      <c r="VUN1721" s="227"/>
      <c r="VUO1721" s="227"/>
      <c r="VUP1721" s="227"/>
      <c r="VUQ1721" s="227"/>
      <c r="VUR1721" s="227"/>
      <c r="VUS1721" s="227"/>
      <c r="VUT1721" s="227"/>
      <c r="VUU1721" s="227"/>
      <c r="VUV1721" s="227"/>
      <c r="VUW1721" s="227"/>
      <c r="VUX1721" s="227"/>
      <c r="VUY1721" s="227"/>
      <c r="VUZ1721" s="227"/>
      <c r="VVA1721" s="227"/>
      <c r="VVB1721" s="227"/>
      <c r="VVC1721" s="227"/>
      <c r="VVD1721" s="227"/>
      <c r="VVE1721" s="227"/>
      <c r="VVF1721" s="227"/>
      <c r="VVG1721" s="227"/>
      <c r="VVH1721" s="227"/>
      <c r="VVI1721" s="227"/>
      <c r="VVJ1721" s="227"/>
      <c r="VVK1721" s="227"/>
      <c r="VVL1721" s="227"/>
      <c r="VVM1721" s="227"/>
      <c r="VVN1721" s="227"/>
      <c r="VVO1721" s="227"/>
      <c r="VVP1721" s="227"/>
      <c r="VVQ1721" s="227"/>
      <c r="VVR1721" s="227"/>
      <c r="VVS1721" s="227"/>
      <c r="VVT1721" s="227"/>
      <c r="VVU1721" s="227"/>
      <c r="VVV1721" s="227"/>
      <c r="VVW1721" s="227"/>
      <c r="VVX1721" s="227"/>
      <c r="VVY1721" s="227"/>
      <c r="VVZ1721" s="227"/>
      <c r="VWA1721" s="227"/>
      <c r="VWB1721" s="227"/>
      <c r="VWC1721" s="227"/>
      <c r="VWD1721" s="227"/>
      <c r="VWE1721" s="227"/>
      <c r="VWF1721" s="227"/>
      <c r="VWG1721" s="227"/>
      <c r="VWH1721" s="227"/>
      <c r="VWI1721" s="227"/>
      <c r="VWJ1721" s="227"/>
      <c r="VWK1721" s="227"/>
      <c r="VWL1721" s="227"/>
      <c r="VWM1721" s="227"/>
      <c r="VWN1721" s="227"/>
      <c r="VWO1721" s="227"/>
      <c r="VWP1721" s="227"/>
      <c r="VWQ1721" s="227"/>
      <c r="VWR1721" s="227"/>
      <c r="VWS1721" s="227"/>
      <c r="VWT1721" s="227"/>
      <c r="VWU1721" s="227"/>
      <c r="VWV1721" s="227"/>
      <c r="VWW1721" s="227"/>
      <c r="VWX1721" s="227"/>
      <c r="VWY1721" s="227"/>
      <c r="VWZ1721" s="227"/>
      <c r="VXA1721" s="227"/>
      <c r="VXB1721" s="227"/>
      <c r="VXC1721" s="227"/>
      <c r="VXD1721" s="227"/>
      <c r="VXE1721" s="227"/>
      <c r="VXF1721" s="227"/>
      <c r="VXG1721" s="227"/>
      <c r="VXH1721" s="227"/>
      <c r="VXI1721" s="227"/>
      <c r="VXJ1721" s="227"/>
      <c r="VXK1721" s="227"/>
      <c r="VXL1721" s="227"/>
      <c r="VXM1721" s="227"/>
      <c r="VXN1721" s="227"/>
      <c r="VXO1721" s="227"/>
      <c r="VXP1721" s="227"/>
      <c r="VXQ1721" s="227"/>
      <c r="VXR1721" s="227"/>
      <c r="VXS1721" s="227"/>
      <c r="VXT1721" s="227"/>
      <c r="VXU1721" s="227"/>
      <c r="VXV1721" s="227"/>
      <c r="VXW1721" s="227"/>
      <c r="VXX1721" s="227"/>
      <c r="VXY1721" s="227"/>
      <c r="VXZ1721" s="227"/>
      <c r="VYA1721" s="227"/>
      <c r="VYB1721" s="227"/>
      <c r="VYC1721" s="227"/>
      <c r="VYD1721" s="227"/>
      <c r="VYE1721" s="227"/>
      <c r="VYF1721" s="227"/>
      <c r="VYG1721" s="227"/>
      <c r="VYH1721" s="227"/>
      <c r="VYI1721" s="227"/>
      <c r="VYJ1721" s="227"/>
      <c r="VYK1721" s="227"/>
      <c r="VYL1721" s="227"/>
      <c r="VYM1721" s="227"/>
      <c r="VYN1721" s="227"/>
      <c r="VYO1721" s="227"/>
      <c r="VYP1721" s="227"/>
      <c r="VYQ1721" s="227"/>
      <c r="VYR1721" s="227"/>
      <c r="VYS1721" s="227"/>
      <c r="VYT1721" s="227"/>
      <c r="VYU1721" s="227"/>
      <c r="VYV1721" s="227"/>
      <c r="VYW1721" s="227"/>
      <c r="VYX1721" s="227"/>
      <c r="VYY1721" s="227"/>
      <c r="VYZ1721" s="227"/>
      <c r="VZA1721" s="227"/>
      <c r="VZB1721" s="227"/>
      <c r="VZC1721" s="227"/>
      <c r="VZD1721" s="227"/>
      <c r="VZE1721" s="227"/>
      <c r="VZF1721" s="227"/>
      <c r="VZG1721" s="227"/>
      <c r="VZH1721" s="227"/>
      <c r="VZI1721" s="227"/>
      <c r="VZJ1721" s="227"/>
      <c r="VZK1721" s="227"/>
      <c r="VZL1721" s="227"/>
      <c r="VZM1721" s="227"/>
      <c r="VZN1721" s="227"/>
      <c r="VZO1721" s="227"/>
      <c r="VZP1721" s="227"/>
      <c r="VZQ1721" s="227"/>
      <c r="VZR1721" s="227"/>
      <c r="VZS1721" s="227"/>
      <c r="VZT1721" s="227"/>
      <c r="VZU1721" s="227"/>
      <c r="VZV1721" s="227"/>
      <c r="VZW1721" s="227"/>
      <c r="VZX1721" s="227"/>
      <c r="VZY1721" s="227"/>
      <c r="VZZ1721" s="227"/>
      <c r="WAA1721" s="227"/>
      <c r="WAB1721" s="227"/>
      <c r="WAC1721" s="227"/>
      <c r="WAD1721" s="227"/>
      <c r="WAE1721" s="227"/>
      <c r="WAF1721" s="227"/>
      <c r="WAG1721" s="227"/>
      <c r="WAH1721" s="227"/>
      <c r="WAI1721" s="227"/>
      <c r="WAJ1721" s="227"/>
      <c r="WAK1721" s="227"/>
      <c r="WAL1721" s="227"/>
      <c r="WAM1721" s="227"/>
      <c r="WAN1721" s="227"/>
      <c r="WAO1721" s="227"/>
      <c r="WAP1721" s="227"/>
      <c r="WAQ1721" s="227"/>
      <c r="WAR1721" s="227"/>
      <c r="WAS1721" s="227"/>
      <c r="WAT1721" s="227"/>
      <c r="WAU1721" s="227"/>
      <c r="WAV1721" s="227"/>
      <c r="WAW1721" s="227"/>
      <c r="WAX1721" s="227"/>
      <c r="WAY1721" s="227"/>
      <c r="WAZ1721" s="227"/>
      <c r="WBA1721" s="227"/>
      <c r="WBB1721" s="227"/>
      <c r="WBC1721" s="227"/>
      <c r="WBD1721" s="227"/>
      <c r="WBE1721" s="227"/>
      <c r="WBF1721" s="227"/>
      <c r="WBG1721" s="227"/>
      <c r="WBH1721" s="227"/>
      <c r="WBI1721" s="227"/>
      <c r="WBJ1721" s="227"/>
      <c r="WBK1721" s="227"/>
      <c r="WBL1721" s="227"/>
      <c r="WBM1721" s="227"/>
      <c r="WBN1721" s="227"/>
      <c r="WBO1721" s="227"/>
      <c r="WBP1721" s="227"/>
      <c r="WBQ1721" s="227"/>
      <c r="WBR1721" s="227"/>
      <c r="WBS1721" s="227"/>
      <c r="WBT1721" s="227"/>
      <c r="WBU1721" s="227"/>
      <c r="WBV1721" s="227"/>
      <c r="WBW1721" s="227"/>
      <c r="WBX1721" s="227"/>
      <c r="WBY1721" s="227"/>
      <c r="WBZ1721" s="227"/>
      <c r="WCA1721" s="227"/>
      <c r="WCB1721" s="227"/>
      <c r="WCC1721" s="227"/>
      <c r="WCD1721" s="227"/>
      <c r="WCE1721" s="227"/>
      <c r="WCF1721" s="227"/>
      <c r="WCG1721" s="227"/>
      <c r="WCH1721" s="227"/>
      <c r="WCI1721" s="227"/>
      <c r="WCJ1721" s="227"/>
      <c r="WCK1721" s="227"/>
      <c r="WCL1721" s="227"/>
      <c r="WCM1721" s="227"/>
      <c r="WCN1721" s="227"/>
      <c r="WCO1721" s="227"/>
      <c r="WCP1721" s="227"/>
      <c r="WCQ1721" s="227"/>
      <c r="WCR1721" s="227"/>
      <c r="WCS1721" s="227"/>
      <c r="WCT1721" s="227"/>
      <c r="WCU1721" s="227"/>
      <c r="WCV1721" s="227"/>
      <c r="WCW1721" s="227"/>
      <c r="WCX1721" s="227"/>
      <c r="WCY1721" s="227"/>
      <c r="WCZ1721" s="227"/>
      <c r="WDA1721" s="227"/>
      <c r="WDB1721" s="227"/>
      <c r="WDC1721" s="227"/>
      <c r="WDD1721" s="227"/>
      <c r="WDE1721" s="227"/>
      <c r="WDF1721" s="227"/>
      <c r="WDG1721" s="227"/>
      <c r="WDH1721" s="227"/>
      <c r="WDI1721" s="227"/>
      <c r="WDJ1721" s="227"/>
      <c r="WDK1721" s="227"/>
      <c r="WDL1721" s="227"/>
      <c r="WDM1721" s="227"/>
      <c r="WDN1721" s="227"/>
      <c r="WDO1721" s="227"/>
      <c r="WDP1721" s="227"/>
      <c r="WDQ1721" s="227"/>
      <c r="WDR1721" s="227"/>
      <c r="WDS1721" s="227"/>
      <c r="WDT1721" s="227"/>
      <c r="WDU1721" s="227"/>
      <c r="WDV1721" s="227"/>
      <c r="WDW1721" s="227"/>
      <c r="WDX1721" s="227"/>
      <c r="WDY1721" s="227"/>
      <c r="WDZ1721" s="227"/>
      <c r="WEA1721" s="227"/>
      <c r="WEB1721" s="227"/>
      <c r="WEC1721" s="227"/>
      <c r="WED1721" s="227"/>
      <c r="WEE1721" s="227"/>
      <c r="WEF1721" s="227"/>
      <c r="WEG1721" s="227"/>
      <c r="WEH1721" s="227"/>
      <c r="WEI1721" s="227"/>
      <c r="WEJ1721" s="227"/>
      <c r="WEK1721" s="227"/>
      <c r="WEL1721" s="227"/>
      <c r="WEM1721" s="227"/>
      <c r="WEN1721" s="227"/>
      <c r="WEO1721" s="227"/>
      <c r="WEP1721" s="227"/>
      <c r="WEQ1721" s="227"/>
      <c r="WER1721" s="227"/>
      <c r="WES1721" s="227"/>
      <c r="WET1721" s="227"/>
      <c r="WEU1721" s="227"/>
      <c r="WEV1721" s="227"/>
      <c r="WEW1721" s="227"/>
      <c r="WEX1721" s="227"/>
      <c r="WEY1721" s="227"/>
      <c r="WEZ1721" s="227"/>
      <c r="WFA1721" s="227"/>
      <c r="WFB1721" s="227"/>
      <c r="WFC1721" s="227"/>
      <c r="WFD1721" s="227"/>
      <c r="WFE1721" s="227"/>
      <c r="WFF1721" s="227"/>
      <c r="WFG1721" s="227"/>
      <c r="WFH1721" s="227"/>
      <c r="WFI1721" s="227"/>
      <c r="WFJ1721" s="227"/>
      <c r="WFK1721" s="227"/>
      <c r="WFL1721" s="227"/>
      <c r="WFM1721" s="227"/>
      <c r="WFN1721" s="227"/>
      <c r="WFO1721" s="227"/>
      <c r="WFP1721" s="227"/>
      <c r="WFQ1721" s="227"/>
      <c r="WFR1721" s="227"/>
      <c r="WFS1721" s="227"/>
      <c r="WFT1721" s="227"/>
      <c r="WFU1721" s="227"/>
      <c r="WFV1721" s="227"/>
      <c r="WFW1721" s="227"/>
      <c r="WFX1721" s="227"/>
      <c r="WFY1721" s="227"/>
      <c r="WFZ1721" s="227"/>
      <c r="WGA1721" s="227"/>
      <c r="WGB1721" s="227"/>
      <c r="WGC1721" s="227"/>
      <c r="WGD1721" s="227"/>
      <c r="WGE1721" s="227"/>
      <c r="WGF1721" s="227"/>
      <c r="WGG1721" s="227"/>
      <c r="WGH1721" s="227"/>
      <c r="WGI1721" s="227"/>
      <c r="WGJ1721" s="227"/>
      <c r="WGK1721" s="227"/>
      <c r="WGL1721" s="227"/>
      <c r="WGM1721" s="227"/>
      <c r="WGN1721" s="227"/>
      <c r="WGO1721" s="227"/>
      <c r="WGP1721" s="227"/>
      <c r="WGQ1721" s="227"/>
      <c r="WGR1721" s="227"/>
      <c r="WGS1721" s="227"/>
      <c r="WGT1721" s="227"/>
      <c r="WGU1721" s="227"/>
      <c r="WGV1721" s="227"/>
      <c r="WGW1721" s="227"/>
      <c r="WGX1721" s="227"/>
      <c r="WGY1721" s="227"/>
      <c r="WGZ1721" s="227"/>
      <c r="WHA1721" s="227"/>
      <c r="WHB1721" s="227"/>
      <c r="WHC1721" s="227"/>
      <c r="WHD1721" s="227"/>
      <c r="WHE1721" s="227"/>
      <c r="WHF1721" s="227"/>
      <c r="WHG1721" s="227"/>
      <c r="WHH1721" s="227"/>
      <c r="WHI1721" s="227"/>
      <c r="WHJ1721" s="227"/>
      <c r="WHK1721" s="227"/>
      <c r="WHL1721" s="227"/>
      <c r="WHM1721" s="227"/>
      <c r="WHN1721" s="227"/>
      <c r="WHO1721" s="227"/>
      <c r="WHP1721" s="227"/>
      <c r="WHQ1721" s="227"/>
      <c r="WHR1721" s="227"/>
      <c r="WHS1721" s="227"/>
      <c r="WHT1721" s="227"/>
      <c r="WHU1721" s="227"/>
      <c r="WHV1721" s="227"/>
      <c r="WHW1721" s="227"/>
      <c r="WHX1721" s="227"/>
      <c r="WHY1721" s="227"/>
      <c r="WHZ1721" s="227"/>
      <c r="WIA1721" s="227"/>
      <c r="WIB1721" s="227"/>
      <c r="WIC1721" s="227"/>
      <c r="WID1721" s="227"/>
      <c r="WIE1721" s="227"/>
      <c r="WIF1721" s="227"/>
      <c r="WIG1721" s="227"/>
      <c r="WIH1721" s="227"/>
      <c r="WII1721" s="227"/>
      <c r="WIJ1721" s="227"/>
      <c r="WIK1721" s="227"/>
      <c r="WIL1721" s="227"/>
      <c r="WIM1721" s="227"/>
      <c r="WIN1721" s="227"/>
      <c r="WIO1721" s="227"/>
      <c r="WIP1721" s="227"/>
      <c r="WIQ1721" s="227"/>
      <c r="WIR1721" s="227"/>
      <c r="WIS1721" s="227"/>
      <c r="WIT1721" s="227"/>
      <c r="WIU1721" s="227"/>
      <c r="WIV1721" s="227"/>
      <c r="WIW1721" s="227"/>
      <c r="WIX1721" s="227"/>
      <c r="WIY1721" s="227"/>
      <c r="WIZ1721" s="227"/>
      <c r="WJA1721" s="227"/>
      <c r="WJB1721" s="227"/>
      <c r="WJC1721" s="227"/>
      <c r="WJD1721" s="227"/>
      <c r="WJE1721" s="227"/>
      <c r="WJF1721" s="227"/>
      <c r="WJG1721" s="227"/>
      <c r="WJH1721" s="227"/>
      <c r="WJI1721" s="227"/>
      <c r="WJJ1721" s="227"/>
      <c r="WJK1721" s="227"/>
      <c r="WJL1721" s="227"/>
      <c r="WJM1721" s="227"/>
      <c r="WJN1721" s="227"/>
      <c r="WJO1721" s="227"/>
      <c r="WJP1721" s="227"/>
      <c r="WJQ1721" s="227"/>
      <c r="WJR1721" s="227"/>
      <c r="WJS1721" s="227"/>
      <c r="WJT1721" s="227"/>
      <c r="WJU1721" s="227"/>
      <c r="WJV1721" s="227"/>
      <c r="WJW1721" s="227"/>
      <c r="WJX1721" s="227"/>
      <c r="WJY1721" s="227"/>
      <c r="WJZ1721" s="227"/>
      <c r="WKA1721" s="227"/>
      <c r="WKB1721" s="227"/>
      <c r="WKC1721" s="227"/>
      <c r="WKD1721" s="227"/>
      <c r="WKE1721" s="227"/>
      <c r="WKF1721" s="227"/>
      <c r="WKG1721" s="227"/>
      <c r="WKH1721" s="227"/>
      <c r="WKI1721" s="227"/>
      <c r="WKJ1721" s="227"/>
      <c r="WKK1721" s="227"/>
      <c r="WKL1721" s="227"/>
      <c r="WKM1721" s="227"/>
      <c r="WKN1721" s="227"/>
      <c r="WKO1721" s="227"/>
      <c r="WKP1721" s="227"/>
      <c r="WKQ1721" s="227"/>
      <c r="WKR1721" s="227"/>
      <c r="WKS1721" s="227"/>
      <c r="WKT1721" s="227"/>
      <c r="WKU1721" s="227"/>
      <c r="WKV1721" s="227"/>
      <c r="WKW1721" s="227"/>
      <c r="WKX1721" s="227"/>
      <c r="WKY1721" s="227"/>
      <c r="WKZ1721" s="227"/>
      <c r="WLA1721" s="227"/>
      <c r="WLB1721" s="227"/>
      <c r="WLC1721" s="227"/>
      <c r="WLD1721" s="227"/>
      <c r="WLE1721" s="227"/>
      <c r="WLF1721" s="227"/>
      <c r="WLG1721" s="227"/>
      <c r="WLH1721" s="227"/>
      <c r="WLI1721" s="227"/>
      <c r="WLJ1721" s="227"/>
      <c r="WLK1721" s="227"/>
      <c r="WLL1721" s="227"/>
      <c r="WLM1721" s="227"/>
      <c r="WLN1721" s="227"/>
      <c r="WLO1721" s="227"/>
      <c r="WLP1721" s="227"/>
      <c r="WLQ1721" s="227"/>
      <c r="WLR1721" s="227"/>
      <c r="WLS1721" s="227"/>
      <c r="WLT1721" s="227"/>
      <c r="WLU1721" s="227"/>
      <c r="WLV1721" s="227"/>
      <c r="WLW1721" s="227"/>
      <c r="WLX1721" s="227"/>
      <c r="WLY1721" s="227"/>
      <c r="WLZ1721" s="227"/>
      <c r="WMA1721" s="227"/>
      <c r="WMB1721" s="227"/>
      <c r="WMC1721" s="227"/>
      <c r="WMD1721" s="227"/>
      <c r="WME1721" s="227"/>
      <c r="WMF1721" s="227"/>
      <c r="WMG1721" s="227"/>
      <c r="WMH1721" s="227"/>
      <c r="WMI1721" s="227"/>
      <c r="WMJ1721" s="227"/>
      <c r="WMK1721" s="227"/>
      <c r="WML1721" s="227"/>
      <c r="WMM1721" s="227"/>
      <c r="WMN1721" s="227"/>
      <c r="WMO1721" s="227"/>
      <c r="WMP1721" s="227"/>
      <c r="WMQ1721" s="227"/>
      <c r="WMR1721" s="227"/>
      <c r="WMS1721" s="227"/>
      <c r="WMT1721" s="227"/>
      <c r="WMU1721" s="227"/>
      <c r="WMV1721" s="227"/>
      <c r="WMW1721" s="227"/>
      <c r="WMX1721" s="227"/>
      <c r="WMY1721" s="227"/>
      <c r="WMZ1721" s="227"/>
      <c r="WNA1721" s="227"/>
      <c r="WNB1721" s="227"/>
      <c r="WNC1721" s="227"/>
      <c r="WND1721" s="227"/>
      <c r="WNE1721" s="227"/>
      <c r="WNF1721" s="227"/>
      <c r="WNG1721" s="227"/>
      <c r="WNH1721" s="227"/>
      <c r="WNI1721" s="227"/>
      <c r="WNJ1721" s="227"/>
      <c r="WNK1721" s="227"/>
      <c r="WNL1721" s="227"/>
      <c r="WNM1721" s="227"/>
      <c r="WNN1721" s="227"/>
      <c r="WNO1721" s="227"/>
      <c r="WNP1721" s="227"/>
      <c r="WNQ1721" s="227"/>
      <c r="WNR1721" s="227"/>
      <c r="WNS1721" s="227"/>
      <c r="WNT1721" s="227"/>
      <c r="WNU1721" s="227"/>
      <c r="WNV1721" s="227"/>
      <c r="WNW1721" s="227"/>
      <c r="WNX1721" s="227"/>
      <c r="WNY1721" s="227"/>
      <c r="WNZ1721" s="227"/>
      <c r="WOA1721" s="227"/>
      <c r="WOB1721" s="227"/>
      <c r="WOC1721" s="227"/>
      <c r="WOD1721" s="227"/>
      <c r="WOE1721" s="227"/>
      <c r="WOF1721" s="227"/>
      <c r="WOG1721" s="227"/>
      <c r="WOH1721" s="227"/>
      <c r="WOI1721" s="227"/>
      <c r="WOJ1721" s="227"/>
      <c r="WOK1721" s="227"/>
      <c r="WOL1721" s="227"/>
      <c r="WOM1721" s="227"/>
      <c r="WON1721" s="227"/>
      <c r="WOO1721" s="227"/>
      <c r="WOP1721" s="227"/>
      <c r="WOQ1721" s="227"/>
      <c r="WOR1721" s="227"/>
      <c r="WOS1721" s="227"/>
      <c r="WOT1721" s="227"/>
      <c r="WOU1721" s="227"/>
      <c r="WOV1721" s="227"/>
      <c r="WOW1721" s="227"/>
      <c r="WOX1721" s="227"/>
      <c r="WOY1721" s="227"/>
      <c r="WOZ1721" s="227"/>
      <c r="WPA1721" s="227"/>
      <c r="WPB1721" s="227"/>
      <c r="WPC1721" s="227"/>
      <c r="WPD1721" s="227"/>
      <c r="WPE1721" s="227"/>
      <c r="WPF1721" s="227"/>
      <c r="WPG1721" s="227"/>
      <c r="WPH1721" s="227"/>
      <c r="WPI1721" s="227"/>
      <c r="WPJ1721" s="227"/>
      <c r="WPK1721" s="227"/>
      <c r="WPL1721" s="227"/>
      <c r="WPM1721" s="227"/>
      <c r="WPN1721" s="227"/>
      <c r="WPO1721" s="227"/>
      <c r="WPP1721" s="227"/>
      <c r="WPQ1721" s="227"/>
      <c r="WPR1721" s="227"/>
      <c r="WPS1721" s="227"/>
      <c r="WPT1721" s="227"/>
      <c r="WPU1721" s="227"/>
      <c r="WPV1721" s="227"/>
      <c r="WPW1721" s="227"/>
      <c r="WPX1721" s="227"/>
      <c r="WPY1721" s="227"/>
      <c r="WPZ1721" s="227"/>
      <c r="WQA1721" s="227"/>
      <c r="WQB1721" s="227"/>
      <c r="WQC1721" s="227"/>
      <c r="WQD1721" s="227"/>
      <c r="WQE1721" s="227"/>
      <c r="WQF1721" s="227"/>
      <c r="WQG1721" s="227"/>
      <c r="WQH1721" s="227"/>
      <c r="WQI1721" s="227"/>
      <c r="WQJ1721" s="227"/>
      <c r="WQK1721" s="227"/>
      <c r="WQL1721" s="227"/>
      <c r="WQM1721" s="227"/>
      <c r="WQN1721" s="227"/>
      <c r="WQO1721" s="227"/>
      <c r="WQP1721" s="227"/>
      <c r="WQQ1721" s="227"/>
      <c r="WQR1721" s="227"/>
      <c r="WQS1721" s="227"/>
      <c r="WQT1721" s="227"/>
      <c r="WQU1721" s="227"/>
      <c r="WQV1721" s="227"/>
      <c r="WQW1721" s="227"/>
      <c r="WQX1721" s="227"/>
      <c r="WQY1721" s="227"/>
      <c r="WQZ1721" s="227"/>
      <c r="WRA1721" s="227"/>
      <c r="WRB1721" s="227"/>
      <c r="WRC1721" s="227"/>
      <c r="WRD1721" s="227"/>
      <c r="WRE1721" s="227"/>
      <c r="WRF1721" s="227"/>
      <c r="WRG1721" s="227"/>
      <c r="WRH1721" s="227"/>
      <c r="WRI1721" s="227"/>
      <c r="WRJ1721" s="227"/>
      <c r="WRK1721" s="227"/>
      <c r="WRL1721" s="227"/>
      <c r="WRM1721" s="227"/>
      <c r="WRN1721" s="227"/>
      <c r="WRO1721" s="227"/>
      <c r="WRP1721" s="227"/>
      <c r="WRQ1721" s="227"/>
      <c r="WRR1721" s="227"/>
      <c r="WRS1721" s="227"/>
      <c r="WRT1721" s="227"/>
      <c r="WRU1721" s="227"/>
      <c r="WRV1721" s="227"/>
      <c r="WRW1721" s="227"/>
      <c r="WRX1721" s="227"/>
      <c r="WRY1721" s="227"/>
      <c r="WRZ1721" s="227"/>
      <c r="WSA1721" s="227"/>
      <c r="WSB1721" s="227"/>
      <c r="WSC1721" s="227"/>
      <c r="WSD1721" s="227"/>
      <c r="WSE1721" s="227"/>
      <c r="WSF1721" s="227"/>
      <c r="WSG1721" s="227"/>
      <c r="WSH1721" s="227"/>
      <c r="WSI1721" s="227"/>
      <c r="WSJ1721" s="227"/>
      <c r="WSK1721" s="227"/>
      <c r="WSL1721" s="227"/>
      <c r="WSM1721" s="227"/>
      <c r="WSN1721" s="227"/>
      <c r="WSO1721" s="227"/>
      <c r="WSP1721" s="227"/>
      <c r="WSQ1721" s="227"/>
      <c r="WSR1721" s="227"/>
      <c r="WSS1721" s="227"/>
      <c r="WST1721" s="227"/>
      <c r="WSU1721" s="227"/>
      <c r="WSV1721" s="227"/>
      <c r="WSW1721" s="227"/>
      <c r="WSX1721" s="227"/>
      <c r="WSY1721" s="227"/>
      <c r="WSZ1721" s="227"/>
      <c r="WTA1721" s="227"/>
      <c r="WTB1721" s="227"/>
      <c r="WTC1721" s="227"/>
      <c r="WTD1721" s="227"/>
      <c r="WTE1721" s="227"/>
      <c r="WTF1721" s="227"/>
      <c r="WTG1721" s="227"/>
      <c r="WTH1721" s="227"/>
      <c r="WTI1721" s="227"/>
      <c r="WTJ1721" s="227"/>
      <c r="WTK1721" s="227"/>
      <c r="WTL1721" s="227"/>
      <c r="WTM1721" s="227"/>
      <c r="WTN1721" s="227"/>
      <c r="WTO1721" s="227"/>
      <c r="WTP1721" s="227"/>
      <c r="WTQ1721" s="227"/>
      <c r="WTR1721" s="227"/>
      <c r="WTS1721" s="227"/>
      <c r="WTT1721" s="227"/>
      <c r="WTU1721" s="227"/>
      <c r="WTV1721" s="227"/>
      <c r="WTW1721" s="227"/>
      <c r="WTX1721" s="227"/>
      <c r="WTY1721" s="227"/>
      <c r="WTZ1721" s="227"/>
      <c r="WUA1721" s="227"/>
      <c r="WUB1721" s="227"/>
      <c r="WUC1721" s="227"/>
      <c r="WUD1721" s="227"/>
      <c r="WUE1721" s="227"/>
      <c r="WUF1721" s="227"/>
      <c r="WUG1721" s="227"/>
      <c r="WUH1721" s="227"/>
      <c r="WUI1721" s="227"/>
      <c r="WUJ1721" s="227"/>
      <c r="WUK1721" s="227"/>
      <c r="WUL1721" s="227"/>
      <c r="WUM1721" s="227"/>
      <c r="WUN1721" s="227"/>
      <c r="WUO1721" s="227"/>
      <c r="WUP1721" s="227"/>
      <c r="WUQ1721" s="227"/>
      <c r="WUR1721" s="227"/>
      <c r="WUS1721" s="227"/>
      <c r="WUT1721" s="227"/>
      <c r="WUU1721" s="227"/>
      <c r="WUV1721" s="227"/>
      <c r="WUW1721" s="227"/>
      <c r="WUX1721" s="227"/>
      <c r="WUY1721" s="227"/>
      <c r="WUZ1721" s="227"/>
      <c r="WVA1721" s="227"/>
      <c r="WVB1721" s="227"/>
      <c r="WVC1721" s="227"/>
      <c r="WVD1721" s="227"/>
      <c r="WVE1721" s="227"/>
      <c r="WVF1721" s="227"/>
      <c r="WVG1721" s="227"/>
      <c r="WVH1721" s="227"/>
      <c r="WVI1721" s="227"/>
      <c r="WVJ1721" s="227"/>
      <c r="WVK1721" s="227"/>
      <c r="WVL1721" s="227"/>
      <c r="WVM1721" s="227"/>
      <c r="WVN1721" s="227"/>
      <c r="WVO1721" s="227"/>
      <c r="WVP1721" s="227"/>
      <c r="WVQ1721" s="227"/>
      <c r="WVR1721" s="227"/>
      <c r="WVS1721" s="227"/>
      <c r="WVT1721" s="227"/>
      <c r="WVU1721" s="227"/>
      <c r="WVV1721" s="227"/>
      <c r="WVW1721" s="227"/>
      <c r="WVX1721" s="227"/>
      <c r="WVY1721" s="227"/>
      <c r="WVZ1721" s="227"/>
      <c r="WWA1721" s="227"/>
      <c r="WWB1721" s="227"/>
      <c r="WWC1721" s="227"/>
      <c r="WWD1721" s="227"/>
      <c r="WWE1721" s="227"/>
      <c r="WWF1721" s="227"/>
      <c r="WWG1721" s="227"/>
      <c r="WWH1721" s="227"/>
      <c r="WWI1721" s="227"/>
      <c r="WWJ1721" s="227"/>
      <c r="WWK1721" s="227"/>
      <c r="WWL1721" s="227"/>
      <c r="WWM1721" s="227"/>
      <c r="WWN1721" s="227"/>
      <c r="WWO1721" s="227"/>
      <c r="WWP1721" s="227"/>
      <c r="WWQ1721" s="227"/>
      <c r="WWR1721" s="227"/>
      <c r="WWS1721" s="227"/>
      <c r="WWT1721" s="227"/>
      <c r="WWU1721" s="227"/>
      <c r="WWV1721" s="227"/>
      <c r="WWW1721" s="227"/>
      <c r="WWX1721" s="227"/>
      <c r="WWY1721" s="227"/>
      <c r="WWZ1721" s="227"/>
      <c r="WXA1721" s="227"/>
      <c r="WXB1721" s="227"/>
      <c r="WXC1721" s="227"/>
      <c r="WXD1721" s="227"/>
      <c r="WXE1721" s="227"/>
      <c r="WXF1721" s="227"/>
      <c r="WXG1721" s="227"/>
      <c r="WXH1721" s="227"/>
      <c r="WXI1721" s="227"/>
      <c r="WXJ1721" s="227"/>
      <c r="WXK1721" s="227"/>
      <c r="WXL1721" s="227"/>
      <c r="WXM1721" s="227"/>
      <c r="WXN1721" s="227"/>
      <c r="WXO1721" s="227"/>
      <c r="WXP1721" s="227"/>
      <c r="WXQ1721" s="227"/>
      <c r="WXR1721" s="227"/>
      <c r="WXS1721" s="227"/>
      <c r="WXT1721" s="227"/>
      <c r="WXU1721" s="227"/>
      <c r="WXV1721" s="227"/>
      <c r="WXW1721" s="227"/>
      <c r="WXX1721" s="227"/>
      <c r="WXY1721" s="227"/>
      <c r="WXZ1721" s="227"/>
      <c r="WYA1721" s="227"/>
      <c r="WYB1721" s="227"/>
      <c r="WYC1721" s="227"/>
      <c r="WYD1721" s="227"/>
      <c r="WYE1721" s="227"/>
      <c r="WYF1721" s="227"/>
      <c r="WYG1721" s="227"/>
      <c r="WYH1721" s="227"/>
      <c r="WYI1721" s="227"/>
      <c r="WYJ1721" s="227"/>
      <c r="WYK1721" s="227"/>
      <c r="WYL1721" s="227"/>
      <c r="WYM1721" s="227"/>
      <c r="WYN1721" s="227"/>
      <c r="WYO1721" s="227"/>
      <c r="WYP1721" s="227"/>
      <c r="WYQ1721" s="227"/>
      <c r="WYR1721" s="227"/>
      <c r="WYS1721" s="227"/>
      <c r="WYT1721" s="227"/>
      <c r="WYU1721" s="227"/>
      <c r="WYV1721" s="227"/>
      <c r="WYW1721" s="227"/>
      <c r="WYX1721" s="227"/>
      <c r="WYY1721" s="227"/>
      <c r="WYZ1721" s="227"/>
      <c r="WZA1721" s="227"/>
      <c r="WZB1721" s="227"/>
      <c r="WZC1721" s="227"/>
      <c r="WZD1721" s="227"/>
      <c r="WZE1721" s="227"/>
      <c r="WZF1721" s="227"/>
      <c r="WZG1721" s="227"/>
      <c r="WZH1721" s="227"/>
      <c r="WZI1721" s="227"/>
      <c r="WZJ1721" s="227"/>
      <c r="WZK1721" s="227"/>
      <c r="WZL1721" s="227"/>
      <c r="WZM1721" s="227"/>
      <c r="WZN1721" s="227"/>
      <c r="WZO1721" s="227"/>
      <c r="WZP1721" s="227"/>
      <c r="WZQ1721" s="227"/>
      <c r="WZR1721" s="227"/>
      <c r="WZS1721" s="227"/>
      <c r="WZT1721" s="227"/>
      <c r="WZU1721" s="227"/>
      <c r="WZV1721" s="227"/>
      <c r="WZW1721" s="227"/>
      <c r="WZX1721" s="227"/>
      <c r="WZY1721" s="227"/>
      <c r="WZZ1721" s="227"/>
      <c r="XAA1721" s="227"/>
      <c r="XAB1721" s="227"/>
      <c r="XAC1721" s="227"/>
      <c r="XAD1721" s="227"/>
      <c r="XAE1721" s="227"/>
      <c r="XAF1721" s="227"/>
      <c r="XAG1721" s="227"/>
      <c r="XAH1721" s="227"/>
      <c r="XAI1721" s="227"/>
      <c r="XAJ1721" s="227"/>
      <c r="XAK1721" s="227"/>
      <c r="XAL1721" s="227"/>
      <c r="XAM1721" s="227"/>
      <c r="XAN1721" s="227"/>
      <c r="XAO1721" s="227"/>
      <c r="XAP1721" s="227"/>
      <c r="XAQ1721" s="227"/>
      <c r="XAR1721" s="227"/>
      <c r="XAS1721" s="227"/>
      <c r="XAT1721" s="227"/>
      <c r="XAU1721" s="227"/>
      <c r="XAV1721" s="227"/>
      <c r="XAW1721" s="227"/>
      <c r="XAX1721" s="227"/>
      <c r="XAY1721" s="227"/>
      <c r="XAZ1721" s="227"/>
      <c r="XBA1721" s="227"/>
      <c r="XBB1721" s="227"/>
      <c r="XBC1721" s="227"/>
      <c r="XBD1721" s="227"/>
      <c r="XBE1721" s="227"/>
      <c r="XBF1721" s="227"/>
      <c r="XBG1721" s="227"/>
      <c r="XBH1721" s="227"/>
      <c r="XBI1721" s="227"/>
      <c r="XBJ1721" s="227"/>
      <c r="XBK1721" s="227"/>
      <c r="XBL1721" s="227"/>
      <c r="XBM1721" s="227"/>
      <c r="XBN1721" s="227"/>
      <c r="XBO1721" s="227"/>
      <c r="XBP1721" s="227"/>
      <c r="XBQ1721" s="227"/>
      <c r="XBR1721" s="227"/>
      <c r="XBS1721" s="227"/>
      <c r="XBT1721" s="227"/>
      <c r="XBU1721" s="227"/>
      <c r="XBV1721" s="227"/>
      <c r="XBW1721" s="227"/>
      <c r="XBX1721" s="227"/>
      <c r="XBY1721" s="227"/>
      <c r="XBZ1721" s="227"/>
      <c r="XCA1721" s="227"/>
      <c r="XCB1721" s="227"/>
      <c r="XCC1721" s="227"/>
      <c r="XCD1721" s="227"/>
      <c r="XCE1721" s="227"/>
      <c r="XCF1721" s="227"/>
      <c r="XCG1721" s="227"/>
      <c r="XCH1721" s="227"/>
      <c r="XCI1721" s="227"/>
      <c r="XCJ1721" s="227"/>
      <c r="XCK1721" s="227"/>
      <c r="XCL1721" s="227"/>
      <c r="XCM1721" s="227"/>
      <c r="XCN1721" s="227"/>
      <c r="XCO1721" s="227"/>
      <c r="XCP1721" s="227"/>
      <c r="XCQ1721" s="227"/>
      <c r="XCR1721" s="227"/>
      <c r="XCS1721" s="227"/>
      <c r="XCT1721" s="227"/>
      <c r="XCU1721" s="227"/>
      <c r="XCV1721" s="227"/>
      <c r="XCW1721" s="227"/>
      <c r="XCX1721" s="227"/>
      <c r="XCY1721" s="227"/>
      <c r="XCZ1721" s="227"/>
      <c r="XDA1721" s="227"/>
      <c r="XDB1721" s="227"/>
      <c r="XDC1721" s="227"/>
      <c r="XDD1721" s="227"/>
      <c r="XDE1721" s="227"/>
      <c r="XDF1721" s="227"/>
      <c r="XDG1721" s="227"/>
      <c r="XDH1721" s="227"/>
      <c r="XDI1721" s="227"/>
      <c r="XDJ1721" s="227"/>
      <c r="XDK1721" s="227"/>
      <c r="XDL1721" s="227"/>
      <c r="XDM1721" s="227"/>
      <c r="XDN1721" s="227"/>
      <c r="XDO1721" s="227"/>
      <c r="XDP1721" s="227"/>
      <c r="XDQ1721" s="227"/>
      <c r="XDR1721" s="227"/>
      <c r="XDS1721" s="227"/>
      <c r="XDT1721" s="227"/>
      <c r="XDU1721" s="227"/>
      <c r="XDV1721" s="227"/>
      <c r="XDW1721" s="227"/>
      <c r="XDX1721" s="227"/>
      <c r="XDY1721" s="227"/>
      <c r="XDZ1721" s="227"/>
      <c r="XEA1721" s="227"/>
      <c r="XEB1721" s="227"/>
      <c r="XEC1721" s="227"/>
      <c r="XED1721" s="227"/>
      <c r="XEE1721" s="227"/>
      <c r="XEF1721" s="227"/>
      <c r="XEG1721" s="227"/>
      <c r="XEH1721" s="227"/>
      <c r="XEI1721" s="227"/>
      <c r="XEJ1721" s="227"/>
      <c r="XEK1721" s="227"/>
      <c r="XEL1721" s="227"/>
      <c r="XEM1721" s="227"/>
      <c r="XEN1721" s="227"/>
      <c r="XEO1721" s="227"/>
      <c r="XEP1721" s="227"/>
      <c r="XEQ1721" s="227"/>
      <c r="XER1721" s="227"/>
      <c r="XES1721" s="227"/>
      <c r="XET1721" s="227"/>
      <c r="XEU1721" s="227"/>
      <c r="XEV1721" s="227"/>
      <c r="XEW1721" s="227"/>
      <c r="XEX1721" s="227"/>
      <c r="XEY1721" s="227"/>
      <c r="XEZ1721" s="227"/>
      <c r="XFA1721" s="227"/>
      <c r="XFB1721" s="227"/>
      <c r="XFC1721" s="227"/>
      <c r="XFD1721" s="227"/>
    </row>
    <row r="1722" spans="1:16384" customFormat="1" x14ac:dyDescent="0.25">
      <c r="A1722" s="243">
        <v>486</v>
      </c>
      <c r="B1722" s="244">
        <v>44922.409722222219</v>
      </c>
      <c r="C1722" s="245">
        <v>0.41319444444444442</v>
      </c>
      <c r="D1722" s="245">
        <v>0.4201388888888889</v>
      </c>
      <c r="E1722" s="245">
        <v>0.4236111111111111</v>
      </c>
      <c r="F1722" s="246" t="s">
        <v>171</v>
      </c>
      <c r="G1722" s="246" t="s">
        <v>295</v>
      </c>
      <c r="H1722" s="230" t="s">
        <v>85</v>
      </c>
      <c r="I1722" s="230" t="s">
        <v>86</v>
      </c>
      <c r="J1722" s="230" t="s">
        <v>37</v>
      </c>
      <c r="K1722" s="238" t="s">
        <v>180</v>
      </c>
      <c r="L1722" s="238" t="s">
        <v>207</v>
      </c>
      <c r="M1722" s="246" t="s">
        <v>4374</v>
      </c>
      <c r="N1722" s="246" t="s">
        <v>42</v>
      </c>
      <c r="O1722" s="246" t="s">
        <v>4375</v>
      </c>
      <c r="P1722" s="246" t="s">
        <v>4376</v>
      </c>
      <c r="Q1722" s="303">
        <f t="shared" si="151"/>
        <v>0</v>
      </c>
      <c r="R1722" s="303">
        <f t="shared" si="152"/>
        <v>0</v>
      </c>
      <c r="S1722" s="236">
        <v>0</v>
      </c>
      <c r="T1722" s="236">
        <v>0</v>
      </c>
      <c r="U1722" s="236">
        <v>0</v>
      </c>
      <c r="V1722" s="236">
        <v>0</v>
      </c>
      <c r="W1722" s="236">
        <v>0</v>
      </c>
      <c r="X1722" s="236">
        <v>120</v>
      </c>
      <c r="Y1722" s="236">
        <v>80</v>
      </c>
      <c r="Z1722" s="236">
        <v>70</v>
      </c>
      <c r="AA1722" s="236">
        <v>1</v>
      </c>
      <c r="AB1722" s="300">
        <f t="shared" si="153"/>
        <v>112</v>
      </c>
      <c r="AC1722" s="300">
        <f t="shared" si="154"/>
        <v>0.67469879518072284</v>
      </c>
      <c r="AD1722" s="236">
        <v>0</v>
      </c>
      <c r="AE1722" s="236">
        <v>0</v>
      </c>
      <c r="AF1722" s="246" t="s">
        <v>4377</v>
      </c>
      <c r="AG1722" s="246" t="s">
        <v>4336</v>
      </c>
      <c r="AH1722" s="246" t="s">
        <v>4378</v>
      </c>
      <c r="AI1722" s="246"/>
      <c r="AJ1722" s="246"/>
      <c r="AK1722" s="246" t="s">
        <v>37</v>
      </c>
      <c r="AL1722" s="246" t="s">
        <v>49</v>
      </c>
      <c r="AM1722" s="299">
        <f t="shared" ca="1" si="150"/>
        <v>0.14583333333575865</v>
      </c>
      <c r="AN1722" s="241"/>
      <c r="AO1722" s="230" t="s">
        <v>87</v>
      </c>
      <c r="AP1722" s="231" t="s">
        <v>4374</v>
      </c>
      <c r="AQ1722" s="230" t="s">
        <v>4395</v>
      </c>
      <c r="AR1722" s="233">
        <v>44922.555555555555</v>
      </c>
      <c r="AS1722" s="228" t="s">
        <v>173</v>
      </c>
      <c r="AT1722" s="230" t="s">
        <v>225</v>
      </c>
      <c r="AU1722" s="232">
        <v>0.55555555555555558</v>
      </c>
      <c r="AV1722" s="230">
        <v>1</v>
      </c>
      <c r="AW1722" s="230" t="s">
        <v>66</v>
      </c>
      <c r="AX1722" s="242"/>
      <c r="AY1722" s="242"/>
      <c r="AZ1722" s="242"/>
      <c r="BA1722" s="242"/>
      <c r="BB1722" s="227"/>
      <c r="BC1722" s="227"/>
      <c r="BD1722" s="227"/>
      <c r="BE1722" s="227"/>
      <c r="BF1722" s="227"/>
      <c r="BG1722" s="227"/>
      <c r="BH1722" s="227"/>
      <c r="BI1722" s="227"/>
      <c r="BJ1722" s="227"/>
      <c r="BK1722" s="227"/>
      <c r="BL1722" s="227"/>
      <c r="BM1722" s="227"/>
      <c r="BN1722" s="227"/>
      <c r="BO1722" s="227"/>
      <c r="BP1722" s="227"/>
      <c r="BQ1722" s="227"/>
      <c r="BR1722" s="227"/>
      <c r="BS1722" s="227"/>
      <c r="BT1722" s="227"/>
      <c r="BU1722" s="227"/>
      <c r="BV1722" s="227"/>
      <c r="BW1722" s="227"/>
      <c r="BX1722" s="227"/>
      <c r="BY1722" s="227"/>
      <c r="BZ1722" s="227"/>
      <c r="CA1722" s="227"/>
      <c r="CB1722" s="227"/>
      <c r="CC1722" s="227"/>
      <c r="CD1722" s="227"/>
      <c r="CE1722" s="227"/>
      <c r="CF1722" s="227"/>
      <c r="CG1722" s="227"/>
      <c r="CH1722" s="227"/>
      <c r="CI1722" s="227"/>
      <c r="CJ1722" s="227"/>
      <c r="CK1722" s="227"/>
      <c r="CL1722" s="227"/>
      <c r="CM1722" s="227"/>
      <c r="CN1722" s="227"/>
      <c r="CO1722" s="227"/>
      <c r="CP1722" s="227"/>
      <c r="CQ1722" s="227"/>
      <c r="CR1722" s="227"/>
      <c r="CS1722" s="227"/>
      <c r="CT1722" s="227"/>
      <c r="CU1722" s="227"/>
      <c r="CV1722" s="227"/>
      <c r="CW1722" s="227"/>
      <c r="CX1722" s="227"/>
      <c r="CY1722" s="227"/>
      <c r="CZ1722" s="227"/>
      <c r="DA1722" s="227"/>
      <c r="DB1722" s="227"/>
      <c r="DC1722" s="227"/>
      <c r="DD1722" s="227"/>
      <c r="DE1722" s="227"/>
      <c r="DF1722" s="227"/>
      <c r="DG1722" s="227"/>
      <c r="DH1722" s="227"/>
      <c r="DI1722" s="227"/>
      <c r="DJ1722" s="227"/>
      <c r="DK1722" s="227"/>
      <c r="DL1722" s="227"/>
      <c r="DM1722" s="227"/>
      <c r="DN1722" s="227"/>
      <c r="DO1722" s="227"/>
      <c r="DP1722" s="227"/>
      <c r="DQ1722" s="227"/>
      <c r="DR1722" s="227"/>
      <c r="DS1722" s="227"/>
      <c r="DT1722" s="227"/>
      <c r="DU1722" s="227"/>
      <c r="DV1722" s="227"/>
      <c r="DW1722" s="227"/>
      <c r="DX1722" s="227"/>
      <c r="DY1722" s="227"/>
      <c r="DZ1722" s="227"/>
      <c r="EA1722" s="227"/>
      <c r="EB1722" s="227"/>
      <c r="EC1722" s="227"/>
      <c r="ED1722" s="227"/>
      <c r="EE1722" s="227"/>
      <c r="EF1722" s="227"/>
      <c r="EG1722" s="227"/>
      <c r="EH1722" s="227"/>
      <c r="EI1722" s="227"/>
      <c r="EJ1722" s="227"/>
      <c r="EK1722" s="227"/>
      <c r="EL1722" s="227"/>
      <c r="EM1722" s="227"/>
      <c r="EN1722" s="227"/>
      <c r="EO1722" s="227"/>
      <c r="EP1722" s="227"/>
      <c r="EQ1722" s="227"/>
      <c r="ER1722" s="227"/>
      <c r="ES1722" s="227"/>
      <c r="ET1722" s="227"/>
      <c r="EU1722" s="227"/>
      <c r="EV1722" s="227"/>
      <c r="EW1722" s="227"/>
      <c r="EX1722" s="227"/>
      <c r="EY1722" s="227"/>
      <c r="EZ1722" s="227"/>
      <c r="FA1722" s="227"/>
      <c r="FB1722" s="227"/>
      <c r="FC1722" s="227"/>
      <c r="FD1722" s="227"/>
      <c r="FE1722" s="227"/>
      <c r="FF1722" s="227"/>
      <c r="FG1722" s="227"/>
      <c r="FH1722" s="227"/>
      <c r="FI1722" s="227"/>
      <c r="FJ1722" s="227"/>
      <c r="FK1722" s="227"/>
      <c r="FL1722" s="227"/>
      <c r="FM1722" s="227"/>
      <c r="FN1722" s="227"/>
      <c r="FO1722" s="227"/>
      <c r="FP1722" s="227"/>
      <c r="FQ1722" s="227"/>
      <c r="FR1722" s="227"/>
      <c r="FS1722" s="227"/>
      <c r="FT1722" s="227"/>
      <c r="FU1722" s="227"/>
      <c r="FV1722" s="227"/>
      <c r="FW1722" s="227"/>
      <c r="FX1722" s="227"/>
      <c r="FY1722" s="227"/>
      <c r="FZ1722" s="227"/>
      <c r="GA1722" s="227"/>
      <c r="GB1722" s="227"/>
      <c r="GC1722" s="227"/>
      <c r="GD1722" s="227"/>
      <c r="GE1722" s="227"/>
      <c r="GF1722" s="227"/>
      <c r="GG1722" s="227"/>
      <c r="GH1722" s="227"/>
      <c r="GI1722" s="227"/>
      <c r="GJ1722" s="227"/>
      <c r="GK1722" s="227"/>
      <c r="GL1722" s="227"/>
      <c r="GM1722" s="227"/>
      <c r="GN1722" s="227"/>
      <c r="GO1722" s="227"/>
      <c r="GP1722" s="227"/>
      <c r="GQ1722" s="227"/>
      <c r="GR1722" s="227"/>
      <c r="GS1722" s="227"/>
      <c r="GT1722" s="227"/>
      <c r="GU1722" s="227"/>
      <c r="GV1722" s="227"/>
      <c r="GW1722" s="227"/>
      <c r="GX1722" s="227"/>
      <c r="GY1722" s="227"/>
      <c r="GZ1722" s="227"/>
      <c r="HA1722" s="227"/>
      <c r="HB1722" s="227"/>
      <c r="HC1722" s="227"/>
      <c r="HD1722" s="227"/>
      <c r="HE1722" s="227"/>
      <c r="HF1722" s="227"/>
      <c r="HG1722" s="227"/>
      <c r="HH1722" s="227"/>
      <c r="HI1722" s="227"/>
      <c r="HJ1722" s="227"/>
      <c r="HK1722" s="227"/>
      <c r="HL1722" s="227"/>
      <c r="HM1722" s="227"/>
      <c r="HN1722" s="227"/>
      <c r="HO1722" s="227"/>
      <c r="HP1722" s="227"/>
      <c r="HQ1722" s="227"/>
      <c r="HR1722" s="227"/>
      <c r="HS1722" s="227"/>
      <c r="HT1722" s="227"/>
      <c r="HU1722" s="227"/>
      <c r="HV1722" s="227"/>
      <c r="HW1722" s="227"/>
      <c r="HX1722" s="227"/>
      <c r="HY1722" s="227"/>
      <c r="HZ1722" s="227"/>
      <c r="IA1722" s="227"/>
      <c r="IB1722" s="227"/>
      <c r="IC1722" s="227"/>
      <c r="ID1722" s="227"/>
      <c r="IE1722" s="227"/>
      <c r="IF1722" s="227"/>
      <c r="IG1722" s="227"/>
      <c r="IH1722" s="227"/>
      <c r="II1722" s="227"/>
      <c r="IJ1722" s="227"/>
      <c r="IK1722" s="227"/>
      <c r="IL1722" s="227"/>
      <c r="IM1722" s="227"/>
      <c r="IN1722" s="227"/>
      <c r="IO1722" s="227"/>
      <c r="IP1722" s="227"/>
      <c r="IQ1722" s="227"/>
      <c r="IR1722" s="227"/>
      <c r="IS1722" s="227"/>
      <c r="IT1722" s="227"/>
      <c r="IU1722" s="227"/>
      <c r="IV1722" s="227"/>
      <c r="IW1722" s="227"/>
      <c r="IX1722" s="227"/>
      <c r="IY1722" s="227"/>
      <c r="IZ1722" s="227"/>
      <c r="JA1722" s="227"/>
      <c r="JB1722" s="227"/>
      <c r="JC1722" s="227"/>
      <c r="JD1722" s="227"/>
      <c r="JE1722" s="227"/>
      <c r="JF1722" s="227"/>
      <c r="JG1722" s="227"/>
      <c r="JH1722" s="227"/>
      <c r="JI1722" s="227"/>
      <c r="JJ1722" s="227"/>
      <c r="JK1722" s="227"/>
      <c r="JL1722" s="227"/>
      <c r="JM1722" s="227"/>
      <c r="JN1722" s="227"/>
      <c r="JO1722" s="227"/>
      <c r="JP1722" s="227"/>
      <c r="JQ1722" s="227"/>
      <c r="JR1722" s="227"/>
      <c r="JS1722" s="227"/>
      <c r="JT1722" s="227"/>
      <c r="JU1722" s="227"/>
      <c r="JV1722" s="227"/>
      <c r="JW1722" s="227"/>
      <c r="JX1722" s="227"/>
      <c r="JY1722" s="227"/>
      <c r="JZ1722" s="227"/>
      <c r="KA1722" s="227"/>
      <c r="KB1722" s="227"/>
      <c r="KC1722" s="227"/>
      <c r="KD1722" s="227"/>
      <c r="KE1722" s="227"/>
      <c r="KF1722" s="227"/>
      <c r="KG1722" s="227"/>
      <c r="KH1722" s="227"/>
      <c r="KI1722" s="227"/>
      <c r="KJ1722" s="227"/>
      <c r="KK1722" s="227"/>
      <c r="KL1722" s="227"/>
      <c r="KM1722" s="227"/>
      <c r="KN1722" s="227"/>
      <c r="KO1722" s="227"/>
      <c r="KP1722" s="227"/>
      <c r="KQ1722" s="227"/>
      <c r="KR1722" s="227"/>
      <c r="KS1722" s="227"/>
      <c r="KT1722" s="227"/>
      <c r="KU1722" s="227"/>
      <c r="KV1722" s="227"/>
      <c r="KW1722" s="227"/>
      <c r="KX1722" s="227"/>
      <c r="KY1722" s="227"/>
      <c r="KZ1722" s="227"/>
      <c r="LA1722" s="227"/>
      <c r="LB1722" s="227"/>
      <c r="LC1722" s="227"/>
      <c r="LD1722" s="227"/>
      <c r="LE1722" s="227"/>
      <c r="LF1722" s="227"/>
      <c r="LG1722" s="227"/>
      <c r="LH1722" s="227"/>
      <c r="LI1722" s="227"/>
      <c r="LJ1722" s="227"/>
      <c r="LK1722" s="227"/>
      <c r="LL1722" s="227"/>
      <c r="LM1722" s="227"/>
      <c r="LN1722" s="227"/>
      <c r="LO1722" s="227"/>
      <c r="LP1722" s="227"/>
      <c r="LQ1722" s="227"/>
      <c r="LR1722" s="227"/>
      <c r="LS1722" s="227"/>
      <c r="LT1722" s="227"/>
      <c r="LU1722" s="227"/>
      <c r="LV1722" s="227"/>
      <c r="LW1722" s="227"/>
      <c r="LX1722" s="227"/>
      <c r="LY1722" s="227"/>
      <c r="LZ1722" s="227"/>
      <c r="MA1722" s="227"/>
      <c r="MB1722" s="227"/>
      <c r="MC1722" s="227"/>
      <c r="MD1722" s="227"/>
      <c r="ME1722" s="227"/>
      <c r="MF1722" s="227"/>
      <c r="MG1722" s="227"/>
      <c r="MH1722" s="227"/>
      <c r="MI1722" s="227"/>
      <c r="MJ1722" s="227"/>
      <c r="MK1722" s="227"/>
      <c r="ML1722" s="227"/>
      <c r="MM1722" s="227"/>
      <c r="MN1722" s="227"/>
      <c r="MO1722" s="227"/>
      <c r="MP1722" s="227"/>
      <c r="MQ1722" s="227"/>
      <c r="MR1722" s="227"/>
      <c r="MS1722" s="227"/>
      <c r="MT1722" s="227"/>
      <c r="MU1722" s="227"/>
      <c r="MV1722" s="227"/>
      <c r="MW1722" s="227"/>
      <c r="MX1722" s="227"/>
      <c r="MY1722" s="227"/>
      <c r="MZ1722" s="227"/>
      <c r="NA1722" s="227"/>
      <c r="NB1722" s="227"/>
      <c r="NC1722" s="227"/>
      <c r="ND1722" s="227"/>
      <c r="NE1722" s="227"/>
      <c r="NF1722" s="227"/>
      <c r="NG1722" s="227"/>
      <c r="NH1722" s="227"/>
      <c r="NI1722" s="227"/>
      <c r="NJ1722" s="227"/>
      <c r="NK1722" s="227"/>
      <c r="NL1722" s="227"/>
      <c r="NM1722" s="227"/>
      <c r="NN1722" s="227"/>
      <c r="NO1722" s="227"/>
      <c r="NP1722" s="227"/>
      <c r="NQ1722" s="227"/>
      <c r="NR1722" s="227"/>
      <c r="NS1722" s="227"/>
      <c r="NT1722" s="227"/>
      <c r="NU1722" s="227"/>
      <c r="NV1722" s="227"/>
      <c r="NW1722" s="227"/>
      <c r="NX1722" s="227"/>
      <c r="NY1722" s="227"/>
      <c r="NZ1722" s="227"/>
      <c r="OA1722" s="227"/>
      <c r="OB1722" s="227"/>
      <c r="OC1722" s="227"/>
      <c r="OD1722" s="227"/>
      <c r="OE1722" s="227"/>
      <c r="OF1722" s="227"/>
      <c r="OG1722" s="227"/>
      <c r="OH1722" s="227"/>
      <c r="OI1722" s="227"/>
      <c r="OJ1722" s="227"/>
      <c r="OK1722" s="227"/>
      <c r="OL1722" s="227"/>
      <c r="OM1722" s="227"/>
      <c r="ON1722" s="227"/>
      <c r="OO1722" s="227"/>
      <c r="OP1722" s="227"/>
      <c r="OQ1722" s="227"/>
      <c r="OR1722" s="227"/>
      <c r="OS1722" s="227"/>
      <c r="OT1722" s="227"/>
      <c r="OU1722" s="227"/>
      <c r="OV1722" s="227"/>
      <c r="OW1722" s="227"/>
      <c r="OX1722" s="227"/>
      <c r="OY1722" s="227"/>
      <c r="OZ1722" s="227"/>
      <c r="PA1722" s="227"/>
      <c r="PB1722" s="227"/>
      <c r="PC1722" s="227"/>
      <c r="PD1722" s="227"/>
      <c r="PE1722" s="227"/>
      <c r="PF1722" s="227"/>
      <c r="PG1722" s="227"/>
      <c r="PH1722" s="227"/>
      <c r="PI1722" s="227"/>
      <c r="PJ1722" s="227"/>
      <c r="PK1722" s="227"/>
      <c r="PL1722" s="227"/>
      <c r="PM1722" s="227"/>
      <c r="PN1722" s="227"/>
      <c r="PO1722" s="227"/>
      <c r="PP1722" s="227"/>
      <c r="PQ1722" s="227"/>
      <c r="PR1722" s="227"/>
      <c r="PS1722" s="227"/>
      <c r="PT1722" s="227"/>
      <c r="PU1722" s="227"/>
      <c r="PV1722" s="227"/>
      <c r="PW1722" s="227"/>
      <c r="PX1722" s="227"/>
      <c r="PY1722" s="227"/>
      <c r="PZ1722" s="227"/>
      <c r="QA1722" s="227"/>
      <c r="QB1722" s="227"/>
      <c r="QC1722" s="227"/>
      <c r="QD1722" s="227"/>
      <c r="QE1722" s="227"/>
      <c r="QF1722" s="227"/>
      <c r="QG1722" s="227"/>
      <c r="QH1722" s="227"/>
      <c r="QI1722" s="227"/>
      <c r="QJ1722" s="227"/>
      <c r="QK1722" s="227"/>
      <c r="QL1722" s="227"/>
      <c r="QM1722" s="227"/>
      <c r="QN1722" s="227"/>
      <c r="QO1722" s="227"/>
      <c r="QP1722" s="227"/>
      <c r="QQ1722" s="227"/>
      <c r="QR1722" s="227"/>
      <c r="QS1722" s="227"/>
      <c r="QT1722" s="227"/>
      <c r="QU1722" s="227"/>
      <c r="QV1722" s="227"/>
      <c r="QW1722" s="227"/>
      <c r="QX1722" s="227"/>
      <c r="QY1722" s="227"/>
      <c r="QZ1722" s="227"/>
      <c r="RA1722" s="227"/>
      <c r="RB1722" s="227"/>
      <c r="RC1722" s="227"/>
      <c r="RD1722" s="227"/>
      <c r="RE1722" s="227"/>
      <c r="RF1722" s="227"/>
      <c r="RG1722" s="227"/>
      <c r="RH1722" s="227"/>
      <c r="RI1722" s="227"/>
      <c r="RJ1722" s="227"/>
      <c r="RK1722" s="227"/>
      <c r="RL1722" s="227"/>
      <c r="RM1722" s="227"/>
      <c r="RN1722" s="227"/>
      <c r="RO1722" s="227"/>
      <c r="RP1722" s="227"/>
      <c r="RQ1722" s="227"/>
      <c r="RR1722" s="227"/>
      <c r="RS1722" s="227"/>
      <c r="RT1722" s="227"/>
      <c r="RU1722" s="227"/>
      <c r="RV1722" s="227"/>
      <c r="RW1722" s="227"/>
      <c r="RX1722" s="227"/>
      <c r="RY1722" s="227"/>
      <c r="RZ1722" s="227"/>
      <c r="SA1722" s="227"/>
      <c r="SB1722" s="227"/>
      <c r="SC1722" s="227"/>
      <c r="SD1722" s="227"/>
      <c r="SE1722" s="227"/>
      <c r="SF1722" s="227"/>
      <c r="SG1722" s="227"/>
      <c r="SH1722" s="227"/>
      <c r="SI1722" s="227"/>
      <c r="SJ1722" s="227"/>
      <c r="SK1722" s="227"/>
      <c r="SL1722" s="227"/>
      <c r="SM1722" s="227"/>
      <c r="SN1722" s="227"/>
      <c r="SO1722" s="227"/>
      <c r="SP1722" s="227"/>
      <c r="SQ1722" s="227"/>
      <c r="SR1722" s="227"/>
      <c r="SS1722" s="227"/>
      <c r="ST1722" s="227"/>
      <c r="SU1722" s="227"/>
      <c r="SV1722" s="227"/>
      <c r="SW1722" s="227"/>
      <c r="SX1722" s="227"/>
      <c r="SY1722" s="227"/>
      <c r="SZ1722" s="227"/>
      <c r="TA1722" s="227"/>
      <c r="TB1722" s="227"/>
      <c r="TC1722" s="227"/>
      <c r="TD1722" s="227"/>
      <c r="TE1722" s="227"/>
      <c r="TF1722" s="227"/>
      <c r="TG1722" s="227"/>
      <c r="TH1722" s="227"/>
      <c r="TI1722" s="227"/>
      <c r="TJ1722" s="227"/>
      <c r="TK1722" s="227"/>
      <c r="TL1722" s="227"/>
      <c r="TM1722" s="227"/>
      <c r="TN1722" s="227"/>
      <c r="TO1722" s="227"/>
      <c r="TP1722" s="227"/>
      <c r="TQ1722" s="227"/>
      <c r="TR1722" s="227"/>
      <c r="TS1722" s="227"/>
      <c r="TT1722" s="227"/>
      <c r="TU1722" s="227"/>
      <c r="TV1722" s="227"/>
      <c r="TW1722" s="227"/>
      <c r="TX1722" s="227"/>
      <c r="TY1722" s="227"/>
      <c r="TZ1722" s="227"/>
      <c r="UA1722" s="227"/>
      <c r="UB1722" s="227"/>
      <c r="UC1722" s="227"/>
      <c r="UD1722" s="227"/>
      <c r="UE1722" s="227"/>
      <c r="UF1722" s="227"/>
      <c r="UG1722" s="227"/>
      <c r="UH1722" s="227"/>
      <c r="UI1722" s="227"/>
      <c r="UJ1722" s="227"/>
      <c r="UK1722" s="227"/>
      <c r="UL1722" s="227"/>
      <c r="UM1722" s="227"/>
      <c r="UN1722" s="227"/>
      <c r="UO1722" s="227"/>
      <c r="UP1722" s="227"/>
      <c r="UQ1722" s="227"/>
      <c r="UR1722" s="227"/>
      <c r="US1722" s="227"/>
      <c r="UT1722" s="227"/>
      <c r="UU1722" s="227"/>
      <c r="UV1722" s="227"/>
      <c r="UW1722" s="227"/>
      <c r="UX1722" s="227"/>
      <c r="UY1722" s="227"/>
      <c r="UZ1722" s="227"/>
      <c r="VA1722" s="227"/>
      <c r="VB1722" s="227"/>
      <c r="VC1722" s="227"/>
      <c r="VD1722" s="227"/>
      <c r="VE1722" s="227"/>
      <c r="VF1722" s="227"/>
      <c r="VG1722" s="227"/>
      <c r="VH1722" s="227"/>
      <c r="VI1722" s="227"/>
      <c r="VJ1722" s="227"/>
      <c r="VK1722" s="227"/>
      <c r="VL1722" s="227"/>
      <c r="VM1722" s="227"/>
      <c r="VN1722" s="227"/>
      <c r="VO1722" s="227"/>
      <c r="VP1722" s="227"/>
      <c r="VQ1722" s="227"/>
      <c r="VR1722" s="227"/>
      <c r="VS1722" s="227"/>
      <c r="VT1722" s="227"/>
      <c r="VU1722" s="227"/>
      <c r="VV1722" s="227"/>
      <c r="VW1722" s="227"/>
      <c r="VX1722" s="227"/>
      <c r="VY1722" s="227"/>
      <c r="VZ1722" s="227"/>
      <c r="WA1722" s="227"/>
      <c r="WB1722" s="227"/>
      <c r="WC1722" s="227"/>
      <c r="WD1722" s="227"/>
      <c r="WE1722" s="227"/>
      <c r="WF1722" s="227"/>
      <c r="WG1722" s="227"/>
      <c r="WH1722" s="227"/>
      <c r="WI1722" s="227"/>
      <c r="WJ1722" s="227"/>
      <c r="WK1722" s="227"/>
      <c r="WL1722" s="227"/>
      <c r="WM1722" s="227"/>
      <c r="WN1722" s="227"/>
      <c r="WO1722" s="227"/>
      <c r="WP1722" s="227"/>
      <c r="WQ1722" s="227"/>
      <c r="WR1722" s="227"/>
      <c r="WS1722" s="227"/>
      <c r="WT1722" s="227"/>
      <c r="WU1722" s="227"/>
      <c r="WV1722" s="227"/>
      <c r="WW1722" s="227"/>
      <c r="WX1722" s="227"/>
      <c r="WY1722" s="227"/>
      <c r="WZ1722" s="227"/>
      <c r="XA1722" s="227"/>
      <c r="XB1722" s="227"/>
      <c r="XC1722" s="227"/>
      <c r="XD1722" s="227"/>
      <c r="XE1722" s="227"/>
      <c r="XF1722" s="227"/>
      <c r="XG1722" s="227"/>
      <c r="XH1722" s="227"/>
      <c r="XI1722" s="227"/>
      <c r="XJ1722" s="227"/>
      <c r="XK1722" s="227"/>
      <c r="XL1722" s="227"/>
      <c r="XM1722" s="227"/>
      <c r="XN1722" s="227"/>
      <c r="XO1722" s="227"/>
      <c r="XP1722" s="227"/>
      <c r="XQ1722" s="227"/>
      <c r="XR1722" s="227"/>
      <c r="XS1722" s="227"/>
      <c r="XT1722" s="227"/>
      <c r="XU1722" s="227"/>
      <c r="XV1722" s="227"/>
      <c r="XW1722" s="227"/>
      <c r="XX1722" s="227"/>
      <c r="XY1722" s="227"/>
      <c r="XZ1722" s="227"/>
      <c r="YA1722" s="227"/>
      <c r="YB1722" s="227"/>
      <c r="YC1722" s="227"/>
      <c r="YD1722" s="227"/>
      <c r="YE1722" s="227"/>
      <c r="YF1722" s="227"/>
      <c r="YG1722" s="227"/>
      <c r="YH1722" s="227"/>
      <c r="YI1722" s="227"/>
      <c r="YJ1722" s="227"/>
      <c r="YK1722" s="227"/>
      <c r="YL1722" s="227"/>
      <c r="YM1722" s="227"/>
      <c r="YN1722" s="227"/>
      <c r="YO1722" s="227"/>
      <c r="YP1722" s="227"/>
      <c r="YQ1722" s="227"/>
      <c r="YR1722" s="227"/>
      <c r="YS1722" s="227"/>
      <c r="YT1722" s="227"/>
      <c r="YU1722" s="227"/>
      <c r="YV1722" s="227"/>
      <c r="YW1722" s="227"/>
      <c r="YX1722" s="227"/>
      <c r="YY1722" s="227"/>
      <c r="YZ1722" s="227"/>
      <c r="ZA1722" s="227"/>
      <c r="ZB1722" s="227"/>
      <c r="ZC1722" s="227"/>
      <c r="ZD1722" s="227"/>
      <c r="ZE1722" s="227"/>
      <c r="ZF1722" s="227"/>
      <c r="ZG1722" s="227"/>
      <c r="ZH1722" s="227"/>
      <c r="ZI1722" s="227"/>
      <c r="ZJ1722" s="227"/>
      <c r="ZK1722" s="227"/>
      <c r="ZL1722" s="227"/>
      <c r="ZM1722" s="227"/>
      <c r="ZN1722" s="227"/>
      <c r="ZO1722" s="227"/>
      <c r="ZP1722" s="227"/>
      <c r="ZQ1722" s="227"/>
      <c r="ZR1722" s="227"/>
      <c r="ZS1722" s="227"/>
      <c r="ZT1722" s="227"/>
      <c r="ZU1722" s="227"/>
      <c r="ZV1722" s="227"/>
      <c r="ZW1722" s="227"/>
      <c r="ZX1722" s="227"/>
      <c r="ZY1722" s="227"/>
      <c r="ZZ1722" s="227"/>
      <c r="AAA1722" s="227"/>
      <c r="AAB1722" s="227"/>
      <c r="AAC1722" s="227"/>
      <c r="AAD1722" s="227"/>
      <c r="AAE1722" s="227"/>
      <c r="AAF1722" s="227"/>
      <c r="AAG1722" s="227"/>
      <c r="AAH1722" s="227"/>
      <c r="AAI1722" s="227"/>
      <c r="AAJ1722" s="227"/>
      <c r="AAK1722" s="227"/>
      <c r="AAL1722" s="227"/>
      <c r="AAM1722" s="227"/>
      <c r="AAN1722" s="227"/>
      <c r="AAO1722" s="227"/>
      <c r="AAP1722" s="227"/>
      <c r="AAQ1722" s="227"/>
      <c r="AAR1722" s="227"/>
      <c r="AAS1722" s="227"/>
      <c r="AAT1722" s="227"/>
      <c r="AAU1722" s="227"/>
      <c r="AAV1722" s="227"/>
      <c r="AAW1722" s="227"/>
      <c r="AAX1722" s="227"/>
      <c r="AAY1722" s="227"/>
      <c r="AAZ1722" s="227"/>
      <c r="ABA1722" s="227"/>
      <c r="ABB1722" s="227"/>
      <c r="ABC1722" s="227"/>
      <c r="ABD1722" s="227"/>
      <c r="ABE1722" s="227"/>
      <c r="ABF1722" s="227"/>
      <c r="ABG1722" s="227"/>
      <c r="ABH1722" s="227"/>
      <c r="ABI1722" s="227"/>
      <c r="ABJ1722" s="227"/>
      <c r="ABK1722" s="227"/>
      <c r="ABL1722" s="227"/>
      <c r="ABM1722" s="227"/>
      <c r="ABN1722" s="227"/>
      <c r="ABO1722" s="227"/>
      <c r="ABP1722" s="227"/>
      <c r="ABQ1722" s="227"/>
      <c r="ABR1722" s="227"/>
      <c r="ABS1722" s="227"/>
      <c r="ABT1722" s="227"/>
      <c r="ABU1722" s="227"/>
      <c r="ABV1722" s="227"/>
      <c r="ABW1722" s="227"/>
      <c r="ABX1722" s="227"/>
      <c r="ABY1722" s="227"/>
      <c r="ABZ1722" s="227"/>
      <c r="ACA1722" s="227"/>
      <c r="ACB1722" s="227"/>
      <c r="ACC1722" s="227"/>
      <c r="ACD1722" s="227"/>
      <c r="ACE1722" s="227"/>
      <c r="ACF1722" s="227"/>
      <c r="ACG1722" s="227"/>
      <c r="ACH1722" s="227"/>
      <c r="ACI1722" s="227"/>
      <c r="ACJ1722" s="227"/>
      <c r="ACK1722" s="227"/>
      <c r="ACL1722" s="227"/>
      <c r="ACM1722" s="227"/>
      <c r="ACN1722" s="227"/>
      <c r="ACO1722" s="227"/>
      <c r="ACP1722" s="227"/>
      <c r="ACQ1722" s="227"/>
      <c r="ACR1722" s="227"/>
      <c r="ACS1722" s="227"/>
      <c r="ACT1722" s="227"/>
      <c r="ACU1722" s="227"/>
      <c r="ACV1722" s="227"/>
      <c r="ACW1722" s="227"/>
      <c r="ACX1722" s="227"/>
      <c r="ACY1722" s="227"/>
      <c r="ACZ1722" s="227"/>
      <c r="ADA1722" s="227"/>
      <c r="ADB1722" s="227"/>
      <c r="ADC1722" s="227"/>
      <c r="ADD1722" s="227"/>
      <c r="ADE1722" s="227"/>
      <c r="ADF1722" s="227"/>
      <c r="ADG1722" s="227"/>
      <c r="ADH1722" s="227"/>
      <c r="ADI1722" s="227"/>
      <c r="ADJ1722" s="227"/>
      <c r="ADK1722" s="227"/>
      <c r="ADL1722" s="227"/>
      <c r="ADM1722" s="227"/>
      <c r="ADN1722" s="227"/>
      <c r="ADO1722" s="227"/>
      <c r="ADP1722" s="227"/>
      <c r="ADQ1722" s="227"/>
      <c r="ADR1722" s="227"/>
      <c r="ADS1722" s="227"/>
      <c r="ADT1722" s="227"/>
      <c r="ADU1722" s="227"/>
      <c r="ADV1722" s="227"/>
      <c r="ADW1722" s="227"/>
      <c r="ADX1722" s="227"/>
      <c r="ADY1722" s="227"/>
      <c r="ADZ1722" s="227"/>
      <c r="AEA1722" s="227"/>
      <c r="AEB1722" s="227"/>
      <c r="AEC1722" s="227"/>
      <c r="AED1722" s="227"/>
      <c r="AEE1722" s="227"/>
      <c r="AEF1722" s="227"/>
      <c r="AEG1722" s="227"/>
      <c r="AEH1722" s="227"/>
      <c r="AEI1722" s="227"/>
      <c r="AEJ1722" s="227"/>
      <c r="AEK1722" s="227"/>
      <c r="AEL1722" s="227"/>
      <c r="AEM1722" s="227"/>
      <c r="AEN1722" s="227"/>
      <c r="AEO1722" s="227"/>
      <c r="AEP1722" s="227"/>
      <c r="AEQ1722" s="227"/>
      <c r="AER1722" s="227"/>
      <c r="AES1722" s="227"/>
      <c r="AET1722" s="227"/>
      <c r="AEU1722" s="227"/>
      <c r="AEV1722" s="227"/>
      <c r="AEW1722" s="227"/>
      <c r="AEX1722" s="227"/>
      <c r="AEY1722" s="227"/>
      <c r="AEZ1722" s="227"/>
      <c r="AFA1722" s="227"/>
      <c r="AFB1722" s="227"/>
      <c r="AFC1722" s="227"/>
      <c r="AFD1722" s="227"/>
      <c r="AFE1722" s="227"/>
      <c r="AFF1722" s="227"/>
      <c r="AFG1722" s="227"/>
      <c r="AFH1722" s="227"/>
      <c r="AFI1722" s="227"/>
      <c r="AFJ1722" s="227"/>
      <c r="AFK1722" s="227"/>
      <c r="AFL1722" s="227"/>
      <c r="AFM1722" s="227"/>
      <c r="AFN1722" s="227"/>
      <c r="AFO1722" s="227"/>
      <c r="AFP1722" s="227"/>
      <c r="AFQ1722" s="227"/>
      <c r="AFR1722" s="227"/>
      <c r="AFS1722" s="227"/>
      <c r="AFT1722" s="227"/>
      <c r="AFU1722" s="227"/>
      <c r="AFV1722" s="227"/>
      <c r="AFW1722" s="227"/>
      <c r="AFX1722" s="227"/>
      <c r="AFY1722" s="227"/>
      <c r="AFZ1722" s="227"/>
      <c r="AGA1722" s="227"/>
      <c r="AGB1722" s="227"/>
      <c r="AGC1722" s="227"/>
      <c r="AGD1722" s="227"/>
      <c r="AGE1722" s="227"/>
      <c r="AGF1722" s="227"/>
      <c r="AGG1722" s="227"/>
      <c r="AGH1722" s="227"/>
      <c r="AGI1722" s="227"/>
      <c r="AGJ1722" s="227"/>
      <c r="AGK1722" s="227"/>
      <c r="AGL1722" s="227"/>
      <c r="AGM1722" s="227"/>
      <c r="AGN1722" s="227"/>
      <c r="AGO1722" s="227"/>
      <c r="AGP1722" s="227"/>
      <c r="AGQ1722" s="227"/>
      <c r="AGR1722" s="227"/>
      <c r="AGS1722" s="227"/>
      <c r="AGT1722" s="227"/>
      <c r="AGU1722" s="227"/>
      <c r="AGV1722" s="227"/>
      <c r="AGW1722" s="227"/>
      <c r="AGX1722" s="227"/>
      <c r="AGY1722" s="227"/>
      <c r="AGZ1722" s="227"/>
      <c r="AHA1722" s="227"/>
      <c r="AHB1722" s="227"/>
      <c r="AHC1722" s="227"/>
      <c r="AHD1722" s="227"/>
      <c r="AHE1722" s="227"/>
      <c r="AHF1722" s="227"/>
      <c r="AHG1722" s="227"/>
      <c r="AHH1722" s="227"/>
      <c r="AHI1722" s="227"/>
      <c r="AHJ1722" s="227"/>
      <c r="AHK1722" s="227"/>
      <c r="AHL1722" s="227"/>
      <c r="AHM1722" s="227"/>
      <c r="AHN1722" s="227"/>
      <c r="AHO1722" s="227"/>
      <c r="AHP1722" s="227"/>
      <c r="AHQ1722" s="227"/>
      <c r="AHR1722" s="227"/>
      <c r="AHS1722" s="227"/>
      <c r="AHT1722" s="227"/>
      <c r="AHU1722" s="227"/>
      <c r="AHV1722" s="227"/>
      <c r="AHW1722" s="227"/>
      <c r="AHX1722" s="227"/>
      <c r="AHY1722" s="227"/>
      <c r="AHZ1722" s="227"/>
      <c r="AIA1722" s="227"/>
      <c r="AIB1722" s="227"/>
      <c r="AIC1722" s="227"/>
      <c r="AID1722" s="227"/>
      <c r="AIE1722" s="227"/>
      <c r="AIF1722" s="227"/>
      <c r="AIG1722" s="227"/>
      <c r="AIH1722" s="227"/>
      <c r="AII1722" s="227"/>
      <c r="AIJ1722" s="227"/>
      <c r="AIK1722" s="227"/>
      <c r="AIL1722" s="227"/>
      <c r="AIM1722" s="227"/>
      <c r="AIN1722" s="227"/>
      <c r="AIO1722" s="227"/>
      <c r="AIP1722" s="227"/>
      <c r="AIQ1722" s="227"/>
      <c r="AIR1722" s="227"/>
      <c r="AIS1722" s="227"/>
      <c r="AIT1722" s="227"/>
      <c r="AIU1722" s="227"/>
      <c r="AIV1722" s="227"/>
      <c r="AIW1722" s="227"/>
      <c r="AIX1722" s="227"/>
      <c r="AIY1722" s="227"/>
      <c r="AIZ1722" s="227"/>
      <c r="AJA1722" s="227"/>
      <c r="AJB1722" s="227"/>
      <c r="AJC1722" s="227"/>
      <c r="AJD1722" s="227"/>
      <c r="AJE1722" s="227"/>
      <c r="AJF1722" s="227"/>
      <c r="AJG1722" s="227"/>
      <c r="AJH1722" s="227"/>
      <c r="AJI1722" s="227"/>
      <c r="AJJ1722" s="227"/>
      <c r="AJK1722" s="227"/>
      <c r="AJL1722" s="227"/>
      <c r="AJM1722" s="227"/>
      <c r="AJN1722" s="227"/>
      <c r="AJO1722" s="227"/>
      <c r="AJP1722" s="227"/>
      <c r="AJQ1722" s="227"/>
      <c r="AJR1722" s="227"/>
      <c r="AJS1722" s="227"/>
      <c r="AJT1722" s="227"/>
      <c r="AJU1722" s="227"/>
      <c r="AJV1722" s="227"/>
      <c r="AJW1722" s="227"/>
      <c r="AJX1722" s="227"/>
      <c r="AJY1722" s="227"/>
      <c r="AJZ1722" s="227"/>
      <c r="AKA1722" s="227"/>
      <c r="AKB1722" s="227"/>
      <c r="AKC1722" s="227"/>
      <c r="AKD1722" s="227"/>
      <c r="AKE1722" s="227"/>
      <c r="AKF1722" s="227"/>
      <c r="AKG1722" s="227"/>
      <c r="AKH1722" s="227"/>
      <c r="AKI1722" s="227"/>
      <c r="AKJ1722" s="227"/>
      <c r="AKK1722" s="227"/>
      <c r="AKL1722" s="227"/>
      <c r="AKM1722" s="227"/>
      <c r="AKN1722" s="227"/>
      <c r="AKO1722" s="227"/>
      <c r="AKP1722" s="227"/>
      <c r="AKQ1722" s="227"/>
      <c r="AKR1722" s="227"/>
      <c r="AKS1722" s="227"/>
      <c r="AKT1722" s="227"/>
      <c r="AKU1722" s="227"/>
      <c r="AKV1722" s="227"/>
      <c r="AKW1722" s="227"/>
      <c r="AKX1722" s="227"/>
      <c r="AKY1722" s="227"/>
      <c r="AKZ1722" s="227"/>
      <c r="ALA1722" s="227"/>
      <c r="ALB1722" s="227"/>
      <c r="ALC1722" s="227"/>
      <c r="ALD1722" s="227"/>
      <c r="ALE1722" s="227"/>
      <c r="ALF1722" s="227"/>
      <c r="ALG1722" s="227"/>
      <c r="ALH1722" s="227"/>
      <c r="ALI1722" s="227"/>
      <c r="ALJ1722" s="227"/>
      <c r="ALK1722" s="227"/>
      <c r="ALL1722" s="227"/>
      <c r="ALM1722" s="227"/>
      <c r="ALN1722" s="227"/>
      <c r="ALO1722" s="227"/>
      <c r="ALP1722" s="227"/>
      <c r="ALQ1722" s="227"/>
      <c r="ALR1722" s="227"/>
      <c r="ALS1722" s="227"/>
      <c r="ALT1722" s="227"/>
      <c r="ALU1722" s="227"/>
      <c r="ALV1722" s="227"/>
      <c r="ALW1722" s="227"/>
      <c r="ALX1722" s="227"/>
      <c r="ALY1722" s="227"/>
      <c r="ALZ1722" s="227"/>
      <c r="AMA1722" s="227"/>
      <c r="AMB1722" s="227"/>
      <c r="AMC1722" s="227"/>
      <c r="AMD1722" s="227"/>
      <c r="AME1722" s="227"/>
      <c r="AMF1722" s="227"/>
      <c r="AMG1722" s="227"/>
      <c r="AMH1722" s="227"/>
      <c r="AMI1722" s="227"/>
      <c r="AMJ1722" s="227"/>
      <c r="AMK1722" s="227"/>
      <c r="AML1722" s="227"/>
      <c r="AMM1722" s="227"/>
      <c r="AMN1722" s="227"/>
      <c r="AMO1722" s="227"/>
      <c r="AMP1722" s="227"/>
      <c r="AMQ1722" s="227"/>
      <c r="AMR1722" s="227"/>
      <c r="AMS1722" s="227"/>
      <c r="AMT1722" s="227"/>
      <c r="AMU1722" s="227"/>
      <c r="AMV1722" s="227"/>
      <c r="AMW1722" s="227"/>
      <c r="AMX1722" s="227"/>
      <c r="AMY1722" s="227"/>
      <c r="AMZ1722" s="227"/>
      <c r="ANA1722" s="227"/>
      <c r="ANB1722" s="227"/>
      <c r="ANC1722" s="227"/>
      <c r="AND1722" s="227"/>
      <c r="ANE1722" s="227"/>
      <c r="ANF1722" s="227"/>
      <c r="ANG1722" s="227"/>
      <c r="ANH1722" s="227"/>
      <c r="ANI1722" s="227"/>
      <c r="ANJ1722" s="227"/>
      <c r="ANK1722" s="227"/>
      <c r="ANL1722" s="227"/>
      <c r="ANM1722" s="227"/>
      <c r="ANN1722" s="227"/>
      <c r="ANO1722" s="227"/>
      <c r="ANP1722" s="227"/>
      <c r="ANQ1722" s="227"/>
      <c r="ANR1722" s="227"/>
      <c r="ANS1722" s="227"/>
      <c r="ANT1722" s="227"/>
      <c r="ANU1722" s="227"/>
      <c r="ANV1722" s="227"/>
      <c r="ANW1722" s="227"/>
      <c r="ANX1722" s="227"/>
      <c r="ANY1722" s="227"/>
      <c r="ANZ1722" s="227"/>
      <c r="AOA1722" s="227"/>
      <c r="AOB1722" s="227"/>
      <c r="AOC1722" s="227"/>
      <c r="AOD1722" s="227"/>
      <c r="AOE1722" s="227"/>
      <c r="AOF1722" s="227"/>
      <c r="AOG1722" s="227"/>
      <c r="AOH1722" s="227"/>
      <c r="AOI1722" s="227"/>
      <c r="AOJ1722" s="227"/>
      <c r="AOK1722" s="227"/>
      <c r="AOL1722" s="227"/>
      <c r="AOM1722" s="227"/>
      <c r="AON1722" s="227"/>
      <c r="AOO1722" s="227"/>
      <c r="AOP1722" s="227"/>
      <c r="AOQ1722" s="227"/>
      <c r="AOR1722" s="227"/>
      <c r="AOS1722" s="227"/>
      <c r="AOT1722" s="227"/>
      <c r="AOU1722" s="227"/>
      <c r="AOV1722" s="227"/>
      <c r="AOW1722" s="227"/>
      <c r="AOX1722" s="227"/>
      <c r="AOY1722" s="227"/>
      <c r="AOZ1722" s="227"/>
      <c r="APA1722" s="227"/>
      <c r="APB1722" s="227"/>
      <c r="APC1722" s="227"/>
      <c r="APD1722" s="227"/>
      <c r="APE1722" s="227"/>
      <c r="APF1722" s="227"/>
      <c r="APG1722" s="227"/>
      <c r="APH1722" s="227"/>
      <c r="API1722" s="227"/>
      <c r="APJ1722" s="227"/>
      <c r="APK1722" s="227"/>
      <c r="APL1722" s="227"/>
      <c r="APM1722" s="227"/>
      <c r="APN1722" s="227"/>
      <c r="APO1722" s="227"/>
      <c r="APP1722" s="227"/>
      <c r="APQ1722" s="227"/>
      <c r="APR1722" s="227"/>
      <c r="APS1722" s="227"/>
      <c r="APT1722" s="227"/>
      <c r="APU1722" s="227"/>
      <c r="APV1722" s="227"/>
      <c r="APW1722" s="227"/>
      <c r="APX1722" s="227"/>
      <c r="APY1722" s="227"/>
      <c r="APZ1722" s="227"/>
      <c r="AQA1722" s="227"/>
      <c r="AQB1722" s="227"/>
      <c r="AQC1722" s="227"/>
      <c r="AQD1722" s="227"/>
      <c r="AQE1722" s="227"/>
      <c r="AQF1722" s="227"/>
      <c r="AQG1722" s="227"/>
      <c r="AQH1722" s="227"/>
      <c r="AQI1722" s="227"/>
      <c r="AQJ1722" s="227"/>
      <c r="AQK1722" s="227"/>
      <c r="AQL1722" s="227"/>
      <c r="AQM1722" s="227"/>
      <c r="AQN1722" s="227"/>
      <c r="AQO1722" s="227"/>
      <c r="AQP1722" s="227"/>
      <c r="AQQ1722" s="227"/>
      <c r="AQR1722" s="227"/>
      <c r="AQS1722" s="227"/>
      <c r="AQT1722" s="227"/>
      <c r="AQU1722" s="227"/>
      <c r="AQV1722" s="227"/>
      <c r="AQW1722" s="227"/>
      <c r="AQX1722" s="227"/>
      <c r="AQY1722" s="227"/>
      <c r="AQZ1722" s="227"/>
      <c r="ARA1722" s="227"/>
      <c r="ARB1722" s="227"/>
      <c r="ARC1722" s="227"/>
      <c r="ARD1722" s="227"/>
      <c r="ARE1722" s="227"/>
      <c r="ARF1722" s="227"/>
      <c r="ARG1722" s="227"/>
      <c r="ARH1722" s="227"/>
      <c r="ARI1722" s="227"/>
      <c r="ARJ1722" s="227"/>
      <c r="ARK1722" s="227"/>
      <c r="ARL1722" s="227"/>
      <c r="ARM1722" s="227"/>
      <c r="ARN1722" s="227"/>
      <c r="ARO1722" s="227"/>
      <c r="ARP1722" s="227"/>
      <c r="ARQ1722" s="227"/>
      <c r="ARR1722" s="227"/>
      <c r="ARS1722" s="227"/>
      <c r="ART1722" s="227"/>
      <c r="ARU1722" s="227"/>
      <c r="ARV1722" s="227"/>
      <c r="ARW1722" s="227"/>
      <c r="ARX1722" s="227"/>
      <c r="ARY1722" s="227"/>
      <c r="ARZ1722" s="227"/>
      <c r="ASA1722" s="227"/>
      <c r="ASB1722" s="227"/>
      <c r="ASC1722" s="227"/>
      <c r="ASD1722" s="227"/>
      <c r="ASE1722" s="227"/>
      <c r="ASF1722" s="227"/>
      <c r="ASG1722" s="227"/>
      <c r="ASH1722" s="227"/>
      <c r="ASI1722" s="227"/>
      <c r="ASJ1722" s="227"/>
      <c r="ASK1722" s="227"/>
      <c r="ASL1722" s="227"/>
      <c r="ASM1722" s="227"/>
      <c r="ASN1722" s="227"/>
      <c r="ASO1722" s="227"/>
      <c r="ASP1722" s="227"/>
      <c r="ASQ1722" s="227"/>
      <c r="ASR1722" s="227"/>
      <c r="ASS1722" s="227"/>
      <c r="AST1722" s="227"/>
      <c r="ASU1722" s="227"/>
      <c r="ASV1722" s="227"/>
      <c r="ASW1722" s="227"/>
      <c r="ASX1722" s="227"/>
      <c r="ASY1722" s="227"/>
      <c r="ASZ1722" s="227"/>
      <c r="ATA1722" s="227"/>
      <c r="ATB1722" s="227"/>
      <c r="ATC1722" s="227"/>
      <c r="ATD1722" s="227"/>
      <c r="ATE1722" s="227"/>
      <c r="ATF1722" s="227"/>
      <c r="ATG1722" s="227"/>
      <c r="ATH1722" s="227"/>
      <c r="ATI1722" s="227"/>
      <c r="ATJ1722" s="227"/>
      <c r="ATK1722" s="227"/>
      <c r="ATL1722" s="227"/>
      <c r="ATM1722" s="227"/>
      <c r="ATN1722" s="227"/>
      <c r="ATO1722" s="227"/>
      <c r="ATP1722" s="227"/>
      <c r="ATQ1722" s="227"/>
      <c r="ATR1722" s="227"/>
      <c r="ATS1722" s="227"/>
      <c r="ATT1722" s="227"/>
      <c r="ATU1722" s="227"/>
      <c r="ATV1722" s="227"/>
      <c r="ATW1722" s="227"/>
      <c r="ATX1722" s="227"/>
      <c r="ATY1722" s="227"/>
      <c r="ATZ1722" s="227"/>
      <c r="AUA1722" s="227"/>
      <c r="AUB1722" s="227"/>
      <c r="AUC1722" s="227"/>
      <c r="AUD1722" s="227"/>
      <c r="AUE1722" s="227"/>
      <c r="AUF1722" s="227"/>
      <c r="AUG1722" s="227"/>
      <c r="AUH1722" s="227"/>
      <c r="AUI1722" s="227"/>
      <c r="AUJ1722" s="227"/>
      <c r="AUK1722" s="227"/>
      <c r="AUL1722" s="227"/>
      <c r="AUM1722" s="227"/>
      <c r="AUN1722" s="227"/>
      <c r="AUO1722" s="227"/>
      <c r="AUP1722" s="227"/>
      <c r="AUQ1722" s="227"/>
      <c r="AUR1722" s="227"/>
      <c r="AUS1722" s="227"/>
      <c r="AUT1722" s="227"/>
      <c r="AUU1722" s="227"/>
      <c r="AUV1722" s="227"/>
      <c r="AUW1722" s="227"/>
      <c r="AUX1722" s="227"/>
      <c r="AUY1722" s="227"/>
      <c r="AUZ1722" s="227"/>
      <c r="AVA1722" s="227"/>
      <c r="AVB1722" s="227"/>
      <c r="AVC1722" s="227"/>
      <c r="AVD1722" s="227"/>
      <c r="AVE1722" s="227"/>
      <c r="AVF1722" s="227"/>
      <c r="AVG1722" s="227"/>
      <c r="AVH1722" s="227"/>
      <c r="AVI1722" s="227"/>
      <c r="AVJ1722" s="227"/>
      <c r="AVK1722" s="227"/>
      <c r="AVL1722" s="227"/>
      <c r="AVM1722" s="227"/>
      <c r="AVN1722" s="227"/>
      <c r="AVO1722" s="227"/>
      <c r="AVP1722" s="227"/>
      <c r="AVQ1722" s="227"/>
      <c r="AVR1722" s="227"/>
      <c r="AVS1722" s="227"/>
      <c r="AVT1722" s="227"/>
      <c r="AVU1722" s="227"/>
      <c r="AVV1722" s="227"/>
      <c r="AVW1722" s="227"/>
      <c r="AVX1722" s="227"/>
      <c r="AVY1722" s="227"/>
      <c r="AVZ1722" s="227"/>
      <c r="AWA1722" s="227"/>
      <c r="AWB1722" s="227"/>
      <c r="AWC1722" s="227"/>
      <c r="AWD1722" s="227"/>
      <c r="AWE1722" s="227"/>
      <c r="AWF1722" s="227"/>
      <c r="AWG1722" s="227"/>
      <c r="AWH1722" s="227"/>
      <c r="AWI1722" s="227"/>
      <c r="AWJ1722" s="227"/>
      <c r="AWK1722" s="227"/>
      <c r="AWL1722" s="227"/>
      <c r="AWM1722" s="227"/>
      <c r="AWN1722" s="227"/>
      <c r="AWO1722" s="227"/>
      <c r="AWP1722" s="227"/>
      <c r="AWQ1722" s="227"/>
      <c r="AWR1722" s="227"/>
      <c r="AWS1722" s="227"/>
      <c r="AWT1722" s="227"/>
      <c r="AWU1722" s="227"/>
      <c r="AWV1722" s="227"/>
      <c r="AWW1722" s="227"/>
      <c r="AWX1722" s="227"/>
      <c r="AWY1722" s="227"/>
      <c r="AWZ1722" s="227"/>
      <c r="AXA1722" s="227"/>
      <c r="AXB1722" s="227"/>
      <c r="AXC1722" s="227"/>
      <c r="AXD1722" s="227"/>
      <c r="AXE1722" s="227"/>
      <c r="AXF1722" s="227"/>
      <c r="AXG1722" s="227"/>
      <c r="AXH1722" s="227"/>
      <c r="AXI1722" s="227"/>
      <c r="AXJ1722" s="227"/>
      <c r="AXK1722" s="227"/>
      <c r="AXL1722" s="227"/>
      <c r="AXM1722" s="227"/>
      <c r="AXN1722" s="227"/>
      <c r="AXO1722" s="227"/>
      <c r="AXP1722" s="227"/>
      <c r="AXQ1722" s="227"/>
      <c r="AXR1722" s="227"/>
      <c r="AXS1722" s="227"/>
      <c r="AXT1722" s="227"/>
      <c r="AXU1722" s="227"/>
      <c r="AXV1722" s="227"/>
      <c r="AXW1722" s="227"/>
      <c r="AXX1722" s="227"/>
      <c r="AXY1722" s="227"/>
      <c r="AXZ1722" s="227"/>
      <c r="AYA1722" s="227"/>
      <c r="AYB1722" s="227"/>
      <c r="AYC1722" s="227"/>
      <c r="AYD1722" s="227"/>
      <c r="AYE1722" s="227"/>
      <c r="AYF1722" s="227"/>
      <c r="AYG1722" s="227"/>
      <c r="AYH1722" s="227"/>
      <c r="AYI1722" s="227"/>
      <c r="AYJ1722" s="227"/>
      <c r="AYK1722" s="227"/>
      <c r="AYL1722" s="227"/>
      <c r="AYM1722" s="227"/>
      <c r="AYN1722" s="227"/>
      <c r="AYO1722" s="227"/>
      <c r="AYP1722" s="227"/>
      <c r="AYQ1722" s="227"/>
      <c r="AYR1722" s="227"/>
      <c r="AYS1722" s="227"/>
      <c r="AYT1722" s="227"/>
      <c r="AYU1722" s="227"/>
      <c r="AYV1722" s="227"/>
      <c r="AYW1722" s="227"/>
      <c r="AYX1722" s="227"/>
      <c r="AYY1722" s="227"/>
      <c r="AYZ1722" s="227"/>
      <c r="AZA1722" s="227"/>
      <c r="AZB1722" s="227"/>
      <c r="AZC1722" s="227"/>
      <c r="AZD1722" s="227"/>
      <c r="AZE1722" s="227"/>
      <c r="AZF1722" s="227"/>
      <c r="AZG1722" s="227"/>
      <c r="AZH1722" s="227"/>
      <c r="AZI1722" s="227"/>
      <c r="AZJ1722" s="227"/>
      <c r="AZK1722" s="227"/>
      <c r="AZL1722" s="227"/>
      <c r="AZM1722" s="227"/>
      <c r="AZN1722" s="227"/>
      <c r="AZO1722" s="227"/>
      <c r="AZP1722" s="227"/>
      <c r="AZQ1722" s="227"/>
      <c r="AZR1722" s="227"/>
      <c r="AZS1722" s="227"/>
      <c r="AZT1722" s="227"/>
      <c r="AZU1722" s="227"/>
      <c r="AZV1722" s="227"/>
      <c r="AZW1722" s="227"/>
      <c r="AZX1722" s="227"/>
      <c r="AZY1722" s="227"/>
      <c r="AZZ1722" s="227"/>
      <c r="BAA1722" s="227"/>
      <c r="BAB1722" s="227"/>
      <c r="BAC1722" s="227"/>
      <c r="BAD1722" s="227"/>
      <c r="BAE1722" s="227"/>
      <c r="BAF1722" s="227"/>
      <c r="BAG1722" s="227"/>
      <c r="BAH1722" s="227"/>
      <c r="BAI1722" s="227"/>
      <c r="BAJ1722" s="227"/>
      <c r="BAK1722" s="227"/>
      <c r="BAL1722" s="227"/>
      <c r="BAM1722" s="227"/>
      <c r="BAN1722" s="227"/>
      <c r="BAO1722" s="227"/>
      <c r="BAP1722" s="227"/>
      <c r="BAQ1722" s="227"/>
      <c r="BAR1722" s="227"/>
      <c r="BAS1722" s="227"/>
      <c r="BAT1722" s="227"/>
      <c r="BAU1722" s="227"/>
      <c r="BAV1722" s="227"/>
      <c r="BAW1722" s="227"/>
      <c r="BAX1722" s="227"/>
      <c r="BAY1722" s="227"/>
      <c r="BAZ1722" s="227"/>
      <c r="BBA1722" s="227"/>
      <c r="BBB1722" s="227"/>
      <c r="BBC1722" s="227"/>
      <c r="BBD1722" s="227"/>
      <c r="BBE1722" s="227"/>
      <c r="BBF1722" s="227"/>
      <c r="BBG1722" s="227"/>
      <c r="BBH1722" s="227"/>
      <c r="BBI1722" s="227"/>
      <c r="BBJ1722" s="227"/>
      <c r="BBK1722" s="227"/>
      <c r="BBL1722" s="227"/>
      <c r="BBM1722" s="227"/>
      <c r="BBN1722" s="227"/>
      <c r="BBO1722" s="227"/>
      <c r="BBP1722" s="227"/>
      <c r="BBQ1722" s="227"/>
      <c r="BBR1722" s="227"/>
      <c r="BBS1722" s="227"/>
      <c r="BBT1722" s="227"/>
      <c r="BBU1722" s="227"/>
      <c r="BBV1722" s="227"/>
      <c r="BBW1722" s="227"/>
      <c r="BBX1722" s="227"/>
      <c r="BBY1722" s="227"/>
      <c r="BBZ1722" s="227"/>
      <c r="BCA1722" s="227"/>
      <c r="BCB1722" s="227"/>
      <c r="BCC1722" s="227"/>
      <c r="BCD1722" s="227"/>
      <c r="BCE1722" s="227"/>
      <c r="BCF1722" s="227"/>
      <c r="BCG1722" s="227"/>
      <c r="BCH1722" s="227"/>
      <c r="BCI1722" s="227"/>
      <c r="BCJ1722" s="227"/>
      <c r="BCK1722" s="227"/>
      <c r="BCL1722" s="227"/>
      <c r="BCM1722" s="227"/>
      <c r="BCN1722" s="227"/>
      <c r="BCO1722" s="227"/>
      <c r="BCP1722" s="227"/>
      <c r="BCQ1722" s="227"/>
      <c r="BCR1722" s="227"/>
      <c r="BCS1722" s="227"/>
      <c r="BCT1722" s="227"/>
      <c r="BCU1722" s="227"/>
      <c r="BCV1722" s="227"/>
      <c r="BCW1722" s="227"/>
      <c r="BCX1722" s="227"/>
      <c r="BCY1722" s="227"/>
      <c r="BCZ1722" s="227"/>
      <c r="BDA1722" s="227"/>
      <c r="BDB1722" s="227"/>
      <c r="BDC1722" s="227"/>
      <c r="BDD1722" s="227"/>
      <c r="BDE1722" s="227"/>
      <c r="BDF1722" s="227"/>
      <c r="BDG1722" s="227"/>
      <c r="BDH1722" s="227"/>
      <c r="BDI1722" s="227"/>
      <c r="BDJ1722" s="227"/>
      <c r="BDK1722" s="227"/>
      <c r="BDL1722" s="227"/>
      <c r="BDM1722" s="227"/>
      <c r="BDN1722" s="227"/>
      <c r="BDO1722" s="227"/>
      <c r="BDP1722" s="227"/>
      <c r="BDQ1722" s="227"/>
      <c r="BDR1722" s="227"/>
      <c r="BDS1722" s="227"/>
      <c r="BDT1722" s="227"/>
      <c r="BDU1722" s="227"/>
      <c r="BDV1722" s="227"/>
      <c r="BDW1722" s="227"/>
      <c r="BDX1722" s="227"/>
      <c r="BDY1722" s="227"/>
      <c r="BDZ1722" s="227"/>
      <c r="BEA1722" s="227"/>
      <c r="BEB1722" s="227"/>
      <c r="BEC1722" s="227"/>
      <c r="BED1722" s="227"/>
      <c r="BEE1722" s="227"/>
      <c r="BEF1722" s="227"/>
      <c r="BEG1722" s="227"/>
      <c r="BEH1722" s="227"/>
      <c r="BEI1722" s="227"/>
      <c r="BEJ1722" s="227"/>
      <c r="BEK1722" s="227"/>
      <c r="BEL1722" s="227"/>
      <c r="BEM1722" s="227"/>
      <c r="BEN1722" s="227"/>
      <c r="BEO1722" s="227"/>
      <c r="BEP1722" s="227"/>
      <c r="BEQ1722" s="227"/>
      <c r="BER1722" s="227"/>
      <c r="BES1722" s="227"/>
      <c r="BET1722" s="227"/>
      <c r="BEU1722" s="227"/>
      <c r="BEV1722" s="227"/>
      <c r="BEW1722" s="227"/>
      <c r="BEX1722" s="227"/>
      <c r="BEY1722" s="227"/>
      <c r="BEZ1722" s="227"/>
      <c r="BFA1722" s="227"/>
      <c r="BFB1722" s="227"/>
      <c r="BFC1722" s="227"/>
      <c r="BFD1722" s="227"/>
      <c r="BFE1722" s="227"/>
      <c r="BFF1722" s="227"/>
      <c r="BFG1722" s="227"/>
      <c r="BFH1722" s="227"/>
      <c r="BFI1722" s="227"/>
      <c r="BFJ1722" s="227"/>
      <c r="BFK1722" s="227"/>
      <c r="BFL1722" s="227"/>
      <c r="BFM1722" s="227"/>
      <c r="BFN1722" s="227"/>
      <c r="BFO1722" s="227"/>
      <c r="BFP1722" s="227"/>
      <c r="BFQ1722" s="227"/>
      <c r="BFR1722" s="227"/>
      <c r="BFS1722" s="227"/>
      <c r="BFT1722" s="227"/>
      <c r="BFU1722" s="227"/>
      <c r="BFV1722" s="227"/>
      <c r="BFW1722" s="227"/>
      <c r="BFX1722" s="227"/>
      <c r="BFY1722" s="227"/>
      <c r="BFZ1722" s="227"/>
      <c r="BGA1722" s="227"/>
      <c r="BGB1722" s="227"/>
      <c r="BGC1722" s="227"/>
      <c r="BGD1722" s="227"/>
      <c r="BGE1722" s="227"/>
      <c r="BGF1722" s="227"/>
      <c r="BGG1722" s="227"/>
      <c r="BGH1722" s="227"/>
      <c r="BGI1722" s="227"/>
      <c r="BGJ1722" s="227"/>
      <c r="BGK1722" s="227"/>
      <c r="BGL1722" s="227"/>
      <c r="BGM1722" s="227"/>
      <c r="BGN1722" s="227"/>
      <c r="BGO1722" s="227"/>
      <c r="BGP1722" s="227"/>
      <c r="BGQ1722" s="227"/>
      <c r="BGR1722" s="227"/>
      <c r="BGS1722" s="227"/>
      <c r="BGT1722" s="227"/>
      <c r="BGU1722" s="227"/>
      <c r="BGV1722" s="227"/>
      <c r="BGW1722" s="227"/>
      <c r="BGX1722" s="227"/>
      <c r="BGY1722" s="227"/>
      <c r="BGZ1722" s="227"/>
      <c r="BHA1722" s="227"/>
      <c r="BHB1722" s="227"/>
      <c r="BHC1722" s="227"/>
      <c r="BHD1722" s="227"/>
      <c r="BHE1722" s="227"/>
      <c r="BHF1722" s="227"/>
      <c r="BHG1722" s="227"/>
      <c r="BHH1722" s="227"/>
      <c r="BHI1722" s="227"/>
      <c r="BHJ1722" s="227"/>
      <c r="BHK1722" s="227"/>
      <c r="BHL1722" s="227"/>
      <c r="BHM1722" s="227"/>
      <c r="BHN1722" s="227"/>
      <c r="BHO1722" s="227"/>
      <c r="BHP1722" s="227"/>
      <c r="BHQ1722" s="227"/>
      <c r="BHR1722" s="227"/>
      <c r="BHS1722" s="227"/>
      <c r="BHT1722" s="227"/>
      <c r="BHU1722" s="227"/>
      <c r="BHV1722" s="227"/>
      <c r="BHW1722" s="227"/>
      <c r="BHX1722" s="227"/>
      <c r="BHY1722" s="227"/>
      <c r="BHZ1722" s="227"/>
      <c r="BIA1722" s="227"/>
      <c r="BIB1722" s="227"/>
      <c r="BIC1722" s="227"/>
      <c r="BID1722" s="227"/>
      <c r="BIE1722" s="227"/>
      <c r="BIF1722" s="227"/>
      <c r="BIG1722" s="227"/>
      <c r="BIH1722" s="227"/>
      <c r="BII1722" s="227"/>
      <c r="BIJ1722" s="227"/>
      <c r="BIK1722" s="227"/>
      <c r="BIL1722" s="227"/>
      <c r="BIM1722" s="227"/>
      <c r="BIN1722" s="227"/>
      <c r="BIO1722" s="227"/>
      <c r="BIP1722" s="227"/>
      <c r="BIQ1722" s="227"/>
      <c r="BIR1722" s="227"/>
      <c r="BIS1722" s="227"/>
      <c r="BIT1722" s="227"/>
      <c r="BIU1722" s="227"/>
      <c r="BIV1722" s="227"/>
      <c r="BIW1722" s="227"/>
      <c r="BIX1722" s="227"/>
      <c r="BIY1722" s="227"/>
      <c r="BIZ1722" s="227"/>
      <c r="BJA1722" s="227"/>
      <c r="BJB1722" s="227"/>
      <c r="BJC1722" s="227"/>
      <c r="BJD1722" s="227"/>
      <c r="BJE1722" s="227"/>
      <c r="BJF1722" s="227"/>
      <c r="BJG1722" s="227"/>
      <c r="BJH1722" s="227"/>
      <c r="BJI1722" s="227"/>
      <c r="BJJ1722" s="227"/>
      <c r="BJK1722" s="227"/>
      <c r="BJL1722" s="227"/>
      <c r="BJM1722" s="227"/>
      <c r="BJN1722" s="227"/>
      <c r="BJO1722" s="227"/>
      <c r="BJP1722" s="227"/>
      <c r="BJQ1722" s="227"/>
      <c r="BJR1722" s="227"/>
      <c r="BJS1722" s="227"/>
      <c r="BJT1722" s="227"/>
      <c r="BJU1722" s="227"/>
      <c r="BJV1722" s="227"/>
      <c r="BJW1722" s="227"/>
      <c r="BJX1722" s="227"/>
      <c r="BJY1722" s="227"/>
      <c r="BJZ1722" s="227"/>
      <c r="BKA1722" s="227"/>
      <c r="BKB1722" s="227"/>
      <c r="BKC1722" s="227"/>
      <c r="BKD1722" s="227"/>
      <c r="BKE1722" s="227"/>
      <c r="BKF1722" s="227"/>
      <c r="BKG1722" s="227"/>
      <c r="BKH1722" s="227"/>
      <c r="BKI1722" s="227"/>
      <c r="BKJ1722" s="227"/>
      <c r="BKK1722" s="227"/>
      <c r="BKL1722" s="227"/>
      <c r="BKM1722" s="227"/>
      <c r="BKN1722" s="227"/>
      <c r="BKO1722" s="227"/>
      <c r="BKP1722" s="227"/>
      <c r="BKQ1722" s="227"/>
      <c r="BKR1722" s="227"/>
      <c r="BKS1722" s="227"/>
      <c r="BKT1722" s="227"/>
      <c r="BKU1722" s="227"/>
      <c r="BKV1722" s="227"/>
      <c r="BKW1722" s="227"/>
      <c r="BKX1722" s="227"/>
      <c r="BKY1722" s="227"/>
      <c r="BKZ1722" s="227"/>
      <c r="BLA1722" s="227"/>
      <c r="BLB1722" s="227"/>
      <c r="BLC1722" s="227"/>
      <c r="BLD1722" s="227"/>
      <c r="BLE1722" s="227"/>
      <c r="BLF1722" s="227"/>
      <c r="BLG1722" s="227"/>
      <c r="BLH1722" s="227"/>
      <c r="BLI1722" s="227"/>
      <c r="BLJ1722" s="227"/>
      <c r="BLK1722" s="227"/>
      <c r="BLL1722" s="227"/>
      <c r="BLM1722" s="227"/>
      <c r="BLN1722" s="227"/>
      <c r="BLO1722" s="227"/>
      <c r="BLP1722" s="227"/>
      <c r="BLQ1722" s="227"/>
      <c r="BLR1722" s="227"/>
      <c r="BLS1722" s="227"/>
      <c r="BLT1722" s="227"/>
      <c r="BLU1722" s="227"/>
      <c r="BLV1722" s="227"/>
      <c r="BLW1722" s="227"/>
      <c r="BLX1722" s="227"/>
      <c r="BLY1722" s="227"/>
      <c r="BLZ1722" s="227"/>
      <c r="BMA1722" s="227"/>
      <c r="BMB1722" s="227"/>
      <c r="BMC1722" s="227"/>
      <c r="BMD1722" s="227"/>
      <c r="BME1722" s="227"/>
      <c r="BMF1722" s="227"/>
      <c r="BMG1722" s="227"/>
      <c r="BMH1722" s="227"/>
      <c r="BMI1722" s="227"/>
      <c r="BMJ1722" s="227"/>
      <c r="BMK1722" s="227"/>
      <c r="BML1722" s="227"/>
      <c r="BMM1722" s="227"/>
      <c r="BMN1722" s="227"/>
      <c r="BMO1722" s="227"/>
      <c r="BMP1722" s="227"/>
      <c r="BMQ1722" s="227"/>
      <c r="BMR1722" s="227"/>
      <c r="BMS1722" s="227"/>
      <c r="BMT1722" s="227"/>
      <c r="BMU1722" s="227"/>
      <c r="BMV1722" s="227"/>
      <c r="BMW1722" s="227"/>
      <c r="BMX1722" s="227"/>
      <c r="BMY1722" s="227"/>
      <c r="BMZ1722" s="227"/>
      <c r="BNA1722" s="227"/>
      <c r="BNB1722" s="227"/>
      <c r="BNC1722" s="227"/>
      <c r="BND1722" s="227"/>
      <c r="BNE1722" s="227"/>
      <c r="BNF1722" s="227"/>
      <c r="BNG1722" s="227"/>
      <c r="BNH1722" s="227"/>
      <c r="BNI1722" s="227"/>
      <c r="BNJ1722" s="227"/>
      <c r="BNK1722" s="227"/>
      <c r="BNL1722" s="227"/>
      <c r="BNM1722" s="227"/>
      <c r="BNN1722" s="227"/>
      <c r="BNO1722" s="227"/>
      <c r="BNP1722" s="227"/>
      <c r="BNQ1722" s="227"/>
      <c r="BNR1722" s="227"/>
      <c r="BNS1722" s="227"/>
      <c r="BNT1722" s="227"/>
      <c r="BNU1722" s="227"/>
      <c r="BNV1722" s="227"/>
      <c r="BNW1722" s="227"/>
      <c r="BNX1722" s="227"/>
      <c r="BNY1722" s="227"/>
      <c r="BNZ1722" s="227"/>
      <c r="BOA1722" s="227"/>
      <c r="BOB1722" s="227"/>
      <c r="BOC1722" s="227"/>
      <c r="BOD1722" s="227"/>
      <c r="BOE1722" s="227"/>
      <c r="BOF1722" s="227"/>
      <c r="BOG1722" s="227"/>
      <c r="BOH1722" s="227"/>
      <c r="BOI1722" s="227"/>
      <c r="BOJ1722" s="227"/>
      <c r="BOK1722" s="227"/>
      <c r="BOL1722" s="227"/>
      <c r="BOM1722" s="227"/>
      <c r="BON1722" s="227"/>
      <c r="BOO1722" s="227"/>
      <c r="BOP1722" s="227"/>
      <c r="BOQ1722" s="227"/>
      <c r="BOR1722" s="227"/>
      <c r="BOS1722" s="227"/>
      <c r="BOT1722" s="227"/>
      <c r="BOU1722" s="227"/>
      <c r="BOV1722" s="227"/>
      <c r="BOW1722" s="227"/>
      <c r="BOX1722" s="227"/>
      <c r="BOY1722" s="227"/>
      <c r="BOZ1722" s="227"/>
      <c r="BPA1722" s="227"/>
      <c r="BPB1722" s="227"/>
      <c r="BPC1722" s="227"/>
      <c r="BPD1722" s="227"/>
      <c r="BPE1722" s="227"/>
      <c r="BPF1722" s="227"/>
      <c r="BPG1722" s="227"/>
      <c r="BPH1722" s="227"/>
      <c r="BPI1722" s="227"/>
      <c r="BPJ1722" s="227"/>
      <c r="BPK1722" s="227"/>
      <c r="BPL1722" s="227"/>
      <c r="BPM1722" s="227"/>
      <c r="BPN1722" s="227"/>
      <c r="BPO1722" s="227"/>
      <c r="BPP1722" s="227"/>
      <c r="BPQ1722" s="227"/>
      <c r="BPR1722" s="227"/>
      <c r="BPS1722" s="227"/>
      <c r="BPT1722" s="227"/>
      <c r="BPU1722" s="227"/>
      <c r="BPV1722" s="227"/>
      <c r="BPW1722" s="227"/>
      <c r="BPX1722" s="227"/>
      <c r="BPY1722" s="227"/>
      <c r="BPZ1722" s="227"/>
      <c r="BQA1722" s="227"/>
      <c r="BQB1722" s="227"/>
      <c r="BQC1722" s="227"/>
      <c r="BQD1722" s="227"/>
      <c r="BQE1722" s="227"/>
      <c r="BQF1722" s="227"/>
      <c r="BQG1722" s="227"/>
      <c r="BQH1722" s="227"/>
      <c r="BQI1722" s="227"/>
      <c r="BQJ1722" s="227"/>
      <c r="BQK1722" s="227"/>
      <c r="BQL1722" s="227"/>
      <c r="BQM1722" s="227"/>
      <c r="BQN1722" s="227"/>
      <c r="BQO1722" s="227"/>
      <c r="BQP1722" s="227"/>
      <c r="BQQ1722" s="227"/>
      <c r="BQR1722" s="227"/>
      <c r="BQS1722" s="227"/>
      <c r="BQT1722" s="227"/>
      <c r="BQU1722" s="227"/>
      <c r="BQV1722" s="227"/>
      <c r="BQW1722" s="227"/>
      <c r="BQX1722" s="227"/>
      <c r="BQY1722" s="227"/>
      <c r="BQZ1722" s="227"/>
      <c r="BRA1722" s="227"/>
      <c r="BRB1722" s="227"/>
      <c r="BRC1722" s="227"/>
      <c r="BRD1722" s="227"/>
      <c r="BRE1722" s="227"/>
      <c r="BRF1722" s="227"/>
      <c r="BRG1722" s="227"/>
      <c r="BRH1722" s="227"/>
      <c r="BRI1722" s="227"/>
      <c r="BRJ1722" s="227"/>
      <c r="BRK1722" s="227"/>
      <c r="BRL1722" s="227"/>
      <c r="BRM1722" s="227"/>
      <c r="BRN1722" s="227"/>
      <c r="BRO1722" s="227"/>
      <c r="BRP1722" s="227"/>
      <c r="BRQ1722" s="227"/>
      <c r="BRR1722" s="227"/>
      <c r="BRS1722" s="227"/>
      <c r="BRT1722" s="227"/>
      <c r="BRU1722" s="227"/>
      <c r="BRV1722" s="227"/>
      <c r="BRW1722" s="227"/>
      <c r="BRX1722" s="227"/>
      <c r="BRY1722" s="227"/>
      <c r="BRZ1722" s="227"/>
      <c r="BSA1722" s="227"/>
      <c r="BSB1722" s="227"/>
      <c r="BSC1722" s="227"/>
      <c r="BSD1722" s="227"/>
      <c r="BSE1722" s="227"/>
      <c r="BSF1722" s="227"/>
      <c r="BSG1722" s="227"/>
      <c r="BSH1722" s="227"/>
      <c r="BSI1722" s="227"/>
      <c r="BSJ1722" s="227"/>
      <c r="BSK1722" s="227"/>
      <c r="BSL1722" s="227"/>
      <c r="BSM1722" s="227"/>
      <c r="BSN1722" s="227"/>
      <c r="BSO1722" s="227"/>
      <c r="BSP1722" s="227"/>
      <c r="BSQ1722" s="227"/>
      <c r="BSR1722" s="227"/>
      <c r="BSS1722" s="227"/>
      <c r="BST1722" s="227"/>
      <c r="BSU1722" s="227"/>
      <c r="BSV1722" s="227"/>
      <c r="BSW1722" s="227"/>
      <c r="BSX1722" s="227"/>
      <c r="BSY1722" s="227"/>
      <c r="BSZ1722" s="227"/>
      <c r="BTA1722" s="227"/>
      <c r="BTB1722" s="227"/>
      <c r="BTC1722" s="227"/>
      <c r="BTD1722" s="227"/>
      <c r="BTE1722" s="227"/>
      <c r="BTF1722" s="227"/>
      <c r="BTG1722" s="227"/>
      <c r="BTH1722" s="227"/>
      <c r="BTI1722" s="227"/>
      <c r="BTJ1722" s="227"/>
      <c r="BTK1722" s="227"/>
      <c r="BTL1722" s="227"/>
      <c r="BTM1722" s="227"/>
      <c r="BTN1722" s="227"/>
      <c r="BTO1722" s="227"/>
      <c r="BTP1722" s="227"/>
      <c r="BTQ1722" s="227"/>
      <c r="BTR1722" s="227"/>
      <c r="BTS1722" s="227"/>
      <c r="BTT1722" s="227"/>
      <c r="BTU1722" s="227"/>
      <c r="BTV1722" s="227"/>
      <c r="BTW1722" s="227"/>
      <c r="BTX1722" s="227"/>
      <c r="BTY1722" s="227"/>
      <c r="BTZ1722" s="227"/>
      <c r="BUA1722" s="227"/>
      <c r="BUB1722" s="227"/>
      <c r="BUC1722" s="227"/>
      <c r="BUD1722" s="227"/>
      <c r="BUE1722" s="227"/>
      <c r="BUF1722" s="227"/>
      <c r="BUG1722" s="227"/>
      <c r="BUH1722" s="227"/>
      <c r="BUI1722" s="227"/>
      <c r="BUJ1722" s="227"/>
      <c r="BUK1722" s="227"/>
      <c r="BUL1722" s="227"/>
      <c r="BUM1722" s="227"/>
      <c r="BUN1722" s="227"/>
      <c r="BUO1722" s="227"/>
      <c r="BUP1722" s="227"/>
      <c r="BUQ1722" s="227"/>
      <c r="BUR1722" s="227"/>
      <c r="BUS1722" s="227"/>
      <c r="BUT1722" s="227"/>
      <c r="BUU1722" s="227"/>
      <c r="BUV1722" s="227"/>
      <c r="BUW1722" s="227"/>
      <c r="BUX1722" s="227"/>
      <c r="BUY1722" s="227"/>
      <c r="BUZ1722" s="227"/>
      <c r="BVA1722" s="227"/>
      <c r="BVB1722" s="227"/>
      <c r="BVC1722" s="227"/>
      <c r="BVD1722" s="227"/>
      <c r="BVE1722" s="227"/>
      <c r="BVF1722" s="227"/>
      <c r="BVG1722" s="227"/>
      <c r="BVH1722" s="227"/>
      <c r="BVI1722" s="227"/>
      <c r="BVJ1722" s="227"/>
      <c r="BVK1722" s="227"/>
      <c r="BVL1722" s="227"/>
      <c r="BVM1722" s="227"/>
      <c r="BVN1722" s="227"/>
      <c r="BVO1722" s="227"/>
      <c r="BVP1722" s="227"/>
      <c r="BVQ1722" s="227"/>
      <c r="BVR1722" s="227"/>
      <c r="BVS1722" s="227"/>
      <c r="BVT1722" s="227"/>
      <c r="BVU1722" s="227"/>
      <c r="BVV1722" s="227"/>
      <c r="BVW1722" s="227"/>
      <c r="BVX1722" s="227"/>
      <c r="BVY1722" s="227"/>
      <c r="BVZ1722" s="227"/>
      <c r="BWA1722" s="227"/>
      <c r="BWB1722" s="227"/>
      <c r="BWC1722" s="227"/>
      <c r="BWD1722" s="227"/>
      <c r="BWE1722" s="227"/>
      <c r="BWF1722" s="227"/>
      <c r="BWG1722" s="227"/>
      <c r="BWH1722" s="227"/>
      <c r="BWI1722" s="227"/>
      <c r="BWJ1722" s="227"/>
      <c r="BWK1722" s="227"/>
      <c r="BWL1722" s="227"/>
      <c r="BWM1722" s="227"/>
      <c r="BWN1722" s="227"/>
      <c r="BWO1722" s="227"/>
      <c r="BWP1722" s="227"/>
      <c r="BWQ1722" s="227"/>
      <c r="BWR1722" s="227"/>
      <c r="BWS1722" s="227"/>
      <c r="BWT1722" s="227"/>
      <c r="BWU1722" s="227"/>
      <c r="BWV1722" s="227"/>
      <c r="BWW1722" s="227"/>
      <c r="BWX1722" s="227"/>
      <c r="BWY1722" s="227"/>
      <c r="BWZ1722" s="227"/>
      <c r="BXA1722" s="227"/>
      <c r="BXB1722" s="227"/>
      <c r="BXC1722" s="227"/>
      <c r="BXD1722" s="227"/>
      <c r="BXE1722" s="227"/>
      <c r="BXF1722" s="227"/>
      <c r="BXG1722" s="227"/>
      <c r="BXH1722" s="227"/>
      <c r="BXI1722" s="227"/>
      <c r="BXJ1722" s="227"/>
      <c r="BXK1722" s="227"/>
      <c r="BXL1722" s="227"/>
      <c r="BXM1722" s="227"/>
      <c r="BXN1722" s="227"/>
      <c r="BXO1722" s="227"/>
      <c r="BXP1722" s="227"/>
      <c r="BXQ1722" s="227"/>
      <c r="BXR1722" s="227"/>
      <c r="BXS1722" s="227"/>
      <c r="BXT1722" s="227"/>
      <c r="BXU1722" s="227"/>
      <c r="BXV1722" s="227"/>
      <c r="BXW1722" s="227"/>
      <c r="BXX1722" s="227"/>
      <c r="BXY1722" s="227"/>
      <c r="BXZ1722" s="227"/>
      <c r="BYA1722" s="227"/>
      <c r="BYB1722" s="227"/>
      <c r="BYC1722" s="227"/>
      <c r="BYD1722" s="227"/>
      <c r="BYE1722" s="227"/>
      <c r="BYF1722" s="227"/>
      <c r="BYG1722" s="227"/>
      <c r="BYH1722" s="227"/>
      <c r="BYI1722" s="227"/>
      <c r="BYJ1722" s="227"/>
      <c r="BYK1722" s="227"/>
      <c r="BYL1722" s="227"/>
      <c r="BYM1722" s="227"/>
      <c r="BYN1722" s="227"/>
      <c r="BYO1722" s="227"/>
      <c r="BYP1722" s="227"/>
      <c r="BYQ1722" s="227"/>
      <c r="BYR1722" s="227"/>
      <c r="BYS1722" s="227"/>
      <c r="BYT1722" s="227"/>
      <c r="BYU1722" s="227"/>
      <c r="BYV1722" s="227"/>
      <c r="BYW1722" s="227"/>
      <c r="BYX1722" s="227"/>
      <c r="BYY1722" s="227"/>
      <c r="BYZ1722" s="227"/>
      <c r="BZA1722" s="227"/>
      <c r="BZB1722" s="227"/>
      <c r="BZC1722" s="227"/>
      <c r="BZD1722" s="227"/>
      <c r="BZE1722" s="227"/>
      <c r="BZF1722" s="227"/>
      <c r="BZG1722" s="227"/>
      <c r="BZH1722" s="227"/>
      <c r="BZI1722" s="227"/>
      <c r="BZJ1722" s="227"/>
      <c r="BZK1722" s="227"/>
      <c r="BZL1722" s="227"/>
      <c r="BZM1722" s="227"/>
      <c r="BZN1722" s="227"/>
      <c r="BZO1722" s="227"/>
      <c r="BZP1722" s="227"/>
      <c r="BZQ1722" s="227"/>
      <c r="BZR1722" s="227"/>
      <c r="BZS1722" s="227"/>
      <c r="BZT1722" s="227"/>
      <c r="BZU1722" s="227"/>
      <c r="BZV1722" s="227"/>
      <c r="BZW1722" s="227"/>
      <c r="BZX1722" s="227"/>
      <c r="BZY1722" s="227"/>
      <c r="BZZ1722" s="227"/>
      <c r="CAA1722" s="227"/>
      <c r="CAB1722" s="227"/>
      <c r="CAC1722" s="227"/>
      <c r="CAD1722" s="227"/>
      <c r="CAE1722" s="227"/>
      <c r="CAF1722" s="227"/>
      <c r="CAG1722" s="227"/>
      <c r="CAH1722" s="227"/>
      <c r="CAI1722" s="227"/>
      <c r="CAJ1722" s="227"/>
      <c r="CAK1722" s="227"/>
      <c r="CAL1722" s="227"/>
      <c r="CAM1722" s="227"/>
      <c r="CAN1722" s="227"/>
      <c r="CAO1722" s="227"/>
      <c r="CAP1722" s="227"/>
      <c r="CAQ1722" s="227"/>
      <c r="CAR1722" s="227"/>
      <c r="CAS1722" s="227"/>
      <c r="CAT1722" s="227"/>
      <c r="CAU1722" s="227"/>
      <c r="CAV1722" s="227"/>
      <c r="CAW1722" s="227"/>
      <c r="CAX1722" s="227"/>
      <c r="CAY1722" s="227"/>
      <c r="CAZ1722" s="227"/>
      <c r="CBA1722" s="227"/>
      <c r="CBB1722" s="227"/>
      <c r="CBC1722" s="227"/>
      <c r="CBD1722" s="227"/>
      <c r="CBE1722" s="227"/>
      <c r="CBF1722" s="227"/>
      <c r="CBG1722" s="227"/>
      <c r="CBH1722" s="227"/>
      <c r="CBI1722" s="227"/>
      <c r="CBJ1722" s="227"/>
      <c r="CBK1722" s="227"/>
      <c r="CBL1722" s="227"/>
      <c r="CBM1722" s="227"/>
      <c r="CBN1722" s="227"/>
      <c r="CBO1722" s="227"/>
      <c r="CBP1722" s="227"/>
      <c r="CBQ1722" s="227"/>
      <c r="CBR1722" s="227"/>
      <c r="CBS1722" s="227"/>
      <c r="CBT1722" s="227"/>
      <c r="CBU1722" s="227"/>
      <c r="CBV1722" s="227"/>
      <c r="CBW1722" s="227"/>
      <c r="CBX1722" s="227"/>
      <c r="CBY1722" s="227"/>
      <c r="CBZ1722" s="227"/>
      <c r="CCA1722" s="227"/>
      <c r="CCB1722" s="227"/>
      <c r="CCC1722" s="227"/>
      <c r="CCD1722" s="227"/>
      <c r="CCE1722" s="227"/>
      <c r="CCF1722" s="227"/>
      <c r="CCG1722" s="227"/>
      <c r="CCH1722" s="227"/>
      <c r="CCI1722" s="227"/>
      <c r="CCJ1722" s="227"/>
      <c r="CCK1722" s="227"/>
      <c r="CCL1722" s="227"/>
      <c r="CCM1722" s="227"/>
      <c r="CCN1722" s="227"/>
      <c r="CCO1722" s="227"/>
      <c r="CCP1722" s="227"/>
      <c r="CCQ1722" s="227"/>
      <c r="CCR1722" s="227"/>
      <c r="CCS1722" s="227"/>
      <c r="CCT1722" s="227"/>
      <c r="CCU1722" s="227"/>
      <c r="CCV1722" s="227"/>
      <c r="CCW1722" s="227"/>
      <c r="CCX1722" s="227"/>
      <c r="CCY1722" s="227"/>
      <c r="CCZ1722" s="227"/>
      <c r="CDA1722" s="227"/>
      <c r="CDB1722" s="227"/>
      <c r="CDC1722" s="227"/>
      <c r="CDD1722" s="227"/>
      <c r="CDE1722" s="227"/>
      <c r="CDF1722" s="227"/>
      <c r="CDG1722" s="227"/>
      <c r="CDH1722" s="227"/>
      <c r="CDI1722" s="227"/>
      <c r="CDJ1722" s="227"/>
      <c r="CDK1722" s="227"/>
      <c r="CDL1722" s="227"/>
      <c r="CDM1722" s="227"/>
      <c r="CDN1722" s="227"/>
      <c r="CDO1722" s="227"/>
      <c r="CDP1722" s="227"/>
      <c r="CDQ1722" s="227"/>
      <c r="CDR1722" s="227"/>
      <c r="CDS1722" s="227"/>
      <c r="CDT1722" s="227"/>
      <c r="CDU1722" s="227"/>
      <c r="CDV1722" s="227"/>
      <c r="CDW1722" s="227"/>
      <c r="CDX1722" s="227"/>
      <c r="CDY1722" s="227"/>
      <c r="CDZ1722" s="227"/>
      <c r="CEA1722" s="227"/>
      <c r="CEB1722" s="227"/>
      <c r="CEC1722" s="227"/>
      <c r="CED1722" s="227"/>
      <c r="CEE1722" s="227"/>
      <c r="CEF1722" s="227"/>
      <c r="CEG1722" s="227"/>
      <c r="CEH1722" s="227"/>
      <c r="CEI1722" s="227"/>
      <c r="CEJ1722" s="227"/>
      <c r="CEK1722" s="227"/>
      <c r="CEL1722" s="227"/>
      <c r="CEM1722" s="227"/>
      <c r="CEN1722" s="227"/>
      <c r="CEO1722" s="227"/>
      <c r="CEP1722" s="227"/>
      <c r="CEQ1722" s="227"/>
      <c r="CER1722" s="227"/>
      <c r="CES1722" s="227"/>
      <c r="CET1722" s="227"/>
      <c r="CEU1722" s="227"/>
      <c r="CEV1722" s="227"/>
      <c r="CEW1722" s="227"/>
      <c r="CEX1722" s="227"/>
      <c r="CEY1722" s="227"/>
      <c r="CEZ1722" s="227"/>
      <c r="CFA1722" s="227"/>
      <c r="CFB1722" s="227"/>
      <c r="CFC1722" s="227"/>
      <c r="CFD1722" s="227"/>
      <c r="CFE1722" s="227"/>
      <c r="CFF1722" s="227"/>
      <c r="CFG1722" s="227"/>
      <c r="CFH1722" s="227"/>
      <c r="CFI1722" s="227"/>
      <c r="CFJ1722" s="227"/>
      <c r="CFK1722" s="227"/>
      <c r="CFL1722" s="227"/>
      <c r="CFM1722" s="227"/>
      <c r="CFN1722" s="227"/>
      <c r="CFO1722" s="227"/>
      <c r="CFP1722" s="227"/>
      <c r="CFQ1722" s="227"/>
      <c r="CFR1722" s="227"/>
      <c r="CFS1722" s="227"/>
      <c r="CFT1722" s="227"/>
      <c r="CFU1722" s="227"/>
      <c r="CFV1722" s="227"/>
      <c r="CFW1722" s="227"/>
      <c r="CFX1722" s="227"/>
      <c r="CFY1722" s="227"/>
      <c r="CFZ1722" s="227"/>
      <c r="CGA1722" s="227"/>
      <c r="CGB1722" s="227"/>
      <c r="CGC1722" s="227"/>
      <c r="CGD1722" s="227"/>
      <c r="CGE1722" s="227"/>
      <c r="CGF1722" s="227"/>
      <c r="CGG1722" s="227"/>
      <c r="CGH1722" s="227"/>
      <c r="CGI1722" s="227"/>
      <c r="CGJ1722" s="227"/>
      <c r="CGK1722" s="227"/>
      <c r="CGL1722" s="227"/>
      <c r="CGM1722" s="227"/>
      <c r="CGN1722" s="227"/>
      <c r="CGO1722" s="227"/>
      <c r="CGP1722" s="227"/>
      <c r="CGQ1722" s="227"/>
      <c r="CGR1722" s="227"/>
      <c r="CGS1722" s="227"/>
      <c r="CGT1722" s="227"/>
      <c r="CGU1722" s="227"/>
      <c r="CGV1722" s="227"/>
      <c r="CGW1722" s="227"/>
      <c r="CGX1722" s="227"/>
      <c r="CGY1722" s="227"/>
      <c r="CGZ1722" s="227"/>
      <c r="CHA1722" s="227"/>
      <c r="CHB1722" s="227"/>
      <c r="CHC1722" s="227"/>
      <c r="CHD1722" s="227"/>
      <c r="CHE1722" s="227"/>
      <c r="CHF1722" s="227"/>
      <c r="CHG1722" s="227"/>
      <c r="CHH1722" s="227"/>
      <c r="CHI1722" s="227"/>
      <c r="CHJ1722" s="227"/>
      <c r="CHK1722" s="227"/>
      <c r="CHL1722" s="227"/>
      <c r="CHM1722" s="227"/>
      <c r="CHN1722" s="227"/>
      <c r="CHO1722" s="227"/>
      <c r="CHP1722" s="227"/>
      <c r="CHQ1722" s="227"/>
      <c r="CHR1722" s="227"/>
      <c r="CHS1722" s="227"/>
      <c r="CHT1722" s="227"/>
      <c r="CHU1722" s="227"/>
      <c r="CHV1722" s="227"/>
      <c r="CHW1722" s="227"/>
      <c r="CHX1722" s="227"/>
      <c r="CHY1722" s="227"/>
      <c r="CHZ1722" s="227"/>
      <c r="CIA1722" s="227"/>
      <c r="CIB1722" s="227"/>
      <c r="CIC1722" s="227"/>
      <c r="CID1722" s="227"/>
      <c r="CIE1722" s="227"/>
      <c r="CIF1722" s="227"/>
      <c r="CIG1722" s="227"/>
      <c r="CIH1722" s="227"/>
      <c r="CII1722" s="227"/>
      <c r="CIJ1722" s="227"/>
      <c r="CIK1722" s="227"/>
      <c r="CIL1722" s="227"/>
      <c r="CIM1722" s="227"/>
      <c r="CIN1722" s="227"/>
      <c r="CIO1722" s="227"/>
      <c r="CIP1722" s="227"/>
      <c r="CIQ1722" s="227"/>
      <c r="CIR1722" s="227"/>
      <c r="CIS1722" s="227"/>
      <c r="CIT1722" s="227"/>
      <c r="CIU1722" s="227"/>
      <c r="CIV1722" s="227"/>
      <c r="CIW1722" s="227"/>
      <c r="CIX1722" s="227"/>
      <c r="CIY1722" s="227"/>
      <c r="CIZ1722" s="227"/>
      <c r="CJA1722" s="227"/>
      <c r="CJB1722" s="227"/>
      <c r="CJC1722" s="227"/>
      <c r="CJD1722" s="227"/>
      <c r="CJE1722" s="227"/>
      <c r="CJF1722" s="227"/>
      <c r="CJG1722" s="227"/>
      <c r="CJH1722" s="227"/>
      <c r="CJI1722" s="227"/>
      <c r="CJJ1722" s="227"/>
      <c r="CJK1722" s="227"/>
      <c r="CJL1722" s="227"/>
      <c r="CJM1722" s="227"/>
      <c r="CJN1722" s="227"/>
      <c r="CJO1722" s="227"/>
      <c r="CJP1722" s="227"/>
      <c r="CJQ1722" s="227"/>
      <c r="CJR1722" s="227"/>
      <c r="CJS1722" s="227"/>
      <c r="CJT1722" s="227"/>
      <c r="CJU1722" s="227"/>
      <c r="CJV1722" s="227"/>
      <c r="CJW1722" s="227"/>
      <c r="CJX1722" s="227"/>
      <c r="CJY1722" s="227"/>
      <c r="CJZ1722" s="227"/>
      <c r="CKA1722" s="227"/>
      <c r="CKB1722" s="227"/>
      <c r="CKC1722" s="227"/>
      <c r="CKD1722" s="227"/>
      <c r="CKE1722" s="227"/>
      <c r="CKF1722" s="227"/>
      <c r="CKG1722" s="227"/>
      <c r="CKH1722" s="227"/>
      <c r="CKI1722" s="227"/>
      <c r="CKJ1722" s="227"/>
      <c r="CKK1722" s="227"/>
      <c r="CKL1722" s="227"/>
      <c r="CKM1722" s="227"/>
      <c r="CKN1722" s="227"/>
      <c r="CKO1722" s="227"/>
      <c r="CKP1722" s="227"/>
      <c r="CKQ1722" s="227"/>
      <c r="CKR1722" s="227"/>
      <c r="CKS1722" s="227"/>
      <c r="CKT1722" s="227"/>
      <c r="CKU1722" s="227"/>
      <c r="CKV1722" s="227"/>
      <c r="CKW1722" s="227"/>
      <c r="CKX1722" s="227"/>
      <c r="CKY1722" s="227"/>
      <c r="CKZ1722" s="227"/>
      <c r="CLA1722" s="227"/>
      <c r="CLB1722" s="227"/>
      <c r="CLC1722" s="227"/>
      <c r="CLD1722" s="227"/>
      <c r="CLE1722" s="227"/>
      <c r="CLF1722" s="227"/>
      <c r="CLG1722" s="227"/>
      <c r="CLH1722" s="227"/>
      <c r="CLI1722" s="227"/>
      <c r="CLJ1722" s="227"/>
      <c r="CLK1722" s="227"/>
      <c r="CLL1722" s="227"/>
      <c r="CLM1722" s="227"/>
      <c r="CLN1722" s="227"/>
      <c r="CLO1722" s="227"/>
      <c r="CLP1722" s="227"/>
      <c r="CLQ1722" s="227"/>
      <c r="CLR1722" s="227"/>
      <c r="CLS1722" s="227"/>
      <c r="CLT1722" s="227"/>
      <c r="CLU1722" s="227"/>
      <c r="CLV1722" s="227"/>
      <c r="CLW1722" s="227"/>
      <c r="CLX1722" s="227"/>
      <c r="CLY1722" s="227"/>
      <c r="CLZ1722" s="227"/>
      <c r="CMA1722" s="227"/>
      <c r="CMB1722" s="227"/>
      <c r="CMC1722" s="227"/>
      <c r="CMD1722" s="227"/>
      <c r="CME1722" s="227"/>
      <c r="CMF1722" s="227"/>
      <c r="CMG1722" s="227"/>
      <c r="CMH1722" s="227"/>
      <c r="CMI1722" s="227"/>
      <c r="CMJ1722" s="227"/>
      <c r="CMK1722" s="227"/>
      <c r="CML1722" s="227"/>
      <c r="CMM1722" s="227"/>
      <c r="CMN1722" s="227"/>
      <c r="CMO1722" s="227"/>
      <c r="CMP1722" s="227"/>
      <c r="CMQ1722" s="227"/>
      <c r="CMR1722" s="227"/>
      <c r="CMS1722" s="227"/>
      <c r="CMT1722" s="227"/>
      <c r="CMU1722" s="227"/>
      <c r="CMV1722" s="227"/>
      <c r="CMW1722" s="227"/>
      <c r="CMX1722" s="227"/>
      <c r="CMY1722" s="227"/>
      <c r="CMZ1722" s="227"/>
      <c r="CNA1722" s="227"/>
      <c r="CNB1722" s="227"/>
      <c r="CNC1722" s="227"/>
      <c r="CND1722" s="227"/>
      <c r="CNE1722" s="227"/>
      <c r="CNF1722" s="227"/>
      <c r="CNG1722" s="227"/>
      <c r="CNH1722" s="227"/>
      <c r="CNI1722" s="227"/>
      <c r="CNJ1722" s="227"/>
      <c r="CNK1722" s="227"/>
      <c r="CNL1722" s="227"/>
      <c r="CNM1722" s="227"/>
      <c r="CNN1722" s="227"/>
      <c r="CNO1722" s="227"/>
      <c r="CNP1722" s="227"/>
      <c r="CNQ1722" s="227"/>
      <c r="CNR1722" s="227"/>
      <c r="CNS1722" s="227"/>
      <c r="CNT1722" s="227"/>
      <c r="CNU1722" s="227"/>
      <c r="CNV1722" s="227"/>
      <c r="CNW1722" s="227"/>
      <c r="CNX1722" s="227"/>
      <c r="CNY1722" s="227"/>
      <c r="CNZ1722" s="227"/>
      <c r="COA1722" s="227"/>
      <c r="COB1722" s="227"/>
      <c r="COC1722" s="227"/>
      <c r="COD1722" s="227"/>
      <c r="COE1722" s="227"/>
      <c r="COF1722" s="227"/>
      <c r="COG1722" s="227"/>
      <c r="COH1722" s="227"/>
      <c r="COI1722" s="227"/>
      <c r="COJ1722" s="227"/>
      <c r="COK1722" s="227"/>
      <c r="COL1722" s="227"/>
      <c r="COM1722" s="227"/>
      <c r="CON1722" s="227"/>
      <c r="COO1722" s="227"/>
      <c r="COP1722" s="227"/>
      <c r="COQ1722" s="227"/>
      <c r="COR1722" s="227"/>
      <c r="COS1722" s="227"/>
      <c r="COT1722" s="227"/>
      <c r="COU1722" s="227"/>
      <c r="COV1722" s="227"/>
      <c r="COW1722" s="227"/>
      <c r="COX1722" s="227"/>
      <c r="COY1722" s="227"/>
      <c r="COZ1722" s="227"/>
      <c r="CPA1722" s="227"/>
      <c r="CPB1722" s="227"/>
      <c r="CPC1722" s="227"/>
      <c r="CPD1722" s="227"/>
      <c r="CPE1722" s="227"/>
      <c r="CPF1722" s="227"/>
      <c r="CPG1722" s="227"/>
      <c r="CPH1722" s="227"/>
      <c r="CPI1722" s="227"/>
      <c r="CPJ1722" s="227"/>
      <c r="CPK1722" s="227"/>
      <c r="CPL1722" s="227"/>
      <c r="CPM1722" s="227"/>
      <c r="CPN1722" s="227"/>
      <c r="CPO1722" s="227"/>
      <c r="CPP1722" s="227"/>
      <c r="CPQ1722" s="227"/>
      <c r="CPR1722" s="227"/>
      <c r="CPS1722" s="227"/>
      <c r="CPT1722" s="227"/>
      <c r="CPU1722" s="227"/>
      <c r="CPV1722" s="227"/>
      <c r="CPW1722" s="227"/>
      <c r="CPX1722" s="227"/>
      <c r="CPY1722" s="227"/>
      <c r="CPZ1722" s="227"/>
      <c r="CQA1722" s="227"/>
      <c r="CQB1722" s="227"/>
      <c r="CQC1722" s="227"/>
      <c r="CQD1722" s="227"/>
      <c r="CQE1722" s="227"/>
      <c r="CQF1722" s="227"/>
      <c r="CQG1722" s="227"/>
      <c r="CQH1722" s="227"/>
      <c r="CQI1722" s="227"/>
      <c r="CQJ1722" s="227"/>
      <c r="CQK1722" s="227"/>
      <c r="CQL1722" s="227"/>
      <c r="CQM1722" s="227"/>
      <c r="CQN1722" s="227"/>
      <c r="CQO1722" s="227"/>
      <c r="CQP1722" s="227"/>
      <c r="CQQ1722" s="227"/>
      <c r="CQR1722" s="227"/>
      <c r="CQS1722" s="227"/>
      <c r="CQT1722" s="227"/>
      <c r="CQU1722" s="227"/>
      <c r="CQV1722" s="227"/>
      <c r="CQW1722" s="227"/>
      <c r="CQX1722" s="227"/>
      <c r="CQY1722" s="227"/>
      <c r="CQZ1722" s="227"/>
      <c r="CRA1722" s="227"/>
      <c r="CRB1722" s="227"/>
      <c r="CRC1722" s="227"/>
      <c r="CRD1722" s="227"/>
      <c r="CRE1722" s="227"/>
      <c r="CRF1722" s="227"/>
      <c r="CRG1722" s="227"/>
      <c r="CRH1722" s="227"/>
      <c r="CRI1722" s="227"/>
      <c r="CRJ1722" s="227"/>
      <c r="CRK1722" s="227"/>
      <c r="CRL1722" s="227"/>
      <c r="CRM1722" s="227"/>
      <c r="CRN1722" s="227"/>
      <c r="CRO1722" s="227"/>
      <c r="CRP1722" s="227"/>
      <c r="CRQ1722" s="227"/>
      <c r="CRR1722" s="227"/>
      <c r="CRS1722" s="227"/>
      <c r="CRT1722" s="227"/>
      <c r="CRU1722" s="227"/>
      <c r="CRV1722" s="227"/>
      <c r="CRW1722" s="227"/>
      <c r="CRX1722" s="227"/>
      <c r="CRY1722" s="227"/>
      <c r="CRZ1722" s="227"/>
      <c r="CSA1722" s="227"/>
      <c r="CSB1722" s="227"/>
      <c r="CSC1722" s="227"/>
      <c r="CSD1722" s="227"/>
      <c r="CSE1722" s="227"/>
      <c r="CSF1722" s="227"/>
      <c r="CSG1722" s="227"/>
      <c r="CSH1722" s="227"/>
      <c r="CSI1722" s="227"/>
      <c r="CSJ1722" s="227"/>
      <c r="CSK1722" s="227"/>
      <c r="CSL1722" s="227"/>
      <c r="CSM1722" s="227"/>
      <c r="CSN1722" s="227"/>
      <c r="CSO1722" s="227"/>
      <c r="CSP1722" s="227"/>
      <c r="CSQ1722" s="227"/>
      <c r="CSR1722" s="227"/>
      <c r="CSS1722" s="227"/>
      <c r="CST1722" s="227"/>
      <c r="CSU1722" s="227"/>
      <c r="CSV1722" s="227"/>
      <c r="CSW1722" s="227"/>
      <c r="CSX1722" s="227"/>
      <c r="CSY1722" s="227"/>
      <c r="CSZ1722" s="227"/>
      <c r="CTA1722" s="227"/>
      <c r="CTB1722" s="227"/>
      <c r="CTC1722" s="227"/>
      <c r="CTD1722" s="227"/>
      <c r="CTE1722" s="227"/>
      <c r="CTF1722" s="227"/>
      <c r="CTG1722" s="227"/>
      <c r="CTH1722" s="227"/>
      <c r="CTI1722" s="227"/>
      <c r="CTJ1722" s="227"/>
      <c r="CTK1722" s="227"/>
      <c r="CTL1722" s="227"/>
      <c r="CTM1722" s="227"/>
      <c r="CTN1722" s="227"/>
      <c r="CTO1722" s="227"/>
      <c r="CTP1722" s="227"/>
      <c r="CTQ1722" s="227"/>
      <c r="CTR1722" s="227"/>
      <c r="CTS1722" s="227"/>
      <c r="CTT1722" s="227"/>
      <c r="CTU1722" s="227"/>
      <c r="CTV1722" s="227"/>
      <c r="CTW1722" s="227"/>
      <c r="CTX1722" s="227"/>
      <c r="CTY1722" s="227"/>
      <c r="CTZ1722" s="227"/>
      <c r="CUA1722" s="227"/>
      <c r="CUB1722" s="227"/>
      <c r="CUC1722" s="227"/>
      <c r="CUD1722" s="227"/>
      <c r="CUE1722" s="227"/>
      <c r="CUF1722" s="227"/>
      <c r="CUG1722" s="227"/>
      <c r="CUH1722" s="227"/>
      <c r="CUI1722" s="227"/>
      <c r="CUJ1722" s="227"/>
      <c r="CUK1722" s="227"/>
      <c r="CUL1722" s="227"/>
      <c r="CUM1722" s="227"/>
      <c r="CUN1722" s="227"/>
      <c r="CUO1722" s="227"/>
      <c r="CUP1722" s="227"/>
      <c r="CUQ1722" s="227"/>
      <c r="CUR1722" s="227"/>
      <c r="CUS1722" s="227"/>
      <c r="CUT1722" s="227"/>
      <c r="CUU1722" s="227"/>
      <c r="CUV1722" s="227"/>
      <c r="CUW1722" s="227"/>
      <c r="CUX1722" s="227"/>
      <c r="CUY1722" s="227"/>
      <c r="CUZ1722" s="227"/>
      <c r="CVA1722" s="227"/>
      <c r="CVB1722" s="227"/>
      <c r="CVC1722" s="227"/>
      <c r="CVD1722" s="227"/>
      <c r="CVE1722" s="227"/>
      <c r="CVF1722" s="227"/>
      <c r="CVG1722" s="227"/>
      <c r="CVH1722" s="227"/>
      <c r="CVI1722" s="227"/>
      <c r="CVJ1722" s="227"/>
      <c r="CVK1722" s="227"/>
      <c r="CVL1722" s="227"/>
      <c r="CVM1722" s="227"/>
      <c r="CVN1722" s="227"/>
      <c r="CVO1722" s="227"/>
      <c r="CVP1722" s="227"/>
      <c r="CVQ1722" s="227"/>
      <c r="CVR1722" s="227"/>
      <c r="CVS1722" s="227"/>
      <c r="CVT1722" s="227"/>
      <c r="CVU1722" s="227"/>
      <c r="CVV1722" s="227"/>
      <c r="CVW1722" s="227"/>
      <c r="CVX1722" s="227"/>
      <c r="CVY1722" s="227"/>
      <c r="CVZ1722" s="227"/>
      <c r="CWA1722" s="227"/>
      <c r="CWB1722" s="227"/>
      <c r="CWC1722" s="227"/>
      <c r="CWD1722" s="227"/>
      <c r="CWE1722" s="227"/>
      <c r="CWF1722" s="227"/>
      <c r="CWG1722" s="227"/>
      <c r="CWH1722" s="227"/>
      <c r="CWI1722" s="227"/>
      <c r="CWJ1722" s="227"/>
      <c r="CWK1722" s="227"/>
      <c r="CWL1722" s="227"/>
      <c r="CWM1722" s="227"/>
      <c r="CWN1722" s="227"/>
      <c r="CWO1722" s="227"/>
      <c r="CWP1722" s="227"/>
      <c r="CWQ1722" s="227"/>
      <c r="CWR1722" s="227"/>
      <c r="CWS1722" s="227"/>
      <c r="CWT1722" s="227"/>
      <c r="CWU1722" s="227"/>
      <c r="CWV1722" s="227"/>
      <c r="CWW1722" s="227"/>
      <c r="CWX1722" s="227"/>
      <c r="CWY1722" s="227"/>
      <c r="CWZ1722" s="227"/>
      <c r="CXA1722" s="227"/>
      <c r="CXB1722" s="227"/>
      <c r="CXC1722" s="227"/>
      <c r="CXD1722" s="227"/>
      <c r="CXE1722" s="227"/>
      <c r="CXF1722" s="227"/>
      <c r="CXG1722" s="227"/>
      <c r="CXH1722" s="227"/>
      <c r="CXI1722" s="227"/>
      <c r="CXJ1722" s="227"/>
      <c r="CXK1722" s="227"/>
      <c r="CXL1722" s="227"/>
      <c r="CXM1722" s="227"/>
      <c r="CXN1722" s="227"/>
      <c r="CXO1722" s="227"/>
      <c r="CXP1722" s="227"/>
      <c r="CXQ1722" s="227"/>
      <c r="CXR1722" s="227"/>
      <c r="CXS1722" s="227"/>
      <c r="CXT1722" s="227"/>
      <c r="CXU1722" s="227"/>
      <c r="CXV1722" s="227"/>
      <c r="CXW1722" s="227"/>
      <c r="CXX1722" s="227"/>
      <c r="CXY1722" s="227"/>
      <c r="CXZ1722" s="227"/>
      <c r="CYA1722" s="227"/>
      <c r="CYB1722" s="227"/>
      <c r="CYC1722" s="227"/>
      <c r="CYD1722" s="227"/>
      <c r="CYE1722" s="227"/>
      <c r="CYF1722" s="227"/>
      <c r="CYG1722" s="227"/>
      <c r="CYH1722" s="227"/>
      <c r="CYI1722" s="227"/>
      <c r="CYJ1722" s="227"/>
      <c r="CYK1722" s="227"/>
      <c r="CYL1722" s="227"/>
      <c r="CYM1722" s="227"/>
      <c r="CYN1722" s="227"/>
      <c r="CYO1722" s="227"/>
      <c r="CYP1722" s="227"/>
      <c r="CYQ1722" s="227"/>
      <c r="CYR1722" s="227"/>
      <c r="CYS1722" s="227"/>
      <c r="CYT1722" s="227"/>
      <c r="CYU1722" s="227"/>
      <c r="CYV1722" s="227"/>
      <c r="CYW1722" s="227"/>
      <c r="CYX1722" s="227"/>
      <c r="CYY1722" s="227"/>
      <c r="CYZ1722" s="227"/>
      <c r="CZA1722" s="227"/>
      <c r="CZB1722" s="227"/>
      <c r="CZC1722" s="227"/>
      <c r="CZD1722" s="227"/>
      <c r="CZE1722" s="227"/>
      <c r="CZF1722" s="227"/>
      <c r="CZG1722" s="227"/>
      <c r="CZH1722" s="227"/>
      <c r="CZI1722" s="227"/>
      <c r="CZJ1722" s="227"/>
      <c r="CZK1722" s="227"/>
      <c r="CZL1722" s="227"/>
      <c r="CZM1722" s="227"/>
      <c r="CZN1722" s="227"/>
      <c r="CZO1722" s="227"/>
      <c r="CZP1722" s="227"/>
      <c r="CZQ1722" s="227"/>
      <c r="CZR1722" s="227"/>
      <c r="CZS1722" s="227"/>
      <c r="CZT1722" s="227"/>
      <c r="CZU1722" s="227"/>
      <c r="CZV1722" s="227"/>
      <c r="CZW1722" s="227"/>
      <c r="CZX1722" s="227"/>
      <c r="CZY1722" s="227"/>
      <c r="CZZ1722" s="227"/>
      <c r="DAA1722" s="227"/>
      <c r="DAB1722" s="227"/>
      <c r="DAC1722" s="227"/>
      <c r="DAD1722" s="227"/>
      <c r="DAE1722" s="227"/>
      <c r="DAF1722" s="227"/>
      <c r="DAG1722" s="227"/>
      <c r="DAH1722" s="227"/>
      <c r="DAI1722" s="227"/>
      <c r="DAJ1722" s="227"/>
      <c r="DAK1722" s="227"/>
      <c r="DAL1722" s="227"/>
      <c r="DAM1722" s="227"/>
      <c r="DAN1722" s="227"/>
      <c r="DAO1722" s="227"/>
      <c r="DAP1722" s="227"/>
      <c r="DAQ1722" s="227"/>
      <c r="DAR1722" s="227"/>
      <c r="DAS1722" s="227"/>
      <c r="DAT1722" s="227"/>
      <c r="DAU1722" s="227"/>
      <c r="DAV1722" s="227"/>
      <c r="DAW1722" s="227"/>
      <c r="DAX1722" s="227"/>
      <c r="DAY1722" s="227"/>
      <c r="DAZ1722" s="227"/>
      <c r="DBA1722" s="227"/>
      <c r="DBB1722" s="227"/>
      <c r="DBC1722" s="227"/>
      <c r="DBD1722" s="227"/>
      <c r="DBE1722" s="227"/>
      <c r="DBF1722" s="227"/>
      <c r="DBG1722" s="227"/>
      <c r="DBH1722" s="227"/>
      <c r="DBI1722" s="227"/>
      <c r="DBJ1722" s="227"/>
      <c r="DBK1722" s="227"/>
      <c r="DBL1722" s="227"/>
      <c r="DBM1722" s="227"/>
      <c r="DBN1722" s="227"/>
      <c r="DBO1722" s="227"/>
      <c r="DBP1722" s="227"/>
      <c r="DBQ1722" s="227"/>
      <c r="DBR1722" s="227"/>
      <c r="DBS1722" s="227"/>
      <c r="DBT1722" s="227"/>
      <c r="DBU1722" s="227"/>
      <c r="DBV1722" s="227"/>
      <c r="DBW1722" s="227"/>
      <c r="DBX1722" s="227"/>
      <c r="DBY1722" s="227"/>
      <c r="DBZ1722" s="227"/>
      <c r="DCA1722" s="227"/>
      <c r="DCB1722" s="227"/>
      <c r="DCC1722" s="227"/>
      <c r="DCD1722" s="227"/>
      <c r="DCE1722" s="227"/>
      <c r="DCF1722" s="227"/>
      <c r="DCG1722" s="227"/>
      <c r="DCH1722" s="227"/>
      <c r="DCI1722" s="227"/>
      <c r="DCJ1722" s="227"/>
      <c r="DCK1722" s="227"/>
      <c r="DCL1722" s="227"/>
      <c r="DCM1722" s="227"/>
      <c r="DCN1722" s="227"/>
      <c r="DCO1722" s="227"/>
      <c r="DCP1722" s="227"/>
      <c r="DCQ1722" s="227"/>
      <c r="DCR1722" s="227"/>
      <c r="DCS1722" s="227"/>
      <c r="DCT1722" s="227"/>
      <c r="DCU1722" s="227"/>
      <c r="DCV1722" s="227"/>
      <c r="DCW1722" s="227"/>
      <c r="DCX1722" s="227"/>
      <c r="DCY1722" s="227"/>
      <c r="DCZ1722" s="227"/>
      <c r="DDA1722" s="227"/>
      <c r="DDB1722" s="227"/>
      <c r="DDC1722" s="227"/>
      <c r="DDD1722" s="227"/>
      <c r="DDE1722" s="227"/>
      <c r="DDF1722" s="227"/>
      <c r="DDG1722" s="227"/>
      <c r="DDH1722" s="227"/>
      <c r="DDI1722" s="227"/>
      <c r="DDJ1722" s="227"/>
      <c r="DDK1722" s="227"/>
      <c r="DDL1722" s="227"/>
      <c r="DDM1722" s="227"/>
      <c r="DDN1722" s="227"/>
      <c r="DDO1722" s="227"/>
      <c r="DDP1722" s="227"/>
      <c r="DDQ1722" s="227"/>
      <c r="DDR1722" s="227"/>
      <c r="DDS1722" s="227"/>
      <c r="DDT1722" s="227"/>
      <c r="DDU1722" s="227"/>
      <c r="DDV1722" s="227"/>
      <c r="DDW1722" s="227"/>
      <c r="DDX1722" s="227"/>
      <c r="DDY1722" s="227"/>
      <c r="DDZ1722" s="227"/>
      <c r="DEA1722" s="227"/>
      <c r="DEB1722" s="227"/>
      <c r="DEC1722" s="227"/>
      <c r="DED1722" s="227"/>
      <c r="DEE1722" s="227"/>
      <c r="DEF1722" s="227"/>
      <c r="DEG1722" s="227"/>
      <c r="DEH1722" s="227"/>
      <c r="DEI1722" s="227"/>
      <c r="DEJ1722" s="227"/>
      <c r="DEK1722" s="227"/>
      <c r="DEL1722" s="227"/>
      <c r="DEM1722" s="227"/>
      <c r="DEN1722" s="227"/>
      <c r="DEO1722" s="227"/>
      <c r="DEP1722" s="227"/>
      <c r="DEQ1722" s="227"/>
      <c r="DER1722" s="227"/>
      <c r="DES1722" s="227"/>
      <c r="DET1722" s="227"/>
      <c r="DEU1722" s="227"/>
      <c r="DEV1722" s="227"/>
      <c r="DEW1722" s="227"/>
      <c r="DEX1722" s="227"/>
      <c r="DEY1722" s="227"/>
      <c r="DEZ1722" s="227"/>
      <c r="DFA1722" s="227"/>
      <c r="DFB1722" s="227"/>
      <c r="DFC1722" s="227"/>
      <c r="DFD1722" s="227"/>
      <c r="DFE1722" s="227"/>
      <c r="DFF1722" s="227"/>
      <c r="DFG1722" s="227"/>
      <c r="DFH1722" s="227"/>
      <c r="DFI1722" s="227"/>
      <c r="DFJ1722" s="227"/>
      <c r="DFK1722" s="227"/>
      <c r="DFL1722" s="227"/>
      <c r="DFM1722" s="227"/>
      <c r="DFN1722" s="227"/>
      <c r="DFO1722" s="227"/>
      <c r="DFP1722" s="227"/>
      <c r="DFQ1722" s="227"/>
      <c r="DFR1722" s="227"/>
      <c r="DFS1722" s="227"/>
      <c r="DFT1722" s="227"/>
      <c r="DFU1722" s="227"/>
      <c r="DFV1722" s="227"/>
      <c r="DFW1722" s="227"/>
      <c r="DFX1722" s="227"/>
      <c r="DFY1722" s="227"/>
      <c r="DFZ1722" s="227"/>
      <c r="DGA1722" s="227"/>
      <c r="DGB1722" s="227"/>
      <c r="DGC1722" s="227"/>
      <c r="DGD1722" s="227"/>
      <c r="DGE1722" s="227"/>
      <c r="DGF1722" s="227"/>
      <c r="DGG1722" s="227"/>
      <c r="DGH1722" s="227"/>
      <c r="DGI1722" s="227"/>
      <c r="DGJ1722" s="227"/>
      <c r="DGK1722" s="227"/>
      <c r="DGL1722" s="227"/>
      <c r="DGM1722" s="227"/>
      <c r="DGN1722" s="227"/>
      <c r="DGO1722" s="227"/>
      <c r="DGP1722" s="227"/>
      <c r="DGQ1722" s="227"/>
      <c r="DGR1722" s="227"/>
      <c r="DGS1722" s="227"/>
      <c r="DGT1722" s="227"/>
      <c r="DGU1722" s="227"/>
      <c r="DGV1722" s="227"/>
      <c r="DGW1722" s="227"/>
      <c r="DGX1722" s="227"/>
      <c r="DGY1722" s="227"/>
      <c r="DGZ1722" s="227"/>
      <c r="DHA1722" s="227"/>
      <c r="DHB1722" s="227"/>
      <c r="DHC1722" s="227"/>
      <c r="DHD1722" s="227"/>
      <c r="DHE1722" s="227"/>
      <c r="DHF1722" s="227"/>
      <c r="DHG1722" s="227"/>
      <c r="DHH1722" s="227"/>
      <c r="DHI1722" s="227"/>
      <c r="DHJ1722" s="227"/>
      <c r="DHK1722" s="227"/>
      <c r="DHL1722" s="227"/>
      <c r="DHM1722" s="227"/>
      <c r="DHN1722" s="227"/>
      <c r="DHO1722" s="227"/>
      <c r="DHP1722" s="227"/>
      <c r="DHQ1722" s="227"/>
      <c r="DHR1722" s="227"/>
      <c r="DHS1722" s="227"/>
      <c r="DHT1722" s="227"/>
      <c r="DHU1722" s="227"/>
      <c r="DHV1722" s="227"/>
      <c r="DHW1722" s="227"/>
      <c r="DHX1722" s="227"/>
      <c r="DHY1722" s="227"/>
      <c r="DHZ1722" s="227"/>
      <c r="DIA1722" s="227"/>
      <c r="DIB1722" s="227"/>
      <c r="DIC1722" s="227"/>
      <c r="DID1722" s="227"/>
      <c r="DIE1722" s="227"/>
      <c r="DIF1722" s="227"/>
      <c r="DIG1722" s="227"/>
      <c r="DIH1722" s="227"/>
      <c r="DII1722" s="227"/>
      <c r="DIJ1722" s="227"/>
      <c r="DIK1722" s="227"/>
      <c r="DIL1722" s="227"/>
      <c r="DIM1722" s="227"/>
      <c r="DIN1722" s="227"/>
      <c r="DIO1722" s="227"/>
      <c r="DIP1722" s="227"/>
      <c r="DIQ1722" s="227"/>
      <c r="DIR1722" s="227"/>
      <c r="DIS1722" s="227"/>
      <c r="DIT1722" s="227"/>
      <c r="DIU1722" s="227"/>
      <c r="DIV1722" s="227"/>
      <c r="DIW1722" s="227"/>
      <c r="DIX1722" s="227"/>
      <c r="DIY1722" s="227"/>
      <c r="DIZ1722" s="227"/>
      <c r="DJA1722" s="227"/>
      <c r="DJB1722" s="227"/>
      <c r="DJC1722" s="227"/>
      <c r="DJD1722" s="227"/>
      <c r="DJE1722" s="227"/>
      <c r="DJF1722" s="227"/>
      <c r="DJG1722" s="227"/>
      <c r="DJH1722" s="227"/>
      <c r="DJI1722" s="227"/>
      <c r="DJJ1722" s="227"/>
      <c r="DJK1722" s="227"/>
      <c r="DJL1722" s="227"/>
      <c r="DJM1722" s="227"/>
      <c r="DJN1722" s="227"/>
      <c r="DJO1722" s="227"/>
      <c r="DJP1722" s="227"/>
      <c r="DJQ1722" s="227"/>
      <c r="DJR1722" s="227"/>
      <c r="DJS1722" s="227"/>
      <c r="DJT1722" s="227"/>
      <c r="DJU1722" s="227"/>
      <c r="DJV1722" s="227"/>
      <c r="DJW1722" s="227"/>
      <c r="DJX1722" s="227"/>
      <c r="DJY1722" s="227"/>
      <c r="DJZ1722" s="227"/>
      <c r="DKA1722" s="227"/>
      <c r="DKB1722" s="227"/>
      <c r="DKC1722" s="227"/>
      <c r="DKD1722" s="227"/>
      <c r="DKE1722" s="227"/>
      <c r="DKF1722" s="227"/>
      <c r="DKG1722" s="227"/>
      <c r="DKH1722" s="227"/>
      <c r="DKI1722" s="227"/>
      <c r="DKJ1722" s="227"/>
      <c r="DKK1722" s="227"/>
      <c r="DKL1722" s="227"/>
      <c r="DKM1722" s="227"/>
      <c r="DKN1722" s="227"/>
      <c r="DKO1722" s="227"/>
      <c r="DKP1722" s="227"/>
      <c r="DKQ1722" s="227"/>
      <c r="DKR1722" s="227"/>
      <c r="DKS1722" s="227"/>
      <c r="DKT1722" s="227"/>
      <c r="DKU1722" s="227"/>
      <c r="DKV1722" s="227"/>
      <c r="DKW1722" s="227"/>
      <c r="DKX1722" s="227"/>
      <c r="DKY1722" s="227"/>
      <c r="DKZ1722" s="227"/>
      <c r="DLA1722" s="227"/>
      <c r="DLB1722" s="227"/>
      <c r="DLC1722" s="227"/>
      <c r="DLD1722" s="227"/>
      <c r="DLE1722" s="227"/>
      <c r="DLF1722" s="227"/>
      <c r="DLG1722" s="227"/>
      <c r="DLH1722" s="227"/>
      <c r="DLI1722" s="227"/>
      <c r="DLJ1722" s="227"/>
      <c r="DLK1722" s="227"/>
      <c r="DLL1722" s="227"/>
      <c r="DLM1722" s="227"/>
      <c r="DLN1722" s="227"/>
      <c r="DLO1722" s="227"/>
      <c r="DLP1722" s="227"/>
      <c r="DLQ1722" s="227"/>
      <c r="DLR1722" s="227"/>
      <c r="DLS1722" s="227"/>
      <c r="DLT1722" s="227"/>
      <c r="DLU1722" s="227"/>
      <c r="DLV1722" s="227"/>
      <c r="DLW1722" s="227"/>
      <c r="DLX1722" s="227"/>
      <c r="DLY1722" s="227"/>
      <c r="DLZ1722" s="227"/>
      <c r="DMA1722" s="227"/>
      <c r="DMB1722" s="227"/>
      <c r="DMC1722" s="227"/>
      <c r="DMD1722" s="227"/>
      <c r="DME1722" s="227"/>
      <c r="DMF1722" s="227"/>
      <c r="DMG1722" s="227"/>
      <c r="DMH1722" s="227"/>
      <c r="DMI1722" s="227"/>
      <c r="DMJ1722" s="227"/>
      <c r="DMK1722" s="227"/>
      <c r="DML1722" s="227"/>
      <c r="DMM1722" s="227"/>
      <c r="DMN1722" s="227"/>
      <c r="DMO1722" s="227"/>
      <c r="DMP1722" s="227"/>
      <c r="DMQ1722" s="227"/>
      <c r="DMR1722" s="227"/>
      <c r="DMS1722" s="227"/>
      <c r="DMT1722" s="227"/>
      <c r="DMU1722" s="227"/>
      <c r="DMV1722" s="227"/>
      <c r="DMW1722" s="227"/>
      <c r="DMX1722" s="227"/>
      <c r="DMY1722" s="227"/>
      <c r="DMZ1722" s="227"/>
      <c r="DNA1722" s="227"/>
      <c r="DNB1722" s="227"/>
      <c r="DNC1722" s="227"/>
      <c r="DND1722" s="227"/>
      <c r="DNE1722" s="227"/>
      <c r="DNF1722" s="227"/>
      <c r="DNG1722" s="227"/>
      <c r="DNH1722" s="227"/>
      <c r="DNI1722" s="227"/>
      <c r="DNJ1722" s="227"/>
      <c r="DNK1722" s="227"/>
      <c r="DNL1722" s="227"/>
      <c r="DNM1722" s="227"/>
      <c r="DNN1722" s="227"/>
      <c r="DNO1722" s="227"/>
      <c r="DNP1722" s="227"/>
      <c r="DNQ1722" s="227"/>
      <c r="DNR1722" s="227"/>
      <c r="DNS1722" s="227"/>
      <c r="DNT1722" s="227"/>
      <c r="DNU1722" s="227"/>
      <c r="DNV1722" s="227"/>
      <c r="DNW1722" s="227"/>
      <c r="DNX1722" s="227"/>
      <c r="DNY1722" s="227"/>
      <c r="DNZ1722" s="227"/>
      <c r="DOA1722" s="227"/>
      <c r="DOB1722" s="227"/>
      <c r="DOC1722" s="227"/>
      <c r="DOD1722" s="227"/>
      <c r="DOE1722" s="227"/>
      <c r="DOF1722" s="227"/>
      <c r="DOG1722" s="227"/>
      <c r="DOH1722" s="227"/>
      <c r="DOI1722" s="227"/>
      <c r="DOJ1722" s="227"/>
      <c r="DOK1722" s="227"/>
      <c r="DOL1722" s="227"/>
      <c r="DOM1722" s="227"/>
      <c r="DON1722" s="227"/>
      <c r="DOO1722" s="227"/>
      <c r="DOP1722" s="227"/>
      <c r="DOQ1722" s="227"/>
      <c r="DOR1722" s="227"/>
      <c r="DOS1722" s="227"/>
      <c r="DOT1722" s="227"/>
      <c r="DOU1722" s="227"/>
      <c r="DOV1722" s="227"/>
      <c r="DOW1722" s="227"/>
      <c r="DOX1722" s="227"/>
      <c r="DOY1722" s="227"/>
      <c r="DOZ1722" s="227"/>
      <c r="DPA1722" s="227"/>
      <c r="DPB1722" s="227"/>
      <c r="DPC1722" s="227"/>
      <c r="DPD1722" s="227"/>
      <c r="DPE1722" s="227"/>
      <c r="DPF1722" s="227"/>
      <c r="DPG1722" s="227"/>
      <c r="DPH1722" s="227"/>
      <c r="DPI1722" s="227"/>
      <c r="DPJ1722" s="227"/>
      <c r="DPK1722" s="227"/>
      <c r="DPL1722" s="227"/>
      <c r="DPM1722" s="227"/>
      <c r="DPN1722" s="227"/>
      <c r="DPO1722" s="227"/>
      <c r="DPP1722" s="227"/>
      <c r="DPQ1722" s="227"/>
      <c r="DPR1722" s="227"/>
      <c r="DPS1722" s="227"/>
      <c r="DPT1722" s="227"/>
      <c r="DPU1722" s="227"/>
      <c r="DPV1722" s="227"/>
      <c r="DPW1722" s="227"/>
      <c r="DPX1722" s="227"/>
      <c r="DPY1722" s="227"/>
      <c r="DPZ1722" s="227"/>
      <c r="DQA1722" s="227"/>
      <c r="DQB1722" s="227"/>
      <c r="DQC1722" s="227"/>
      <c r="DQD1722" s="227"/>
      <c r="DQE1722" s="227"/>
      <c r="DQF1722" s="227"/>
      <c r="DQG1722" s="227"/>
      <c r="DQH1722" s="227"/>
      <c r="DQI1722" s="227"/>
      <c r="DQJ1722" s="227"/>
      <c r="DQK1722" s="227"/>
      <c r="DQL1722" s="227"/>
      <c r="DQM1722" s="227"/>
      <c r="DQN1722" s="227"/>
      <c r="DQO1722" s="227"/>
      <c r="DQP1722" s="227"/>
      <c r="DQQ1722" s="227"/>
      <c r="DQR1722" s="227"/>
      <c r="DQS1722" s="227"/>
      <c r="DQT1722" s="227"/>
      <c r="DQU1722" s="227"/>
      <c r="DQV1722" s="227"/>
      <c r="DQW1722" s="227"/>
      <c r="DQX1722" s="227"/>
      <c r="DQY1722" s="227"/>
      <c r="DQZ1722" s="227"/>
      <c r="DRA1722" s="227"/>
      <c r="DRB1722" s="227"/>
      <c r="DRC1722" s="227"/>
      <c r="DRD1722" s="227"/>
      <c r="DRE1722" s="227"/>
      <c r="DRF1722" s="227"/>
      <c r="DRG1722" s="227"/>
      <c r="DRH1722" s="227"/>
      <c r="DRI1722" s="227"/>
      <c r="DRJ1722" s="227"/>
      <c r="DRK1722" s="227"/>
      <c r="DRL1722" s="227"/>
      <c r="DRM1722" s="227"/>
      <c r="DRN1722" s="227"/>
      <c r="DRO1722" s="227"/>
      <c r="DRP1722" s="227"/>
      <c r="DRQ1722" s="227"/>
      <c r="DRR1722" s="227"/>
      <c r="DRS1722" s="227"/>
      <c r="DRT1722" s="227"/>
      <c r="DRU1722" s="227"/>
      <c r="DRV1722" s="227"/>
      <c r="DRW1722" s="227"/>
      <c r="DRX1722" s="227"/>
      <c r="DRY1722" s="227"/>
      <c r="DRZ1722" s="227"/>
      <c r="DSA1722" s="227"/>
      <c r="DSB1722" s="227"/>
      <c r="DSC1722" s="227"/>
      <c r="DSD1722" s="227"/>
      <c r="DSE1722" s="227"/>
      <c r="DSF1722" s="227"/>
      <c r="DSG1722" s="227"/>
      <c r="DSH1722" s="227"/>
      <c r="DSI1722" s="227"/>
      <c r="DSJ1722" s="227"/>
      <c r="DSK1722" s="227"/>
      <c r="DSL1722" s="227"/>
      <c r="DSM1722" s="227"/>
      <c r="DSN1722" s="227"/>
      <c r="DSO1722" s="227"/>
      <c r="DSP1722" s="227"/>
      <c r="DSQ1722" s="227"/>
      <c r="DSR1722" s="227"/>
      <c r="DSS1722" s="227"/>
      <c r="DST1722" s="227"/>
      <c r="DSU1722" s="227"/>
      <c r="DSV1722" s="227"/>
      <c r="DSW1722" s="227"/>
      <c r="DSX1722" s="227"/>
      <c r="DSY1722" s="227"/>
      <c r="DSZ1722" s="227"/>
      <c r="DTA1722" s="227"/>
      <c r="DTB1722" s="227"/>
      <c r="DTC1722" s="227"/>
      <c r="DTD1722" s="227"/>
      <c r="DTE1722" s="227"/>
      <c r="DTF1722" s="227"/>
      <c r="DTG1722" s="227"/>
      <c r="DTH1722" s="227"/>
      <c r="DTI1722" s="227"/>
      <c r="DTJ1722" s="227"/>
      <c r="DTK1722" s="227"/>
      <c r="DTL1722" s="227"/>
      <c r="DTM1722" s="227"/>
      <c r="DTN1722" s="227"/>
      <c r="DTO1722" s="227"/>
      <c r="DTP1722" s="227"/>
      <c r="DTQ1722" s="227"/>
      <c r="DTR1722" s="227"/>
      <c r="DTS1722" s="227"/>
      <c r="DTT1722" s="227"/>
      <c r="DTU1722" s="227"/>
      <c r="DTV1722" s="227"/>
      <c r="DTW1722" s="227"/>
      <c r="DTX1722" s="227"/>
      <c r="DTY1722" s="227"/>
      <c r="DTZ1722" s="227"/>
      <c r="DUA1722" s="227"/>
      <c r="DUB1722" s="227"/>
      <c r="DUC1722" s="227"/>
      <c r="DUD1722" s="227"/>
      <c r="DUE1722" s="227"/>
      <c r="DUF1722" s="227"/>
      <c r="DUG1722" s="227"/>
      <c r="DUH1722" s="227"/>
      <c r="DUI1722" s="227"/>
      <c r="DUJ1722" s="227"/>
      <c r="DUK1722" s="227"/>
      <c r="DUL1722" s="227"/>
      <c r="DUM1722" s="227"/>
      <c r="DUN1722" s="227"/>
      <c r="DUO1722" s="227"/>
      <c r="DUP1722" s="227"/>
      <c r="DUQ1722" s="227"/>
      <c r="DUR1722" s="227"/>
      <c r="DUS1722" s="227"/>
      <c r="DUT1722" s="227"/>
      <c r="DUU1722" s="227"/>
      <c r="DUV1722" s="227"/>
      <c r="DUW1722" s="227"/>
      <c r="DUX1722" s="227"/>
      <c r="DUY1722" s="227"/>
      <c r="DUZ1722" s="227"/>
      <c r="DVA1722" s="227"/>
      <c r="DVB1722" s="227"/>
      <c r="DVC1722" s="227"/>
      <c r="DVD1722" s="227"/>
      <c r="DVE1722" s="227"/>
      <c r="DVF1722" s="227"/>
      <c r="DVG1722" s="227"/>
      <c r="DVH1722" s="227"/>
      <c r="DVI1722" s="227"/>
      <c r="DVJ1722" s="227"/>
      <c r="DVK1722" s="227"/>
      <c r="DVL1722" s="227"/>
      <c r="DVM1722" s="227"/>
      <c r="DVN1722" s="227"/>
      <c r="DVO1722" s="227"/>
      <c r="DVP1722" s="227"/>
      <c r="DVQ1722" s="227"/>
      <c r="DVR1722" s="227"/>
      <c r="DVS1722" s="227"/>
      <c r="DVT1722" s="227"/>
      <c r="DVU1722" s="227"/>
      <c r="DVV1722" s="227"/>
      <c r="DVW1722" s="227"/>
      <c r="DVX1722" s="227"/>
      <c r="DVY1722" s="227"/>
      <c r="DVZ1722" s="227"/>
      <c r="DWA1722" s="227"/>
      <c r="DWB1722" s="227"/>
      <c r="DWC1722" s="227"/>
      <c r="DWD1722" s="227"/>
      <c r="DWE1722" s="227"/>
      <c r="DWF1722" s="227"/>
      <c r="DWG1722" s="227"/>
      <c r="DWH1722" s="227"/>
      <c r="DWI1722" s="227"/>
      <c r="DWJ1722" s="227"/>
      <c r="DWK1722" s="227"/>
      <c r="DWL1722" s="227"/>
      <c r="DWM1722" s="227"/>
      <c r="DWN1722" s="227"/>
      <c r="DWO1722" s="227"/>
      <c r="DWP1722" s="227"/>
      <c r="DWQ1722" s="227"/>
      <c r="DWR1722" s="227"/>
      <c r="DWS1722" s="227"/>
      <c r="DWT1722" s="227"/>
      <c r="DWU1722" s="227"/>
      <c r="DWV1722" s="227"/>
      <c r="DWW1722" s="227"/>
      <c r="DWX1722" s="227"/>
      <c r="DWY1722" s="227"/>
      <c r="DWZ1722" s="227"/>
      <c r="DXA1722" s="227"/>
      <c r="DXB1722" s="227"/>
      <c r="DXC1722" s="227"/>
      <c r="DXD1722" s="227"/>
      <c r="DXE1722" s="227"/>
      <c r="DXF1722" s="227"/>
      <c r="DXG1722" s="227"/>
      <c r="DXH1722" s="227"/>
      <c r="DXI1722" s="227"/>
      <c r="DXJ1722" s="227"/>
      <c r="DXK1722" s="227"/>
      <c r="DXL1722" s="227"/>
      <c r="DXM1722" s="227"/>
      <c r="DXN1722" s="227"/>
      <c r="DXO1722" s="227"/>
      <c r="DXP1722" s="227"/>
      <c r="DXQ1722" s="227"/>
      <c r="DXR1722" s="227"/>
      <c r="DXS1722" s="227"/>
      <c r="DXT1722" s="227"/>
      <c r="DXU1722" s="227"/>
      <c r="DXV1722" s="227"/>
      <c r="DXW1722" s="227"/>
      <c r="DXX1722" s="227"/>
      <c r="DXY1722" s="227"/>
      <c r="DXZ1722" s="227"/>
      <c r="DYA1722" s="227"/>
      <c r="DYB1722" s="227"/>
      <c r="DYC1722" s="227"/>
      <c r="DYD1722" s="227"/>
      <c r="DYE1722" s="227"/>
      <c r="DYF1722" s="227"/>
      <c r="DYG1722" s="227"/>
      <c r="DYH1722" s="227"/>
      <c r="DYI1722" s="227"/>
      <c r="DYJ1722" s="227"/>
      <c r="DYK1722" s="227"/>
      <c r="DYL1722" s="227"/>
      <c r="DYM1722" s="227"/>
      <c r="DYN1722" s="227"/>
      <c r="DYO1722" s="227"/>
      <c r="DYP1722" s="227"/>
      <c r="DYQ1722" s="227"/>
      <c r="DYR1722" s="227"/>
      <c r="DYS1722" s="227"/>
      <c r="DYT1722" s="227"/>
      <c r="DYU1722" s="227"/>
      <c r="DYV1722" s="227"/>
      <c r="DYW1722" s="227"/>
      <c r="DYX1722" s="227"/>
      <c r="DYY1722" s="227"/>
      <c r="DYZ1722" s="227"/>
      <c r="DZA1722" s="227"/>
      <c r="DZB1722" s="227"/>
      <c r="DZC1722" s="227"/>
      <c r="DZD1722" s="227"/>
      <c r="DZE1722" s="227"/>
      <c r="DZF1722" s="227"/>
      <c r="DZG1722" s="227"/>
      <c r="DZH1722" s="227"/>
      <c r="DZI1722" s="227"/>
      <c r="DZJ1722" s="227"/>
      <c r="DZK1722" s="227"/>
      <c r="DZL1722" s="227"/>
      <c r="DZM1722" s="227"/>
      <c r="DZN1722" s="227"/>
      <c r="DZO1722" s="227"/>
      <c r="DZP1722" s="227"/>
      <c r="DZQ1722" s="227"/>
      <c r="DZR1722" s="227"/>
      <c r="DZS1722" s="227"/>
      <c r="DZT1722" s="227"/>
      <c r="DZU1722" s="227"/>
      <c r="DZV1722" s="227"/>
      <c r="DZW1722" s="227"/>
      <c r="DZX1722" s="227"/>
      <c r="DZY1722" s="227"/>
      <c r="DZZ1722" s="227"/>
      <c r="EAA1722" s="227"/>
      <c r="EAB1722" s="227"/>
      <c r="EAC1722" s="227"/>
      <c r="EAD1722" s="227"/>
      <c r="EAE1722" s="227"/>
      <c r="EAF1722" s="227"/>
      <c r="EAG1722" s="227"/>
      <c r="EAH1722" s="227"/>
      <c r="EAI1722" s="227"/>
      <c r="EAJ1722" s="227"/>
      <c r="EAK1722" s="227"/>
      <c r="EAL1722" s="227"/>
      <c r="EAM1722" s="227"/>
      <c r="EAN1722" s="227"/>
      <c r="EAO1722" s="227"/>
      <c r="EAP1722" s="227"/>
      <c r="EAQ1722" s="227"/>
      <c r="EAR1722" s="227"/>
      <c r="EAS1722" s="227"/>
      <c r="EAT1722" s="227"/>
      <c r="EAU1722" s="227"/>
      <c r="EAV1722" s="227"/>
      <c r="EAW1722" s="227"/>
      <c r="EAX1722" s="227"/>
      <c r="EAY1722" s="227"/>
      <c r="EAZ1722" s="227"/>
      <c r="EBA1722" s="227"/>
      <c r="EBB1722" s="227"/>
      <c r="EBC1722" s="227"/>
      <c r="EBD1722" s="227"/>
      <c r="EBE1722" s="227"/>
      <c r="EBF1722" s="227"/>
      <c r="EBG1722" s="227"/>
      <c r="EBH1722" s="227"/>
      <c r="EBI1722" s="227"/>
      <c r="EBJ1722" s="227"/>
      <c r="EBK1722" s="227"/>
      <c r="EBL1722" s="227"/>
      <c r="EBM1722" s="227"/>
      <c r="EBN1722" s="227"/>
      <c r="EBO1722" s="227"/>
      <c r="EBP1722" s="227"/>
      <c r="EBQ1722" s="227"/>
      <c r="EBR1722" s="227"/>
      <c r="EBS1722" s="227"/>
      <c r="EBT1722" s="227"/>
      <c r="EBU1722" s="227"/>
      <c r="EBV1722" s="227"/>
      <c r="EBW1722" s="227"/>
      <c r="EBX1722" s="227"/>
      <c r="EBY1722" s="227"/>
      <c r="EBZ1722" s="227"/>
      <c r="ECA1722" s="227"/>
      <c r="ECB1722" s="227"/>
      <c r="ECC1722" s="227"/>
      <c r="ECD1722" s="227"/>
      <c r="ECE1722" s="227"/>
      <c r="ECF1722" s="227"/>
      <c r="ECG1722" s="227"/>
      <c r="ECH1722" s="227"/>
      <c r="ECI1722" s="227"/>
      <c r="ECJ1722" s="227"/>
      <c r="ECK1722" s="227"/>
      <c r="ECL1722" s="227"/>
      <c r="ECM1722" s="227"/>
      <c r="ECN1722" s="227"/>
      <c r="ECO1722" s="227"/>
      <c r="ECP1722" s="227"/>
      <c r="ECQ1722" s="227"/>
      <c r="ECR1722" s="227"/>
      <c r="ECS1722" s="227"/>
      <c r="ECT1722" s="227"/>
      <c r="ECU1722" s="227"/>
      <c r="ECV1722" s="227"/>
      <c r="ECW1722" s="227"/>
      <c r="ECX1722" s="227"/>
      <c r="ECY1722" s="227"/>
      <c r="ECZ1722" s="227"/>
      <c r="EDA1722" s="227"/>
      <c r="EDB1722" s="227"/>
      <c r="EDC1722" s="227"/>
      <c r="EDD1722" s="227"/>
      <c r="EDE1722" s="227"/>
      <c r="EDF1722" s="227"/>
      <c r="EDG1722" s="227"/>
      <c r="EDH1722" s="227"/>
      <c r="EDI1722" s="227"/>
      <c r="EDJ1722" s="227"/>
      <c r="EDK1722" s="227"/>
      <c r="EDL1722" s="227"/>
      <c r="EDM1722" s="227"/>
      <c r="EDN1722" s="227"/>
      <c r="EDO1722" s="227"/>
      <c r="EDP1722" s="227"/>
      <c r="EDQ1722" s="227"/>
      <c r="EDR1722" s="227"/>
      <c r="EDS1722" s="227"/>
      <c r="EDT1722" s="227"/>
      <c r="EDU1722" s="227"/>
      <c r="EDV1722" s="227"/>
      <c r="EDW1722" s="227"/>
      <c r="EDX1722" s="227"/>
      <c r="EDY1722" s="227"/>
      <c r="EDZ1722" s="227"/>
      <c r="EEA1722" s="227"/>
      <c r="EEB1722" s="227"/>
      <c r="EEC1722" s="227"/>
      <c r="EED1722" s="227"/>
      <c r="EEE1722" s="227"/>
      <c r="EEF1722" s="227"/>
      <c r="EEG1722" s="227"/>
      <c r="EEH1722" s="227"/>
      <c r="EEI1722" s="227"/>
      <c r="EEJ1722" s="227"/>
      <c r="EEK1722" s="227"/>
      <c r="EEL1722" s="227"/>
      <c r="EEM1722" s="227"/>
      <c r="EEN1722" s="227"/>
      <c r="EEO1722" s="227"/>
      <c r="EEP1722" s="227"/>
      <c r="EEQ1722" s="227"/>
      <c r="EER1722" s="227"/>
      <c r="EES1722" s="227"/>
      <c r="EET1722" s="227"/>
      <c r="EEU1722" s="227"/>
      <c r="EEV1722" s="227"/>
      <c r="EEW1722" s="227"/>
      <c r="EEX1722" s="227"/>
      <c r="EEY1722" s="227"/>
      <c r="EEZ1722" s="227"/>
      <c r="EFA1722" s="227"/>
      <c r="EFB1722" s="227"/>
      <c r="EFC1722" s="227"/>
      <c r="EFD1722" s="227"/>
      <c r="EFE1722" s="227"/>
      <c r="EFF1722" s="227"/>
      <c r="EFG1722" s="227"/>
      <c r="EFH1722" s="227"/>
      <c r="EFI1722" s="227"/>
      <c r="EFJ1722" s="227"/>
      <c r="EFK1722" s="227"/>
      <c r="EFL1722" s="227"/>
      <c r="EFM1722" s="227"/>
      <c r="EFN1722" s="227"/>
      <c r="EFO1722" s="227"/>
      <c r="EFP1722" s="227"/>
      <c r="EFQ1722" s="227"/>
      <c r="EFR1722" s="227"/>
      <c r="EFS1722" s="227"/>
      <c r="EFT1722" s="227"/>
      <c r="EFU1722" s="227"/>
      <c r="EFV1722" s="227"/>
      <c r="EFW1722" s="227"/>
      <c r="EFX1722" s="227"/>
      <c r="EFY1722" s="227"/>
      <c r="EFZ1722" s="227"/>
      <c r="EGA1722" s="227"/>
      <c r="EGB1722" s="227"/>
      <c r="EGC1722" s="227"/>
      <c r="EGD1722" s="227"/>
      <c r="EGE1722" s="227"/>
      <c r="EGF1722" s="227"/>
      <c r="EGG1722" s="227"/>
      <c r="EGH1722" s="227"/>
      <c r="EGI1722" s="227"/>
      <c r="EGJ1722" s="227"/>
      <c r="EGK1722" s="227"/>
      <c r="EGL1722" s="227"/>
      <c r="EGM1722" s="227"/>
      <c r="EGN1722" s="227"/>
      <c r="EGO1722" s="227"/>
      <c r="EGP1722" s="227"/>
      <c r="EGQ1722" s="227"/>
      <c r="EGR1722" s="227"/>
      <c r="EGS1722" s="227"/>
      <c r="EGT1722" s="227"/>
      <c r="EGU1722" s="227"/>
      <c r="EGV1722" s="227"/>
      <c r="EGW1722" s="227"/>
      <c r="EGX1722" s="227"/>
      <c r="EGY1722" s="227"/>
      <c r="EGZ1722" s="227"/>
      <c r="EHA1722" s="227"/>
      <c r="EHB1722" s="227"/>
      <c r="EHC1722" s="227"/>
      <c r="EHD1722" s="227"/>
      <c r="EHE1722" s="227"/>
      <c r="EHF1722" s="227"/>
      <c r="EHG1722" s="227"/>
      <c r="EHH1722" s="227"/>
      <c r="EHI1722" s="227"/>
      <c r="EHJ1722" s="227"/>
      <c r="EHK1722" s="227"/>
      <c r="EHL1722" s="227"/>
      <c r="EHM1722" s="227"/>
      <c r="EHN1722" s="227"/>
      <c r="EHO1722" s="227"/>
      <c r="EHP1722" s="227"/>
      <c r="EHQ1722" s="227"/>
      <c r="EHR1722" s="227"/>
      <c r="EHS1722" s="227"/>
      <c r="EHT1722" s="227"/>
      <c r="EHU1722" s="227"/>
      <c r="EHV1722" s="227"/>
      <c r="EHW1722" s="227"/>
      <c r="EHX1722" s="227"/>
      <c r="EHY1722" s="227"/>
      <c r="EHZ1722" s="227"/>
      <c r="EIA1722" s="227"/>
      <c r="EIB1722" s="227"/>
      <c r="EIC1722" s="227"/>
      <c r="EID1722" s="227"/>
      <c r="EIE1722" s="227"/>
      <c r="EIF1722" s="227"/>
      <c r="EIG1722" s="227"/>
      <c r="EIH1722" s="227"/>
      <c r="EII1722" s="227"/>
      <c r="EIJ1722" s="227"/>
      <c r="EIK1722" s="227"/>
      <c r="EIL1722" s="227"/>
      <c r="EIM1722" s="227"/>
      <c r="EIN1722" s="227"/>
      <c r="EIO1722" s="227"/>
      <c r="EIP1722" s="227"/>
      <c r="EIQ1722" s="227"/>
      <c r="EIR1722" s="227"/>
      <c r="EIS1722" s="227"/>
      <c r="EIT1722" s="227"/>
      <c r="EIU1722" s="227"/>
      <c r="EIV1722" s="227"/>
      <c r="EIW1722" s="227"/>
      <c r="EIX1722" s="227"/>
      <c r="EIY1722" s="227"/>
      <c r="EIZ1722" s="227"/>
      <c r="EJA1722" s="227"/>
      <c r="EJB1722" s="227"/>
      <c r="EJC1722" s="227"/>
      <c r="EJD1722" s="227"/>
      <c r="EJE1722" s="227"/>
      <c r="EJF1722" s="227"/>
      <c r="EJG1722" s="227"/>
      <c r="EJH1722" s="227"/>
      <c r="EJI1722" s="227"/>
      <c r="EJJ1722" s="227"/>
      <c r="EJK1722" s="227"/>
      <c r="EJL1722" s="227"/>
      <c r="EJM1722" s="227"/>
      <c r="EJN1722" s="227"/>
      <c r="EJO1722" s="227"/>
      <c r="EJP1722" s="227"/>
      <c r="EJQ1722" s="227"/>
      <c r="EJR1722" s="227"/>
      <c r="EJS1722" s="227"/>
      <c r="EJT1722" s="227"/>
      <c r="EJU1722" s="227"/>
      <c r="EJV1722" s="227"/>
      <c r="EJW1722" s="227"/>
      <c r="EJX1722" s="227"/>
      <c r="EJY1722" s="227"/>
      <c r="EJZ1722" s="227"/>
      <c r="EKA1722" s="227"/>
      <c r="EKB1722" s="227"/>
      <c r="EKC1722" s="227"/>
      <c r="EKD1722" s="227"/>
      <c r="EKE1722" s="227"/>
      <c r="EKF1722" s="227"/>
      <c r="EKG1722" s="227"/>
      <c r="EKH1722" s="227"/>
      <c r="EKI1722" s="227"/>
      <c r="EKJ1722" s="227"/>
      <c r="EKK1722" s="227"/>
      <c r="EKL1722" s="227"/>
      <c r="EKM1722" s="227"/>
      <c r="EKN1722" s="227"/>
      <c r="EKO1722" s="227"/>
      <c r="EKP1722" s="227"/>
      <c r="EKQ1722" s="227"/>
      <c r="EKR1722" s="227"/>
      <c r="EKS1722" s="227"/>
      <c r="EKT1722" s="227"/>
      <c r="EKU1722" s="227"/>
      <c r="EKV1722" s="227"/>
      <c r="EKW1722" s="227"/>
      <c r="EKX1722" s="227"/>
      <c r="EKY1722" s="227"/>
      <c r="EKZ1722" s="227"/>
      <c r="ELA1722" s="227"/>
      <c r="ELB1722" s="227"/>
      <c r="ELC1722" s="227"/>
      <c r="ELD1722" s="227"/>
      <c r="ELE1722" s="227"/>
      <c r="ELF1722" s="227"/>
      <c r="ELG1722" s="227"/>
      <c r="ELH1722" s="227"/>
      <c r="ELI1722" s="227"/>
      <c r="ELJ1722" s="227"/>
      <c r="ELK1722" s="227"/>
      <c r="ELL1722" s="227"/>
      <c r="ELM1722" s="227"/>
      <c r="ELN1722" s="227"/>
      <c r="ELO1722" s="227"/>
      <c r="ELP1722" s="227"/>
      <c r="ELQ1722" s="227"/>
      <c r="ELR1722" s="227"/>
      <c r="ELS1722" s="227"/>
      <c r="ELT1722" s="227"/>
      <c r="ELU1722" s="227"/>
      <c r="ELV1722" s="227"/>
      <c r="ELW1722" s="227"/>
      <c r="ELX1722" s="227"/>
      <c r="ELY1722" s="227"/>
      <c r="ELZ1722" s="227"/>
      <c r="EMA1722" s="227"/>
      <c r="EMB1722" s="227"/>
      <c r="EMC1722" s="227"/>
      <c r="EMD1722" s="227"/>
      <c r="EME1722" s="227"/>
      <c r="EMF1722" s="227"/>
      <c r="EMG1722" s="227"/>
      <c r="EMH1722" s="227"/>
      <c r="EMI1722" s="227"/>
      <c r="EMJ1722" s="227"/>
      <c r="EMK1722" s="227"/>
      <c r="EML1722" s="227"/>
      <c r="EMM1722" s="227"/>
      <c r="EMN1722" s="227"/>
      <c r="EMO1722" s="227"/>
      <c r="EMP1722" s="227"/>
      <c r="EMQ1722" s="227"/>
      <c r="EMR1722" s="227"/>
      <c r="EMS1722" s="227"/>
      <c r="EMT1722" s="227"/>
      <c r="EMU1722" s="227"/>
      <c r="EMV1722" s="227"/>
      <c r="EMW1722" s="227"/>
      <c r="EMX1722" s="227"/>
      <c r="EMY1722" s="227"/>
      <c r="EMZ1722" s="227"/>
      <c r="ENA1722" s="227"/>
      <c r="ENB1722" s="227"/>
      <c r="ENC1722" s="227"/>
      <c r="END1722" s="227"/>
      <c r="ENE1722" s="227"/>
      <c r="ENF1722" s="227"/>
      <c r="ENG1722" s="227"/>
      <c r="ENH1722" s="227"/>
      <c r="ENI1722" s="227"/>
      <c r="ENJ1722" s="227"/>
      <c r="ENK1722" s="227"/>
      <c r="ENL1722" s="227"/>
      <c r="ENM1722" s="227"/>
      <c r="ENN1722" s="227"/>
      <c r="ENO1722" s="227"/>
      <c r="ENP1722" s="227"/>
      <c r="ENQ1722" s="227"/>
      <c r="ENR1722" s="227"/>
      <c r="ENS1722" s="227"/>
      <c r="ENT1722" s="227"/>
      <c r="ENU1722" s="227"/>
      <c r="ENV1722" s="227"/>
      <c r="ENW1722" s="227"/>
      <c r="ENX1722" s="227"/>
      <c r="ENY1722" s="227"/>
      <c r="ENZ1722" s="227"/>
      <c r="EOA1722" s="227"/>
      <c r="EOB1722" s="227"/>
      <c r="EOC1722" s="227"/>
      <c r="EOD1722" s="227"/>
      <c r="EOE1722" s="227"/>
      <c r="EOF1722" s="227"/>
      <c r="EOG1722" s="227"/>
      <c r="EOH1722" s="227"/>
      <c r="EOI1722" s="227"/>
      <c r="EOJ1722" s="227"/>
      <c r="EOK1722" s="227"/>
      <c r="EOL1722" s="227"/>
      <c r="EOM1722" s="227"/>
      <c r="EON1722" s="227"/>
      <c r="EOO1722" s="227"/>
      <c r="EOP1722" s="227"/>
      <c r="EOQ1722" s="227"/>
      <c r="EOR1722" s="227"/>
      <c r="EOS1722" s="227"/>
      <c r="EOT1722" s="227"/>
      <c r="EOU1722" s="227"/>
      <c r="EOV1722" s="227"/>
      <c r="EOW1722" s="227"/>
      <c r="EOX1722" s="227"/>
      <c r="EOY1722" s="227"/>
      <c r="EOZ1722" s="227"/>
      <c r="EPA1722" s="227"/>
      <c r="EPB1722" s="227"/>
      <c r="EPC1722" s="227"/>
      <c r="EPD1722" s="227"/>
      <c r="EPE1722" s="227"/>
      <c r="EPF1722" s="227"/>
      <c r="EPG1722" s="227"/>
      <c r="EPH1722" s="227"/>
      <c r="EPI1722" s="227"/>
      <c r="EPJ1722" s="227"/>
      <c r="EPK1722" s="227"/>
      <c r="EPL1722" s="227"/>
      <c r="EPM1722" s="227"/>
      <c r="EPN1722" s="227"/>
      <c r="EPO1722" s="227"/>
      <c r="EPP1722" s="227"/>
      <c r="EPQ1722" s="227"/>
      <c r="EPR1722" s="227"/>
      <c r="EPS1722" s="227"/>
      <c r="EPT1722" s="227"/>
      <c r="EPU1722" s="227"/>
      <c r="EPV1722" s="227"/>
      <c r="EPW1722" s="227"/>
      <c r="EPX1722" s="227"/>
      <c r="EPY1722" s="227"/>
      <c r="EPZ1722" s="227"/>
      <c r="EQA1722" s="227"/>
      <c r="EQB1722" s="227"/>
      <c r="EQC1722" s="227"/>
      <c r="EQD1722" s="227"/>
      <c r="EQE1722" s="227"/>
      <c r="EQF1722" s="227"/>
      <c r="EQG1722" s="227"/>
      <c r="EQH1722" s="227"/>
      <c r="EQI1722" s="227"/>
      <c r="EQJ1722" s="227"/>
      <c r="EQK1722" s="227"/>
      <c r="EQL1722" s="227"/>
      <c r="EQM1722" s="227"/>
      <c r="EQN1722" s="227"/>
      <c r="EQO1722" s="227"/>
      <c r="EQP1722" s="227"/>
      <c r="EQQ1722" s="227"/>
      <c r="EQR1722" s="227"/>
      <c r="EQS1722" s="227"/>
      <c r="EQT1722" s="227"/>
      <c r="EQU1722" s="227"/>
      <c r="EQV1722" s="227"/>
      <c r="EQW1722" s="227"/>
      <c r="EQX1722" s="227"/>
      <c r="EQY1722" s="227"/>
      <c r="EQZ1722" s="227"/>
      <c r="ERA1722" s="227"/>
      <c r="ERB1722" s="227"/>
      <c r="ERC1722" s="227"/>
      <c r="ERD1722" s="227"/>
      <c r="ERE1722" s="227"/>
      <c r="ERF1722" s="227"/>
      <c r="ERG1722" s="227"/>
      <c r="ERH1722" s="227"/>
      <c r="ERI1722" s="227"/>
      <c r="ERJ1722" s="227"/>
      <c r="ERK1722" s="227"/>
      <c r="ERL1722" s="227"/>
      <c r="ERM1722" s="227"/>
      <c r="ERN1722" s="227"/>
      <c r="ERO1722" s="227"/>
      <c r="ERP1722" s="227"/>
      <c r="ERQ1722" s="227"/>
      <c r="ERR1722" s="227"/>
      <c r="ERS1722" s="227"/>
      <c r="ERT1722" s="227"/>
      <c r="ERU1722" s="227"/>
      <c r="ERV1722" s="227"/>
      <c r="ERW1722" s="227"/>
      <c r="ERX1722" s="227"/>
      <c r="ERY1722" s="227"/>
      <c r="ERZ1722" s="227"/>
      <c r="ESA1722" s="227"/>
      <c r="ESB1722" s="227"/>
      <c r="ESC1722" s="227"/>
      <c r="ESD1722" s="227"/>
      <c r="ESE1722" s="227"/>
      <c r="ESF1722" s="227"/>
      <c r="ESG1722" s="227"/>
      <c r="ESH1722" s="227"/>
      <c r="ESI1722" s="227"/>
      <c r="ESJ1722" s="227"/>
      <c r="ESK1722" s="227"/>
      <c r="ESL1722" s="227"/>
      <c r="ESM1722" s="227"/>
      <c r="ESN1722" s="227"/>
      <c r="ESO1722" s="227"/>
      <c r="ESP1722" s="227"/>
      <c r="ESQ1722" s="227"/>
      <c r="ESR1722" s="227"/>
      <c r="ESS1722" s="227"/>
      <c r="EST1722" s="227"/>
      <c r="ESU1722" s="227"/>
      <c r="ESV1722" s="227"/>
      <c r="ESW1722" s="227"/>
      <c r="ESX1722" s="227"/>
      <c r="ESY1722" s="227"/>
      <c r="ESZ1722" s="227"/>
      <c r="ETA1722" s="227"/>
      <c r="ETB1722" s="227"/>
      <c r="ETC1722" s="227"/>
      <c r="ETD1722" s="227"/>
      <c r="ETE1722" s="227"/>
      <c r="ETF1722" s="227"/>
      <c r="ETG1722" s="227"/>
      <c r="ETH1722" s="227"/>
      <c r="ETI1722" s="227"/>
      <c r="ETJ1722" s="227"/>
      <c r="ETK1722" s="227"/>
      <c r="ETL1722" s="227"/>
      <c r="ETM1722" s="227"/>
      <c r="ETN1722" s="227"/>
      <c r="ETO1722" s="227"/>
      <c r="ETP1722" s="227"/>
      <c r="ETQ1722" s="227"/>
      <c r="ETR1722" s="227"/>
      <c r="ETS1722" s="227"/>
      <c r="ETT1722" s="227"/>
      <c r="ETU1722" s="227"/>
      <c r="ETV1722" s="227"/>
      <c r="ETW1722" s="227"/>
      <c r="ETX1722" s="227"/>
      <c r="ETY1722" s="227"/>
      <c r="ETZ1722" s="227"/>
      <c r="EUA1722" s="227"/>
      <c r="EUB1722" s="227"/>
      <c r="EUC1722" s="227"/>
      <c r="EUD1722" s="227"/>
      <c r="EUE1722" s="227"/>
      <c r="EUF1722" s="227"/>
      <c r="EUG1722" s="227"/>
      <c r="EUH1722" s="227"/>
      <c r="EUI1722" s="227"/>
      <c r="EUJ1722" s="227"/>
      <c r="EUK1722" s="227"/>
      <c r="EUL1722" s="227"/>
      <c r="EUM1722" s="227"/>
      <c r="EUN1722" s="227"/>
      <c r="EUO1722" s="227"/>
      <c r="EUP1722" s="227"/>
      <c r="EUQ1722" s="227"/>
      <c r="EUR1722" s="227"/>
      <c r="EUS1722" s="227"/>
      <c r="EUT1722" s="227"/>
      <c r="EUU1722" s="227"/>
      <c r="EUV1722" s="227"/>
      <c r="EUW1722" s="227"/>
      <c r="EUX1722" s="227"/>
      <c r="EUY1722" s="227"/>
      <c r="EUZ1722" s="227"/>
      <c r="EVA1722" s="227"/>
      <c r="EVB1722" s="227"/>
      <c r="EVC1722" s="227"/>
      <c r="EVD1722" s="227"/>
      <c r="EVE1722" s="227"/>
      <c r="EVF1722" s="227"/>
      <c r="EVG1722" s="227"/>
      <c r="EVH1722" s="227"/>
      <c r="EVI1722" s="227"/>
      <c r="EVJ1722" s="227"/>
      <c r="EVK1722" s="227"/>
      <c r="EVL1722" s="227"/>
      <c r="EVM1722" s="227"/>
      <c r="EVN1722" s="227"/>
      <c r="EVO1722" s="227"/>
      <c r="EVP1722" s="227"/>
      <c r="EVQ1722" s="227"/>
      <c r="EVR1722" s="227"/>
      <c r="EVS1722" s="227"/>
      <c r="EVT1722" s="227"/>
      <c r="EVU1722" s="227"/>
      <c r="EVV1722" s="227"/>
      <c r="EVW1722" s="227"/>
      <c r="EVX1722" s="227"/>
      <c r="EVY1722" s="227"/>
      <c r="EVZ1722" s="227"/>
      <c r="EWA1722" s="227"/>
      <c r="EWB1722" s="227"/>
      <c r="EWC1722" s="227"/>
      <c r="EWD1722" s="227"/>
      <c r="EWE1722" s="227"/>
      <c r="EWF1722" s="227"/>
      <c r="EWG1722" s="227"/>
      <c r="EWH1722" s="227"/>
      <c r="EWI1722" s="227"/>
      <c r="EWJ1722" s="227"/>
      <c r="EWK1722" s="227"/>
      <c r="EWL1722" s="227"/>
      <c r="EWM1722" s="227"/>
      <c r="EWN1722" s="227"/>
      <c r="EWO1722" s="227"/>
      <c r="EWP1722" s="227"/>
      <c r="EWQ1722" s="227"/>
      <c r="EWR1722" s="227"/>
      <c r="EWS1722" s="227"/>
      <c r="EWT1722" s="227"/>
      <c r="EWU1722" s="227"/>
      <c r="EWV1722" s="227"/>
      <c r="EWW1722" s="227"/>
      <c r="EWX1722" s="227"/>
      <c r="EWY1722" s="227"/>
      <c r="EWZ1722" s="227"/>
      <c r="EXA1722" s="227"/>
      <c r="EXB1722" s="227"/>
      <c r="EXC1722" s="227"/>
      <c r="EXD1722" s="227"/>
      <c r="EXE1722" s="227"/>
      <c r="EXF1722" s="227"/>
      <c r="EXG1722" s="227"/>
      <c r="EXH1722" s="227"/>
      <c r="EXI1722" s="227"/>
      <c r="EXJ1722" s="227"/>
      <c r="EXK1722" s="227"/>
      <c r="EXL1722" s="227"/>
      <c r="EXM1722" s="227"/>
      <c r="EXN1722" s="227"/>
      <c r="EXO1722" s="227"/>
      <c r="EXP1722" s="227"/>
      <c r="EXQ1722" s="227"/>
      <c r="EXR1722" s="227"/>
      <c r="EXS1722" s="227"/>
      <c r="EXT1722" s="227"/>
      <c r="EXU1722" s="227"/>
      <c r="EXV1722" s="227"/>
      <c r="EXW1722" s="227"/>
      <c r="EXX1722" s="227"/>
      <c r="EXY1722" s="227"/>
      <c r="EXZ1722" s="227"/>
      <c r="EYA1722" s="227"/>
      <c r="EYB1722" s="227"/>
      <c r="EYC1722" s="227"/>
      <c r="EYD1722" s="227"/>
      <c r="EYE1722" s="227"/>
      <c r="EYF1722" s="227"/>
      <c r="EYG1722" s="227"/>
      <c r="EYH1722" s="227"/>
      <c r="EYI1722" s="227"/>
      <c r="EYJ1722" s="227"/>
      <c r="EYK1722" s="227"/>
      <c r="EYL1722" s="227"/>
      <c r="EYM1722" s="227"/>
      <c r="EYN1722" s="227"/>
      <c r="EYO1722" s="227"/>
      <c r="EYP1722" s="227"/>
      <c r="EYQ1722" s="227"/>
      <c r="EYR1722" s="227"/>
      <c r="EYS1722" s="227"/>
      <c r="EYT1722" s="227"/>
      <c r="EYU1722" s="227"/>
      <c r="EYV1722" s="227"/>
      <c r="EYW1722" s="227"/>
      <c r="EYX1722" s="227"/>
      <c r="EYY1722" s="227"/>
      <c r="EYZ1722" s="227"/>
      <c r="EZA1722" s="227"/>
      <c r="EZB1722" s="227"/>
      <c r="EZC1722" s="227"/>
      <c r="EZD1722" s="227"/>
      <c r="EZE1722" s="227"/>
      <c r="EZF1722" s="227"/>
      <c r="EZG1722" s="227"/>
      <c r="EZH1722" s="227"/>
      <c r="EZI1722" s="227"/>
      <c r="EZJ1722" s="227"/>
      <c r="EZK1722" s="227"/>
      <c r="EZL1722" s="227"/>
      <c r="EZM1722" s="227"/>
      <c r="EZN1722" s="227"/>
      <c r="EZO1722" s="227"/>
      <c r="EZP1722" s="227"/>
      <c r="EZQ1722" s="227"/>
      <c r="EZR1722" s="227"/>
      <c r="EZS1722" s="227"/>
      <c r="EZT1722" s="227"/>
      <c r="EZU1722" s="227"/>
      <c r="EZV1722" s="227"/>
      <c r="EZW1722" s="227"/>
      <c r="EZX1722" s="227"/>
      <c r="EZY1722" s="227"/>
      <c r="EZZ1722" s="227"/>
      <c r="FAA1722" s="227"/>
      <c r="FAB1722" s="227"/>
      <c r="FAC1722" s="227"/>
      <c r="FAD1722" s="227"/>
      <c r="FAE1722" s="227"/>
      <c r="FAF1722" s="227"/>
      <c r="FAG1722" s="227"/>
      <c r="FAH1722" s="227"/>
      <c r="FAI1722" s="227"/>
      <c r="FAJ1722" s="227"/>
      <c r="FAK1722" s="227"/>
      <c r="FAL1722" s="227"/>
      <c r="FAM1722" s="227"/>
      <c r="FAN1722" s="227"/>
      <c r="FAO1722" s="227"/>
      <c r="FAP1722" s="227"/>
      <c r="FAQ1722" s="227"/>
      <c r="FAR1722" s="227"/>
      <c r="FAS1722" s="227"/>
      <c r="FAT1722" s="227"/>
      <c r="FAU1722" s="227"/>
      <c r="FAV1722" s="227"/>
      <c r="FAW1722" s="227"/>
      <c r="FAX1722" s="227"/>
      <c r="FAY1722" s="227"/>
      <c r="FAZ1722" s="227"/>
      <c r="FBA1722" s="227"/>
      <c r="FBB1722" s="227"/>
      <c r="FBC1722" s="227"/>
      <c r="FBD1722" s="227"/>
      <c r="FBE1722" s="227"/>
      <c r="FBF1722" s="227"/>
      <c r="FBG1722" s="227"/>
      <c r="FBH1722" s="227"/>
      <c r="FBI1722" s="227"/>
      <c r="FBJ1722" s="227"/>
      <c r="FBK1722" s="227"/>
      <c r="FBL1722" s="227"/>
      <c r="FBM1722" s="227"/>
      <c r="FBN1722" s="227"/>
      <c r="FBO1722" s="227"/>
      <c r="FBP1722" s="227"/>
      <c r="FBQ1722" s="227"/>
      <c r="FBR1722" s="227"/>
      <c r="FBS1722" s="227"/>
      <c r="FBT1722" s="227"/>
      <c r="FBU1722" s="227"/>
      <c r="FBV1722" s="227"/>
      <c r="FBW1722" s="227"/>
      <c r="FBX1722" s="227"/>
      <c r="FBY1722" s="227"/>
      <c r="FBZ1722" s="227"/>
      <c r="FCA1722" s="227"/>
      <c r="FCB1722" s="227"/>
      <c r="FCC1722" s="227"/>
      <c r="FCD1722" s="227"/>
      <c r="FCE1722" s="227"/>
      <c r="FCF1722" s="227"/>
      <c r="FCG1722" s="227"/>
      <c r="FCH1722" s="227"/>
      <c r="FCI1722" s="227"/>
      <c r="FCJ1722" s="227"/>
      <c r="FCK1722" s="227"/>
      <c r="FCL1722" s="227"/>
      <c r="FCM1722" s="227"/>
      <c r="FCN1722" s="227"/>
      <c r="FCO1722" s="227"/>
      <c r="FCP1722" s="227"/>
      <c r="FCQ1722" s="227"/>
      <c r="FCR1722" s="227"/>
      <c r="FCS1722" s="227"/>
      <c r="FCT1722" s="227"/>
      <c r="FCU1722" s="227"/>
      <c r="FCV1722" s="227"/>
      <c r="FCW1722" s="227"/>
      <c r="FCX1722" s="227"/>
      <c r="FCY1722" s="227"/>
      <c r="FCZ1722" s="227"/>
      <c r="FDA1722" s="227"/>
      <c r="FDB1722" s="227"/>
      <c r="FDC1722" s="227"/>
      <c r="FDD1722" s="227"/>
      <c r="FDE1722" s="227"/>
      <c r="FDF1722" s="227"/>
      <c r="FDG1722" s="227"/>
      <c r="FDH1722" s="227"/>
      <c r="FDI1722" s="227"/>
      <c r="FDJ1722" s="227"/>
      <c r="FDK1722" s="227"/>
      <c r="FDL1722" s="227"/>
      <c r="FDM1722" s="227"/>
      <c r="FDN1722" s="227"/>
      <c r="FDO1722" s="227"/>
      <c r="FDP1722" s="227"/>
      <c r="FDQ1722" s="227"/>
      <c r="FDR1722" s="227"/>
      <c r="FDS1722" s="227"/>
      <c r="FDT1722" s="227"/>
      <c r="FDU1722" s="227"/>
      <c r="FDV1722" s="227"/>
      <c r="FDW1722" s="227"/>
      <c r="FDX1722" s="227"/>
      <c r="FDY1722" s="227"/>
      <c r="FDZ1722" s="227"/>
      <c r="FEA1722" s="227"/>
      <c r="FEB1722" s="227"/>
      <c r="FEC1722" s="227"/>
      <c r="FED1722" s="227"/>
      <c r="FEE1722" s="227"/>
      <c r="FEF1722" s="227"/>
      <c r="FEG1722" s="227"/>
      <c r="FEH1722" s="227"/>
      <c r="FEI1722" s="227"/>
      <c r="FEJ1722" s="227"/>
      <c r="FEK1722" s="227"/>
      <c r="FEL1722" s="227"/>
      <c r="FEM1722" s="227"/>
      <c r="FEN1722" s="227"/>
      <c r="FEO1722" s="227"/>
      <c r="FEP1722" s="227"/>
      <c r="FEQ1722" s="227"/>
      <c r="FER1722" s="227"/>
      <c r="FES1722" s="227"/>
      <c r="FET1722" s="227"/>
      <c r="FEU1722" s="227"/>
      <c r="FEV1722" s="227"/>
      <c r="FEW1722" s="227"/>
      <c r="FEX1722" s="227"/>
      <c r="FEY1722" s="227"/>
      <c r="FEZ1722" s="227"/>
      <c r="FFA1722" s="227"/>
      <c r="FFB1722" s="227"/>
      <c r="FFC1722" s="227"/>
      <c r="FFD1722" s="227"/>
      <c r="FFE1722" s="227"/>
      <c r="FFF1722" s="227"/>
      <c r="FFG1722" s="227"/>
      <c r="FFH1722" s="227"/>
      <c r="FFI1722" s="227"/>
      <c r="FFJ1722" s="227"/>
      <c r="FFK1722" s="227"/>
      <c r="FFL1722" s="227"/>
      <c r="FFM1722" s="227"/>
      <c r="FFN1722" s="227"/>
      <c r="FFO1722" s="227"/>
      <c r="FFP1722" s="227"/>
      <c r="FFQ1722" s="227"/>
      <c r="FFR1722" s="227"/>
      <c r="FFS1722" s="227"/>
      <c r="FFT1722" s="227"/>
      <c r="FFU1722" s="227"/>
      <c r="FFV1722" s="227"/>
      <c r="FFW1722" s="227"/>
      <c r="FFX1722" s="227"/>
      <c r="FFY1722" s="227"/>
      <c r="FFZ1722" s="227"/>
      <c r="FGA1722" s="227"/>
      <c r="FGB1722" s="227"/>
      <c r="FGC1722" s="227"/>
      <c r="FGD1722" s="227"/>
      <c r="FGE1722" s="227"/>
      <c r="FGF1722" s="227"/>
      <c r="FGG1722" s="227"/>
      <c r="FGH1722" s="227"/>
      <c r="FGI1722" s="227"/>
      <c r="FGJ1722" s="227"/>
      <c r="FGK1722" s="227"/>
      <c r="FGL1722" s="227"/>
      <c r="FGM1722" s="227"/>
      <c r="FGN1722" s="227"/>
      <c r="FGO1722" s="227"/>
      <c r="FGP1722" s="227"/>
      <c r="FGQ1722" s="227"/>
      <c r="FGR1722" s="227"/>
      <c r="FGS1722" s="227"/>
      <c r="FGT1722" s="227"/>
      <c r="FGU1722" s="227"/>
      <c r="FGV1722" s="227"/>
      <c r="FGW1722" s="227"/>
      <c r="FGX1722" s="227"/>
      <c r="FGY1722" s="227"/>
      <c r="FGZ1722" s="227"/>
      <c r="FHA1722" s="227"/>
      <c r="FHB1722" s="227"/>
      <c r="FHC1722" s="227"/>
      <c r="FHD1722" s="227"/>
      <c r="FHE1722" s="227"/>
      <c r="FHF1722" s="227"/>
      <c r="FHG1722" s="227"/>
      <c r="FHH1722" s="227"/>
      <c r="FHI1722" s="227"/>
      <c r="FHJ1722" s="227"/>
      <c r="FHK1722" s="227"/>
      <c r="FHL1722" s="227"/>
      <c r="FHM1722" s="227"/>
      <c r="FHN1722" s="227"/>
      <c r="FHO1722" s="227"/>
      <c r="FHP1722" s="227"/>
      <c r="FHQ1722" s="227"/>
      <c r="FHR1722" s="227"/>
      <c r="FHS1722" s="227"/>
      <c r="FHT1722" s="227"/>
      <c r="FHU1722" s="227"/>
      <c r="FHV1722" s="227"/>
      <c r="FHW1722" s="227"/>
      <c r="FHX1722" s="227"/>
      <c r="FHY1722" s="227"/>
      <c r="FHZ1722" s="227"/>
      <c r="FIA1722" s="227"/>
      <c r="FIB1722" s="227"/>
      <c r="FIC1722" s="227"/>
      <c r="FID1722" s="227"/>
      <c r="FIE1722" s="227"/>
      <c r="FIF1722" s="227"/>
      <c r="FIG1722" s="227"/>
      <c r="FIH1722" s="227"/>
      <c r="FII1722" s="227"/>
      <c r="FIJ1722" s="227"/>
      <c r="FIK1722" s="227"/>
      <c r="FIL1722" s="227"/>
      <c r="FIM1722" s="227"/>
      <c r="FIN1722" s="227"/>
      <c r="FIO1722" s="227"/>
      <c r="FIP1722" s="227"/>
      <c r="FIQ1722" s="227"/>
      <c r="FIR1722" s="227"/>
      <c r="FIS1722" s="227"/>
      <c r="FIT1722" s="227"/>
      <c r="FIU1722" s="227"/>
      <c r="FIV1722" s="227"/>
      <c r="FIW1722" s="227"/>
      <c r="FIX1722" s="227"/>
      <c r="FIY1722" s="227"/>
      <c r="FIZ1722" s="227"/>
      <c r="FJA1722" s="227"/>
      <c r="FJB1722" s="227"/>
      <c r="FJC1722" s="227"/>
      <c r="FJD1722" s="227"/>
      <c r="FJE1722" s="227"/>
      <c r="FJF1722" s="227"/>
      <c r="FJG1722" s="227"/>
      <c r="FJH1722" s="227"/>
      <c r="FJI1722" s="227"/>
      <c r="FJJ1722" s="227"/>
      <c r="FJK1722" s="227"/>
      <c r="FJL1722" s="227"/>
      <c r="FJM1722" s="227"/>
      <c r="FJN1722" s="227"/>
      <c r="FJO1722" s="227"/>
      <c r="FJP1722" s="227"/>
      <c r="FJQ1722" s="227"/>
      <c r="FJR1722" s="227"/>
      <c r="FJS1722" s="227"/>
      <c r="FJT1722" s="227"/>
      <c r="FJU1722" s="227"/>
      <c r="FJV1722" s="227"/>
      <c r="FJW1722" s="227"/>
      <c r="FJX1722" s="227"/>
      <c r="FJY1722" s="227"/>
      <c r="FJZ1722" s="227"/>
      <c r="FKA1722" s="227"/>
      <c r="FKB1722" s="227"/>
      <c r="FKC1722" s="227"/>
      <c r="FKD1722" s="227"/>
      <c r="FKE1722" s="227"/>
      <c r="FKF1722" s="227"/>
      <c r="FKG1722" s="227"/>
      <c r="FKH1722" s="227"/>
      <c r="FKI1722" s="227"/>
      <c r="FKJ1722" s="227"/>
      <c r="FKK1722" s="227"/>
      <c r="FKL1722" s="227"/>
      <c r="FKM1722" s="227"/>
      <c r="FKN1722" s="227"/>
      <c r="FKO1722" s="227"/>
      <c r="FKP1722" s="227"/>
      <c r="FKQ1722" s="227"/>
      <c r="FKR1722" s="227"/>
      <c r="FKS1722" s="227"/>
      <c r="FKT1722" s="227"/>
      <c r="FKU1722" s="227"/>
      <c r="FKV1722" s="227"/>
      <c r="FKW1722" s="227"/>
      <c r="FKX1722" s="227"/>
      <c r="FKY1722" s="227"/>
      <c r="FKZ1722" s="227"/>
      <c r="FLA1722" s="227"/>
      <c r="FLB1722" s="227"/>
      <c r="FLC1722" s="227"/>
      <c r="FLD1722" s="227"/>
      <c r="FLE1722" s="227"/>
      <c r="FLF1722" s="227"/>
      <c r="FLG1722" s="227"/>
      <c r="FLH1722" s="227"/>
      <c r="FLI1722" s="227"/>
      <c r="FLJ1722" s="227"/>
      <c r="FLK1722" s="227"/>
      <c r="FLL1722" s="227"/>
      <c r="FLM1722" s="227"/>
      <c r="FLN1722" s="227"/>
      <c r="FLO1722" s="227"/>
      <c r="FLP1722" s="227"/>
      <c r="FLQ1722" s="227"/>
      <c r="FLR1722" s="227"/>
      <c r="FLS1722" s="227"/>
      <c r="FLT1722" s="227"/>
      <c r="FLU1722" s="227"/>
      <c r="FLV1722" s="227"/>
      <c r="FLW1722" s="227"/>
      <c r="FLX1722" s="227"/>
      <c r="FLY1722" s="227"/>
      <c r="FLZ1722" s="227"/>
      <c r="FMA1722" s="227"/>
      <c r="FMB1722" s="227"/>
      <c r="FMC1722" s="227"/>
      <c r="FMD1722" s="227"/>
      <c r="FME1722" s="227"/>
      <c r="FMF1722" s="227"/>
      <c r="FMG1722" s="227"/>
      <c r="FMH1722" s="227"/>
      <c r="FMI1722" s="227"/>
      <c r="FMJ1722" s="227"/>
      <c r="FMK1722" s="227"/>
      <c r="FML1722" s="227"/>
      <c r="FMM1722" s="227"/>
      <c r="FMN1722" s="227"/>
      <c r="FMO1722" s="227"/>
      <c r="FMP1722" s="227"/>
      <c r="FMQ1722" s="227"/>
      <c r="FMR1722" s="227"/>
      <c r="FMS1722" s="227"/>
      <c r="FMT1722" s="227"/>
      <c r="FMU1722" s="227"/>
      <c r="FMV1722" s="227"/>
      <c r="FMW1722" s="227"/>
      <c r="FMX1722" s="227"/>
      <c r="FMY1722" s="227"/>
      <c r="FMZ1722" s="227"/>
      <c r="FNA1722" s="227"/>
      <c r="FNB1722" s="227"/>
      <c r="FNC1722" s="227"/>
      <c r="FND1722" s="227"/>
      <c r="FNE1722" s="227"/>
      <c r="FNF1722" s="227"/>
      <c r="FNG1722" s="227"/>
      <c r="FNH1722" s="227"/>
      <c r="FNI1722" s="227"/>
      <c r="FNJ1722" s="227"/>
      <c r="FNK1722" s="227"/>
      <c r="FNL1722" s="227"/>
      <c r="FNM1722" s="227"/>
      <c r="FNN1722" s="227"/>
      <c r="FNO1722" s="227"/>
      <c r="FNP1722" s="227"/>
      <c r="FNQ1722" s="227"/>
      <c r="FNR1722" s="227"/>
      <c r="FNS1722" s="227"/>
      <c r="FNT1722" s="227"/>
      <c r="FNU1722" s="227"/>
      <c r="FNV1722" s="227"/>
      <c r="FNW1722" s="227"/>
      <c r="FNX1722" s="227"/>
      <c r="FNY1722" s="227"/>
      <c r="FNZ1722" s="227"/>
      <c r="FOA1722" s="227"/>
      <c r="FOB1722" s="227"/>
      <c r="FOC1722" s="227"/>
      <c r="FOD1722" s="227"/>
      <c r="FOE1722" s="227"/>
      <c r="FOF1722" s="227"/>
      <c r="FOG1722" s="227"/>
      <c r="FOH1722" s="227"/>
      <c r="FOI1722" s="227"/>
      <c r="FOJ1722" s="227"/>
      <c r="FOK1722" s="227"/>
      <c r="FOL1722" s="227"/>
      <c r="FOM1722" s="227"/>
      <c r="FON1722" s="227"/>
      <c r="FOO1722" s="227"/>
      <c r="FOP1722" s="227"/>
      <c r="FOQ1722" s="227"/>
      <c r="FOR1722" s="227"/>
      <c r="FOS1722" s="227"/>
      <c r="FOT1722" s="227"/>
      <c r="FOU1722" s="227"/>
      <c r="FOV1722" s="227"/>
      <c r="FOW1722" s="227"/>
      <c r="FOX1722" s="227"/>
      <c r="FOY1722" s="227"/>
      <c r="FOZ1722" s="227"/>
      <c r="FPA1722" s="227"/>
      <c r="FPB1722" s="227"/>
      <c r="FPC1722" s="227"/>
      <c r="FPD1722" s="227"/>
      <c r="FPE1722" s="227"/>
      <c r="FPF1722" s="227"/>
      <c r="FPG1722" s="227"/>
      <c r="FPH1722" s="227"/>
      <c r="FPI1722" s="227"/>
      <c r="FPJ1722" s="227"/>
      <c r="FPK1722" s="227"/>
      <c r="FPL1722" s="227"/>
      <c r="FPM1722" s="227"/>
      <c r="FPN1722" s="227"/>
      <c r="FPO1722" s="227"/>
      <c r="FPP1722" s="227"/>
      <c r="FPQ1722" s="227"/>
      <c r="FPR1722" s="227"/>
      <c r="FPS1722" s="227"/>
      <c r="FPT1722" s="227"/>
      <c r="FPU1722" s="227"/>
      <c r="FPV1722" s="227"/>
      <c r="FPW1722" s="227"/>
      <c r="FPX1722" s="227"/>
      <c r="FPY1722" s="227"/>
      <c r="FPZ1722" s="227"/>
      <c r="FQA1722" s="227"/>
      <c r="FQB1722" s="227"/>
      <c r="FQC1722" s="227"/>
      <c r="FQD1722" s="227"/>
      <c r="FQE1722" s="227"/>
      <c r="FQF1722" s="227"/>
      <c r="FQG1722" s="227"/>
      <c r="FQH1722" s="227"/>
      <c r="FQI1722" s="227"/>
      <c r="FQJ1722" s="227"/>
      <c r="FQK1722" s="227"/>
      <c r="FQL1722" s="227"/>
      <c r="FQM1722" s="227"/>
      <c r="FQN1722" s="227"/>
      <c r="FQO1722" s="227"/>
      <c r="FQP1722" s="227"/>
      <c r="FQQ1722" s="227"/>
      <c r="FQR1722" s="227"/>
      <c r="FQS1722" s="227"/>
      <c r="FQT1722" s="227"/>
      <c r="FQU1722" s="227"/>
      <c r="FQV1722" s="227"/>
      <c r="FQW1722" s="227"/>
      <c r="FQX1722" s="227"/>
      <c r="FQY1722" s="227"/>
      <c r="FQZ1722" s="227"/>
      <c r="FRA1722" s="227"/>
      <c r="FRB1722" s="227"/>
      <c r="FRC1722" s="227"/>
      <c r="FRD1722" s="227"/>
      <c r="FRE1722" s="227"/>
      <c r="FRF1722" s="227"/>
      <c r="FRG1722" s="227"/>
      <c r="FRH1722" s="227"/>
      <c r="FRI1722" s="227"/>
      <c r="FRJ1722" s="227"/>
      <c r="FRK1722" s="227"/>
      <c r="FRL1722" s="227"/>
      <c r="FRM1722" s="227"/>
      <c r="FRN1722" s="227"/>
      <c r="FRO1722" s="227"/>
      <c r="FRP1722" s="227"/>
      <c r="FRQ1722" s="227"/>
      <c r="FRR1722" s="227"/>
      <c r="FRS1722" s="227"/>
      <c r="FRT1722" s="227"/>
      <c r="FRU1722" s="227"/>
      <c r="FRV1722" s="227"/>
      <c r="FRW1722" s="227"/>
      <c r="FRX1722" s="227"/>
      <c r="FRY1722" s="227"/>
      <c r="FRZ1722" s="227"/>
      <c r="FSA1722" s="227"/>
      <c r="FSB1722" s="227"/>
      <c r="FSC1722" s="227"/>
      <c r="FSD1722" s="227"/>
      <c r="FSE1722" s="227"/>
      <c r="FSF1722" s="227"/>
      <c r="FSG1722" s="227"/>
      <c r="FSH1722" s="227"/>
      <c r="FSI1722" s="227"/>
      <c r="FSJ1722" s="227"/>
      <c r="FSK1722" s="227"/>
      <c r="FSL1722" s="227"/>
      <c r="FSM1722" s="227"/>
      <c r="FSN1722" s="227"/>
      <c r="FSO1722" s="227"/>
      <c r="FSP1722" s="227"/>
      <c r="FSQ1722" s="227"/>
      <c r="FSR1722" s="227"/>
      <c r="FSS1722" s="227"/>
      <c r="FST1722" s="227"/>
      <c r="FSU1722" s="227"/>
      <c r="FSV1722" s="227"/>
      <c r="FSW1722" s="227"/>
      <c r="FSX1722" s="227"/>
      <c r="FSY1722" s="227"/>
      <c r="FSZ1722" s="227"/>
      <c r="FTA1722" s="227"/>
      <c r="FTB1722" s="227"/>
      <c r="FTC1722" s="227"/>
      <c r="FTD1722" s="227"/>
      <c r="FTE1722" s="227"/>
      <c r="FTF1722" s="227"/>
      <c r="FTG1722" s="227"/>
      <c r="FTH1722" s="227"/>
      <c r="FTI1722" s="227"/>
      <c r="FTJ1722" s="227"/>
      <c r="FTK1722" s="227"/>
      <c r="FTL1722" s="227"/>
      <c r="FTM1722" s="227"/>
      <c r="FTN1722" s="227"/>
      <c r="FTO1722" s="227"/>
      <c r="FTP1722" s="227"/>
      <c r="FTQ1722" s="227"/>
      <c r="FTR1722" s="227"/>
      <c r="FTS1722" s="227"/>
      <c r="FTT1722" s="227"/>
      <c r="FTU1722" s="227"/>
      <c r="FTV1722" s="227"/>
      <c r="FTW1722" s="227"/>
      <c r="FTX1722" s="227"/>
      <c r="FTY1722" s="227"/>
      <c r="FTZ1722" s="227"/>
      <c r="FUA1722" s="227"/>
      <c r="FUB1722" s="227"/>
      <c r="FUC1722" s="227"/>
      <c r="FUD1722" s="227"/>
      <c r="FUE1722" s="227"/>
      <c r="FUF1722" s="227"/>
      <c r="FUG1722" s="227"/>
      <c r="FUH1722" s="227"/>
      <c r="FUI1722" s="227"/>
      <c r="FUJ1722" s="227"/>
      <c r="FUK1722" s="227"/>
      <c r="FUL1722" s="227"/>
      <c r="FUM1722" s="227"/>
      <c r="FUN1722" s="227"/>
      <c r="FUO1722" s="227"/>
      <c r="FUP1722" s="227"/>
      <c r="FUQ1722" s="227"/>
      <c r="FUR1722" s="227"/>
      <c r="FUS1722" s="227"/>
      <c r="FUT1722" s="227"/>
      <c r="FUU1722" s="227"/>
      <c r="FUV1722" s="227"/>
      <c r="FUW1722" s="227"/>
      <c r="FUX1722" s="227"/>
      <c r="FUY1722" s="227"/>
      <c r="FUZ1722" s="227"/>
      <c r="FVA1722" s="227"/>
      <c r="FVB1722" s="227"/>
      <c r="FVC1722" s="227"/>
      <c r="FVD1722" s="227"/>
      <c r="FVE1722" s="227"/>
      <c r="FVF1722" s="227"/>
      <c r="FVG1722" s="227"/>
      <c r="FVH1722" s="227"/>
      <c r="FVI1722" s="227"/>
      <c r="FVJ1722" s="227"/>
      <c r="FVK1722" s="227"/>
      <c r="FVL1722" s="227"/>
      <c r="FVM1722" s="227"/>
      <c r="FVN1722" s="227"/>
      <c r="FVO1722" s="227"/>
      <c r="FVP1722" s="227"/>
      <c r="FVQ1722" s="227"/>
      <c r="FVR1722" s="227"/>
      <c r="FVS1722" s="227"/>
      <c r="FVT1722" s="227"/>
      <c r="FVU1722" s="227"/>
      <c r="FVV1722" s="227"/>
      <c r="FVW1722" s="227"/>
      <c r="FVX1722" s="227"/>
      <c r="FVY1722" s="227"/>
      <c r="FVZ1722" s="227"/>
      <c r="FWA1722" s="227"/>
      <c r="FWB1722" s="227"/>
      <c r="FWC1722" s="227"/>
      <c r="FWD1722" s="227"/>
      <c r="FWE1722" s="227"/>
      <c r="FWF1722" s="227"/>
      <c r="FWG1722" s="227"/>
      <c r="FWH1722" s="227"/>
      <c r="FWI1722" s="227"/>
      <c r="FWJ1722" s="227"/>
      <c r="FWK1722" s="227"/>
      <c r="FWL1722" s="227"/>
      <c r="FWM1722" s="227"/>
      <c r="FWN1722" s="227"/>
      <c r="FWO1722" s="227"/>
      <c r="FWP1722" s="227"/>
      <c r="FWQ1722" s="227"/>
      <c r="FWR1722" s="227"/>
      <c r="FWS1722" s="227"/>
      <c r="FWT1722" s="227"/>
      <c r="FWU1722" s="227"/>
      <c r="FWV1722" s="227"/>
      <c r="FWW1722" s="227"/>
      <c r="FWX1722" s="227"/>
      <c r="FWY1722" s="227"/>
      <c r="FWZ1722" s="227"/>
      <c r="FXA1722" s="227"/>
      <c r="FXB1722" s="227"/>
      <c r="FXC1722" s="227"/>
      <c r="FXD1722" s="227"/>
      <c r="FXE1722" s="227"/>
      <c r="FXF1722" s="227"/>
      <c r="FXG1722" s="227"/>
      <c r="FXH1722" s="227"/>
      <c r="FXI1722" s="227"/>
      <c r="FXJ1722" s="227"/>
      <c r="FXK1722" s="227"/>
      <c r="FXL1722" s="227"/>
      <c r="FXM1722" s="227"/>
      <c r="FXN1722" s="227"/>
      <c r="FXO1722" s="227"/>
      <c r="FXP1722" s="227"/>
      <c r="FXQ1722" s="227"/>
      <c r="FXR1722" s="227"/>
      <c r="FXS1722" s="227"/>
      <c r="FXT1722" s="227"/>
      <c r="FXU1722" s="227"/>
      <c r="FXV1722" s="227"/>
      <c r="FXW1722" s="227"/>
      <c r="FXX1722" s="227"/>
      <c r="FXY1722" s="227"/>
      <c r="FXZ1722" s="227"/>
      <c r="FYA1722" s="227"/>
      <c r="FYB1722" s="227"/>
      <c r="FYC1722" s="227"/>
      <c r="FYD1722" s="227"/>
      <c r="FYE1722" s="227"/>
      <c r="FYF1722" s="227"/>
      <c r="FYG1722" s="227"/>
      <c r="FYH1722" s="227"/>
      <c r="FYI1722" s="227"/>
      <c r="FYJ1722" s="227"/>
      <c r="FYK1722" s="227"/>
      <c r="FYL1722" s="227"/>
      <c r="FYM1722" s="227"/>
      <c r="FYN1722" s="227"/>
      <c r="FYO1722" s="227"/>
      <c r="FYP1722" s="227"/>
      <c r="FYQ1722" s="227"/>
      <c r="FYR1722" s="227"/>
      <c r="FYS1722" s="227"/>
      <c r="FYT1722" s="227"/>
      <c r="FYU1722" s="227"/>
      <c r="FYV1722" s="227"/>
      <c r="FYW1722" s="227"/>
      <c r="FYX1722" s="227"/>
      <c r="FYY1722" s="227"/>
      <c r="FYZ1722" s="227"/>
      <c r="FZA1722" s="227"/>
      <c r="FZB1722" s="227"/>
      <c r="FZC1722" s="227"/>
      <c r="FZD1722" s="227"/>
      <c r="FZE1722" s="227"/>
      <c r="FZF1722" s="227"/>
      <c r="FZG1722" s="227"/>
      <c r="FZH1722" s="227"/>
      <c r="FZI1722" s="227"/>
      <c r="FZJ1722" s="227"/>
      <c r="FZK1722" s="227"/>
      <c r="FZL1722" s="227"/>
      <c r="FZM1722" s="227"/>
      <c r="FZN1722" s="227"/>
      <c r="FZO1722" s="227"/>
      <c r="FZP1722" s="227"/>
      <c r="FZQ1722" s="227"/>
      <c r="FZR1722" s="227"/>
      <c r="FZS1722" s="227"/>
      <c r="FZT1722" s="227"/>
      <c r="FZU1722" s="227"/>
      <c r="FZV1722" s="227"/>
      <c r="FZW1722" s="227"/>
      <c r="FZX1722" s="227"/>
      <c r="FZY1722" s="227"/>
      <c r="FZZ1722" s="227"/>
      <c r="GAA1722" s="227"/>
      <c r="GAB1722" s="227"/>
      <c r="GAC1722" s="227"/>
      <c r="GAD1722" s="227"/>
      <c r="GAE1722" s="227"/>
      <c r="GAF1722" s="227"/>
      <c r="GAG1722" s="227"/>
      <c r="GAH1722" s="227"/>
      <c r="GAI1722" s="227"/>
      <c r="GAJ1722" s="227"/>
      <c r="GAK1722" s="227"/>
      <c r="GAL1722" s="227"/>
      <c r="GAM1722" s="227"/>
      <c r="GAN1722" s="227"/>
      <c r="GAO1722" s="227"/>
      <c r="GAP1722" s="227"/>
      <c r="GAQ1722" s="227"/>
      <c r="GAR1722" s="227"/>
      <c r="GAS1722" s="227"/>
      <c r="GAT1722" s="227"/>
      <c r="GAU1722" s="227"/>
      <c r="GAV1722" s="227"/>
      <c r="GAW1722" s="227"/>
      <c r="GAX1722" s="227"/>
      <c r="GAY1722" s="227"/>
      <c r="GAZ1722" s="227"/>
      <c r="GBA1722" s="227"/>
      <c r="GBB1722" s="227"/>
      <c r="GBC1722" s="227"/>
      <c r="GBD1722" s="227"/>
      <c r="GBE1722" s="227"/>
      <c r="GBF1722" s="227"/>
      <c r="GBG1722" s="227"/>
      <c r="GBH1722" s="227"/>
      <c r="GBI1722" s="227"/>
      <c r="GBJ1722" s="227"/>
      <c r="GBK1722" s="227"/>
      <c r="GBL1722" s="227"/>
      <c r="GBM1722" s="227"/>
      <c r="GBN1722" s="227"/>
      <c r="GBO1722" s="227"/>
      <c r="GBP1722" s="227"/>
      <c r="GBQ1722" s="227"/>
      <c r="GBR1722" s="227"/>
      <c r="GBS1722" s="227"/>
      <c r="GBT1722" s="227"/>
      <c r="GBU1722" s="227"/>
      <c r="GBV1722" s="227"/>
      <c r="GBW1722" s="227"/>
      <c r="GBX1722" s="227"/>
      <c r="GBY1722" s="227"/>
      <c r="GBZ1722" s="227"/>
      <c r="GCA1722" s="227"/>
      <c r="GCB1722" s="227"/>
      <c r="GCC1722" s="227"/>
      <c r="GCD1722" s="227"/>
      <c r="GCE1722" s="227"/>
      <c r="GCF1722" s="227"/>
      <c r="GCG1722" s="227"/>
      <c r="GCH1722" s="227"/>
      <c r="GCI1722" s="227"/>
      <c r="GCJ1722" s="227"/>
      <c r="GCK1722" s="227"/>
      <c r="GCL1722" s="227"/>
      <c r="GCM1722" s="227"/>
      <c r="GCN1722" s="227"/>
      <c r="GCO1722" s="227"/>
      <c r="GCP1722" s="227"/>
      <c r="GCQ1722" s="227"/>
      <c r="GCR1722" s="227"/>
      <c r="GCS1722" s="227"/>
      <c r="GCT1722" s="227"/>
      <c r="GCU1722" s="227"/>
      <c r="GCV1722" s="227"/>
      <c r="GCW1722" s="227"/>
      <c r="GCX1722" s="227"/>
      <c r="GCY1722" s="227"/>
      <c r="GCZ1722" s="227"/>
      <c r="GDA1722" s="227"/>
      <c r="GDB1722" s="227"/>
      <c r="GDC1722" s="227"/>
      <c r="GDD1722" s="227"/>
      <c r="GDE1722" s="227"/>
      <c r="GDF1722" s="227"/>
      <c r="GDG1722" s="227"/>
      <c r="GDH1722" s="227"/>
      <c r="GDI1722" s="227"/>
      <c r="GDJ1722" s="227"/>
      <c r="GDK1722" s="227"/>
      <c r="GDL1722" s="227"/>
      <c r="GDM1722" s="227"/>
      <c r="GDN1722" s="227"/>
      <c r="GDO1722" s="227"/>
      <c r="GDP1722" s="227"/>
      <c r="GDQ1722" s="227"/>
      <c r="GDR1722" s="227"/>
      <c r="GDS1722" s="227"/>
      <c r="GDT1722" s="227"/>
      <c r="GDU1722" s="227"/>
      <c r="GDV1722" s="227"/>
      <c r="GDW1722" s="227"/>
      <c r="GDX1722" s="227"/>
      <c r="GDY1722" s="227"/>
      <c r="GDZ1722" s="227"/>
      <c r="GEA1722" s="227"/>
      <c r="GEB1722" s="227"/>
      <c r="GEC1722" s="227"/>
      <c r="GED1722" s="227"/>
      <c r="GEE1722" s="227"/>
      <c r="GEF1722" s="227"/>
      <c r="GEG1722" s="227"/>
      <c r="GEH1722" s="227"/>
      <c r="GEI1722" s="227"/>
      <c r="GEJ1722" s="227"/>
      <c r="GEK1722" s="227"/>
      <c r="GEL1722" s="227"/>
      <c r="GEM1722" s="227"/>
      <c r="GEN1722" s="227"/>
      <c r="GEO1722" s="227"/>
      <c r="GEP1722" s="227"/>
      <c r="GEQ1722" s="227"/>
      <c r="GER1722" s="227"/>
      <c r="GES1722" s="227"/>
      <c r="GET1722" s="227"/>
      <c r="GEU1722" s="227"/>
      <c r="GEV1722" s="227"/>
      <c r="GEW1722" s="227"/>
      <c r="GEX1722" s="227"/>
      <c r="GEY1722" s="227"/>
      <c r="GEZ1722" s="227"/>
      <c r="GFA1722" s="227"/>
      <c r="GFB1722" s="227"/>
      <c r="GFC1722" s="227"/>
      <c r="GFD1722" s="227"/>
      <c r="GFE1722" s="227"/>
      <c r="GFF1722" s="227"/>
      <c r="GFG1722" s="227"/>
      <c r="GFH1722" s="227"/>
      <c r="GFI1722" s="227"/>
      <c r="GFJ1722" s="227"/>
      <c r="GFK1722" s="227"/>
      <c r="GFL1722" s="227"/>
      <c r="GFM1722" s="227"/>
      <c r="GFN1722" s="227"/>
      <c r="GFO1722" s="227"/>
      <c r="GFP1722" s="227"/>
      <c r="GFQ1722" s="227"/>
      <c r="GFR1722" s="227"/>
      <c r="GFS1722" s="227"/>
      <c r="GFT1722" s="227"/>
      <c r="GFU1722" s="227"/>
      <c r="GFV1722" s="227"/>
      <c r="GFW1722" s="227"/>
      <c r="GFX1722" s="227"/>
      <c r="GFY1722" s="227"/>
      <c r="GFZ1722" s="227"/>
      <c r="GGA1722" s="227"/>
      <c r="GGB1722" s="227"/>
      <c r="GGC1722" s="227"/>
      <c r="GGD1722" s="227"/>
      <c r="GGE1722" s="227"/>
      <c r="GGF1722" s="227"/>
      <c r="GGG1722" s="227"/>
      <c r="GGH1722" s="227"/>
      <c r="GGI1722" s="227"/>
      <c r="GGJ1722" s="227"/>
      <c r="GGK1722" s="227"/>
      <c r="GGL1722" s="227"/>
      <c r="GGM1722" s="227"/>
      <c r="GGN1722" s="227"/>
      <c r="GGO1722" s="227"/>
      <c r="GGP1722" s="227"/>
      <c r="GGQ1722" s="227"/>
      <c r="GGR1722" s="227"/>
      <c r="GGS1722" s="227"/>
      <c r="GGT1722" s="227"/>
      <c r="GGU1722" s="227"/>
      <c r="GGV1722" s="227"/>
      <c r="GGW1722" s="227"/>
      <c r="GGX1722" s="227"/>
      <c r="GGY1722" s="227"/>
      <c r="GGZ1722" s="227"/>
      <c r="GHA1722" s="227"/>
      <c r="GHB1722" s="227"/>
      <c r="GHC1722" s="227"/>
      <c r="GHD1722" s="227"/>
      <c r="GHE1722" s="227"/>
      <c r="GHF1722" s="227"/>
      <c r="GHG1722" s="227"/>
      <c r="GHH1722" s="227"/>
      <c r="GHI1722" s="227"/>
      <c r="GHJ1722" s="227"/>
      <c r="GHK1722" s="227"/>
      <c r="GHL1722" s="227"/>
      <c r="GHM1722" s="227"/>
      <c r="GHN1722" s="227"/>
      <c r="GHO1722" s="227"/>
      <c r="GHP1722" s="227"/>
      <c r="GHQ1722" s="227"/>
      <c r="GHR1722" s="227"/>
      <c r="GHS1722" s="227"/>
      <c r="GHT1722" s="227"/>
      <c r="GHU1722" s="227"/>
      <c r="GHV1722" s="227"/>
      <c r="GHW1722" s="227"/>
      <c r="GHX1722" s="227"/>
      <c r="GHY1722" s="227"/>
      <c r="GHZ1722" s="227"/>
      <c r="GIA1722" s="227"/>
      <c r="GIB1722" s="227"/>
      <c r="GIC1722" s="227"/>
      <c r="GID1722" s="227"/>
      <c r="GIE1722" s="227"/>
      <c r="GIF1722" s="227"/>
      <c r="GIG1722" s="227"/>
      <c r="GIH1722" s="227"/>
      <c r="GII1722" s="227"/>
      <c r="GIJ1722" s="227"/>
      <c r="GIK1722" s="227"/>
      <c r="GIL1722" s="227"/>
      <c r="GIM1722" s="227"/>
      <c r="GIN1722" s="227"/>
      <c r="GIO1722" s="227"/>
      <c r="GIP1722" s="227"/>
      <c r="GIQ1722" s="227"/>
      <c r="GIR1722" s="227"/>
      <c r="GIS1722" s="227"/>
      <c r="GIT1722" s="227"/>
      <c r="GIU1722" s="227"/>
      <c r="GIV1722" s="227"/>
      <c r="GIW1722" s="227"/>
      <c r="GIX1722" s="227"/>
      <c r="GIY1722" s="227"/>
      <c r="GIZ1722" s="227"/>
      <c r="GJA1722" s="227"/>
      <c r="GJB1722" s="227"/>
      <c r="GJC1722" s="227"/>
      <c r="GJD1722" s="227"/>
      <c r="GJE1722" s="227"/>
      <c r="GJF1722" s="227"/>
      <c r="GJG1722" s="227"/>
      <c r="GJH1722" s="227"/>
      <c r="GJI1722" s="227"/>
      <c r="GJJ1722" s="227"/>
      <c r="GJK1722" s="227"/>
      <c r="GJL1722" s="227"/>
      <c r="GJM1722" s="227"/>
      <c r="GJN1722" s="227"/>
      <c r="GJO1722" s="227"/>
      <c r="GJP1722" s="227"/>
      <c r="GJQ1722" s="227"/>
      <c r="GJR1722" s="227"/>
      <c r="GJS1722" s="227"/>
      <c r="GJT1722" s="227"/>
      <c r="GJU1722" s="227"/>
      <c r="GJV1722" s="227"/>
      <c r="GJW1722" s="227"/>
      <c r="GJX1722" s="227"/>
      <c r="GJY1722" s="227"/>
      <c r="GJZ1722" s="227"/>
      <c r="GKA1722" s="227"/>
      <c r="GKB1722" s="227"/>
      <c r="GKC1722" s="227"/>
      <c r="GKD1722" s="227"/>
      <c r="GKE1722" s="227"/>
      <c r="GKF1722" s="227"/>
      <c r="GKG1722" s="227"/>
      <c r="GKH1722" s="227"/>
      <c r="GKI1722" s="227"/>
      <c r="GKJ1722" s="227"/>
      <c r="GKK1722" s="227"/>
      <c r="GKL1722" s="227"/>
      <c r="GKM1722" s="227"/>
      <c r="GKN1722" s="227"/>
      <c r="GKO1722" s="227"/>
      <c r="GKP1722" s="227"/>
      <c r="GKQ1722" s="227"/>
      <c r="GKR1722" s="227"/>
      <c r="GKS1722" s="227"/>
      <c r="GKT1722" s="227"/>
      <c r="GKU1722" s="227"/>
      <c r="GKV1722" s="227"/>
      <c r="GKW1722" s="227"/>
      <c r="GKX1722" s="227"/>
      <c r="GKY1722" s="227"/>
      <c r="GKZ1722" s="227"/>
      <c r="GLA1722" s="227"/>
      <c r="GLB1722" s="227"/>
      <c r="GLC1722" s="227"/>
      <c r="GLD1722" s="227"/>
      <c r="GLE1722" s="227"/>
      <c r="GLF1722" s="227"/>
      <c r="GLG1722" s="227"/>
      <c r="GLH1722" s="227"/>
      <c r="GLI1722" s="227"/>
      <c r="GLJ1722" s="227"/>
      <c r="GLK1722" s="227"/>
      <c r="GLL1722" s="227"/>
      <c r="GLM1722" s="227"/>
      <c r="GLN1722" s="227"/>
      <c r="GLO1722" s="227"/>
      <c r="GLP1722" s="227"/>
      <c r="GLQ1722" s="227"/>
      <c r="GLR1722" s="227"/>
      <c r="GLS1722" s="227"/>
      <c r="GLT1722" s="227"/>
      <c r="GLU1722" s="227"/>
      <c r="GLV1722" s="227"/>
      <c r="GLW1722" s="227"/>
      <c r="GLX1722" s="227"/>
      <c r="GLY1722" s="227"/>
      <c r="GLZ1722" s="227"/>
      <c r="GMA1722" s="227"/>
      <c r="GMB1722" s="227"/>
      <c r="GMC1722" s="227"/>
      <c r="GMD1722" s="227"/>
      <c r="GME1722" s="227"/>
      <c r="GMF1722" s="227"/>
      <c r="GMG1722" s="227"/>
      <c r="GMH1722" s="227"/>
      <c r="GMI1722" s="227"/>
      <c r="GMJ1722" s="227"/>
      <c r="GMK1722" s="227"/>
      <c r="GML1722" s="227"/>
      <c r="GMM1722" s="227"/>
      <c r="GMN1722" s="227"/>
      <c r="GMO1722" s="227"/>
      <c r="GMP1722" s="227"/>
      <c r="GMQ1722" s="227"/>
      <c r="GMR1722" s="227"/>
      <c r="GMS1722" s="227"/>
      <c r="GMT1722" s="227"/>
      <c r="GMU1722" s="227"/>
      <c r="GMV1722" s="227"/>
      <c r="GMW1722" s="227"/>
      <c r="GMX1722" s="227"/>
      <c r="GMY1722" s="227"/>
      <c r="GMZ1722" s="227"/>
      <c r="GNA1722" s="227"/>
      <c r="GNB1722" s="227"/>
      <c r="GNC1722" s="227"/>
      <c r="GND1722" s="227"/>
      <c r="GNE1722" s="227"/>
      <c r="GNF1722" s="227"/>
      <c r="GNG1722" s="227"/>
      <c r="GNH1722" s="227"/>
      <c r="GNI1722" s="227"/>
      <c r="GNJ1722" s="227"/>
      <c r="GNK1722" s="227"/>
      <c r="GNL1722" s="227"/>
      <c r="GNM1722" s="227"/>
      <c r="GNN1722" s="227"/>
      <c r="GNO1722" s="227"/>
      <c r="GNP1722" s="227"/>
      <c r="GNQ1722" s="227"/>
      <c r="GNR1722" s="227"/>
      <c r="GNS1722" s="227"/>
      <c r="GNT1722" s="227"/>
      <c r="GNU1722" s="227"/>
      <c r="GNV1722" s="227"/>
      <c r="GNW1722" s="227"/>
      <c r="GNX1722" s="227"/>
      <c r="GNY1722" s="227"/>
      <c r="GNZ1722" s="227"/>
      <c r="GOA1722" s="227"/>
      <c r="GOB1722" s="227"/>
      <c r="GOC1722" s="227"/>
      <c r="GOD1722" s="227"/>
      <c r="GOE1722" s="227"/>
      <c r="GOF1722" s="227"/>
      <c r="GOG1722" s="227"/>
      <c r="GOH1722" s="227"/>
      <c r="GOI1722" s="227"/>
      <c r="GOJ1722" s="227"/>
      <c r="GOK1722" s="227"/>
      <c r="GOL1722" s="227"/>
      <c r="GOM1722" s="227"/>
      <c r="GON1722" s="227"/>
      <c r="GOO1722" s="227"/>
      <c r="GOP1722" s="227"/>
      <c r="GOQ1722" s="227"/>
      <c r="GOR1722" s="227"/>
      <c r="GOS1722" s="227"/>
      <c r="GOT1722" s="227"/>
      <c r="GOU1722" s="227"/>
      <c r="GOV1722" s="227"/>
      <c r="GOW1722" s="227"/>
      <c r="GOX1722" s="227"/>
      <c r="GOY1722" s="227"/>
      <c r="GOZ1722" s="227"/>
      <c r="GPA1722" s="227"/>
      <c r="GPB1722" s="227"/>
      <c r="GPC1722" s="227"/>
      <c r="GPD1722" s="227"/>
      <c r="GPE1722" s="227"/>
      <c r="GPF1722" s="227"/>
      <c r="GPG1722" s="227"/>
      <c r="GPH1722" s="227"/>
      <c r="GPI1722" s="227"/>
      <c r="GPJ1722" s="227"/>
      <c r="GPK1722" s="227"/>
      <c r="GPL1722" s="227"/>
      <c r="GPM1722" s="227"/>
      <c r="GPN1722" s="227"/>
      <c r="GPO1722" s="227"/>
      <c r="GPP1722" s="227"/>
      <c r="GPQ1722" s="227"/>
      <c r="GPR1722" s="227"/>
      <c r="GPS1722" s="227"/>
      <c r="GPT1722" s="227"/>
      <c r="GPU1722" s="227"/>
      <c r="GPV1722" s="227"/>
      <c r="GPW1722" s="227"/>
      <c r="GPX1722" s="227"/>
      <c r="GPY1722" s="227"/>
      <c r="GPZ1722" s="227"/>
      <c r="GQA1722" s="227"/>
      <c r="GQB1722" s="227"/>
      <c r="GQC1722" s="227"/>
      <c r="GQD1722" s="227"/>
      <c r="GQE1722" s="227"/>
      <c r="GQF1722" s="227"/>
      <c r="GQG1722" s="227"/>
      <c r="GQH1722" s="227"/>
      <c r="GQI1722" s="227"/>
      <c r="GQJ1722" s="227"/>
      <c r="GQK1722" s="227"/>
      <c r="GQL1722" s="227"/>
      <c r="GQM1722" s="227"/>
      <c r="GQN1722" s="227"/>
      <c r="GQO1722" s="227"/>
      <c r="GQP1722" s="227"/>
      <c r="GQQ1722" s="227"/>
      <c r="GQR1722" s="227"/>
      <c r="GQS1722" s="227"/>
      <c r="GQT1722" s="227"/>
      <c r="GQU1722" s="227"/>
      <c r="GQV1722" s="227"/>
      <c r="GQW1722" s="227"/>
      <c r="GQX1722" s="227"/>
      <c r="GQY1722" s="227"/>
      <c r="GQZ1722" s="227"/>
      <c r="GRA1722" s="227"/>
      <c r="GRB1722" s="227"/>
      <c r="GRC1722" s="227"/>
      <c r="GRD1722" s="227"/>
      <c r="GRE1722" s="227"/>
      <c r="GRF1722" s="227"/>
      <c r="GRG1722" s="227"/>
      <c r="GRH1722" s="227"/>
      <c r="GRI1722" s="227"/>
      <c r="GRJ1722" s="227"/>
      <c r="GRK1722" s="227"/>
      <c r="GRL1722" s="227"/>
      <c r="GRM1722" s="227"/>
      <c r="GRN1722" s="227"/>
      <c r="GRO1722" s="227"/>
      <c r="GRP1722" s="227"/>
      <c r="GRQ1722" s="227"/>
      <c r="GRR1722" s="227"/>
      <c r="GRS1722" s="227"/>
      <c r="GRT1722" s="227"/>
      <c r="GRU1722" s="227"/>
      <c r="GRV1722" s="227"/>
      <c r="GRW1722" s="227"/>
      <c r="GRX1722" s="227"/>
      <c r="GRY1722" s="227"/>
      <c r="GRZ1722" s="227"/>
      <c r="GSA1722" s="227"/>
      <c r="GSB1722" s="227"/>
      <c r="GSC1722" s="227"/>
      <c r="GSD1722" s="227"/>
      <c r="GSE1722" s="227"/>
      <c r="GSF1722" s="227"/>
      <c r="GSG1722" s="227"/>
      <c r="GSH1722" s="227"/>
      <c r="GSI1722" s="227"/>
      <c r="GSJ1722" s="227"/>
      <c r="GSK1722" s="227"/>
      <c r="GSL1722" s="227"/>
      <c r="GSM1722" s="227"/>
      <c r="GSN1722" s="227"/>
      <c r="GSO1722" s="227"/>
      <c r="GSP1722" s="227"/>
      <c r="GSQ1722" s="227"/>
      <c r="GSR1722" s="227"/>
      <c r="GSS1722" s="227"/>
      <c r="GST1722" s="227"/>
      <c r="GSU1722" s="227"/>
      <c r="GSV1722" s="227"/>
      <c r="GSW1722" s="227"/>
      <c r="GSX1722" s="227"/>
      <c r="GSY1722" s="227"/>
      <c r="GSZ1722" s="227"/>
      <c r="GTA1722" s="227"/>
      <c r="GTB1722" s="227"/>
      <c r="GTC1722" s="227"/>
      <c r="GTD1722" s="227"/>
      <c r="GTE1722" s="227"/>
      <c r="GTF1722" s="227"/>
      <c r="GTG1722" s="227"/>
      <c r="GTH1722" s="227"/>
      <c r="GTI1722" s="227"/>
      <c r="GTJ1722" s="227"/>
      <c r="GTK1722" s="227"/>
      <c r="GTL1722" s="227"/>
      <c r="GTM1722" s="227"/>
      <c r="GTN1722" s="227"/>
      <c r="GTO1722" s="227"/>
      <c r="GTP1722" s="227"/>
      <c r="GTQ1722" s="227"/>
      <c r="GTR1722" s="227"/>
      <c r="GTS1722" s="227"/>
      <c r="GTT1722" s="227"/>
      <c r="GTU1722" s="227"/>
      <c r="GTV1722" s="227"/>
      <c r="GTW1722" s="227"/>
      <c r="GTX1722" s="227"/>
      <c r="GTY1722" s="227"/>
      <c r="GTZ1722" s="227"/>
      <c r="GUA1722" s="227"/>
      <c r="GUB1722" s="227"/>
      <c r="GUC1722" s="227"/>
      <c r="GUD1722" s="227"/>
      <c r="GUE1722" s="227"/>
      <c r="GUF1722" s="227"/>
      <c r="GUG1722" s="227"/>
      <c r="GUH1722" s="227"/>
      <c r="GUI1722" s="227"/>
      <c r="GUJ1722" s="227"/>
      <c r="GUK1722" s="227"/>
      <c r="GUL1722" s="227"/>
      <c r="GUM1722" s="227"/>
      <c r="GUN1722" s="227"/>
      <c r="GUO1722" s="227"/>
      <c r="GUP1722" s="227"/>
      <c r="GUQ1722" s="227"/>
      <c r="GUR1722" s="227"/>
      <c r="GUS1722" s="227"/>
      <c r="GUT1722" s="227"/>
      <c r="GUU1722" s="227"/>
      <c r="GUV1722" s="227"/>
      <c r="GUW1722" s="227"/>
      <c r="GUX1722" s="227"/>
      <c r="GUY1722" s="227"/>
      <c r="GUZ1722" s="227"/>
      <c r="GVA1722" s="227"/>
      <c r="GVB1722" s="227"/>
      <c r="GVC1722" s="227"/>
      <c r="GVD1722" s="227"/>
      <c r="GVE1722" s="227"/>
      <c r="GVF1722" s="227"/>
      <c r="GVG1722" s="227"/>
      <c r="GVH1722" s="227"/>
      <c r="GVI1722" s="227"/>
      <c r="GVJ1722" s="227"/>
      <c r="GVK1722" s="227"/>
      <c r="GVL1722" s="227"/>
      <c r="GVM1722" s="227"/>
      <c r="GVN1722" s="227"/>
      <c r="GVO1722" s="227"/>
      <c r="GVP1722" s="227"/>
      <c r="GVQ1722" s="227"/>
      <c r="GVR1722" s="227"/>
      <c r="GVS1722" s="227"/>
      <c r="GVT1722" s="227"/>
      <c r="GVU1722" s="227"/>
      <c r="GVV1722" s="227"/>
      <c r="GVW1722" s="227"/>
      <c r="GVX1722" s="227"/>
      <c r="GVY1722" s="227"/>
      <c r="GVZ1722" s="227"/>
      <c r="GWA1722" s="227"/>
      <c r="GWB1722" s="227"/>
      <c r="GWC1722" s="227"/>
      <c r="GWD1722" s="227"/>
      <c r="GWE1722" s="227"/>
      <c r="GWF1722" s="227"/>
      <c r="GWG1722" s="227"/>
      <c r="GWH1722" s="227"/>
      <c r="GWI1722" s="227"/>
      <c r="GWJ1722" s="227"/>
      <c r="GWK1722" s="227"/>
      <c r="GWL1722" s="227"/>
      <c r="GWM1722" s="227"/>
      <c r="GWN1722" s="227"/>
      <c r="GWO1722" s="227"/>
      <c r="GWP1722" s="227"/>
      <c r="GWQ1722" s="227"/>
      <c r="GWR1722" s="227"/>
      <c r="GWS1722" s="227"/>
      <c r="GWT1722" s="227"/>
      <c r="GWU1722" s="227"/>
      <c r="GWV1722" s="227"/>
      <c r="GWW1722" s="227"/>
      <c r="GWX1722" s="227"/>
      <c r="GWY1722" s="227"/>
      <c r="GWZ1722" s="227"/>
      <c r="GXA1722" s="227"/>
      <c r="GXB1722" s="227"/>
      <c r="GXC1722" s="227"/>
      <c r="GXD1722" s="227"/>
      <c r="GXE1722" s="227"/>
      <c r="GXF1722" s="227"/>
      <c r="GXG1722" s="227"/>
      <c r="GXH1722" s="227"/>
      <c r="GXI1722" s="227"/>
      <c r="GXJ1722" s="227"/>
      <c r="GXK1722" s="227"/>
      <c r="GXL1722" s="227"/>
      <c r="GXM1722" s="227"/>
      <c r="GXN1722" s="227"/>
      <c r="GXO1722" s="227"/>
      <c r="GXP1722" s="227"/>
      <c r="GXQ1722" s="227"/>
      <c r="GXR1722" s="227"/>
      <c r="GXS1722" s="227"/>
      <c r="GXT1722" s="227"/>
      <c r="GXU1722" s="227"/>
      <c r="GXV1722" s="227"/>
      <c r="GXW1722" s="227"/>
      <c r="GXX1722" s="227"/>
      <c r="GXY1722" s="227"/>
      <c r="GXZ1722" s="227"/>
      <c r="GYA1722" s="227"/>
      <c r="GYB1722" s="227"/>
      <c r="GYC1722" s="227"/>
      <c r="GYD1722" s="227"/>
      <c r="GYE1722" s="227"/>
      <c r="GYF1722" s="227"/>
      <c r="GYG1722" s="227"/>
      <c r="GYH1722" s="227"/>
      <c r="GYI1722" s="227"/>
      <c r="GYJ1722" s="227"/>
      <c r="GYK1722" s="227"/>
      <c r="GYL1722" s="227"/>
      <c r="GYM1722" s="227"/>
      <c r="GYN1722" s="227"/>
      <c r="GYO1722" s="227"/>
      <c r="GYP1722" s="227"/>
      <c r="GYQ1722" s="227"/>
      <c r="GYR1722" s="227"/>
      <c r="GYS1722" s="227"/>
      <c r="GYT1722" s="227"/>
      <c r="GYU1722" s="227"/>
      <c r="GYV1722" s="227"/>
      <c r="GYW1722" s="227"/>
      <c r="GYX1722" s="227"/>
      <c r="GYY1722" s="227"/>
      <c r="GYZ1722" s="227"/>
      <c r="GZA1722" s="227"/>
      <c r="GZB1722" s="227"/>
      <c r="GZC1722" s="227"/>
      <c r="GZD1722" s="227"/>
      <c r="GZE1722" s="227"/>
      <c r="GZF1722" s="227"/>
      <c r="GZG1722" s="227"/>
      <c r="GZH1722" s="227"/>
      <c r="GZI1722" s="227"/>
      <c r="GZJ1722" s="227"/>
      <c r="GZK1722" s="227"/>
      <c r="GZL1722" s="227"/>
      <c r="GZM1722" s="227"/>
      <c r="GZN1722" s="227"/>
      <c r="GZO1722" s="227"/>
      <c r="GZP1722" s="227"/>
      <c r="GZQ1722" s="227"/>
      <c r="GZR1722" s="227"/>
      <c r="GZS1722" s="227"/>
      <c r="GZT1722" s="227"/>
      <c r="GZU1722" s="227"/>
      <c r="GZV1722" s="227"/>
      <c r="GZW1722" s="227"/>
      <c r="GZX1722" s="227"/>
      <c r="GZY1722" s="227"/>
      <c r="GZZ1722" s="227"/>
      <c r="HAA1722" s="227"/>
      <c r="HAB1722" s="227"/>
      <c r="HAC1722" s="227"/>
      <c r="HAD1722" s="227"/>
      <c r="HAE1722" s="227"/>
      <c r="HAF1722" s="227"/>
      <c r="HAG1722" s="227"/>
      <c r="HAH1722" s="227"/>
      <c r="HAI1722" s="227"/>
      <c r="HAJ1722" s="227"/>
      <c r="HAK1722" s="227"/>
      <c r="HAL1722" s="227"/>
      <c r="HAM1722" s="227"/>
      <c r="HAN1722" s="227"/>
      <c r="HAO1722" s="227"/>
      <c r="HAP1722" s="227"/>
      <c r="HAQ1722" s="227"/>
      <c r="HAR1722" s="227"/>
      <c r="HAS1722" s="227"/>
      <c r="HAT1722" s="227"/>
      <c r="HAU1722" s="227"/>
      <c r="HAV1722" s="227"/>
      <c r="HAW1722" s="227"/>
      <c r="HAX1722" s="227"/>
      <c r="HAY1722" s="227"/>
      <c r="HAZ1722" s="227"/>
      <c r="HBA1722" s="227"/>
      <c r="HBB1722" s="227"/>
      <c r="HBC1722" s="227"/>
      <c r="HBD1722" s="227"/>
      <c r="HBE1722" s="227"/>
      <c r="HBF1722" s="227"/>
      <c r="HBG1722" s="227"/>
      <c r="HBH1722" s="227"/>
      <c r="HBI1722" s="227"/>
      <c r="HBJ1722" s="227"/>
      <c r="HBK1722" s="227"/>
      <c r="HBL1722" s="227"/>
      <c r="HBM1722" s="227"/>
      <c r="HBN1722" s="227"/>
      <c r="HBO1722" s="227"/>
      <c r="HBP1722" s="227"/>
      <c r="HBQ1722" s="227"/>
      <c r="HBR1722" s="227"/>
      <c r="HBS1722" s="227"/>
      <c r="HBT1722" s="227"/>
      <c r="HBU1722" s="227"/>
      <c r="HBV1722" s="227"/>
      <c r="HBW1722" s="227"/>
      <c r="HBX1722" s="227"/>
      <c r="HBY1722" s="227"/>
      <c r="HBZ1722" s="227"/>
      <c r="HCA1722" s="227"/>
      <c r="HCB1722" s="227"/>
      <c r="HCC1722" s="227"/>
      <c r="HCD1722" s="227"/>
      <c r="HCE1722" s="227"/>
      <c r="HCF1722" s="227"/>
      <c r="HCG1722" s="227"/>
      <c r="HCH1722" s="227"/>
      <c r="HCI1722" s="227"/>
      <c r="HCJ1722" s="227"/>
      <c r="HCK1722" s="227"/>
      <c r="HCL1722" s="227"/>
      <c r="HCM1722" s="227"/>
      <c r="HCN1722" s="227"/>
      <c r="HCO1722" s="227"/>
      <c r="HCP1722" s="227"/>
      <c r="HCQ1722" s="227"/>
      <c r="HCR1722" s="227"/>
      <c r="HCS1722" s="227"/>
      <c r="HCT1722" s="227"/>
      <c r="HCU1722" s="227"/>
      <c r="HCV1722" s="227"/>
      <c r="HCW1722" s="227"/>
      <c r="HCX1722" s="227"/>
      <c r="HCY1722" s="227"/>
      <c r="HCZ1722" s="227"/>
      <c r="HDA1722" s="227"/>
      <c r="HDB1722" s="227"/>
      <c r="HDC1722" s="227"/>
      <c r="HDD1722" s="227"/>
      <c r="HDE1722" s="227"/>
      <c r="HDF1722" s="227"/>
      <c r="HDG1722" s="227"/>
      <c r="HDH1722" s="227"/>
      <c r="HDI1722" s="227"/>
      <c r="HDJ1722" s="227"/>
      <c r="HDK1722" s="227"/>
      <c r="HDL1722" s="227"/>
      <c r="HDM1722" s="227"/>
      <c r="HDN1722" s="227"/>
      <c r="HDO1722" s="227"/>
      <c r="HDP1722" s="227"/>
      <c r="HDQ1722" s="227"/>
      <c r="HDR1722" s="227"/>
      <c r="HDS1722" s="227"/>
      <c r="HDT1722" s="227"/>
      <c r="HDU1722" s="227"/>
      <c r="HDV1722" s="227"/>
      <c r="HDW1722" s="227"/>
      <c r="HDX1722" s="227"/>
      <c r="HDY1722" s="227"/>
      <c r="HDZ1722" s="227"/>
      <c r="HEA1722" s="227"/>
      <c r="HEB1722" s="227"/>
      <c r="HEC1722" s="227"/>
      <c r="HED1722" s="227"/>
      <c r="HEE1722" s="227"/>
      <c r="HEF1722" s="227"/>
      <c r="HEG1722" s="227"/>
      <c r="HEH1722" s="227"/>
      <c r="HEI1722" s="227"/>
      <c r="HEJ1722" s="227"/>
      <c r="HEK1722" s="227"/>
      <c r="HEL1722" s="227"/>
      <c r="HEM1722" s="227"/>
      <c r="HEN1722" s="227"/>
      <c r="HEO1722" s="227"/>
      <c r="HEP1722" s="227"/>
      <c r="HEQ1722" s="227"/>
      <c r="HER1722" s="227"/>
      <c r="HES1722" s="227"/>
      <c r="HET1722" s="227"/>
      <c r="HEU1722" s="227"/>
      <c r="HEV1722" s="227"/>
      <c r="HEW1722" s="227"/>
      <c r="HEX1722" s="227"/>
      <c r="HEY1722" s="227"/>
      <c r="HEZ1722" s="227"/>
      <c r="HFA1722" s="227"/>
      <c r="HFB1722" s="227"/>
      <c r="HFC1722" s="227"/>
      <c r="HFD1722" s="227"/>
      <c r="HFE1722" s="227"/>
      <c r="HFF1722" s="227"/>
      <c r="HFG1722" s="227"/>
      <c r="HFH1722" s="227"/>
      <c r="HFI1722" s="227"/>
      <c r="HFJ1722" s="227"/>
      <c r="HFK1722" s="227"/>
      <c r="HFL1722" s="227"/>
      <c r="HFM1722" s="227"/>
      <c r="HFN1722" s="227"/>
      <c r="HFO1722" s="227"/>
      <c r="HFP1722" s="227"/>
      <c r="HFQ1722" s="227"/>
      <c r="HFR1722" s="227"/>
      <c r="HFS1722" s="227"/>
      <c r="HFT1722" s="227"/>
      <c r="HFU1722" s="227"/>
      <c r="HFV1722" s="227"/>
      <c r="HFW1722" s="227"/>
      <c r="HFX1722" s="227"/>
      <c r="HFY1722" s="227"/>
      <c r="HFZ1722" s="227"/>
      <c r="HGA1722" s="227"/>
      <c r="HGB1722" s="227"/>
      <c r="HGC1722" s="227"/>
      <c r="HGD1722" s="227"/>
      <c r="HGE1722" s="227"/>
      <c r="HGF1722" s="227"/>
      <c r="HGG1722" s="227"/>
      <c r="HGH1722" s="227"/>
      <c r="HGI1722" s="227"/>
      <c r="HGJ1722" s="227"/>
      <c r="HGK1722" s="227"/>
      <c r="HGL1722" s="227"/>
      <c r="HGM1722" s="227"/>
      <c r="HGN1722" s="227"/>
      <c r="HGO1722" s="227"/>
      <c r="HGP1722" s="227"/>
      <c r="HGQ1722" s="227"/>
      <c r="HGR1722" s="227"/>
      <c r="HGS1722" s="227"/>
      <c r="HGT1722" s="227"/>
      <c r="HGU1722" s="227"/>
      <c r="HGV1722" s="227"/>
      <c r="HGW1722" s="227"/>
      <c r="HGX1722" s="227"/>
      <c r="HGY1722" s="227"/>
      <c r="HGZ1722" s="227"/>
      <c r="HHA1722" s="227"/>
      <c r="HHB1722" s="227"/>
      <c r="HHC1722" s="227"/>
      <c r="HHD1722" s="227"/>
      <c r="HHE1722" s="227"/>
      <c r="HHF1722" s="227"/>
      <c r="HHG1722" s="227"/>
      <c r="HHH1722" s="227"/>
      <c r="HHI1722" s="227"/>
      <c r="HHJ1722" s="227"/>
      <c r="HHK1722" s="227"/>
      <c r="HHL1722" s="227"/>
      <c r="HHM1722" s="227"/>
      <c r="HHN1722" s="227"/>
      <c r="HHO1722" s="227"/>
      <c r="HHP1722" s="227"/>
      <c r="HHQ1722" s="227"/>
      <c r="HHR1722" s="227"/>
      <c r="HHS1722" s="227"/>
      <c r="HHT1722" s="227"/>
      <c r="HHU1722" s="227"/>
      <c r="HHV1722" s="227"/>
      <c r="HHW1722" s="227"/>
      <c r="HHX1722" s="227"/>
      <c r="HHY1722" s="227"/>
      <c r="HHZ1722" s="227"/>
      <c r="HIA1722" s="227"/>
      <c r="HIB1722" s="227"/>
      <c r="HIC1722" s="227"/>
      <c r="HID1722" s="227"/>
      <c r="HIE1722" s="227"/>
      <c r="HIF1722" s="227"/>
      <c r="HIG1722" s="227"/>
      <c r="HIH1722" s="227"/>
      <c r="HII1722" s="227"/>
      <c r="HIJ1722" s="227"/>
      <c r="HIK1722" s="227"/>
      <c r="HIL1722" s="227"/>
      <c r="HIM1722" s="227"/>
      <c r="HIN1722" s="227"/>
      <c r="HIO1722" s="227"/>
      <c r="HIP1722" s="227"/>
      <c r="HIQ1722" s="227"/>
      <c r="HIR1722" s="227"/>
      <c r="HIS1722" s="227"/>
      <c r="HIT1722" s="227"/>
      <c r="HIU1722" s="227"/>
      <c r="HIV1722" s="227"/>
      <c r="HIW1722" s="227"/>
      <c r="HIX1722" s="227"/>
      <c r="HIY1722" s="227"/>
      <c r="HIZ1722" s="227"/>
      <c r="HJA1722" s="227"/>
      <c r="HJB1722" s="227"/>
      <c r="HJC1722" s="227"/>
      <c r="HJD1722" s="227"/>
      <c r="HJE1722" s="227"/>
      <c r="HJF1722" s="227"/>
      <c r="HJG1722" s="227"/>
      <c r="HJH1722" s="227"/>
      <c r="HJI1722" s="227"/>
      <c r="HJJ1722" s="227"/>
      <c r="HJK1722" s="227"/>
      <c r="HJL1722" s="227"/>
      <c r="HJM1722" s="227"/>
      <c r="HJN1722" s="227"/>
      <c r="HJO1722" s="227"/>
      <c r="HJP1722" s="227"/>
      <c r="HJQ1722" s="227"/>
      <c r="HJR1722" s="227"/>
      <c r="HJS1722" s="227"/>
      <c r="HJT1722" s="227"/>
      <c r="HJU1722" s="227"/>
      <c r="HJV1722" s="227"/>
      <c r="HJW1722" s="227"/>
      <c r="HJX1722" s="227"/>
      <c r="HJY1722" s="227"/>
      <c r="HJZ1722" s="227"/>
      <c r="HKA1722" s="227"/>
      <c r="HKB1722" s="227"/>
      <c r="HKC1722" s="227"/>
      <c r="HKD1722" s="227"/>
      <c r="HKE1722" s="227"/>
      <c r="HKF1722" s="227"/>
      <c r="HKG1722" s="227"/>
      <c r="HKH1722" s="227"/>
      <c r="HKI1722" s="227"/>
      <c r="HKJ1722" s="227"/>
      <c r="HKK1722" s="227"/>
      <c r="HKL1722" s="227"/>
      <c r="HKM1722" s="227"/>
      <c r="HKN1722" s="227"/>
      <c r="HKO1722" s="227"/>
      <c r="HKP1722" s="227"/>
      <c r="HKQ1722" s="227"/>
      <c r="HKR1722" s="227"/>
      <c r="HKS1722" s="227"/>
      <c r="HKT1722" s="227"/>
      <c r="HKU1722" s="227"/>
      <c r="HKV1722" s="227"/>
      <c r="HKW1722" s="227"/>
      <c r="HKX1722" s="227"/>
      <c r="HKY1722" s="227"/>
      <c r="HKZ1722" s="227"/>
      <c r="HLA1722" s="227"/>
      <c r="HLB1722" s="227"/>
      <c r="HLC1722" s="227"/>
      <c r="HLD1722" s="227"/>
      <c r="HLE1722" s="227"/>
      <c r="HLF1722" s="227"/>
      <c r="HLG1722" s="227"/>
      <c r="HLH1722" s="227"/>
      <c r="HLI1722" s="227"/>
      <c r="HLJ1722" s="227"/>
      <c r="HLK1722" s="227"/>
      <c r="HLL1722" s="227"/>
      <c r="HLM1722" s="227"/>
      <c r="HLN1722" s="227"/>
      <c r="HLO1722" s="227"/>
      <c r="HLP1722" s="227"/>
      <c r="HLQ1722" s="227"/>
      <c r="HLR1722" s="227"/>
      <c r="HLS1722" s="227"/>
      <c r="HLT1722" s="227"/>
      <c r="HLU1722" s="227"/>
      <c r="HLV1722" s="227"/>
      <c r="HLW1722" s="227"/>
      <c r="HLX1722" s="227"/>
      <c r="HLY1722" s="227"/>
      <c r="HLZ1722" s="227"/>
      <c r="HMA1722" s="227"/>
      <c r="HMB1722" s="227"/>
      <c r="HMC1722" s="227"/>
      <c r="HMD1722" s="227"/>
      <c r="HME1722" s="227"/>
      <c r="HMF1722" s="227"/>
      <c r="HMG1722" s="227"/>
      <c r="HMH1722" s="227"/>
      <c r="HMI1722" s="227"/>
      <c r="HMJ1722" s="227"/>
      <c r="HMK1722" s="227"/>
      <c r="HML1722" s="227"/>
      <c r="HMM1722" s="227"/>
      <c r="HMN1722" s="227"/>
      <c r="HMO1722" s="227"/>
      <c r="HMP1722" s="227"/>
      <c r="HMQ1722" s="227"/>
      <c r="HMR1722" s="227"/>
      <c r="HMS1722" s="227"/>
      <c r="HMT1722" s="227"/>
      <c r="HMU1722" s="227"/>
      <c r="HMV1722" s="227"/>
      <c r="HMW1722" s="227"/>
      <c r="HMX1722" s="227"/>
      <c r="HMY1722" s="227"/>
      <c r="HMZ1722" s="227"/>
      <c r="HNA1722" s="227"/>
      <c r="HNB1722" s="227"/>
      <c r="HNC1722" s="227"/>
      <c r="HND1722" s="227"/>
      <c r="HNE1722" s="227"/>
      <c r="HNF1722" s="227"/>
      <c r="HNG1722" s="227"/>
      <c r="HNH1722" s="227"/>
      <c r="HNI1722" s="227"/>
      <c r="HNJ1722" s="227"/>
      <c r="HNK1722" s="227"/>
      <c r="HNL1722" s="227"/>
      <c r="HNM1722" s="227"/>
      <c r="HNN1722" s="227"/>
      <c r="HNO1722" s="227"/>
      <c r="HNP1722" s="227"/>
      <c r="HNQ1722" s="227"/>
      <c r="HNR1722" s="227"/>
      <c r="HNS1722" s="227"/>
      <c r="HNT1722" s="227"/>
      <c r="HNU1722" s="227"/>
      <c r="HNV1722" s="227"/>
      <c r="HNW1722" s="227"/>
      <c r="HNX1722" s="227"/>
      <c r="HNY1722" s="227"/>
      <c r="HNZ1722" s="227"/>
      <c r="HOA1722" s="227"/>
      <c r="HOB1722" s="227"/>
      <c r="HOC1722" s="227"/>
      <c r="HOD1722" s="227"/>
      <c r="HOE1722" s="227"/>
      <c r="HOF1722" s="227"/>
      <c r="HOG1722" s="227"/>
      <c r="HOH1722" s="227"/>
      <c r="HOI1722" s="227"/>
      <c r="HOJ1722" s="227"/>
      <c r="HOK1722" s="227"/>
      <c r="HOL1722" s="227"/>
      <c r="HOM1722" s="227"/>
      <c r="HON1722" s="227"/>
      <c r="HOO1722" s="227"/>
      <c r="HOP1722" s="227"/>
      <c r="HOQ1722" s="227"/>
      <c r="HOR1722" s="227"/>
      <c r="HOS1722" s="227"/>
      <c r="HOT1722" s="227"/>
      <c r="HOU1722" s="227"/>
      <c r="HOV1722" s="227"/>
      <c r="HOW1722" s="227"/>
      <c r="HOX1722" s="227"/>
      <c r="HOY1722" s="227"/>
      <c r="HOZ1722" s="227"/>
      <c r="HPA1722" s="227"/>
      <c r="HPB1722" s="227"/>
      <c r="HPC1722" s="227"/>
      <c r="HPD1722" s="227"/>
      <c r="HPE1722" s="227"/>
      <c r="HPF1722" s="227"/>
      <c r="HPG1722" s="227"/>
      <c r="HPH1722" s="227"/>
      <c r="HPI1722" s="227"/>
      <c r="HPJ1722" s="227"/>
      <c r="HPK1722" s="227"/>
      <c r="HPL1722" s="227"/>
      <c r="HPM1722" s="227"/>
      <c r="HPN1722" s="227"/>
      <c r="HPO1722" s="227"/>
      <c r="HPP1722" s="227"/>
      <c r="HPQ1722" s="227"/>
      <c r="HPR1722" s="227"/>
      <c r="HPS1722" s="227"/>
      <c r="HPT1722" s="227"/>
      <c r="HPU1722" s="227"/>
      <c r="HPV1722" s="227"/>
      <c r="HPW1722" s="227"/>
      <c r="HPX1722" s="227"/>
      <c r="HPY1722" s="227"/>
      <c r="HPZ1722" s="227"/>
      <c r="HQA1722" s="227"/>
      <c r="HQB1722" s="227"/>
      <c r="HQC1722" s="227"/>
      <c r="HQD1722" s="227"/>
      <c r="HQE1722" s="227"/>
      <c r="HQF1722" s="227"/>
      <c r="HQG1722" s="227"/>
      <c r="HQH1722" s="227"/>
      <c r="HQI1722" s="227"/>
      <c r="HQJ1722" s="227"/>
      <c r="HQK1722" s="227"/>
      <c r="HQL1722" s="227"/>
      <c r="HQM1722" s="227"/>
      <c r="HQN1722" s="227"/>
      <c r="HQO1722" s="227"/>
      <c r="HQP1722" s="227"/>
      <c r="HQQ1722" s="227"/>
      <c r="HQR1722" s="227"/>
      <c r="HQS1722" s="227"/>
      <c r="HQT1722" s="227"/>
      <c r="HQU1722" s="227"/>
      <c r="HQV1722" s="227"/>
      <c r="HQW1722" s="227"/>
      <c r="HQX1722" s="227"/>
      <c r="HQY1722" s="227"/>
      <c r="HQZ1722" s="227"/>
      <c r="HRA1722" s="227"/>
      <c r="HRB1722" s="227"/>
      <c r="HRC1722" s="227"/>
      <c r="HRD1722" s="227"/>
      <c r="HRE1722" s="227"/>
      <c r="HRF1722" s="227"/>
      <c r="HRG1722" s="227"/>
      <c r="HRH1722" s="227"/>
      <c r="HRI1722" s="227"/>
      <c r="HRJ1722" s="227"/>
      <c r="HRK1722" s="227"/>
      <c r="HRL1722" s="227"/>
      <c r="HRM1722" s="227"/>
      <c r="HRN1722" s="227"/>
      <c r="HRO1722" s="227"/>
      <c r="HRP1722" s="227"/>
      <c r="HRQ1722" s="227"/>
      <c r="HRR1722" s="227"/>
      <c r="HRS1722" s="227"/>
      <c r="HRT1722" s="227"/>
      <c r="HRU1722" s="227"/>
      <c r="HRV1722" s="227"/>
      <c r="HRW1722" s="227"/>
      <c r="HRX1722" s="227"/>
      <c r="HRY1722" s="227"/>
      <c r="HRZ1722" s="227"/>
      <c r="HSA1722" s="227"/>
      <c r="HSB1722" s="227"/>
      <c r="HSC1722" s="227"/>
      <c r="HSD1722" s="227"/>
      <c r="HSE1722" s="227"/>
      <c r="HSF1722" s="227"/>
      <c r="HSG1722" s="227"/>
      <c r="HSH1722" s="227"/>
      <c r="HSI1722" s="227"/>
      <c r="HSJ1722" s="227"/>
      <c r="HSK1722" s="227"/>
      <c r="HSL1722" s="227"/>
      <c r="HSM1722" s="227"/>
      <c r="HSN1722" s="227"/>
      <c r="HSO1722" s="227"/>
      <c r="HSP1722" s="227"/>
      <c r="HSQ1722" s="227"/>
      <c r="HSR1722" s="227"/>
      <c r="HSS1722" s="227"/>
      <c r="HST1722" s="227"/>
      <c r="HSU1722" s="227"/>
      <c r="HSV1722" s="227"/>
      <c r="HSW1722" s="227"/>
      <c r="HSX1722" s="227"/>
      <c r="HSY1722" s="227"/>
      <c r="HSZ1722" s="227"/>
      <c r="HTA1722" s="227"/>
      <c r="HTB1722" s="227"/>
      <c r="HTC1722" s="227"/>
      <c r="HTD1722" s="227"/>
      <c r="HTE1722" s="227"/>
      <c r="HTF1722" s="227"/>
      <c r="HTG1722" s="227"/>
      <c r="HTH1722" s="227"/>
      <c r="HTI1722" s="227"/>
      <c r="HTJ1722" s="227"/>
      <c r="HTK1722" s="227"/>
      <c r="HTL1722" s="227"/>
      <c r="HTM1722" s="227"/>
      <c r="HTN1722" s="227"/>
      <c r="HTO1722" s="227"/>
      <c r="HTP1722" s="227"/>
      <c r="HTQ1722" s="227"/>
      <c r="HTR1722" s="227"/>
      <c r="HTS1722" s="227"/>
      <c r="HTT1722" s="227"/>
      <c r="HTU1722" s="227"/>
      <c r="HTV1722" s="227"/>
      <c r="HTW1722" s="227"/>
      <c r="HTX1722" s="227"/>
      <c r="HTY1722" s="227"/>
      <c r="HTZ1722" s="227"/>
      <c r="HUA1722" s="227"/>
      <c r="HUB1722" s="227"/>
      <c r="HUC1722" s="227"/>
      <c r="HUD1722" s="227"/>
      <c r="HUE1722" s="227"/>
      <c r="HUF1722" s="227"/>
      <c r="HUG1722" s="227"/>
      <c r="HUH1722" s="227"/>
      <c r="HUI1722" s="227"/>
      <c r="HUJ1722" s="227"/>
      <c r="HUK1722" s="227"/>
      <c r="HUL1722" s="227"/>
      <c r="HUM1722" s="227"/>
      <c r="HUN1722" s="227"/>
      <c r="HUO1722" s="227"/>
      <c r="HUP1722" s="227"/>
      <c r="HUQ1722" s="227"/>
      <c r="HUR1722" s="227"/>
      <c r="HUS1722" s="227"/>
      <c r="HUT1722" s="227"/>
      <c r="HUU1722" s="227"/>
      <c r="HUV1722" s="227"/>
      <c r="HUW1722" s="227"/>
      <c r="HUX1722" s="227"/>
      <c r="HUY1722" s="227"/>
      <c r="HUZ1722" s="227"/>
      <c r="HVA1722" s="227"/>
      <c r="HVB1722" s="227"/>
      <c r="HVC1722" s="227"/>
      <c r="HVD1722" s="227"/>
      <c r="HVE1722" s="227"/>
      <c r="HVF1722" s="227"/>
      <c r="HVG1722" s="227"/>
      <c r="HVH1722" s="227"/>
      <c r="HVI1722" s="227"/>
      <c r="HVJ1722" s="227"/>
      <c r="HVK1722" s="227"/>
      <c r="HVL1722" s="227"/>
      <c r="HVM1722" s="227"/>
      <c r="HVN1722" s="227"/>
      <c r="HVO1722" s="227"/>
      <c r="HVP1722" s="227"/>
      <c r="HVQ1722" s="227"/>
      <c r="HVR1722" s="227"/>
      <c r="HVS1722" s="227"/>
      <c r="HVT1722" s="227"/>
      <c r="HVU1722" s="227"/>
      <c r="HVV1722" s="227"/>
      <c r="HVW1722" s="227"/>
      <c r="HVX1722" s="227"/>
      <c r="HVY1722" s="227"/>
      <c r="HVZ1722" s="227"/>
      <c r="HWA1722" s="227"/>
      <c r="HWB1722" s="227"/>
      <c r="HWC1722" s="227"/>
      <c r="HWD1722" s="227"/>
      <c r="HWE1722" s="227"/>
      <c r="HWF1722" s="227"/>
      <c r="HWG1722" s="227"/>
      <c r="HWH1722" s="227"/>
      <c r="HWI1722" s="227"/>
      <c r="HWJ1722" s="227"/>
      <c r="HWK1722" s="227"/>
      <c r="HWL1722" s="227"/>
      <c r="HWM1722" s="227"/>
      <c r="HWN1722" s="227"/>
      <c r="HWO1722" s="227"/>
      <c r="HWP1722" s="227"/>
      <c r="HWQ1722" s="227"/>
      <c r="HWR1722" s="227"/>
      <c r="HWS1722" s="227"/>
      <c r="HWT1722" s="227"/>
      <c r="HWU1722" s="227"/>
      <c r="HWV1722" s="227"/>
      <c r="HWW1722" s="227"/>
      <c r="HWX1722" s="227"/>
      <c r="HWY1722" s="227"/>
      <c r="HWZ1722" s="227"/>
      <c r="HXA1722" s="227"/>
      <c r="HXB1722" s="227"/>
      <c r="HXC1722" s="227"/>
      <c r="HXD1722" s="227"/>
      <c r="HXE1722" s="227"/>
      <c r="HXF1722" s="227"/>
      <c r="HXG1722" s="227"/>
      <c r="HXH1722" s="227"/>
      <c r="HXI1722" s="227"/>
      <c r="HXJ1722" s="227"/>
      <c r="HXK1722" s="227"/>
      <c r="HXL1722" s="227"/>
      <c r="HXM1722" s="227"/>
      <c r="HXN1722" s="227"/>
      <c r="HXO1722" s="227"/>
      <c r="HXP1722" s="227"/>
      <c r="HXQ1722" s="227"/>
      <c r="HXR1722" s="227"/>
      <c r="HXS1722" s="227"/>
      <c r="HXT1722" s="227"/>
      <c r="HXU1722" s="227"/>
      <c r="HXV1722" s="227"/>
      <c r="HXW1722" s="227"/>
      <c r="HXX1722" s="227"/>
      <c r="HXY1722" s="227"/>
      <c r="HXZ1722" s="227"/>
      <c r="HYA1722" s="227"/>
      <c r="HYB1722" s="227"/>
      <c r="HYC1722" s="227"/>
      <c r="HYD1722" s="227"/>
      <c r="HYE1722" s="227"/>
      <c r="HYF1722" s="227"/>
      <c r="HYG1722" s="227"/>
      <c r="HYH1722" s="227"/>
      <c r="HYI1722" s="227"/>
      <c r="HYJ1722" s="227"/>
      <c r="HYK1722" s="227"/>
      <c r="HYL1722" s="227"/>
      <c r="HYM1722" s="227"/>
      <c r="HYN1722" s="227"/>
      <c r="HYO1722" s="227"/>
      <c r="HYP1722" s="227"/>
      <c r="HYQ1722" s="227"/>
      <c r="HYR1722" s="227"/>
      <c r="HYS1722" s="227"/>
      <c r="HYT1722" s="227"/>
      <c r="HYU1722" s="227"/>
      <c r="HYV1722" s="227"/>
      <c r="HYW1722" s="227"/>
      <c r="HYX1722" s="227"/>
      <c r="HYY1722" s="227"/>
      <c r="HYZ1722" s="227"/>
      <c r="HZA1722" s="227"/>
      <c r="HZB1722" s="227"/>
      <c r="HZC1722" s="227"/>
      <c r="HZD1722" s="227"/>
      <c r="HZE1722" s="227"/>
      <c r="HZF1722" s="227"/>
      <c r="HZG1722" s="227"/>
      <c r="HZH1722" s="227"/>
      <c r="HZI1722" s="227"/>
      <c r="HZJ1722" s="227"/>
      <c r="HZK1722" s="227"/>
      <c r="HZL1722" s="227"/>
      <c r="HZM1722" s="227"/>
      <c r="HZN1722" s="227"/>
      <c r="HZO1722" s="227"/>
      <c r="HZP1722" s="227"/>
      <c r="HZQ1722" s="227"/>
      <c r="HZR1722" s="227"/>
      <c r="HZS1722" s="227"/>
      <c r="HZT1722" s="227"/>
      <c r="HZU1722" s="227"/>
      <c r="HZV1722" s="227"/>
      <c r="HZW1722" s="227"/>
      <c r="HZX1722" s="227"/>
      <c r="HZY1722" s="227"/>
      <c r="HZZ1722" s="227"/>
      <c r="IAA1722" s="227"/>
      <c r="IAB1722" s="227"/>
      <c r="IAC1722" s="227"/>
      <c r="IAD1722" s="227"/>
      <c r="IAE1722" s="227"/>
      <c r="IAF1722" s="227"/>
      <c r="IAG1722" s="227"/>
      <c r="IAH1722" s="227"/>
      <c r="IAI1722" s="227"/>
      <c r="IAJ1722" s="227"/>
      <c r="IAK1722" s="227"/>
      <c r="IAL1722" s="227"/>
      <c r="IAM1722" s="227"/>
      <c r="IAN1722" s="227"/>
      <c r="IAO1722" s="227"/>
      <c r="IAP1722" s="227"/>
      <c r="IAQ1722" s="227"/>
      <c r="IAR1722" s="227"/>
      <c r="IAS1722" s="227"/>
      <c r="IAT1722" s="227"/>
      <c r="IAU1722" s="227"/>
      <c r="IAV1722" s="227"/>
      <c r="IAW1722" s="227"/>
      <c r="IAX1722" s="227"/>
      <c r="IAY1722" s="227"/>
      <c r="IAZ1722" s="227"/>
      <c r="IBA1722" s="227"/>
      <c r="IBB1722" s="227"/>
      <c r="IBC1722" s="227"/>
      <c r="IBD1722" s="227"/>
      <c r="IBE1722" s="227"/>
      <c r="IBF1722" s="227"/>
      <c r="IBG1722" s="227"/>
      <c r="IBH1722" s="227"/>
      <c r="IBI1722" s="227"/>
      <c r="IBJ1722" s="227"/>
      <c r="IBK1722" s="227"/>
      <c r="IBL1722" s="227"/>
      <c r="IBM1722" s="227"/>
      <c r="IBN1722" s="227"/>
      <c r="IBO1722" s="227"/>
      <c r="IBP1722" s="227"/>
      <c r="IBQ1722" s="227"/>
      <c r="IBR1722" s="227"/>
      <c r="IBS1722" s="227"/>
      <c r="IBT1722" s="227"/>
      <c r="IBU1722" s="227"/>
      <c r="IBV1722" s="227"/>
      <c r="IBW1722" s="227"/>
      <c r="IBX1722" s="227"/>
      <c r="IBY1722" s="227"/>
      <c r="IBZ1722" s="227"/>
      <c r="ICA1722" s="227"/>
      <c r="ICB1722" s="227"/>
      <c r="ICC1722" s="227"/>
      <c r="ICD1722" s="227"/>
      <c r="ICE1722" s="227"/>
      <c r="ICF1722" s="227"/>
      <c r="ICG1722" s="227"/>
      <c r="ICH1722" s="227"/>
      <c r="ICI1722" s="227"/>
      <c r="ICJ1722" s="227"/>
      <c r="ICK1722" s="227"/>
      <c r="ICL1722" s="227"/>
      <c r="ICM1722" s="227"/>
      <c r="ICN1722" s="227"/>
      <c r="ICO1722" s="227"/>
      <c r="ICP1722" s="227"/>
      <c r="ICQ1722" s="227"/>
      <c r="ICR1722" s="227"/>
      <c r="ICS1722" s="227"/>
      <c r="ICT1722" s="227"/>
      <c r="ICU1722" s="227"/>
      <c r="ICV1722" s="227"/>
      <c r="ICW1722" s="227"/>
      <c r="ICX1722" s="227"/>
      <c r="ICY1722" s="227"/>
      <c r="ICZ1722" s="227"/>
      <c r="IDA1722" s="227"/>
      <c r="IDB1722" s="227"/>
      <c r="IDC1722" s="227"/>
      <c r="IDD1722" s="227"/>
      <c r="IDE1722" s="227"/>
      <c r="IDF1722" s="227"/>
      <c r="IDG1722" s="227"/>
      <c r="IDH1722" s="227"/>
      <c r="IDI1722" s="227"/>
      <c r="IDJ1722" s="227"/>
      <c r="IDK1722" s="227"/>
      <c r="IDL1722" s="227"/>
      <c r="IDM1722" s="227"/>
      <c r="IDN1722" s="227"/>
      <c r="IDO1722" s="227"/>
      <c r="IDP1722" s="227"/>
      <c r="IDQ1722" s="227"/>
      <c r="IDR1722" s="227"/>
      <c r="IDS1722" s="227"/>
      <c r="IDT1722" s="227"/>
      <c r="IDU1722" s="227"/>
      <c r="IDV1722" s="227"/>
      <c r="IDW1722" s="227"/>
      <c r="IDX1722" s="227"/>
      <c r="IDY1722" s="227"/>
      <c r="IDZ1722" s="227"/>
      <c r="IEA1722" s="227"/>
      <c r="IEB1722" s="227"/>
      <c r="IEC1722" s="227"/>
      <c r="IED1722" s="227"/>
      <c r="IEE1722" s="227"/>
      <c r="IEF1722" s="227"/>
      <c r="IEG1722" s="227"/>
      <c r="IEH1722" s="227"/>
      <c r="IEI1722" s="227"/>
      <c r="IEJ1722" s="227"/>
      <c r="IEK1722" s="227"/>
      <c r="IEL1722" s="227"/>
      <c r="IEM1722" s="227"/>
      <c r="IEN1722" s="227"/>
      <c r="IEO1722" s="227"/>
      <c r="IEP1722" s="227"/>
      <c r="IEQ1722" s="227"/>
      <c r="IER1722" s="227"/>
      <c r="IES1722" s="227"/>
      <c r="IET1722" s="227"/>
      <c r="IEU1722" s="227"/>
      <c r="IEV1722" s="227"/>
      <c r="IEW1722" s="227"/>
      <c r="IEX1722" s="227"/>
      <c r="IEY1722" s="227"/>
      <c r="IEZ1722" s="227"/>
      <c r="IFA1722" s="227"/>
      <c r="IFB1722" s="227"/>
      <c r="IFC1722" s="227"/>
      <c r="IFD1722" s="227"/>
      <c r="IFE1722" s="227"/>
      <c r="IFF1722" s="227"/>
      <c r="IFG1722" s="227"/>
      <c r="IFH1722" s="227"/>
      <c r="IFI1722" s="227"/>
      <c r="IFJ1722" s="227"/>
      <c r="IFK1722" s="227"/>
      <c r="IFL1722" s="227"/>
      <c r="IFM1722" s="227"/>
      <c r="IFN1722" s="227"/>
      <c r="IFO1722" s="227"/>
      <c r="IFP1722" s="227"/>
      <c r="IFQ1722" s="227"/>
      <c r="IFR1722" s="227"/>
      <c r="IFS1722" s="227"/>
      <c r="IFT1722" s="227"/>
      <c r="IFU1722" s="227"/>
      <c r="IFV1722" s="227"/>
      <c r="IFW1722" s="227"/>
      <c r="IFX1722" s="227"/>
      <c r="IFY1722" s="227"/>
      <c r="IFZ1722" s="227"/>
      <c r="IGA1722" s="227"/>
      <c r="IGB1722" s="227"/>
      <c r="IGC1722" s="227"/>
      <c r="IGD1722" s="227"/>
      <c r="IGE1722" s="227"/>
      <c r="IGF1722" s="227"/>
      <c r="IGG1722" s="227"/>
      <c r="IGH1722" s="227"/>
      <c r="IGI1722" s="227"/>
      <c r="IGJ1722" s="227"/>
      <c r="IGK1722" s="227"/>
      <c r="IGL1722" s="227"/>
      <c r="IGM1722" s="227"/>
      <c r="IGN1722" s="227"/>
      <c r="IGO1722" s="227"/>
      <c r="IGP1722" s="227"/>
      <c r="IGQ1722" s="227"/>
      <c r="IGR1722" s="227"/>
      <c r="IGS1722" s="227"/>
      <c r="IGT1722" s="227"/>
      <c r="IGU1722" s="227"/>
      <c r="IGV1722" s="227"/>
      <c r="IGW1722" s="227"/>
      <c r="IGX1722" s="227"/>
      <c r="IGY1722" s="227"/>
      <c r="IGZ1722" s="227"/>
      <c r="IHA1722" s="227"/>
      <c r="IHB1722" s="227"/>
      <c r="IHC1722" s="227"/>
      <c r="IHD1722" s="227"/>
      <c r="IHE1722" s="227"/>
      <c r="IHF1722" s="227"/>
      <c r="IHG1722" s="227"/>
      <c r="IHH1722" s="227"/>
      <c r="IHI1722" s="227"/>
      <c r="IHJ1722" s="227"/>
      <c r="IHK1722" s="227"/>
      <c r="IHL1722" s="227"/>
      <c r="IHM1722" s="227"/>
      <c r="IHN1722" s="227"/>
      <c r="IHO1722" s="227"/>
      <c r="IHP1722" s="227"/>
      <c r="IHQ1722" s="227"/>
      <c r="IHR1722" s="227"/>
      <c r="IHS1722" s="227"/>
      <c r="IHT1722" s="227"/>
      <c r="IHU1722" s="227"/>
      <c r="IHV1722" s="227"/>
      <c r="IHW1722" s="227"/>
      <c r="IHX1722" s="227"/>
      <c r="IHY1722" s="227"/>
      <c r="IHZ1722" s="227"/>
      <c r="IIA1722" s="227"/>
      <c r="IIB1722" s="227"/>
      <c r="IIC1722" s="227"/>
      <c r="IID1722" s="227"/>
      <c r="IIE1722" s="227"/>
      <c r="IIF1722" s="227"/>
      <c r="IIG1722" s="227"/>
      <c r="IIH1722" s="227"/>
      <c r="III1722" s="227"/>
      <c r="IIJ1722" s="227"/>
      <c r="IIK1722" s="227"/>
      <c r="IIL1722" s="227"/>
      <c r="IIM1722" s="227"/>
      <c r="IIN1722" s="227"/>
      <c r="IIO1722" s="227"/>
      <c r="IIP1722" s="227"/>
      <c r="IIQ1722" s="227"/>
      <c r="IIR1722" s="227"/>
      <c r="IIS1722" s="227"/>
      <c r="IIT1722" s="227"/>
      <c r="IIU1722" s="227"/>
      <c r="IIV1722" s="227"/>
      <c r="IIW1722" s="227"/>
      <c r="IIX1722" s="227"/>
      <c r="IIY1722" s="227"/>
      <c r="IIZ1722" s="227"/>
      <c r="IJA1722" s="227"/>
      <c r="IJB1722" s="227"/>
      <c r="IJC1722" s="227"/>
      <c r="IJD1722" s="227"/>
      <c r="IJE1722" s="227"/>
      <c r="IJF1722" s="227"/>
      <c r="IJG1722" s="227"/>
      <c r="IJH1722" s="227"/>
      <c r="IJI1722" s="227"/>
      <c r="IJJ1722" s="227"/>
      <c r="IJK1722" s="227"/>
      <c r="IJL1722" s="227"/>
      <c r="IJM1722" s="227"/>
      <c r="IJN1722" s="227"/>
      <c r="IJO1722" s="227"/>
      <c r="IJP1722" s="227"/>
      <c r="IJQ1722" s="227"/>
      <c r="IJR1722" s="227"/>
      <c r="IJS1722" s="227"/>
      <c r="IJT1722" s="227"/>
      <c r="IJU1722" s="227"/>
      <c r="IJV1722" s="227"/>
      <c r="IJW1722" s="227"/>
      <c r="IJX1722" s="227"/>
      <c r="IJY1722" s="227"/>
      <c r="IJZ1722" s="227"/>
      <c r="IKA1722" s="227"/>
      <c r="IKB1722" s="227"/>
      <c r="IKC1722" s="227"/>
      <c r="IKD1722" s="227"/>
      <c r="IKE1722" s="227"/>
      <c r="IKF1722" s="227"/>
      <c r="IKG1722" s="227"/>
      <c r="IKH1722" s="227"/>
      <c r="IKI1722" s="227"/>
      <c r="IKJ1722" s="227"/>
      <c r="IKK1722" s="227"/>
      <c r="IKL1722" s="227"/>
      <c r="IKM1722" s="227"/>
      <c r="IKN1722" s="227"/>
      <c r="IKO1722" s="227"/>
      <c r="IKP1722" s="227"/>
      <c r="IKQ1722" s="227"/>
      <c r="IKR1722" s="227"/>
      <c r="IKS1722" s="227"/>
      <c r="IKT1722" s="227"/>
      <c r="IKU1722" s="227"/>
      <c r="IKV1722" s="227"/>
      <c r="IKW1722" s="227"/>
      <c r="IKX1722" s="227"/>
      <c r="IKY1722" s="227"/>
      <c r="IKZ1722" s="227"/>
      <c r="ILA1722" s="227"/>
      <c r="ILB1722" s="227"/>
      <c r="ILC1722" s="227"/>
      <c r="ILD1722" s="227"/>
      <c r="ILE1722" s="227"/>
      <c r="ILF1722" s="227"/>
      <c r="ILG1722" s="227"/>
      <c r="ILH1722" s="227"/>
      <c r="ILI1722" s="227"/>
      <c r="ILJ1722" s="227"/>
      <c r="ILK1722" s="227"/>
      <c r="ILL1722" s="227"/>
      <c r="ILM1722" s="227"/>
      <c r="ILN1722" s="227"/>
      <c r="ILO1722" s="227"/>
      <c r="ILP1722" s="227"/>
      <c r="ILQ1722" s="227"/>
      <c r="ILR1722" s="227"/>
      <c r="ILS1722" s="227"/>
      <c r="ILT1722" s="227"/>
      <c r="ILU1722" s="227"/>
      <c r="ILV1722" s="227"/>
      <c r="ILW1722" s="227"/>
      <c r="ILX1722" s="227"/>
      <c r="ILY1722" s="227"/>
      <c r="ILZ1722" s="227"/>
      <c r="IMA1722" s="227"/>
      <c r="IMB1722" s="227"/>
      <c r="IMC1722" s="227"/>
      <c r="IMD1722" s="227"/>
      <c r="IME1722" s="227"/>
      <c r="IMF1722" s="227"/>
      <c r="IMG1722" s="227"/>
      <c r="IMH1722" s="227"/>
      <c r="IMI1722" s="227"/>
      <c r="IMJ1722" s="227"/>
      <c r="IMK1722" s="227"/>
      <c r="IML1722" s="227"/>
      <c r="IMM1722" s="227"/>
      <c r="IMN1722" s="227"/>
      <c r="IMO1722" s="227"/>
      <c r="IMP1722" s="227"/>
      <c r="IMQ1722" s="227"/>
      <c r="IMR1722" s="227"/>
      <c r="IMS1722" s="227"/>
      <c r="IMT1722" s="227"/>
      <c r="IMU1722" s="227"/>
      <c r="IMV1722" s="227"/>
      <c r="IMW1722" s="227"/>
      <c r="IMX1722" s="227"/>
      <c r="IMY1722" s="227"/>
      <c r="IMZ1722" s="227"/>
      <c r="INA1722" s="227"/>
      <c r="INB1722" s="227"/>
      <c r="INC1722" s="227"/>
      <c r="IND1722" s="227"/>
      <c r="INE1722" s="227"/>
      <c r="INF1722" s="227"/>
      <c r="ING1722" s="227"/>
      <c r="INH1722" s="227"/>
      <c r="INI1722" s="227"/>
      <c r="INJ1722" s="227"/>
      <c r="INK1722" s="227"/>
      <c r="INL1722" s="227"/>
      <c r="INM1722" s="227"/>
      <c r="INN1722" s="227"/>
      <c r="INO1722" s="227"/>
      <c r="INP1722" s="227"/>
      <c r="INQ1722" s="227"/>
      <c r="INR1722" s="227"/>
      <c r="INS1722" s="227"/>
      <c r="INT1722" s="227"/>
      <c r="INU1722" s="227"/>
      <c r="INV1722" s="227"/>
      <c r="INW1722" s="227"/>
      <c r="INX1722" s="227"/>
      <c r="INY1722" s="227"/>
      <c r="INZ1722" s="227"/>
      <c r="IOA1722" s="227"/>
      <c r="IOB1722" s="227"/>
      <c r="IOC1722" s="227"/>
      <c r="IOD1722" s="227"/>
      <c r="IOE1722" s="227"/>
      <c r="IOF1722" s="227"/>
      <c r="IOG1722" s="227"/>
      <c r="IOH1722" s="227"/>
      <c r="IOI1722" s="227"/>
      <c r="IOJ1722" s="227"/>
      <c r="IOK1722" s="227"/>
      <c r="IOL1722" s="227"/>
      <c r="IOM1722" s="227"/>
      <c r="ION1722" s="227"/>
      <c r="IOO1722" s="227"/>
      <c r="IOP1722" s="227"/>
      <c r="IOQ1722" s="227"/>
      <c r="IOR1722" s="227"/>
      <c r="IOS1722" s="227"/>
      <c r="IOT1722" s="227"/>
      <c r="IOU1722" s="227"/>
      <c r="IOV1722" s="227"/>
      <c r="IOW1722" s="227"/>
      <c r="IOX1722" s="227"/>
      <c r="IOY1722" s="227"/>
      <c r="IOZ1722" s="227"/>
      <c r="IPA1722" s="227"/>
      <c r="IPB1722" s="227"/>
      <c r="IPC1722" s="227"/>
      <c r="IPD1722" s="227"/>
      <c r="IPE1722" s="227"/>
      <c r="IPF1722" s="227"/>
      <c r="IPG1722" s="227"/>
      <c r="IPH1722" s="227"/>
      <c r="IPI1722" s="227"/>
      <c r="IPJ1722" s="227"/>
      <c r="IPK1722" s="227"/>
      <c r="IPL1722" s="227"/>
      <c r="IPM1722" s="227"/>
      <c r="IPN1722" s="227"/>
      <c r="IPO1722" s="227"/>
      <c r="IPP1722" s="227"/>
      <c r="IPQ1722" s="227"/>
      <c r="IPR1722" s="227"/>
      <c r="IPS1722" s="227"/>
      <c r="IPT1722" s="227"/>
      <c r="IPU1722" s="227"/>
      <c r="IPV1722" s="227"/>
      <c r="IPW1722" s="227"/>
      <c r="IPX1722" s="227"/>
      <c r="IPY1722" s="227"/>
      <c r="IPZ1722" s="227"/>
      <c r="IQA1722" s="227"/>
      <c r="IQB1722" s="227"/>
      <c r="IQC1722" s="227"/>
      <c r="IQD1722" s="227"/>
      <c r="IQE1722" s="227"/>
      <c r="IQF1722" s="227"/>
      <c r="IQG1722" s="227"/>
      <c r="IQH1722" s="227"/>
      <c r="IQI1722" s="227"/>
      <c r="IQJ1722" s="227"/>
      <c r="IQK1722" s="227"/>
      <c r="IQL1722" s="227"/>
      <c r="IQM1722" s="227"/>
      <c r="IQN1722" s="227"/>
      <c r="IQO1722" s="227"/>
      <c r="IQP1722" s="227"/>
      <c r="IQQ1722" s="227"/>
      <c r="IQR1722" s="227"/>
      <c r="IQS1722" s="227"/>
      <c r="IQT1722" s="227"/>
      <c r="IQU1722" s="227"/>
      <c r="IQV1722" s="227"/>
      <c r="IQW1722" s="227"/>
      <c r="IQX1722" s="227"/>
      <c r="IQY1722" s="227"/>
      <c r="IQZ1722" s="227"/>
      <c r="IRA1722" s="227"/>
      <c r="IRB1722" s="227"/>
      <c r="IRC1722" s="227"/>
      <c r="IRD1722" s="227"/>
      <c r="IRE1722" s="227"/>
      <c r="IRF1722" s="227"/>
      <c r="IRG1722" s="227"/>
      <c r="IRH1722" s="227"/>
      <c r="IRI1722" s="227"/>
      <c r="IRJ1722" s="227"/>
      <c r="IRK1722" s="227"/>
      <c r="IRL1722" s="227"/>
      <c r="IRM1722" s="227"/>
      <c r="IRN1722" s="227"/>
      <c r="IRO1722" s="227"/>
      <c r="IRP1722" s="227"/>
      <c r="IRQ1722" s="227"/>
      <c r="IRR1722" s="227"/>
      <c r="IRS1722" s="227"/>
      <c r="IRT1722" s="227"/>
      <c r="IRU1722" s="227"/>
      <c r="IRV1722" s="227"/>
      <c r="IRW1722" s="227"/>
      <c r="IRX1722" s="227"/>
      <c r="IRY1722" s="227"/>
      <c r="IRZ1722" s="227"/>
      <c r="ISA1722" s="227"/>
      <c r="ISB1722" s="227"/>
      <c r="ISC1722" s="227"/>
      <c r="ISD1722" s="227"/>
      <c r="ISE1722" s="227"/>
      <c r="ISF1722" s="227"/>
      <c r="ISG1722" s="227"/>
      <c r="ISH1722" s="227"/>
      <c r="ISI1722" s="227"/>
      <c r="ISJ1722" s="227"/>
      <c r="ISK1722" s="227"/>
      <c r="ISL1722" s="227"/>
      <c r="ISM1722" s="227"/>
      <c r="ISN1722" s="227"/>
      <c r="ISO1722" s="227"/>
      <c r="ISP1722" s="227"/>
      <c r="ISQ1722" s="227"/>
      <c r="ISR1722" s="227"/>
      <c r="ISS1722" s="227"/>
      <c r="IST1722" s="227"/>
      <c r="ISU1722" s="227"/>
      <c r="ISV1722" s="227"/>
      <c r="ISW1722" s="227"/>
      <c r="ISX1722" s="227"/>
      <c r="ISY1722" s="227"/>
      <c r="ISZ1722" s="227"/>
      <c r="ITA1722" s="227"/>
      <c r="ITB1722" s="227"/>
      <c r="ITC1722" s="227"/>
      <c r="ITD1722" s="227"/>
      <c r="ITE1722" s="227"/>
      <c r="ITF1722" s="227"/>
      <c r="ITG1722" s="227"/>
      <c r="ITH1722" s="227"/>
      <c r="ITI1722" s="227"/>
      <c r="ITJ1722" s="227"/>
      <c r="ITK1722" s="227"/>
      <c r="ITL1722" s="227"/>
      <c r="ITM1722" s="227"/>
      <c r="ITN1722" s="227"/>
      <c r="ITO1722" s="227"/>
      <c r="ITP1722" s="227"/>
      <c r="ITQ1722" s="227"/>
      <c r="ITR1722" s="227"/>
      <c r="ITS1722" s="227"/>
      <c r="ITT1722" s="227"/>
      <c r="ITU1722" s="227"/>
      <c r="ITV1722" s="227"/>
      <c r="ITW1722" s="227"/>
      <c r="ITX1722" s="227"/>
      <c r="ITY1722" s="227"/>
      <c r="ITZ1722" s="227"/>
      <c r="IUA1722" s="227"/>
      <c r="IUB1722" s="227"/>
      <c r="IUC1722" s="227"/>
      <c r="IUD1722" s="227"/>
      <c r="IUE1722" s="227"/>
      <c r="IUF1722" s="227"/>
      <c r="IUG1722" s="227"/>
      <c r="IUH1722" s="227"/>
      <c r="IUI1722" s="227"/>
      <c r="IUJ1722" s="227"/>
      <c r="IUK1722" s="227"/>
      <c r="IUL1722" s="227"/>
      <c r="IUM1722" s="227"/>
      <c r="IUN1722" s="227"/>
      <c r="IUO1722" s="227"/>
      <c r="IUP1722" s="227"/>
      <c r="IUQ1722" s="227"/>
      <c r="IUR1722" s="227"/>
      <c r="IUS1722" s="227"/>
      <c r="IUT1722" s="227"/>
      <c r="IUU1722" s="227"/>
      <c r="IUV1722" s="227"/>
      <c r="IUW1722" s="227"/>
      <c r="IUX1722" s="227"/>
      <c r="IUY1722" s="227"/>
      <c r="IUZ1722" s="227"/>
      <c r="IVA1722" s="227"/>
      <c r="IVB1722" s="227"/>
      <c r="IVC1722" s="227"/>
      <c r="IVD1722" s="227"/>
      <c r="IVE1722" s="227"/>
      <c r="IVF1722" s="227"/>
      <c r="IVG1722" s="227"/>
      <c r="IVH1722" s="227"/>
      <c r="IVI1722" s="227"/>
      <c r="IVJ1722" s="227"/>
      <c r="IVK1722" s="227"/>
      <c r="IVL1722" s="227"/>
      <c r="IVM1722" s="227"/>
      <c r="IVN1722" s="227"/>
      <c r="IVO1722" s="227"/>
      <c r="IVP1722" s="227"/>
      <c r="IVQ1722" s="227"/>
      <c r="IVR1722" s="227"/>
      <c r="IVS1722" s="227"/>
      <c r="IVT1722" s="227"/>
      <c r="IVU1722" s="227"/>
      <c r="IVV1722" s="227"/>
      <c r="IVW1722" s="227"/>
      <c r="IVX1722" s="227"/>
      <c r="IVY1722" s="227"/>
      <c r="IVZ1722" s="227"/>
      <c r="IWA1722" s="227"/>
      <c r="IWB1722" s="227"/>
      <c r="IWC1722" s="227"/>
      <c r="IWD1722" s="227"/>
      <c r="IWE1722" s="227"/>
      <c r="IWF1722" s="227"/>
      <c r="IWG1722" s="227"/>
      <c r="IWH1722" s="227"/>
      <c r="IWI1722" s="227"/>
      <c r="IWJ1722" s="227"/>
      <c r="IWK1722" s="227"/>
      <c r="IWL1722" s="227"/>
      <c r="IWM1722" s="227"/>
      <c r="IWN1722" s="227"/>
      <c r="IWO1722" s="227"/>
      <c r="IWP1722" s="227"/>
      <c r="IWQ1722" s="227"/>
      <c r="IWR1722" s="227"/>
      <c r="IWS1722" s="227"/>
      <c r="IWT1722" s="227"/>
      <c r="IWU1722" s="227"/>
      <c r="IWV1722" s="227"/>
      <c r="IWW1722" s="227"/>
      <c r="IWX1722" s="227"/>
      <c r="IWY1722" s="227"/>
      <c r="IWZ1722" s="227"/>
      <c r="IXA1722" s="227"/>
      <c r="IXB1722" s="227"/>
      <c r="IXC1722" s="227"/>
      <c r="IXD1722" s="227"/>
      <c r="IXE1722" s="227"/>
      <c r="IXF1722" s="227"/>
      <c r="IXG1722" s="227"/>
      <c r="IXH1722" s="227"/>
      <c r="IXI1722" s="227"/>
      <c r="IXJ1722" s="227"/>
      <c r="IXK1722" s="227"/>
      <c r="IXL1722" s="227"/>
      <c r="IXM1722" s="227"/>
      <c r="IXN1722" s="227"/>
      <c r="IXO1722" s="227"/>
      <c r="IXP1722" s="227"/>
      <c r="IXQ1722" s="227"/>
      <c r="IXR1722" s="227"/>
      <c r="IXS1722" s="227"/>
      <c r="IXT1722" s="227"/>
      <c r="IXU1722" s="227"/>
      <c r="IXV1722" s="227"/>
      <c r="IXW1722" s="227"/>
      <c r="IXX1722" s="227"/>
      <c r="IXY1722" s="227"/>
      <c r="IXZ1722" s="227"/>
      <c r="IYA1722" s="227"/>
      <c r="IYB1722" s="227"/>
      <c r="IYC1722" s="227"/>
      <c r="IYD1722" s="227"/>
      <c r="IYE1722" s="227"/>
      <c r="IYF1722" s="227"/>
      <c r="IYG1722" s="227"/>
      <c r="IYH1722" s="227"/>
      <c r="IYI1722" s="227"/>
      <c r="IYJ1722" s="227"/>
      <c r="IYK1722" s="227"/>
      <c r="IYL1722" s="227"/>
      <c r="IYM1722" s="227"/>
      <c r="IYN1722" s="227"/>
      <c r="IYO1722" s="227"/>
      <c r="IYP1722" s="227"/>
      <c r="IYQ1722" s="227"/>
      <c r="IYR1722" s="227"/>
      <c r="IYS1722" s="227"/>
      <c r="IYT1722" s="227"/>
      <c r="IYU1722" s="227"/>
      <c r="IYV1722" s="227"/>
      <c r="IYW1722" s="227"/>
      <c r="IYX1722" s="227"/>
      <c r="IYY1722" s="227"/>
      <c r="IYZ1722" s="227"/>
      <c r="IZA1722" s="227"/>
      <c r="IZB1722" s="227"/>
      <c r="IZC1722" s="227"/>
      <c r="IZD1722" s="227"/>
      <c r="IZE1722" s="227"/>
      <c r="IZF1722" s="227"/>
      <c r="IZG1722" s="227"/>
      <c r="IZH1722" s="227"/>
      <c r="IZI1722" s="227"/>
      <c r="IZJ1722" s="227"/>
      <c r="IZK1722" s="227"/>
      <c r="IZL1722" s="227"/>
      <c r="IZM1722" s="227"/>
      <c r="IZN1722" s="227"/>
      <c r="IZO1722" s="227"/>
      <c r="IZP1722" s="227"/>
      <c r="IZQ1722" s="227"/>
      <c r="IZR1722" s="227"/>
      <c r="IZS1722" s="227"/>
      <c r="IZT1722" s="227"/>
      <c r="IZU1722" s="227"/>
      <c r="IZV1722" s="227"/>
      <c r="IZW1722" s="227"/>
      <c r="IZX1722" s="227"/>
      <c r="IZY1722" s="227"/>
      <c r="IZZ1722" s="227"/>
      <c r="JAA1722" s="227"/>
      <c r="JAB1722" s="227"/>
      <c r="JAC1722" s="227"/>
      <c r="JAD1722" s="227"/>
      <c r="JAE1722" s="227"/>
      <c r="JAF1722" s="227"/>
      <c r="JAG1722" s="227"/>
      <c r="JAH1722" s="227"/>
      <c r="JAI1722" s="227"/>
      <c r="JAJ1722" s="227"/>
      <c r="JAK1722" s="227"/>
      <c r="JAL1722" s="227"/>
      <c r="JAM1722" s="227"/>
      <c r="JAN1722" s="227"/>
      <c r="JAO1722" s="227"/>
      <c r="JAP1722" s="227"/>
      <c r="JAQ1722" s="227"/>
      <c r="JAR1722" s="227"/>
      <c r="JAS1722" s="227"/>
      <c r="JAT1722" s="227"/>
      <c r="JAU1722" s="227"/>
      <c r="JAV1722" s="227"/>
      <c r="JAW1722" s="227"/>
      <c r="JAX1722" s="227"/>
      <c r="JAY1722" s="227"/>
      <c r="JAZ1722" s="227"/>
      <c r="JBA1722" s="227"/>
      <c r="JBB1722" s="227"/>
      <c r="JBC1722" s="227"/>
      <c r="JBD1722" s="227"/>
      <c r="JBE1722" s="227"/>
      <c r="JBF1722" s="227"/>
      <c r="JBG1722" s="227"/>
      <c r="JBH1722" s="227"/>
      <c r="JBI1722" s="227"/>
      <c r="JBJ1722" s="227"/>
      <c r="JBK1722" s="227"/>
      <c r="JBL1722" s="227"/>
      <c r="JBM1722" s="227"/>
      <c r="JBN1722" s="227"/>
      <c r="JBO1722" s="227"/>
      <c r="JBP1722" s="227"/>
      <c r="JBQ1722" s="227"/>
      <c r="JBR1722" s="227"/>
      <c r="JBS1722" s="227"/>
      <c r="JBT1722" s="227"/>
      <c r="JBU1722" s="227"/>
      <c r="JBV1722" s="227"/>
      <c r="JBW1722" s="227"/>
      <c r="JBX1722" s="227"/>
      <c r="JBY1722" s="227"/>
      <c r="JBZ1722" s="227"/>
      <c r="JCA1722" s="227"/>
      <c r="JCB1722" s="227"/>
      <c r="JCC1722" s="227"/>
      <c r="JCD1722" s="227"/>
      <c r="JCE1722" s="227"/>
      <c r="JCF1722" s="227"/>
      <c r="JCG1722" s="227"/>
      <c r="JCH1722" s="227"/>
      <c r="JCI1722" s="227"/>
      <c r="JCJ1722" s="227"/>
      <c r="JCK1722" s="227"/>
      <c r="JCL1722" s="227"/>
      <c r="JCM1722" s="227"/>
      <c r="JCN1722" s="227"/>
      <c r="JCO1722" s="227"/>
      <c r="JCP1722" s="227"/>
      <c r="JCQ1722" s="227"/>
      <c r="JCR1722" s="227"/>
      <c r="JCS1722" s="227"/>
      <c r="JCT1722" s="227"/>
      <c r="JCU1722" s="227"/>
      <c r="JCV1722" s="227"/>
      <c r="JCW1722" s="227"/>
      <c r="JCX1722" s="227"/>
      <c r="JCY1722" s="227"/>
      <c r="JCZ1722" s="227"/>
      <c r="JDA1722" s="227"/>
      <c r="JDB1722" s="227"/>
      <c r="JDC1722" s="227"/>
      <c r="JDD1722" s="227"/>
      <c r="JDE1722" s="227"/>
      <c r="JDF1722" s="227"/>
      <c r="JDG1722" s="227"/>
      <c r="JDH1722" s="227"/>
      <c r="JDI1722" s="227"/>
      <c r="JDJ1722" s="227"/>
      <c r="JDK1722" s="227"/>
      <c r="JDL1722" s="227"/>
      <c r="JDM1722" s="227"/>
      <c r="JDN1722" s="227"/>
      <c r="JDO1722" s="227"/>
      <c r="JDP1722" s="227"/>
      <c r="JDQ1722" s="227"/>
      <c r="JDR1722" s="227"/>
      <c r="JDS1722" s="227"/>
      <c r="JDT1722" s="227"/>
      <c r="JDU1722" s="227"/>
      <c r="JDV1722" s="227"/>
      <c r="JDW1722" s="227"/>
      <c r="JDX1722" s="227"/>
      <c r="JDY1722" s="227"/>
      <c r="JDZ1722" s="227"/>
      <c r="JEA1722" s="227"/>
      <c r="JEB1722" s="227"/>
      <c r="JEC1722" s="227"/>
      <c r="JED1722" s="227"/>
      <c r="JEE1722" s="227"/>
      <c r="JEF1722" s="227"/>
      <c r="JEG1722" s="227"/>
      <c r="JEH1722" s="227"/>
      <c r="JEI1722" s="227"/>
      <c r="JEJ1722" s="227"/>
      <c r="JEK1722" s="227"/>
      <c r="JEL1722" s="227"/>
      <c r="JEM1722" s="227"/>
      <c r="JEN1722" s="227"/>
      <c r="JEO1722" s="227"/>
      <c r="JEP1722" s="227"/>
      <c r="JEQ1722" s="227"/>
      <c r="JER1722" s="227"/>
      <c r="JES1722" s="227"/>
      <c r="JET1722" s="227"/>
      <c r="JEU1722" s="227"/>
      <c r="JEV1722" s="227"/>
      <c r="JEW1722" s="227"/>
      <c r="JEX1722" s="227"/>
      <c r="JEY1722" s="227"/>
      <c r="JEZ1722" s="227"/>
      <c r="JFA1722" s="227"/>
      <c r="JFB1722" s="227"/>
      <c r="JFC1722" s="227"/>
      <c r="JFD1722" s="227"/>
      <c r="JFE1722" s="227"/>
      <c r="JFF1722" s="227"/>
      <c r="JFG1722" s="227"/>
      <c r="JFH1722" s="227"/>
      <c r="JFI1722" s="227"/>
      <c r="JFJ1722" s="227"/>
      <c r="JFK1722" s="227"/>
      <c r="JFL1722" s="227"/>
      <c r="JFM1722" s="227"/>
      <c r="JFN1722" s="227"/>
      <c r="JFO1722" s="227"/>
      <c r="JFP1722" s="227"/>
      <c r="JFQ1722" s="227"/>
      <c r="JFR1722" s="227"/>
      <c r="JFS1722" s="227"/>
      <c r="JFT1722" s="227"/>
      <c r="JFU1722" s="227"/>
      <c r="JFV1722" s="227"/>
      <c r="JFW1722" s="227"/>
      <c r="JFX1722" s="227"/>
      <c r="JFY1722" s="227"/>
      <c r="JFZ1722" s="227"/>
      <c r="JGA1722" s="227"/>
      <c r="JGB1722" s="227"/>
      <c r="JGC1722" s="227"/>
      <c r="JGD1722" s="227"/>
      <c r="JGE1722" s="227"/>
      <c r="JGF1722" s="227"/>
      <c r="JGG1722" s="227"/>
      <c r="JGH1722" s="227"/>
      <c r="JGI1722" s="227"/>
      <c r="JGJ1722" s="227"/>
      <c r="JGK1722" s="227"/>
      <c r="JGL1722" s="227"/>
      <c r="JGM1722" s="227"/>
      <c r="JGN1722" s="227"/>
      <c r="JGO1722" s="227"/>
      <c r="JGP1722" s="227"/>
      <c r="JGQ1722" s="227"/>
      <c r="JGR1722" s="227"/>
      <c r="JGS1722" s="227"/>
      <c r="JGT1722" s="227"/>
      <c r="JGU1722" s="227"/>
      <c r="JGV1722" s="227"/>
      <c r="JGW1722" s="227"/>
      <c r="JGX1722" s="227"/>
      <c r="JGY1722" s="227"/>
      <c r="JGZ1722" s="227"/>
      <c r="JHA1722" s="227"/>
      <c r="JHB1722" s="227"/>
      <c r="JHC1722" s="227"/>
      <c r="JHD1722" s="227"/>
      <c r="JHE1722" s="227"/>
      <c r="JHF1722" s="227"/>
      <c r="JHG1722" s="227"/>
      <c r="JHH1722" s="227"/>
      <c r="JHI1722" s="227"/>
      <c r="JHJ1722" s="227"/>
      <c r="JHK1722" s="227"/>
      <c r="JHL1722" s="227"/>
      <c r="JHM1722" s="227"/>
      <c r="JHN1722" s="227"/>
      <c r="JHO1722" s="227"/>
      <c r="JHP1722" s="227"/>
      <c r="JHQ1722" s="227"/>
      <c r="JHR1722" s="227"/>
      <c r="JHS1722" s="227"/>
      <c r="JHT1722" s="227"/>
      <c r="JHU1722" s="227"/>
      <c r="JHV1722" s="227"/>
      <c r="JHW1722" s="227"/>
      <c r="JHX1722" s="227"/>
      <c r="JHY1722" s="227"/>
      <c r="JHZ1722" s="227"/>
      <c r="JIA1722" s="227"/>
      <c r="JIB1722" s="227"/>
      <c r="JIC1722" s="227"/>
      <c r="JID1722" s="227"/>
      <c r="JIE1722" s="227"/>
      <c r="JIF1722" s="227"/>
      <c r="JIG1722" s="227"/>
      <c r="JIH1722" s="227"/>
      <c r="JII1722" s="227"/>
      <c r="JIJ1722" s="227"/>
      <c r="JIK1722" s="227"/>
      <c r="JIL1722" s="227"/>
      <c r="JIM1722" s="227"/>
      <c r="JIN1722" s="227"/>
      <c r="JIO1722" s="227"/>
      <c r="JIP1722" s="227"/>
      <c r="JIQ1722" s="227"/>
      <c r="JIR1722" s="227"/>
      <c r="JIS1722" s="227"/>
      <c r="JIT1722" s="227"/>
      <c r="JIU1722" s="227"/>
      <c r="JIV1722" s="227"/>
      <c r="JIW1722" s="227"/>
      <c r="JIX1722" s="227"/>
      <c r="JIY1722" s="227"/>
      <c r="JIZ1722" s="227"/>
      <c r="JJA1722" s="227"/>
      <c r="JJB1722" s="227"/>
      <c r="JJC1722" s="227"/>
      <c r="JJD1722" s="227"/>
      <c r="JJE1722" s="227"/>
      <c r="JJF1722" s="227"/>
      <c r="JJG1722" s="227"/>
      <c r="JJH1722" s="227"/>
      <c r="JJI1722" s="227"/>
      <c r="JJJ1722" s="227"/>
      <c r="JJK1722" s="227"/>
      <c r="JJL1722" s="227"/>
      <c r="JJM1722" s="227"/>
      <c r="JJN1722" s="227"/>
      <c r="JJO1722" s="227"/>
      <c r="JJP1722" s="227"/>
      <c r="JJQ1722" s="227"/>
      <c r="JJR1722" s="227"/>
      <c r="JJS1722" s="227"/>
      <c r="JJT1722" s="227"/>
      <c r="JJU1722" s="227"/>
      <c r="JJV1722" s="227"/>
      <c r="JJW1722" s="227"/>
      <c r="JJX1722" s="227"/>
      <c r="JJY1722" s="227"/>
      <c r="JJZ1722" s="227"/>
      <c r="JKA1722" s="227"/>
      <c r="JKB1722" s="227"/>
      <c r="JKC1722" s="227"/>
      <c r="JKD1722" s="227"/>
      <c r="JKE1722" s="227"/>
      <c r="JKF1722" s="227"/>
      <c r="JKG1722" s="227"/>
      <c r="JKH1722" s="227"/>
      <c r="JKI1722" s="227"/>
      <c r="JKJ1722" s="227"/>
      <c r="JKK1722" s="227"/>
      <c r="JKL1722" s="227"/>
      <c r="JKM1722" s="227"/>
      <c r="JKN1722" s="227"/>
      <c r="JKO1722" s="227"/>
      <c r="JKP1722" s="227"/>
      <c r="JKQ1722" s="227"/>
      <c r="JKR1722" s="227"/>
      <c r="JKS1722" s="227"/>
      <c r="JKT1722" s="227"/>
      <c r="JKU1722" s="227"/>
      <c r="JKV1722" s="227"/>
      <c r="JKW1722" s="227"/>
      <c r="JKX1722" s="227"/>
      <c r="JKY1722" s="227"/>
      <c r="JKZ1722" s="227"/>
      <c r="JLA1722" s="227"/>
      <c r="JLB1722" s="227"/>
      <c r="JLC1722" s="227"/>
      <c r="JLD1722" s="227"/>
      <c r="JLE1722" s="227"/>
      <c r="JLF1722" s="227"/>
      <c r="JLG1722" s="227"/>
      <c r="JLH1722" s="227"/>
      <c r="JLI1722" s="227"/>
      <c r="JLJ1722" s="227"/>
      <c r="JLK1722" s="227"/>
      <c r="JLL1722" s="227"/>
      <c r="JLM1722" s="227"/>
      <c r="JLN1722" s="227"/>
      <c r="JLO1722" s="227"/>
      <c r="JLP1722" s="227"/>
      <c r="JLQ1722" s="227"/>
      <c r="JLR1722" s="227"/>
      <c r="JLS1722" s="227"/>
      <c r="JLT1722" s="227"/>
      <c r="JLU1722" s="227"/>
      <c r="JLV1722" s="227"/>
      <c r="JLW1722" s="227"/>
      <c r="JLX1722" s="227"/>
      <c r="JLY1722" s="227"/>
      <c r="JLZ1722" s="227"/>
      <c r="JMA1722" s="227"/>
      <c r="JMB1722" s="227"/>
      <c r="JMC1722" s="227"/>
      <c r="JMD1722" s="227"/>
      <c r="JME1722" s="227"/>
      <c r="JMF1722" s="227"/>
      <c r="JMG1722" s="227"/>
      <c r="JMH1722" s="227"/>
      <c r="JMI1722" s="227"/>
      <c r="JMJ1722" s="227"/>
      <c r="JMK1722" s="227"/>
      <c r="JML1722" s="227"/>
      <c r="JMM1722" s="227"/>
      <c r="JMN1722" s="227"/>
      <c r="JMO1722" s="227"/>
      <c r="JMP1722" s="227"/>
      <c r="JMQ1722" s="227"/>
      <c r="JMR1722" s="227"/>
      <c r="JMS1722" s="227"/>
      <c r="JMT1722" s="227"/>
      <c r="JMU1722" s="227"/>
      <c r="JMV1722" s="227"/>
      <c r="JMW1722" s="227"/>
      <c r="JMX1722" s="227"/>
      <c r="JMY1722" s="227"/>
      <c r="JMZ1722" s="227"/>
      <c r="JNA1722" s="227"/>
      <c r="JNB1722" s="227"/>
      <c r="JNC1722" s="227"/>
      <c r="JND1722" s="227"/>
      <c r="JNE1722" s="227"/>
      <c r="JNF1722" s="227"/>
      <c r="JNG1722" s="227"/>
      <c r="JNH1722" s="227"/>
      <c r="JNI1722" s="227"/>
      <c r="JNJ1722" s="227"/>
      <c r="JNK1722" s="227"/>
      <c r="JNL1722" s="227"/>
      <c r="JNM1722" s="227"/>
      <c r="JNN1722" s="227"/>
      <c r="JNO1722" s="227"/>
      <c r="JNP1722" s="227"/>
      <c r="JNQ1722" s="227"/>
      <c r="JNR1722" s="227"/>
      <c r="JNS1722" s="227"/>
      <c r="JNT1722" s="227"/>
      <c r="JNU1722" s="227"/>
      <c r="JNV1722" s="227"/>
      <c r="JNW1722" s="227"/>
      <c r="JNX1722" s="227"/>
      <c r="JNY1722" s="227"/>
      <c r="JNZ1722" s="227"/>
      <c r="JOA1722" s="227"/>
      <c r="JOB1722" s="227"/>
      <c r="JOC1722" s="227"/>
      <c r="JOD1722" s="227"/>
      <c r="JOE1722" s="227"/>
      <c r="JOF1722" s="227"/>
      <c r="JOG1722" s="227"/>
      <c r="JOH1722" s="227"/>
      <c r="JOI1722" s="227"/>
      <c r="JOJ1722" s="227"/>
      <c r="JOK1722" s="227"/>
      <c r="JOL1722" s="227"/>
      <c r="JOM1722" s="227"/>
      <c r="JON1722" s="227"/>
      <c r="JOO1722" s="227"/>
      <c r="JOP1722" s="227"/>
      <c r="JOQ1722" s="227"/>
      <c r="JOR1722" s="227"/>
      <c r="JOS1722" s="227"/>
      <c r="JOT1722" s="227"/>
      <c r="JOU1722" s="227"/>
      <c r="JOV1722" s="227"/>
      <c r="JOW1722" s="227"/>
      <c r="JOX1722" s="227"/>
      <c r="JOY1722" s="227"/>
      <c r="JOZ1722" s="227"/>
      <c r="JPA1722" s="227"/>
      <c r="JPB1722" s="227"/>
      <c r="JPC1722" s="227"/>
      <c r="JPD1722" s="227"/>
      <c r="JPE1722" s="227"/>
      <c r="JPF1722" s="227"/>
      <c r="JPG1722" s="227"/>
      <c r="JPH1722" s="227"/>
      <c r="JPI1722" s="227"/>
      <c r="JPJ1722" s="227"/>
      <c r="JPK1722" s="227"/>
      <c r="JPL1722" s="227"/>
      <c r="JPM1722" s="227"/>
      <c r="JPN1722" s="227"/>
      <c r="JPO1722" s="227"/>
      <c r="JPP1722" s="227"/>
      <c r="JPQ1722" s="227"/>
      <c r="JPR1722" s="227"/>
      <c r="JPS1722" s="227"/>
      <c r="JPT1722" s="227"/>
      <c r="JPU1722" s="227"/>
      <c r="JPV1722" s="227"/>
      <c r="JPW1722" s="227"/>
      <c r="JPX1722" s="227"/>
      <c r="JPY1722" s="227"/>
      <c r="JPZ1722" s="227"/>
      <c r="JQA1722" s="227"/>
      <c r="JQB1722" s="227"/>
      <c r="JQC1722" s="227"/>
      <c r="JQD1722" s="227"/>
      <c r="JQE1722" s="227"/>
      <c r="JQF1722" s="227"/>
      <c r="JQG1722" s="227"/>
      <c r="JQH1722" s="227"/>
      <c r="JQI1722" s="227"/>
      <c r="JQJ1722" s="227"/>
      <c r="JQK1722" s="227"/>
      <c r="JQL1722" s="227"/>
      <c r="JQM1722" s="227"/>
      <c r="JQN1722" s="227"/>
      <c r="JQO1722" s="227"/>
      <c r="JQP1722" s="227"/>
      <c r="JQQ1722" s="227"/>
      <c r="JQR1722" s="227"/>
      <c r="JQS1722" s="227"/>
      <c r="JQT1722" s="227"/>
      <c r="JQU1722" s="227"/>
      <c r="JQV1722" s="227"/>
      <c r="JQW1722" s="227"/>
      <c r="JQX1722" s="227"/>
      <c r="JQY1722" s="227"/>
      <c r="JQZ1722" s="227"/>
      <c r="JRA1722" s="227"/>
      <c r="JRB1722" s="227"/>
      <c r="JRC1722" s="227"/>
      <c r="JRD1722" s="227"/>
      <c r="JRE1722" s="227"/>
      <c r="JRF1722" s="227"/>
      <c r="JRG1722" s="227"/>
      <c r="JRH1722" s="227"/>
      <c r="JRI1722" s="227"/>
      <c r="JRJ1722" s="227"/>
      <c r="JRK1722" s="227"/>
      <c r="JRL1722" s="227"/>
      <c r="JRM1722" s="227"/>
      <c r="JRN1722" s="227"/>
      <c r="JRO1722" s="227"/>
      <c r="JRP1722" s="227"/>
      <c r="JRQ1722" s="227"/>
      <c r="JRR1722" s="227"/>
      <c r="JRS1722" s="227"/>
      <c r="JRT1722" s="227"/>
      <c r="JRU1722" s="227"/>
      <c r="JRV1722" s="227"/>
      <c r="JRW1722" s="227"/>
      <c r="JRX1722" s="227"/>
      <c r="JRY1722" s="227"/>
      <c r="JRZ1722" s="227"/>
      <c r="JSA1722" s="227"/>
      <c r="JSB1722" s="227"/>
      <c r="JSC1722" s="227"/>
      <c r="JSD1722" s="227"/>
      <c r="JSE1722" s="227"/>
      <c r="JSF1722" s="227"/>
      <c r="JSG1722" s="227"/>
      <c r="JSH1722" s="227"/>
      <c r="JSI1722" s="227"/>
      <c r="JSJ1722" s="227"/>
      <c r="JSK1722" s="227"/>
      <c r="JSL1722" s="227"/>
      <c r="JSM1722" s="227"/>
      <c r="JSN1722" s="227"/>
      <c r="JSO1722" s="227"/>
      <c r="JSP1722" s="227"/>
      <c r="JSQ1722" s="227"/>
      <c r="JSR1722" s="227"/>
      <c r="JSS1722" s="227"/>
      <c r="JST1722" s="227"/>
      <c r="JSU1722" s="227"/>
      <c r="JSV1722" s="227"/>
      <c r="JSW1722" s="227"/>
      <c r="JSX1722" s="227"/>
      <c r="JSY1722" s="227"/>
      <c r="JSZ1722" s="227"/>
      <c r="JTA1722" s="227"/>
      <c r="JTB1722" s="227"/>
      <c r="JTC1722" s="227"/>
      <c r="JTD1722" s="227"/>
      <c r="JTE1722" s="227"/>
      <c r="JTF1722" s="227"/>
      <c r="JTG1722" s="227"/>
      <c r="JTH1722" s="227"/>
      <c r="JTI1722" s="227"/>
      <c r="JTJ1722" s="227"/>
      <c r="JTK1722" s="227"/>
      <c r="JTL1722" s="227"/>
      <c r="JTM1722" s="227"/>
      <c r="JTN1722" s="227"/>
      <c r="JTO1722" s="227"/>
      <c r="JTP1722" s="227"/>
      <c r="JTQ1722" s="227"/>
      <c r="JTR1722" s="227"/>
      <c r="JTS1722" s="227"/>
      <c r="JTT1722" s="227"/>
      <c r="JTU1722" s="227"/>
      <c r="JTV1722" s="227"/>
      <c r="JTW1722" s="227"/>
      <c r="JTX1722" s="227"/>
      <c r="JTY1722" s="227"/>
      <c r="JTZ1722" s="227"/>
      <c r="JUA1722" s="227"/>
      <c r="JUB1722" s="227"/>
      <c r="JUC1722" s="227"/>
      <c r="JUD1722" s="227"/>
      <c r="JUE1722" s="227"/>
      <c r="JUF1722" s="227"/>
      <c r="JUG1722" s="227"/>
      <c r="JUH1722" s="227"/>
      <c r="JUI1722" s="227"/>
      <c r="JUJ1722" s="227"/>
      <c r="JUK1722" s="227"/>
      <c r="JUL1722" s="227"/>
      <c r="JUM1722" s="227"/>
      <c r="JUN1722" s="227"/>
      <c r="JUO1722" s="227"/>
      <c r="JUP1722" s="227"/>
      <c r="JUQ1722" s="227"/>
      <c r="JUR1722" s="227"/>
      <c r="JUS1722" s="227"/>
      <c r="JUT1722" s="227"/>
      <c r="JUU1722" s="227"/>
      <c r="JUV1722" s="227"/>
      <c r="JUW1722" s="227"/>
      <c r="JUX1722" s="227"/>
      <c r="JUY1722" s="227"/>
      <c r="JUZ1722" s="227"/>
      <c r="JVA1722" s="227"/>
      <c r="JVB1722" s="227"/>
      <c r="JVC1722" s="227"/>
      <c r="JVD1722" s="227"/>
      <c r="JVE1722" s="227"/>
      <c r="JVF1722" s="227"/>
      <c r="JVG1722" s="227"/>
      <c r="JVH1722" s="227"/>
      <c r="JVI1722" s="227"/>
      <c r="JVJ1722" s="227"/>
      <c r="JVK1722" s="227"/>
      <c r="JVL1722" s="227"/>
      <c r="JVM1722" s="227"/>
      <c r="JVN1722" s="227"/>
      <c r="JVO1722" s="227"/>
      <c r="JVP1722" s="227"/>
      <c r="JVQ1722" s="227"/>
      <c r="JVR1722" s="227"/>
      <c r="JVS1722" s="227"/>
      <c r="JVT1722" s="227"/>
      <c r="JVU1722" s="227"/>
      <c r="JVV1722" s="227"/>
      <c r="JVW1722" s="227"/>
      <c r="JVX1722" s="227"/>
      <c r="JVY1722" s="227"/>
      <c r="JVZ1722" s="227"/>
      <c r="JWA1722" s="227"/>
      <c r="JWB1722" s="227"/>
      <c r="JWC1722" s="227"/>
      <c r="JWD1722" s="227"/>
      <c r="JWE1722" s="227"/>
      <c r="JWF1722" s="227"/>
      <c r="JWG1722" s="227"/>
      <c r="JWH1722" s="227"/>
      <c r="JWI1722" s="227"/>
      <c r="JWJ1722" s="227"/>
      <c r="JWK1722" s="227"/>
      <c r="JWL1722" s="227"/>
      <c r="JWM1722" s="227"/>
      <c r="JWN1722" s="227"/>
      <c r="JWO1722" s="227"/>
      <c r="JWP1722" s="227"/>
      <c r="JWQ1722" s="227"/>
      <c r="JWR1722" s="227"/>
      <c r="JWS1722" s="227"/>
      <c r="JWT1722" s="227"/>
      <c r="JWU1722" s="227"/>
      <c r="JWV1722" s="227"/>
      <c r="JWW1722" s="227"/>
      <c r="JWX1722" s="227"/>
      <c r="JWY1722" s="227"/>
      <c r="JWZ1722" s="227"/>
      <c r="JXA1722" s="227"/>
      <c r="JXB1722" s="227"/>
      <c r="JXC1722" s="227"/>
      <c r="JXD1722" s="227"/>
      <c r="JXE1722" s="227"/>
      <c r="JXF1722" s="227"/>
      <c r="JXG1722" s="227"/>
      <c r="JXH1722" s="227"/>
      <c r="JXI1722" s="227"/>
      <c r="JXJ1722" s="227"/>
      <c r="JXK1722" s="227"/>
      <c r="JXL1722" s="227"/>
      <c r="JXM1722" s="227"/>
      <c r="JXN1722" s="227"/>
      <c r="JXO1722" s="227"/>
      <c r="JXP1722" s="227"/>
      <c r="JXQ1722" s="227"/>
      <c r="JXR1722" s="227"/>
      <c r="JXS1722" s="227"/>
      <c r="JXT1722" s="227"/>
      <c r="JXU1722" s="227"/>
      <c r="JXV1722" s="227"/>
      <c r="JXW1722" s="227"/>
      <c r="JXX1722" s="227"/>
      <c r="JXY1722" s="227"/>
      <c r="JXZ1722" s="227"/>
      <c r="JYA1722" s="227"/>
      <c r="JYB1722" s="227"/>
      <c r="JYC1722" s="227"/>
      <c r="JYD1722" s="227"/>
      <c r="JYE1722" s="227"/>
      <c r="JYF1722" s="227"/>
      <c r="JYG1722" s="227"/>
      <c r="JYH1722" s="227"/>
      <c r="JYI1722" s="227"/>
      <c r="JYJ1722" s="227"/>
      <c r="JYK1722" s="227"/>
      <c r="JYL1722" s="227"/>
      <c r="JYM1722" s="227"/>
      <c r="JYN1722" s="227"/>
      <c r="JYO1722" s="227"/>
      <c r="JYP1722" s="227"/>
      <c r="JYQ1722" s="227"/>
      <c r="JYR1722" s="227"/>
      <c r="JYS1722" s="227"/>
      <c r="JYT1722" s="227"/>
      <c r="JYU1722" s="227"/>
      <c r="JYV1722" s="227"/>
      <c r="JYW1722" s="227"/>
      <c r="JYX1722" s="227"/>
      <c r="JYY1722" s="227"/>
      <c r="JYZ1722" s="227"/>
      <c r="JZA1722" s="227"/>
      <c r="JZB1722" s="227"/>
      <c r="JZC1722" s="227"/>
      <c r="JZD1722" s="227"/>
      <c r="JZE1722" s="227"/>
      <c r="JZF1722" s="227"/>
      <c r="JZG1722" s="227"/>
      <c r="JZH1722" s="227"/>
      <c r="JZI1722" s="227"/>
      <c r="JZJ1722" s="227"/>
      <c r="JZK1722" s="227"/>
      <c r="JZL1722" s="227"/>
      <c r="JZM1722" s="227"/>
      <c r="JZN1722" s="227"/>
      <c r="JZO1722" s="227"/>
      <c r="JZP1722" s="227"/>
      <c r="JZQ1722" s="227"/>
      <c r="JZR1722" s="227"/>
      <c r="JZS1722" s="227"/>
      <c r="JZT1722" s="227"/>
      <c r="JZU1722" s="227"/>
      <c r="JZV1722" s="227"/>
      <c r="JZW1722" s="227"/>
      <c r="JZX1722" s="227"/>
      <c r="JZY1722" s="227"/>
      <c r="JZZ1722" s="227"/>
      <c r="KAA1722" s="227"/>
      <c r="KAB1722" s="227"/>
      <c r="KAC1722" s="227"/>
      <c r="KAD1722" s="227"/>
      <c r="KAE1722" s="227"/>
      <c r="KAF1722" s="227"/>
      <c r="KAG1722" s="227"/>
      <c r="KAH1722" s="227"/>
      <c r="KAI1722" s="227"/>
      <c r="KAJ1722" s="227"/>
      <c r="KAK1722" s="227"/>
      <c r="KAL1722" s="227"/>
      <c r="KAM1722" s="227"/>
      <c r="KAN1722" s="227"/>
      <c r="KAO1722" s="227"/>
      <c r="KAP1722" s="227"/>
      <c r="KAQ1722" s="227"/>
      <c r="KAR1722" s="227"/>
      <c r="KAS1722" s="227"/>
      <c r="KAT1722" s="227"/>
      <c r="KAU1722" s="227"/>
      <c r="KAV1722" s="227"/>
      <c r="KAW1722" s="227"/>
      <c r="KAX1722" s="227"/>
      <c r="KAY1722" s="227"/>
      <c r="KAZ1722" s="227"/>
      <c r="KBA1722" s="227"/>
      <c r="KBB1722" s="227"/>
      <c r="KBC1722" s="227"/>
      <c r="KBD1722" s="227"/>
      <c r="KBE1722" s="227"/>
      <c r="KBF1722" s="227"/>
      <c r="KBG1722" s="227"/>
      <c r="KBH1722" s="227"/>
      <c r="KBI1722" s="227"/>
      <c r="KBJ1722" s="227"/>
      <c r="KBK1722" s="227"/>
      <c r="KBL1722" s="227"/>
      <c r="KBM1722" s="227"/>
      <c r="KBN1722" s="227"/>
      <c r="KBO1722" s="227"/>
      <c r="KBP1722" s="227"/>
      <c r="KBQ1722" s="227"/>
      <c r="KBR1722" s="227"/>
      <c r="KBS1722" s="227"/>
      <c r="KBT1722" s="227"/>
      <c r="KBU1722" s="227"/>
      <c r="KBV1722" s="227"/>
      <c r="KBW1722" s="227"/>
      <c r="KBX1722" s="227"/>
      <c r="KBY1722" s="227"/>
      <c r="KBZ1722" s="227"/>
      <c r="KCA1722" s="227"/>
      <c r="KCB1722" s="227"/>
      <c r="KCC1722" s="227"/>
      <c r="KCD1722" s="227"/>
      <c r="KCE1722" s="227"/>
      <c r="KCF1722" s="227"/>
      <c r="KCG1722" s="227"/>
      <c r="KCH1722" s="227"/>
      <c r="KCI1722" s="227"/>
      <c r="KCJ1722" s="227"/>
      <c r="KCK1722" s="227"/>
      <c r="KCL1722" s="227"/>
      <c r="KCM1722" s="227"/>
      <c r="KCN1722" s="227"/>
      <c r="KCO1722" s="227"/>
      <c r="KCP1722" s="227"/>
      <c r="KCQ1722" s="227"/>
      <c r="KCR1722" s="227"/>
      <c r="KCS1722" s="227"/>
      <c r="KCT1722" s="227"/>
      <c r="KCU1722" s="227"/>
      <c r="KCV1722" s="227"/>
      <c r="KCW1722" s="227"/>
      <c r="KCX1722" s="227"/>
      <c r="KCY1722" s="227"/>
      <c r="KCZ1722" s="227"/>
      <c r="KDA1722" s="227"/>
      <c r="KDB1722" s="227"/>
      <c r="KDC1722" s="227"/>
      <c r="KDD1722" s="227"/>
      <c r="KDE1722" s="227"/>
      <c r="KDF1722" s="227"/>
      <c r="KDG1722" s="227"/>
      <c r="KDH1722" s="227"/>
      <c r="KDI1722" s="227"/>
      <c r="KDJ1722" s="227"/>
      <c r="KDK1722" s="227"/>
      <c r="KDL1722" s="227"/>
      <c r="KDM1722" s="227"/>
      <c r="KDN1722" s="227"/>
      <c r="KDO1722" s="227"/>
      <c r="KDP1722" s="227"/>
      <c r="KDQ1722" s="227"/>
      <c r="KDR1722" s="227"/>
      <c r="KDS1722" s="227"/>
      <c r="KDT1722" s="227"/>
      <c r="KDU1722" s="227"/>
      <c r="KDV1722" s="227"/>
      <c r="KDW1722" s="227"/>
      <c r="KDX1722" s="227"/>
      <c r="KDY1722" s="227"/>
      <c r="KDZ1722" s="227"/>
      <c r="KEA1722" s="227"/>
      <c r="KEB1722" s="227"/>
      <c r="KEC1722" s="227"/>
      <c r="KED1722" s="227"/>
      <c r="KEE1722" s="227"/>
      <c r="KEF1722" s="227"/>
      <c r="KEG1722" s="227"/>
      <c r="KEH1722" s="227"/>
      <c r="KEI1722" s="227"/>
      <c r="KEJ1722" s="227"/>
      <c r="KEK1722" s="227"/>
      <c r="KEL1722" s="227"/>
      <c r="KEM1722" s="227"/>
      <c r="KEN1722" s="227"/>
      <c r="KEO1722" s="227"/>
      <c r="KEP1722" s="227"/>
      <c r="KEQ1722" s="227"/>
      <c r="KER1722" s="227"/>
      <c r="KES1722" s="227"/>
      <c r="KET1722" s="227"/>
      <c r="KEU1722" s="227"/>
      <c r="KEV1722" s="227"/>
      <c r="KEW1722" s="227"/>
      <c r="KEX1722" s="227"/>
      <c r="KEY1722" s="227"/>
      <c r="KEZ1722" s="227"/>
      <c r="KFA1722" s="227"/>
      <c r="KFB1722" s="227"/>
      <c r="KFC1722" s="227"/>
      <c r="KFD1722" s="227"/>
      <c r="KFE1722" s="227"/>
      <c r="KFF1722" s="227"/>
      <c r="KFG1722" s="227"/>
      <c r="KFH1722" s="227"/>
      <c r="KFI1722" s="227"/>
      <c r="KFJ1722" s="227"/>
      <c r="KFK1722" s="227"/>
      <c r="KFL1722" s="227"/>
      <c r="KFM1722" s="227"/>
      <c r="KFN1722" s="227"/>
      <c r="KFO1722" s="227"/>
      <c r="KFP1722" s="227"/>
      <c r="KFQ1722" s="227"/>
      <c r="KFR1722" s="227"/>
      <c r="KFS1722" s="227"/>
      <c r="KFT1722" s="227"/>
      <c r="KFU1722" s="227"/>
      <c r="KFV1722" s="227"/>
      <c r="KFW1722" s="227"/>
      <c r="KFX1722" s="227"/>
      <c r="KFY1722" s="227"/>
      <c r="KFZ1722" s="227"/>
      <c r="KGA1722" s="227"/>
      <c r="KGB1722" s="227"/>
      <c r="KGC1722" s="227"/>
      <c r="KGD1722" s="227"/>
      <c r="KGE1722" s="227"/>
      <c r="KGF1722" s="227"/>
      <c r="KGG1722" s="227"/>
      <c r="KGH1722" s="227"/>
      <c r="KGI1722" s="227"/>
      <c r="KGJ1722" s="227"/>
      <c r="KGK1722" s="227"/>
      <c r="KGL1722" s="227"/>
      <c r="KGM1722" s="227"/>
      <c r="KGN1722" s="227"/>
      <c r="KGO1722" s="227"/>
      <c r="KGP1722" s="227"/>
      <c r="KGQ1722" s="227"/>
      <c r="KGR1722" s="227"/>
      <c r="KGS1722" s="227"/>
      <c r="KGT1722" s="227"/>
      <c r="KGU1722" s="227"/>
      <c r="KGV1722" s="227"/>
      <c r="KGW1722" s="227"/>
      <c r="KGX1722" s="227"/>
      <c r="KGY1722" s="227"/>
      <c r="KGZ1722" s="227"/>
      <c r="KHA1722" s="227"/>
      <c r="KHB1722" s="227"/>
      <c r="KHC1722" s="227"/>
      <c r="KHD1722" s="227"/>
      <c r="KHE1722" s="227"/>
      <c r="KHF1722" s="227"/>
      <c r="KHG1722" s="227"/>
      <c r="KHH1722" s="227"/>
      <c r="KHI1722" s="227"/>
      <c r="KHJ1722" s="227"/>
      <c r="KHK1722" s="227"/>
      <c r="KHL1722" s="227"/>
      <c r="KHM1722" s="227"/>
      <c r="KHN1722" s="227"/>
      <c r="KHO1722" s="227"/>
      <c r="KHP1722" s="227"/>
      <c r="KHQ1722" s="227"/>
      <c r="KHR1722" s="227"/>
      <c r="KHS1722" s="227"/>
      <c r="KHT1722" s="227"/>
      <c r="KHU1722" s="227"/>
      <c r="KHV1722" s="227"/>
      <c r="KHW1722" s="227"/>
      <c r="KHX1722" s="227"/>
      <c r="KHY1722" s="227"/>
      <c r="KHZ1722" s="227"/>
      <c r="KIA1722" s="227"/>
      <c r="KIB1722" s="227"/>
      <c r="KIC1722" s="227"/>
      <c r="KID1722" s="227"/>
      <c r="KIE1722" s="227"/>
      <c r="KIF1722" s="227"/>
      <c r="KIG1722" s="227"/>
      <c r="KIH1722" s="227"/>
      <c r="KII1722" s="227"/>
      <c r="KIJ1722" s="227"/>
      <c r="KIK1722" s="227"/>
      <c r="KIL1722" s="227"/>
      <c r="KIM1722" s="227"/>
      <c r="KIN1722" s="227"/>
      <c r="KIO1722" s="227"/>
      <c r="KIP1722" s="227"/>
      <c r="KIQ1722" s="227"/>
      <c r="KIR1722" s="227"/>
      <c r="KIS1722" s="227"/>
      <c r="KIT1722" s="227"/>
      <c r="KIU1722" s="227"/>
      <c r="KIV1722" s="227"/>
      <c r="KIW1722" s="227"/>
      <c r="KIX1722" s="227"/>
      <c r="KIY1722" s="227"/>
      <c r="KIZ1722" s="227"/>
      <c r="KJA1722" s="227"/>
      <c r="KJB1722" s="227"/>
      <c r="KJC1722" s="227"/>
      <c r="KJD1722" s="227"/>
      <c r="KJE1722" s="227"/>
      <c r="KJF1722" s="227"/>
      <c r="KJG1722" s="227"/>
      <c r="KJH1722" s="227"/>
      <c r="KJI1722" s="227"/>
      <c r="KJJ1722" s="227"/>
      <c r="KJK1722" s="227"/>
      <c r="KJL1722" s="227"/>
      <c r="KJM1722" s="227"/>
      <c r="KJN1722" s="227"/>
      <c r="KJO1722" s="227"/>
      <c r="KJP1722" s="227"/>
      <c r="KJQ1722" s="227"/>
      <c r="KJR1722" s="227"/>
      <c r="KJS1722" s="227"/>
      <c r="KJT1722" s="227"/>
      <c r="KJU1722" s="227"/>
      <c r="KJV1722" s="227"/>
      <c r="KJW1722" s="227"/>
      <c r="KJX1722" s="227"/>
      <c r="KJY1722" s="227"/>
      <c r="KJZ1722" s="227"/>
      <c r="KKA1722" s="227"/>
      <c r="KKB1722" s="227"/>
      <c r="KKC1722" s="227"/>
      <c r="KKD1722" s="227"/>
      <c r="KKE1722" s="227"/>
      <c r="KKF1722" s="227"/>
      <c r="KKG1722" s="227"/>
      <c r="KKH1722" s="227"/>
      <c r="KKI1722" s="227"/>
      <c r="KKJ1722" s="227"/>
      <c r="KKK1722" s="227"/>
      <c r="KKL1722" s="227"/>
      <c r="KKM1722" s="227"/>
      <c r="KKN1722" s="227"/>
      <c r="KKO1722" s="227"/>
      <c r="KKP1722" s="227"/>
      <c r="KKQ1722" s="227"/>
      <c r="KKR1722" s="227"/>
      <c r="KKS1722" s="227"/>
      <c r="KKT1722" s="227"/>
      <c r="KKU1722" s="227"/>
      <c r="KKV1722" s="227"/>
      <c r="KKW1722" s="227"/>
      <c r="KKX1722" s="227"/>
      <c r="KKY1722" s="227"/>
      <c r="KKZ1722" s="227"/>
      <c r="KLA1722" s="227"/>
      <c r="KLB1722" s="227"/>
      <c r="KLC1722" s="227"/>
      <c r="KLD1722" s="227"/>
      <c r="KLE1722" s="227"/>
      <c r="KLF1722" s="227"/>
      <c r="KLG1722" s="227"/>
      <c r="KLH1722" s="227"/>
      <c r="KLI1722" s="227"/>
      <c r="KLJ1722" s="227"/>
      <c r="KLK1722" s="227"/>
      <c r="KLL1722" s="227"/>
      <c r="KLM1722" s="227"/>
      <c r="KLN1722" s="227"/>
      <c r="KLO1722" s="227"/>
      <c r="KLP1722" s="227"/>
      <c r="KLQ1722" s="227"/>
      <c r="KLR1722" s="227"/>
      <c r="KLS1722" s="227"/>
      <c r="KLT1722" s="227"/>
      <c r="KLU1722" s="227"/>
      <c r="KLV1722" s="227"/>
      <c r="KLW1722" s="227"/>
      <c r="KLX1722" s="227"/>
      <c r="KLY1722" s="227"/>
      <c r="KLZ1722" s="227"/>
      <c r="KMA1722" s="227"/>
      <c r="KMB1722" s="227"/>
      <c r="KMC1722" s="227"/>
      <c r="KMD1722" s="227"/>
      <c r="KME1722" s="227"/>
      <c r="KMF1722" s="227"/>
      <c r="KMG1722" s="227"/>
      <c r="KMH1722" s="227"/>
      <c r="KMI1722" s="227"/>
      <c r="KMJ1722" s="227"/>
      <c r="KMK1722" s="227"/>
      <c r="KML1722" s="227"/>
      <c r="KMM1722" s="227"/>
      <c r="KMN1722" s="227"/>
      <c r="KMO1722" s="227"/>
      <c r="KMP1722" s="227"/>
      <c r="KMQ1722" s="227"/>
      <c r="KMR1722" s="227"/>
      <c r="KMS1722" s="227"/>
      <c r="KMT1722" s="227"/>
      <c r="KMU1722" s="227"/>
      <c r="KMV1722" s="227"/>
      <c r="KMW1722" s="227"/>
      <c r="KMX1722" s="227"/>
      <c r="KMY1722" s="227"/>
      <c r="KMZ1722" s="227"/>
      <c r="KNA1722" s="227"/>
      <c r="KNB1722" s="227"/>
      <c r="KNC1722" s="227"/>
      <c r="KND1722" s="227"/>
      <c r="KNE1722" s="227"/>
      <c r="KNF1722" s="227"/>
      <c r="KNG1722" s="227"/>
      <c r="KNH1722" s="227"/>
      <c r="KNI1722" s="227"/>
      <c r="KNJ1722" s="227"/>
      <c r="KNK1722" s="227"/>
      <c r="KNL1722" s="227"/>
      <c r="KNM1722" s="227"/>
      <c r="KNN1722" s="227"/>
      <c r="KNO1722" s="227"/>
      <c r="KNP1722" s="227"/>
      <c r="KNQ1722" s="227"/>
      <c r="KNR1722" s="227"/>
      <c r="KNS1722" s="227"/>
      <c r="KNT1722" s="227"/>
      <c r="KNU1722" s="227"/>
      <c r="KNV1722" s="227"/>
      <c r="KNW1722" s="227"/>
      <c r="KNX1722" s="227"/>
      <c r="KNY1722" s="227"/>
      <c r="KNZ1722" s="227"/>
      <c r="KOA1722" s="227"/>
      <c r="KOB1722" s="227"/>
      <c r="KOC1722" s="227"/>
      <c r="KOD1722" s="227"/>
      <c r="KOE1722" s="227"/>
      <c r="KOF1722" s="227"/>
      <c r="KOG1722" s="227"/>
      <c r="KOH1722" s="227"/>
      <c r="KOI1722" s="227"/>
      <c r="KOJ1722" s="227"/>
      <c r="KOK1722" s="227"/>
      <c r="KOL1722" s="227"/>
      <c r="KOM1722" s="227"/>
      <c r="KON1722" s="227"/>
      <c r="KOO1722" s="227"/>
      <c r="KOP1722" s="227"/>
      <c r="KOQ1722" s="227"/>
      <c r="KOR1722" s="227"/>
      <c r="KOS1722" s="227"/>
      <c r="KOT1722" s="227"/>
      <c r="KOU1722" s="227"/>
      <c r="KOV1722" s="227"/>
      <c r="KOW1722" s="227"/>
      <c r="KOX1722" s="227"/>
      <c r="KOY1722" s="227"/>
      <c r="KOZ1722" s="227"/>
      <c r="KPA1722" s="227"/>
      <c r="KPB1722" s="227"/>
      <c r="KPC1722" s="227"/>
      <c r="KPD1722" s="227"/>
      <c r="KPE1722" s="227"/>
      <c r="KPF1722" s="227"/>
      <c r="KPG1722" s="227"/>
      <c r="KPH1722" s="227"/>
      <c r="KPI1722" s="227"/>
      <c r="KPJ1722" s="227"/>
      <c r="KPK1722" s="227"/>
      <c r="KPL1722" s="227"/>
      <c r="KPM1722" s="227"/>
      <c r="KPN1722" s="227"/>
      <c r="KPO1722" s="227"/>
      <c r="KPP1722" s="227"/>
      <c r="KPQ1722" s="227"/>
      <c r="KPR1722" s="227"/>
      <c r="KPS1722" s="227"/>
      <c r="KPT1722" s="227"/>
      <c r="KPU1722" s="227"/>
      <c r="KPV1722" s="227"/>
      <c r="KPW1722" s="227"/>
      <c r="KPX1722" s="227"/>
      <c r="KPY1722" s="227"/>
      <c r="KPZ1722" s="227"/>
      <c r="KQA1722" s="227"/>
      <c r="KQB1722" s="227"/>
      <c r="KQC1722" s="227"/>
      <c r="KQD1722" s="227"/>
      <c r="KQE1722" s="227"/>
      <c r="KQF1722" s="227"/>
      <c r="KQG1722" s="227"/>
      <c r="KQH1722" s="227"/>
      <c r="KQI1722" s="227"/>
      <c r="KQJ1722" s="227"/>
      <c r="KQK1722" s="227"/>
      <c r="KQL1722" s="227"/>
      <c r="KQM1722" s="227"/>
      <c r="KQN1722" s="227"/>
      <c r="KQO1722" s="227"/>
      <c r="KQP1722" s="227"/>
      <c r="KQQ1722" s="227"/>
      <c r="KQR1722" s="227"/>
      <c r="KQS1722" s="227"/>
      <c r="KQT1722" s="227"/>
      <c r="KQU1722" s="227"/>
      <c r="KQV1722" s="227"/>
      <c r="KQW1722" s="227"/>
      <c r="KQX1722" s="227"/>
      <c r="KQY1722" s="227"/>
      <c r="KQZ1722" s="227"/>
      <c r="KRA1722" s="227"/>
      <c r="KRB1722" s="227"/>
      <c r="KRC1722" s="227"/>
      <c r="KRD1722" s="227"/>
      <c r="KRE1722" s="227"/>
      <c r="KRF1722" s="227"/>
      <c r="KRG1722" s="227"/>
      <c r="KRH1722" s="227"/>
      <c r="KRI1722" s="227"/>
      <c r="KRJ1722" s="227"/>
      <c r="KRK1722" s="227"/>
      <c r="KRL1722" s="227"/>
      <c r="KRM1722" s="227"/>
      <c r="KRN1722" s="227"/>
      <c r="KRO1722" s="227"/>
      <c r="KRP1722" s="227"/>
      <c r="KRQ1722" s="227"/>
      <c r="KRR1722" s="227"/>
      <c r="KRS1722" s="227"/>
      <c r="KRT1722" s="227"/>
      <c r="KRU1722" s="227"/>
      <c r="KRV1722" s="227"/>
      <c r="KRW1722" s="227"/>
      <c r="KRX1722" s="227"/>
      <c r="KRY1722" s="227"/>
      <c r="KRZ1722" s="227"/>
      <c r="KSA1722" s="227"/>
      <c r="KSB1722" s="227"/>
      <c r="KSC1722" s="227"/>
      <c r="KSD1722" s="227"/>
      <c r="KSE1722" s="227"/>
      <c r="KSF1722" s="227"/>
      <c r="KSG1722" s="227"/>
      <c r="KSH1722" s="227"/>
      <c r="KSI1722" s="227"/>
      <c r="KSJ1722" s="227"/>
      <c r="KSK1722" s="227"/>
      <c r="KSL1722" s="227"/>
      <c r="KSM1722" s="227"/>
      <c r="KSN1722" s="227"/>
      <c r="KSO1722" s="227"/>
      <c r="KSP1722" s="227"/>
      <c r="KSQ1722" s="227"/>
      <c r="KSR1722" s="227"/>
      <c r="KSS1722" s="227"/>
      <c r="KST1722" s="227"/>
      <c r="KSU1722" s="227"/>
      <c r="KSV1722" s="227"/>
      <c r="KSW1722" s="227"/>
      <c r="KSX1722" s="227"/>
      <c r="KSY1722" s="227"/>
      <c r="KSZ1722" s="227"/>
      <c r="KTA1722" s="227"/>
      <c r="KTB1722" s="227"/>
      <c r="KTC1722" s="227"/>
      <c r="KTD1722" s="227"/>
      <c r="KTE1722" s="227"/>
      <c r="KTF1722" s="227"/>
      <c r="KTG1722" s="227"/>
      <c r="KTH1722" s="227"/>
      <c r="KTI1722" s="227"/>
      <c r="KTJ1722" s="227"/>
      <c r="KTK1722" s="227"/>
      <c r="KTL1722" s="227"/>
      <c r="KTM1722" s="227"/>
      <c r="KTN1722" s="227"/>
      <c r="KTO1722" s="227"/>
      <c r="KTP1722" s="227"/>
      <c r="KTQ1722" s="227"/>
      <c r="KTR1722" s="227"/>
      <c r="KTS1722" s="227"/>
      <c r="KTT1722" s="227"/>
      <c r="KTU1722" s="227"/>
      <c r="KTV1722" s="227"/>
      <c r="KTW1722" s="227"/>
      <c r="KTX1722" s="227"/>
      <c r="KTY1722" s="227"/>
      <c r="KTZ1722" s="227"/>
      <c r="KUA1722" s="227"/>
      <c r="KUB1722" s="227"/>
      <c r="KUC1722" s="227"/>
      <c r="KUD1722" s="227"/>
      <c r="KUE1722" s="227"/>
      <c r="KUF1722" s="227"/>
      <c r="KUG1722" s="227"/>
      <c r="KUH1722" s="227"/>
      <c r="KUI1722" s="227"/>
      <c r="KUJ1722" s="227"/>
      <c r="KUK1722" s="227"/>
      <c r="KUL1722" s="227"/>
      <c r="KUM1722" s="227"/>
      <c r="KUN1722" s="227"/>
      <c r="KUO1722" s="227"/>
      <c r="KUP1722" s="227"/>
      <c r="KUQ1722" s="227"/>
      <c r="KUR1722" s="227"/>
      <c r="KUS1722" s="227"/>
      <c r="KUT1722" s="227"/>
      <c r="KUU1722" s="227"/>
      <c r="KUV1722" s="227"/>
      <c r="KUW1722" s="227"/>
      <c r="KUX1722" s="227"/>
      <c r="KUY1722" s="227"/>
      <c r="KUZ1722" s="227"/>
      <c r="KVA1722" s="227"/>
      <c r="KVB1722" s="227"/>
      <c r="KVC1722" s="227"/>
      <c r="KVD1722" s="227"/>
      <c r="KVE1722" s="227"/>
      <c r="KVF1722" s="227"/>
      <c r="KVG1722" s="227"/>
      <c r="KVH1722" s="227"/>
      <c r="KVI1722" s="227"/>
      <c r="KVJ1722" s="227"/>
      <c r="KVK1722" s="227"/>
      <c r="KVL1722" s="227"/>
      <c r="KVM1722" s="227"/>
      <c r="KVN1722" s="227"/>
      <c r="KVO1722" s="227"/>
      <c r="KVP1722" s="227"/>
      <c r="KVQ1722" s="227"/>
      <c r="KVR1722" s="227"/>
      <c r="KVS1722" s="227"/>
      <c r="KVT1722" s="227"/>
      <c r="KVU1722" s="227"/>
      <c r="KVV1722" s="227"/>
      <c r="KVW1722" s="227"/>
      <c r="KVX1722" s="227"/>
      <c r="KVY1722" s="227"/>
      <c r="KVZ1722" s="227"/>
      <c r="KWA1722" s="227"/>
      <c r="KWB1722" s="227"/>
      <c r="KWC1722" s="227"/>
      <c r="KWD1722" s="227"/>
      <c r="KWE1722" s="227"/>
      <c r="KWF1722" s="227"/>
      <c r="KWG1722" s="227"/>
      <c r="KWH1722" s="227"/>
      <c r="KWI1722" s="227"/>
      <c r="KWJ1722" s="227"/>
      <c r="KWK1722" s="227"/>
      <c r="KWL1722" s="227"/>
      <c r="KWM1722" s="227"/>
      <c r="KWN1722" s="227"/>
      <c r="KWO1722" s="227"/>
      <c r="KWP1722" s="227"/>
      <c r="KWQ1722" s="227"/>
      <c r="KWR1722" s="227"/>
      <c r="KWS1722" s="227"/>
      <c r="KWT1722" s="227"/>
      <c r="KWU1722" s="227"/>
      <c r="KWV1722" s="227"/>
      <c r="KWW1722" s="227"/>
      <c r="KWX1722" s="227"/>
      <c r="KWY1722" s="227"/>
      <c r="KWZ1722" s="227"/>
      <c r="KXA1722" s="227"/>
      <c r="KXB1722" s="227"/>
      <c r="KXC1722" s="227"/>
      <c r="KXD1722" s="227"/>
      <c r="KXE1722" s="227"/>
      <c r="KXF1722" s="227"/>
      <c r="KXG1722" s="227"/>
      <c r="KXH1722" s="227"/>
      <c r="KXI1722" s="227"/>
      <c r="KXJ1722" s="227"/>
      <c r="KXK1722" s="227"/>
      <c r="KXL1722" s="227"/>
      <c r="KXM1722" s="227"/>
      <c r="KXN1722" s="227"/>
      <c r="KXO1722" s="227"/>
      <c r="KXP1722" s="227"/>
      <c r="KXQ1722" s="227"/>
      <c r="KXR1722" s="227"/>
      <c r="KXS1722" s="227"/>
      <c r="KXT1722" s="227"/>
      <c r="KXU1722" s="227"/>
      <c r="KXV1722" s="227"/>
      <c r="KXW1722" s="227"/>
      <c r="KXX1722" s="227"/>
      <c r="KXY1722" s="227"/>
      <c r="KXZ1722" s="227"/>
      <c r="KYA1722" s="227"/>
      <c r="KYB1722" s="227"/>
      <c r="KYC1722" s="227"/>
      <c r="KYD1722" s="227"/>
      <c r="KYE1722" s="227"/>
      <c r="KYF1722" s="227"/>
      <c r="KYG1722" s="227"/>
      <c r="KYH1722" s="227"/>
      <c r="KYI1722" s="227"/>
      <c r="KYJ1722" s="227"/>
      <c r="KYK1722" s="227"/>
      <c r="KYL1722" s="227"/>
      <c r="KYM1722" s="227"/>
      <c r="KYN1722" s="227"/>
      <c r="KYO1722" s="227"/>
      <c r="KYP1722" s="227"/>
      <c r="KYQ1722" s="227"/>
      <c r="KYR1722" s="227"/>
      <c r="KYS1722" s="227"/>
      <c r="KYT1722" s="227"/>
      <c r="KYU1722" s="227"/>
      <c r="KYV1722" s="227"/>
      <c r="KYW1722" s="227"/>
      <c r="KYX1722" s="227"/>
      <c r="KYY1722" s="227"/>
      <c r="KYZ1722" s="227"/>
      <c r="KZA1722" s="227"/>
      <c r="KZB1722" s="227"/>
      <c r="KZC1722" s="227"/>
      <c r="KZD1722" s="227"/>
      <c r="KZE1722" s="227"/>
      <c r="KZF1722" s="227"/>
      <c r="KZG1722" s="227"/>
      <c r="KZH1722" s="227"/>
      <c r="KZI1722" s="227"/>
      <c r="KZJ1722" s="227"/>
      <c r="KZK1722" s="227"/>
      <c r="KZL1722" s="227"/>
      <c r="KZM1722" s="227"/>
      <c r="KZN1722" s="227"/>
      <c r="KZO1722" s="227"/>
      <c r="KZP1722" s="227"/>
      <c r="KZQ1722" s="227"/>
      <c r="KZR1722" s="227"/>
      <c r="KZS1722" s="227"/>
      <c r="KZT1722" s="227"/>
      <c r="KZU1722" s="227"/>
      <c r="KZV1722" s="227"/>
      <c r="KZW1722" s="227"/>
      <c r="KZX1722" s="227"/>
      <c r="KZY1722" s="227"/>
      <c r="KZZ1722" s="227"/>
      <c r="LAA1722" s="227"/>
      <c r="LAB1722" s="227"/>
      <c r="LAC1722" s="227"/>
      <c r="LAD1722" s="227"/>
      <c r="LAE1722" s="227"/>
      <c r="LAF1722" s="227"/>
      <c r="LAG1722" s="227"/>
      <c r="LAH1722" s="227"/>
      <c r="LAI1722" s="227"/>
      <c r="LAJ1722" s="227"/>
      <c r="LAK1722" s="227"/>
      <c r="LAL1722" s="227"/>
      <c r="LAM1722" s="227"/>
      <c r="LAN1722" s="227"/>
      <c r="LAO1722" s="227"/>
      <c r="LAP1722" s="227"/>
      <c r="LAQ1722" s="227"/>
      <c r="LAR1722" s="227"/>
      <c r="LAS1722" s="227"/>
      <c r="LAT1722" s="227"/>
      <c r="LAU1722" s="227"/>
      <c r="LAV1722" s="227"/>
      <c r="LAW1722" s="227"/>
      <c r="LAX1722" s="227"/>
      <c r="LAY1722" s="227"/>
      <c r="LAZ1722" s="227"/>
      <c r="LBA1722" s="227"/>
      <c r="LBB1722" s="227"/>
      <c r="LBC1722" s="227"/>
      <c r="LBD1722" s="227"/>
      <c r="LBE1722" s="227"/>
      <c r="LBF1722" s="227"/>
      <c r="LBG1722" s="227"/>
      <c r="LBH1722" s="227"/>
      <c r="LBI1722" s="227"/>
      <c r="LBJ1722" s="227"/>
      <c r="LBK1722" s="227"/>
      <c r="LBL1722" s="227"/>
      <c r="LBM1722" s="227"/>
      <c r="LBN1722" s="227"/>
      <c r="LBO1722" s="227"/>
      <c r="LBP1722" s="227"/>
      <c r="LBQ1722" s="227"/>
      <c r="LBR1722" s="227"/>
      <c r="LBS1722" s="227"/>
      <c r="LBT1722" s="227"/>
      <c r="LBU1722" s="227"/>
      <c r="LBV1722" s="227"/>
      <c r="LBW1722" s="227"/>
      <c r="LBX1722" s="227"/>
      <c r="LBY1722" s="227"/>
      <c r="LBZ1722" s="227"/>
      <c r="LCA1722" s="227"/>
      <c r="LCB1722" s="227"/>
      <c r="LCC1722" s="227"/>
      <c r="LCD1722" s="227"/>
      <c r="LCE1722" s="227"/>
      <c r="LCF1722" s="227"/>
      <c r="LCG1722" s="227"/>
      <c r="LCH1722" s="227"/>
      <c r="LCI1722" s="227"/>
      <c r="LCJ1722" s="227"/>
      <c r="LCK1722" s="227"/>
      <c r="LCL1722" s="227"/>
      <c r="LCM1722" s="227"/>
      <c r="LCN1722" s="227"/>
      <c r="LCO1722" s="227"/>
      <c r="LCP1722" s="227"/>
      <c r="LCQ1722" s="227"/>
      <c r="LCR1722" s="227"/>
      <c r="LCS1722" s="227"/>
      <c r="LCT1722" s="227"/>
      <c r="LCU1722" s="227"/>
      <c r="LCV1722" s="227"/>
      <c r="LCW1722" s="227"/>
      <c r="LCX1722" s="227"/>
      <c r="LCY1722" s="227"/>
      <c r="LCZ1722" s="227"/>
      <c r="LDA1722" s="227"/>
      <c r="LDB1722" s="227"/>
      <c r="LDC1722" s="227"/>
      <c r="LDD1722" s="227"/>
      <c r="LDE1722" s="227"/>
      <c r="LDF1722" s="227"/>
      <c r="LDG1722" s="227"/>
      <c r="LDH1722" s="227"/>
      <c r="LDI1722" s="227"/>
      <c r="LDJ1722" s="227"/>
      <c r="LDK1722" s="227"/>
      <c r="LDL1722" s="227"/>
      <c r="LDM1722" s="227"/>
      <c r="LDN1722" s="227"/>
      <c r="LDO1722" s="227"/>
      <c r="LDP1722" s="227"/>
      <c r="LDQ1722" s="227"/>
      <c r="LDR1722" s="227"/>
      <c r="LDS1722" s="227"/>
      <c r="LDT1722" s="227"/>
      <c r="LDU1722" s="227"/>
      <c r="LDV1722" s="227"/>
      <c r="LDW1722" s="227"/>
      <c r="LDX1722" s="227"/>
      <c r="LDY1722" s="227"/>
      <c r="LDZ1722" s="227"/>
      <c r="LEA1722" s="227"/>
      <c r="LEB1722" s="227"/>
      <c r="LEC1722" s="227"/>
      <c r="LED1722" s="227"/>
      <c r="LEE1722" s="227"/>
      <c r="LEF1722" s="227"/>
      <c r="LEG1722" s="227"/>
      <c r="LEH1722" s="227"/>
      <c r="LEI1722" s="227"/>
      <c r="LEJ1722" s="227"/>
      <c r="LEK1722" s="227"/>
      <c r="LEL1722" s="227"/>
      <c r="LEM1722" s="227"/>
      <c r="LEN1722" s="227"/>
      <c r="LEO1722" s="227"/>
      <c r="LEP1722" s="227"/>
      <c r="LEQ1722" s="227"/>
      <c r="LER1722" s="227"/>
      <c r="LES1722" s="227"/>
      <c r="LET1722" s="227"/>
      <c r="LEU1722" s="227"/>
      <c r="LEV1722" s="227"/>
      <c r="LEW1722" s="227"/>
      <c r="LEX1722" s="227"/>
      <c r="LEY1722" s="227"/>
      <c r="LEZ1722" s="227"/>
      <c r="LFA1722" s="227"/>
      <c r="LFB1722" s="227"/>
      <c r="LFC1722" s="227"/>
      <c r="LFD1722" s="227"/>
      <c r="LFE1722" s="227"/>
      <c r="LFF1722" s="227"/>
      <c r="LFG1722" s="227"/>
      <c r="LFH1722" s="227"/>
      <c r="LFI1722" s="227"/>
      <c r="LFJ1722" s="227"/>
      <c r="LFK1722" s="227"/>
      <c r="LFL1722" s="227"/>
      <c r="LFM1722" s="227"/>
      <c r="LFN1722" s="227"/>
      <c r="LFO1722" s="227"/>
      <c r="LFP1722" s="227"/>
      <c r="LFQ1722" s="227"/>
      <c r="LFR1722" s="227"/>
      <c r="LFS1722" s="227"/>
      <c r="LFT1722" s="227"/>
      <c r="LFU1722" s="227"/>
      <c r="LFV1722" s="227"/>
      <c r="LFW1722" s="227"/>
      <c r="LFX1722" s="227"/>
      <c r="LFY1722" s="227"/>
      <c r="LFZ1722" s="227"/>
      <c r="LGA1722" s="227"/>
      <c r="LGB1722" s="227"/>
      <c r="LGC1722" s="227"/>
      <c r="LGD1722" s="227"/>
      <c r="LGE1722" s="227"/>
      <c r="LGF1722" s="227"/>
      <c r="LGG1722" s="227"/>
      <c r="LGH1722" s="227"/>
      <c r="LGI1722" s="227"/>
      <c r="LGJ1722" s="227"/>
      <c r="LGK1722" s="227"/>
      <c r="LGL1722" s="227"/>
      <c r="LGM1722" s="227"/>
      <c r="LGN1722" s="227"/>
      <c r="LGO1722" s="227"/>
      <c r="LGP1722" s="227"/>
      <c r="LGQ1722" s="227"/>
      <c r="LGR1722" s="227"/>
      <c r="LGS1722" s="227"/>
      <c r="LGT1722" s="227"/>
      <c r="LGU1722" s="227"/>
      <c r="LGV1722" s="227"/>
      <c r="LGW1722" s="227"/>
      <c r="LGX1722" s="227"/>
      <c r="LGY1722" s="227"/>
      <c r="LGZ1722" s="227"/>
      <c r="LHA1722" s="227"/>
      <c r="LHB1722" s="227"/>
      <c r="LHC1722" s="227"/>
      <c r="LHD1722" s="227"/>
      <c r="LHE1722" s="227"/>
      <c r="LHF1722" s="227"/>
      <c r="LHG1722" s="227"/>
      <c r="LHH1722" s="227"/>
      <c r="LHI1722" s="227"/>
      <c r="LHJ1722" s="227"/>
      <c r="LHK1722" s="227"/>
      <c r="LHL1722" s="227"/>
      <c r="LHM1722" s="227"/>
      <c r="LHN1722" s="227"/>
      <c r="LHO1722" s="227"/>
      <c r="LHP1722" s="227"/>
      <c r="LHQ1722" s="227"/>
      <c r="LHR1722" s="227"/>
      <c r="LHS1722" s="227"/>
      <c r="LHT1722" s="227"/>
      <c r="LHU1722" s="227"/>
      <c r="LHV1722" s="227"/>
      <c r="LHW1722" s="227"/>
      <c r="LHX1722" s="227"/>
      <c r="LHY1722" s="227"/>
      <c r="LHZ1722" s="227"/>
      <c r="LIA1722" s="227"/>
      <c r="LIB1722" s="227"/>
      <c r="LIC1722" s="227"/>
      <c r="LID1722" s="227"/>
      <c r="LIE1722" s="227"/>
      <c r="LIF1722" s="227"/>
      <c r="LIG1722" s="227"/>
      <c r="LIH1722" s="227"/>
      <c r="LII1722" s="227"/>
      <c r="LIJ1722" s="227"/>
      <c r="LIK1722" s="227"/>
      <c r="LIL1722" s="227"/>
      <c r="LIM1722" s="227"/>
      <c r="LIN1722" s="227"/>
      <c r="LIO1722" s="227"/>
      <c r="LIP1722" s="227"/>
      <c r="LIQ1722" s="227"/>
      <c r="LIR1722" s="227"/>
      <c r="LIS1722" s="227"/>
      <c r="LIT1722" s="227"/>
      <c r="LIU1722" s="227"/>
      <c r="LIV1722" s="227"/>
      <c r="LIW1722" s="227"/>
      <c r="LIX1722" s="227"/>
      <c r="LIY1722" s="227"/>
      <c r="LIZ1722" s="227"/>
      <c r="LJA1722" s="227"/>
      <c r="LJB1722" s="227"/>
      <c r="LJC1722" s="227"/>
      <c r="LJD1722" s="227"/>
      <c r="LJE1722" s="227"/>
      <c r="LJF1722" s="227"/>
      <c r="LJG1722" s="227"/>
      <c r="LJH1722" s="227"/>
      <c r="LJI1722" s="227"/>
      <c r="LJJ1722" s="227"/>
      <c r="LJK1722" s="227"/>
      <c r="LJL1722" s="227"/>
      <c r="LJM1722" s="227"/>
      <c r="LJN1722" s="227"/>
      <c r="LJO1722" s="227"/>
      <c r="LJP1722" s="227"/>
      <c r="LJQ1722" s="227"/>
      <c r="LJR1722" s="227"/>
      <c r="LJS1722" s="227"/>
      <c r="LJT1722" s="227"/>
      <c r="LJU1722" s="227"/>
      <c r="LJV1722" s="227"/>
      <c r="LJW1722" s="227"/>
      <c r="LJX1722" s="227"/>
      <c r="LJY1722" s="227"/>
      <c r="LJZ1722" s="227"/>
      <c r="LKA1722" s="227"/>
      <c r="LKB1722" s="227"/>
      <c r="LKC1722" s="227"/>
      <c r="LKD1722" s="227"/>
      <c r="LKE1722" s="227"/>
      <c r="LKF1722" s="227"/>
      <c r="LKG1722" s="227"/>
      <c r="LKH1722" s="227"/>
      <c r="LKI1722" s="227"/>
      <c r="LKJ1722" s="227"/>
      <c r="LKK1722" s="227"/>
      <c r="LKL1722" s="227"/>
      <c r="LKM1722" s="227"/>
      <c r="LKN1722" s="227"/>
      <c r="LKO1722" s="227"/>
      <c r="LKP1722" s="227"/>
      <c r="LKQ1722" s="227"/>
      <c r="LKR1722" s="227"/>
      <c r="LKS1722" s="227"/>
      <c r="LKT1722" s="227"/>
      <c r="LKU1722" s="227"/>
      <c r="LKV1722" s="227"/>
      <c r="LKW1722" s="227"/>
      <c r="LKX1722" s="227"/>
      <c r="LKY1722" s="227"/>
      <c r="LKZ1722" s="227"/>
      <c r="LLA1722" s="227"/>
      <c r="LLB1722" s="227"/>
      <c r="LLC1722" s="227"/>
      <c r="LLD1722" s="227"/>
      <c r="LLE1722" s="227"/>
      <c r="LLF1722" s="227"/>
      <c r="LLG1722" s="227"/>
      <c r="LLH1722" s="227"/>
      <c r="LLI1722" s="227"/>
      <c r="LLJ1722" s="227"/>
      <c r="LLK1722" s="227"/>
      <c r="LLL1722" s="227"/>
      <c r="LLM1722" s="227"/>
      <c r="LLN1722" s="227"/>
      <c r="LLO1722" s="227"/>
      <c r="LLP1722" s="227"/>
      <c r="LLQ1722" s="227"/>
      <c r="LLR1722" s="227"/>
      <c r="LLS1722" s="227"/>
      <c r="LLT1722" s="227"/>
      <c r="LLU1722" s="227"/>
      <c r="LLV1722" s="227"/>
      <c r="LLW1722" s="227"/>
      <c r="LLX1722" s="227"/>
      <c r="LLY1722" s="227"/>
      <c r="LLZ1722" s="227"/>
      <c r="LMA1722" s="227"/>
      <c r="LMB1722" s="227"/>
      <c r="LMC1722" s="227"/>
      <c r="LMD1722" s="227"/>
      <c r="LME1722" s="227"/>
      <c r="LMF1722" s="227"/>
      <c r="LMG1722" s="227"/>
      <c r="LMH1722" s="227"/>
      <c r="LMI1722" s="227"/>
      <c r="LMJ1722" s="227"/>
      <c r="LMK1722" s="227"/>
      <c r="LML1722" s="227"/>
      <c r="LMM1722" s="227"/>
      <c r="LMN1722" s="227"/>
      <c r="LMO1722" s="227"/>
      <c r="LMP1722" s="227"/>
      <c r="LMQ1722" s="227"/>
      <c r="LMR1722" s="227"/>
      <c r="LMS1722" s="227"/>
      <c r="LMT1722" s="227"/>
      <c r="LMU1722" s="227"/>
      <c r="LMV1722" s="227"/>
      <c r="LMW1722" s="227"/>
      <c r="LMX1722" s="227"/>
      <c r="LMY1722" s="227"/>
      <c r="LMZ1722" s="227"/>
      <c r="LNA1722" s="227"/>
      <c r="LNB1722" s="227"/>
      <c r="LNC1722" s="227"/>
      <c r="LND1722" s="227"/>
      <c r="LNE1722" s="227"/>
      <c r="LNF1722" s="227"/>
      <c r="LNG1722" s="227"/>
      <c r="LNH1722" s="227"/>
      <c r="LNI1722" s="227"/>
      <c r="LNJ1722" s="227"/>
      <c r="LNK1722" s="227"/>
      <c r="LNL1722" s="227"/>
      <c r="LNM1722" s="227"/>
      <c r="LNN1722" s="227"/>
      <c r="LNO1722" s="227"/>
      <c r="LNP1722" s="227"/>
      <c r="LNQ1722" s="227"/>
      <c r="LNR1722" s="227"/>
      <c r="LNS1722" s="227"/>
      <c r="LNT1722" s="227"/>
      <c r="LNU1722" s="227"/>
      <c r="LNV1722" s="227"/>
      <c r="LNW1722" s="227"/>
      <c r="LNX1722" s="227"/>
      <c r="LNY1722" s="227"/>
      <c r="LNZ1722" s="227"/>
      <c r="LOA1722" s="227"/>
      <c r="LOB1722" s="227"/>
      <c r="LOC1722" s="227"/>
      <c r="LOD1722" s="227"/>
      <c r="LOE1722" s="227"/>
      <c r="LOF1722" s="227"/>
      <c r="LOG1722" s="227"/>
      <c r="LOH1722" s="227"/>
      <c r="LOI1722" s="227"/>
      <c r="LOJ1722" s="227"/>
      <c r="LOK1722" s="227"/>
      <c r="LOL1722" s="227"/>
      <c r="LOM1722" s="227"/>
      <c r="LON1722" s="227"/>
      <c r="LOO1722" s="227"/>
      <c r="LOP1722" s="227"/>
      <c r="LOQ1722" s="227"/>
      <c r="LOR1722" s="227"/>
      <c r="LOS1722" s="227"/>
      <c r="LOT1722" s="227"/>
      <c r="LOU1722" s="227"/>
      <c r="LOV1722" s="227"/>
      <c r="LOW1722" s="227"/>
      <c r="LOX1722" s="227"/>
      <c r="LOY1722" s="227"/>
      <c r="LOZ1722" s="227"/>
      <c r="LPA1722" s="227"/>
      <c r="LPB1722" s="227"/>
      <c r="LPC1722" s="227"/>
      <c r="LPD1722" s="227"/>
      <c r="LPE1722" s="227"/>
      <c r="LPF1722" s="227"/>
      <c r="LPG1722" s="227"/>
      <c r="LPH1722" s="227"/>
      <c r="LPI1722" s="227"/>
      <c r="LPJ1722" s="227"/>
      <c r="LPK1722" s="227"/>
      <c r="LPL1722" s="227"/>
      <c r="LPM1722" s="227"/>
      <c r="LPN1722" s="227"/>
      <c r="LPO1722" s="227"/>
      <c r="LPP1722" s="227"/>
      <c r="LPQ1722" s="227"/>
      <c r="LPR1722" s="227"/>
      <c r="LPS1722" s="227"/>
      <c r="LPT1722" s="227"/>
      <c r="LPU1722" s="227"/>
      <c r="LPV1722" s="227"/>
      <c r="LPW1722" s="227"/>
      <c r="LPX1722" s="227"/>
      <c r="LPY1722" s="227"/>
      <c r="LPZ1722" s="227"/>
      <c r="LQA1722" s="227"/>
      <c r="LQB1722" s="227"/>
      <c r="LQC1722" s="227"/>
      <c r="LQD1722" s="227"/>
      <c r="LQE1722" s="227"/>
      <c r="LQF1722" s="227"/>
      <c r="LQG1722" s="227"/>
      <c r="LQH1722" s="227"/>
      <c r="LQI1722" s="227"/>
      <c r="LQJ1722" s="227"/>
      <c r="LQK1722" s="227"/>
      <c r="LQL1722" s="227"/>
      <c r="LQM1722" s="227"/>
      <c r="LQN1722" s="227"/>
      <c r="LQO1722" s="227"/>
      <c r="LQP1722" s="227"/>
      <c r="LQQ1722" s="227"/>
      <c r="LQR1722" s="227"/>
      <c r="LQS1722" s="227"/>
      <c r="LQT1722" s="227"/>
      <c r="LQU1722" s="227"/>
      <c r="LQV1722" s="227"/>
      <c r="LQW1722" s="227"/>
      <c r="LQX1722" s="227"/>
      <c r="LQY1722" s="227"/>
      <c r="LQZ1722" s="227"/>
      <c r="LRA1722" s="227"/>
      <c r="LRB1722" s="227"/>
      <c r="LRC1722" s="227"/>
      <c r="LRD1722" s="227"/>
      <c r="LRE1722" s="227"/>
      <c r="LRF1722" s="227"/>
      <c r="LRG1722" s="227"/>
      <c r="LRH1722" s="227"/>
      <c r="LRI1722" s="227"/>
      <c r="LRJ1722" s="227"/>
      <c r="LRK1722" s="227"/>
      <c r="LRL1722" s="227"/>
      <c r="LRM1722" s="227"/>
      <c r="LRN1722" s="227"/>
      <c r="LRO1722" s="227"/>
      <c r="LRP1722" s="227"/>
      <c r="LRQ1722" s="227"/>
      <c r="LRR1722" s="227"/>
      <c r="LRS1722" s="227"/>
      <c r="LRT1722" s="227"/>
      <c r="LRU1722" s="227"/>
      <c r="LRV1722" s="227"/>
      <c r="LRW1722" s="227"/>
      <c r="LRX1722" s="227"/>
      <c r="LRY1722" s="227"/>
      <c r="LRZ1722" s="227"/>
      <c r="LSA1722" s="227"/>
      <c r="LSB1722" s="227"/>
      <c r="LSC1722" s="227"/>
      <c r="LSD1722" s="227"/>
      <c r="LSE1722" s="227"/>
      <c r="LSF1722" s="227"/>
      <c r="LSG1722" s="227"/>
      <c r="LSH1722" s="227"/>
      <c r="LSI1722" s="227"/>
      <c r="LSJ1722" s="227"/>
      <c r="LSK1722" s="227"/>
      <c r="LSL1722" s="227"/>
      <c r="LSM1722" s="227"/>
      <c r="LSN1722" s="227"/>
      <c r="LSO1722" s="227"/>
      <c r="LSP1722" s="227"/>
      <c r="LSQ1722" s="227"/>
      <c r="LSR1722" s="227"/>
      <c r="LSS1722" s="227"/>
      <c r="LST1722" s="227"/>
      <c r="LSU1722" s="227"/>
      <c r="LSV1722" s="227"/>
      <c r="LSW1722" s="227"/>
      <c r="LSX1722" s="227"/>
      <c r="LSY1722" s="227"/>
      <c r="LSZ1722" s="227"/>
      <c r="LTA1722" s="227"/>
      <c r="LTB1722" s="227"/>
      <c r="LTC1722" s="227"/>
      <c r="LTD1722" s="227"/>
      <c r="LTE1722" s="227"/>
      <c r="LTF1722" s="227"/>
      <c r="LTG1722" s="227"/>
      <c r="LTH1722" s="227"/>
      <c r="LTI1722" s="227"/>
      <c r="LTJ1722" s="227"/>
      <c r="LTK1722" s="227"/>
      <c r="LTL1722" s="227"/>
      <c r="LTM1722" s="227"/>
      <c r="LTN1722" s="227"/>
      <c r="LTO1722" s="227"/>
      <c r="LTP1722" s="227"/>
      <c r="LTQ1722" s="227"/>
      <c r="LTR1722" s="227"/>
      <c r="LTS1722" s="227"/>
      <c r="LTT1722" s="227"/>
      <c r="LTU1722" s="227"/>
      <c r="LTV1722" s="227"/>
      <c r="LTW1722" s="227"/>
      <c r="LTX1722" s="227"/>
      <c r="LTY1722" s="227"/>
      <c r="LTZ1722" s="227"/>
      <c r="LUA1722" s="227"/>
      <c r="LUB1722" s="227"/>
      <c r="LUC1722" s="227"/>
      <c r="LUD1722" s="227"/>
      <c r="LUE1722" s="227"/>
      <c r="LUF1722" s="227"/>
      <c r="LUG1722" s="227"/>
      <c r="LUH1722" s="227"/>
      <c r="LUI1722" s="227"/>
      <c r="LUJ1722" s="227"/>
      <c r="LUK1722" s="227"/>
      <c r="LUL1722" s="227"/>
      <c r="LUM1722" s="227"/>
      <c r="LUN1722" s="227"/>
      <c r="LUO1722" s="227"/>
      <c r="LUP1722" s="227"/>
      <c r="LUQ1722" s="227"/>
      <c r="LUR1722" s="227"/>
      <c r="LUS1722" s="227"/>
      <c r="LUT1722" s="227"/>
      <c r="LUU1722" s="227"/>
      <c r="LUV1722" s="227"/>
      <c r="LUW1722" s="227"/>
      <c r="LUX1722" s="227"/>
      <c r="LUY1722" s="227"/>
      <c r="LUZ1722" s="227"/>
      <c r="LVA1722" s="227"/>
      <c r="LVB1722" s="227"/>
      <c r="LVC1722" s="227"/>
      <c r="LVD1722" s="227"/>
      <c r="LVE1722" s="227"/>
      <c r="LVF1722" s="227"/>
      <c r="LVG1722" s="227"/>
      <c r="LVH1722" s="227"/>
      <c r="LVI1722" s="227"/>
      <c r="LVJ1722" s="227"/>
      <c r="LVK1722" s="227"/>
      <c r="LVL1722" s="227"/>
      <c r="LVM1722" s="227"/>
      <c r="LVN1722" s="227"/>
      <c r="LVO1722" s="227"/>
      <c r="LVP1722" s="227"/>
      <c r="LVQ1722" s="227"/>
      <c r="LVR1722" s="227"/>
      <c r="LVS1722" s="227"/>
      <c r="LVT1722" s="227"/>
      <c r="LVU1722" s="227"/>
      <c r="LVV1722" s="227"/>
      <c r="LVW1722" s="227"/>
      <c r="LVX1722" s="227"/>
      <c r="LVY1722" s="227"/>
      <c r="LVZ1722" s="227"/>
      <c r="LWA1722" s="227"/>
      <c r="LWB1722" s="227"/>
      <c r="LWC1722" s="227"/>
      <c r="LWD1722" s="227"/>
      <c r="LWE1722" s="227"/>
      <c r="LWF1722" s="227"/>
      <c r="LWG1722" s="227"/>
      <c r="LWH1722" s="227"/>
      <c r="LWI1722" s="227"/>
      <c r="LWJ1722" s="227"/>
      <c r="LWK1722" s="227"/>
      <c r="LWL1722" s="227"/>
      <c r="LWM1722" s="227"/>
      <c r="LWN1722" s="227"/>
      <c r="LWO1722" s="227"/>
      <c r="LWP1722" s="227"/>
      <c r="LWQ1722" s="227"/>
      <c r="LWR1722" s="227"/>
      <c r="LWS1722" s="227"/>
      <c r="LWT1722" s="227"/>
      <c r="LWU1722" s="227"/>
      <c r="LWV1722" s="227"/>
      <c r="LWW1722" s="227"/>
      <c r="LWX1722" s="227"/>
      <c r="LWY1722" s="227"/>
      <c r="LWZ1722" s="227"/>
      <c r="LXA1722" s="227"/>
      <c r="LXB1722" s="227"/>
      <c r="LXC1722" s="227"/>
      <c r="LXD1722" s="227"/>
      <c r="LXE1722" s="227"/>
      <c r="LXF1722" s="227"/>
      <c r="LXG1722" s="227"/>
      <c r="LXH1722" s="227"/>
      <c r="LXI1722" s="227"/>
      <c r="LXJ1722" s="227"/>
      <c r="LXK1722" s="227"/>
      <c r="LXL1722" s="227"/>
      <c r="LXM1722" s="227"/>
      <c r="LXN1722" s="227"/>
      <c r="LXO1722" s="227"/>
      <c r="LXP1722" s="227"/>
      <c r="LXQ1722" s="227"/>
      <c r="LXR1722" s="227"/>
      <c r="LXS1722" s="227"/>
      <c r="LXT1722" s="227"/>
      <c r="LXU1722" s="227"/>
      <c r="LXV1722" s="227"/>
      <c r="LXW1722" s="227"/>
      <c r="LXX1722" s="227"/>
      <c r="LXY1722" s="227"/>
      <c r="LXZ1722" s="227"/>
      <c r="LYA1722" s="227"/>
      <c r="LYB1722" s="227"/>
      <c r="LYC1722" s="227"/>
      <c r="LYD1722" s="227"/>
      <c r="LYE1722" s="227"/>
      <c r="LYF1722" s="227"/>
      <c r="LYG1722" s="227"/>
      <c r="LYH1722" s="227"/>
      <c r="LYI1722" s="227"/>
      <c r="LYJ1722" s="227"/>
      <c r="LYK1722" s="227"/>
      <c r="LYL1722" s="227"/>
      <c r="LYM1722" s="227"/>
      <c r="LYN1722" s="227"/>
      <c r="LYO1722" s="227"/>
      <c r="LYP1722" s="227"/>
      <c r="LYQ1722" s="227"/>
      <c r="LYR1722" s="227"/>
      <c r="LYS1722" s="227"/>
      <c r="LYT1722" s="227"/>
      <c r="LYU1722" s="227"/>
      <c r="LYV1722" s="227"/>
      <c r="LYW1722" s="227"/>
      <c r="LYX1722" s="227"/>
      <c r="LYY1722" s="227"/>
      <c r="LYZ1722" s="227"/>
      <c r="LZA1722" s="227"/>
      <c r="LZB1722" s="227"/>
      <c r="LZC1722" s="227"/>
      <c r="LZD1722" s="227"/>
      <c r="LZE1722" s="227"/>
      <c r="LZF1722" s="227"/>
      <c r="LZG1722" s="227"/>
      <c r="LZH1722" s="227"/>
      <c r="LZI1722" s="227"/>
      <c r="LZJ1722" s="227"/>
      <c r="LZK1722" s="227"/>
      <c r="LZL1722" s="227"/>
      <c r="LZM1722" s="227"/>
      <c r="LZN1722" s="227"/>
      <c r="LZO1722" s="227"/>
      <c r="LZP1722" s="227"/>
      <c r="LZQ1722" s="227"/>
      <c r="LZR1722" s="227"/>
      <c r="LZS1722" s="227"/>
      <c r="LZT1722" s="227"/>
      <c r="LZU1722" s="227"/>
      <c r="LZV1722" s="227"/>
      <c r="LZW1722" s="227"/>
      <c r="LZX1722" s="227"/>
      <c r="LZY1722" s="227"/>
      <c r="LZZ1722" s="227"/>
      <c r="MAA1722" s="227"/>
      <c r="MAB1722" s="227"/>
      <c r="MAC1722" s="227"/>
      <c r="MAD1722" s="227"/>
      <c r="MAE1722" s="227"/>
      <c r="MAF1722" s="227"/>
      <c r="MAG1722" s="227"/>
      <c r="MAH1722" s="227"/>
      <c r="MAI1722" s="227"/>
      <c r="MAJ1722" s="227"/>
      <c r="MAK1722" s="227"/>
      <c r="MAL1722" s="227"/>
      <c r="MAM1722" s="227"/>
      <c r="MAN1722" s="227"/>
      <c r="MAO1722" s="227"/>
      <c r="MAP1722" s="227"/>
      <c r="MAQ1722" s="227"/>
      <c r="MAR1722" s="227"/>
      <c r="MAS1722" s="227"/>
      <c r="MAT1722" s="227"/>
      <c r="MAU1722" s="227"/>
      <c r="MAV1722" s="227"/>
      <c r="MAW1722" s="227"/>
      <c r="MAX1722" s="227"/>
      <c r="MAY1722" s="227"/>
      <c r="MAZ1722" s="227"/>
      <c r="MBA1722" s="227"/>
      <c r="MBB1722" s="227"/>
      <c r="MBC1722" s="227"/>
      <c r="MBD1722" s="227"/>
      <c r="MBE1722" s="227"/>
      <c r="MBF1722" s="227"/>
      <c r="MBG1722" s="227"/>
      <c r="MBH1722" s="227"/>
      <c r="MBI1722" s="227"/>
      <c r="MBJ1722" s="227"/>
      <c r="MBK1722" s="227"/>
      <c r="MBL1722" s="227"/>
      <c r="MBM1722" s="227"/>
      <c r="MBN1722" s="227"/>
      <c r="MBO1722" s="227"/>
      <c r="MBP1722" s="227"/>
      <c r="MBQ1722" s="227"/>
      <c r="MBR1722" s="227"/>
      <c r="MBS1722" s="227"/>
      <c r="MBT1722" s="227"/>
      <c r="MBU1722" s="227"/>
      <c r="MBV1722" s="227"/>
      <c r="MBW1722" s="227"/>
      <c r="MBX1722" s="227"/>
      <c r="MBY1722" s="227"/>
      <c r="MBZ1722" s="227"/>
      <c r="MCA1722" s="227"/>
      <c r="MCB1722" s="227"/>
      <c r="MCC1722" s="227"/>
      <c r="MCD1722" s="227"/>
      <c r="MCE1722" s="227"/>
      <c r="MCF1722" s="227"/>
      <c r="MCG1722" s="227"/>
      <c r="MCH1722" s="227"/>
      <c r="MCI1722" s="227"/>
      <c r="MCJ1722" s="227"/>
      <c r="MCK1722" s="227"/>
      <c r="MCL1722" s="227"/>
      <c r="MCM1722" s="227"/>
      <c r="MCN1722" s="227"/>
      <c r="MCO1722" s="227"/>
      <c r="MCP1722" s="227"/>
      <c r="MCQ1722" s="227"/>
      <c r="MCR1722" s="227"/>
      <c r="MCS1722" s="227"/>
      <c r="MCT1722" s="227"/>
      <c r="MCU1722" s="227"/>
      <c r="MCV1722" s="227"/>
      <c r="MCW1722" s="227"/>
      <c r="MCX1722" s="227"/>
      <c r="MCY1722" s="227"/>
      <c r="MCZ1722" s="227"/>
      <c r="MDA1722" s="227"/>
      <c r="MDB1722" s="227"/>
      <c r="MDC1722" s="227"/>
      <c r="MDD1722" s="227"/>
      <c r="MDE1722" s="227"/>
      <c r="MDF1722" s="227"/>
      <c r="MDG1722" s="227"/>
      <c r="MDH1722" s="227"/>
      <c r="MDI1722" s="227"/>
      <c r="MDJ1722" s="227"/>
      <c r="MDK1722" s="227"/>
      <c r="MDL1722" s="227"/>
      <c r="MDM1722" s="227"/>
      <c r="MDN1722" s="227"/>
      <c r="MDO1722" s="227"/>
      <c r="MDP1722" s="227"/>
      <c r="MDQ1722" s="227"/>
      <c r="MDR1722" s="227"/>
      <c r="MDS1722" s="227"/>
      <c r="MDT1722" s="227"/>
      <c r="MDU1722" s="227"/>
      <c r="MDV1722" s="227"/>
      <c r="MDW1722" s="227"/>
      <c r="MDX1722" s="227"/>
      <c r="MDY1722" s="227"/>
      <c r="MDZ1722" s="227"/>
      <c r="MEA1722" s="227"/>
      <c r="MEB1722" s="227"/>
      <c r="MEC1722" s="227"/>
      <c r="MED1722" s="227"/>
      <c r="MEE1722" s="227"/>
      <c r="MEF1722" s="227"/>
      <c r="MEG1722" s="227"/>
      <c r="MEH1722" s="227"/>
      <c r="MEI1722" s="227"/>
      <c r="MEJ1722" s="227"/>
      <c r="MEK1722" s="227"/>
      <c r="MEL1722" s="227"/>
      <c r="MEM1722" s="227"/>
      <c r="MEN1722" s="227"/>
      <c r="MEO1722" s="227"/>
      <c r="MEP1722" s="227"/>
      <c r="MEQ1722" s="227"/>
      <c r="MER1722" s="227"/>
      <c r="MES1722" s="227"/>
      <c r="MET1722" s="227"/>
      <c r="MEU1722" s="227"/>
      <c r="MEV1722" s="227"/>
      <c r="MEW1722" s="227"/>
      <c r="MEX1722" s="227"/>
      <c r="MEY1722" s="227"/>
      <c r="MEZ1722" s="227"/>
      <c r="MFA1722" s="227"/>
      <c r="MFB1722" s="227"/>
      <c r="MFC1722" s="227"/>
      <c r="MFD1722" s="227"/>
      <c r="MFE1722" s="227"/>
      <c r="MFF1722" s="227"/>
      <c r="MFG1722" s="227"/>
      <c r="MFH1722" s="227"/>
      <c r="MFI1722" s="227"/>
      <c r="MFJ1722" s="227"/>
      <c r="MFK1722" s="227"/>
      <c r="MFL1722" s="227"/>
      <c r="MFM1722" s="227"/>
      <c r="MFN1722" s="227"/>
      <c r="MFO1722" s="227"/>
      <c r="MFP1722" s="227"/>
      <c r="MFQ1722" s="227"/>
      <c r="MFR1722" s="227"/>
      <c r="MFS1722" s="227"/>
      <c r="MFT1722" s="227"/>
      <c r="MFU1722" s="227"/>
      <c r="MFV1722" s="227"/>
      <c r="MFW1722" s="227"/>
      <c r="MFX1722" s="227"/>
      <c r="MFY1722" s="227"/>
      <c r="MFZ1722" s="227"/>
      <c r="MGA1722" s="227"/>
      <c r="MGB1722" s="227"/>
      <c r="MGC1722" s="227"/>
      <c r="MGD1722" s="227"/>
      <c r="MGE1722" s="227"/>
      <c r="MGF1722" s="227"/>
      <c r="MGG1722" s="227"/>
      <c r="MGH1722" s="227"/>
      <c r="MGI1722" s="227"/>
      <c r="MGJ1722" s="227"/>
      <c r="MGK1722" s="227"/>
      <c r="MGL1722" s="227"/>
      <c r="MGM1722" s="227"/>
      <c r="MGN1722" s="227"/>
      <c r="MGO1722" s="227"/>
      <c r="MGP1722" s="227"/>
      <c r="MGQ1722" s="227"/>
      <c r="MGR1722" s="227"/>
      <c r="MGS1722" s="227"/>
      <c r="MGT1722" s="227"/>
      <c r="MGU1722" s="227"/>
      <c r="MGV1722" s="227"/>
      <c r="MGW1722" s="227"/>
      <c r="MGX1722" s="227"/>
      <c r="MGY1722" s="227"/>
      <c r="MGZ1722" s="227"/>
      <c r="MHA1722" s="227"/>
      <c r="MHB1722" s="227"/>
      <c r="MHC1722" s="227"/>
      <c r="MHD1722" s="227"/>
      <c r="MHE1722" s="227"/>
      <c r="MHF1722" s="227"/>
      <c r="MHG1722" s="227"/>
      <c r="MHH1722" s="227"/>
      <c r="MHI1722" s="227"/>
      <c r="MHJ1722" s="227"/>
      <c r="MHK1722" s="227"/>
      <c r="MHL1722" s="227"/>
      <c r="MHM1722" s="227"/>
      <c r="MHN1722" s="227"/>
      <c r="MHO1722" s="227"/>
      <c r="MHP1722" s="227"/>
      <c r="MHQ1722" s="227"/>
      <c r="MHR1722" s="227"/>
      <c r="MHS1722" s="227"/>
      <c r="MHT1722" s="227"/>
      <c r="MHU1722" s="227"/>
      <c r="MHV1722" s="227"/>
      <c r="MHW1722" s="227"/>
      <c r="MHX1722" s="227"/>
      <c r="MHY1722" s="227"/>
      <c r="MHZ1722" s="227"/>
      <c r="MIA1722" s="227"/>
      <c r="MIB1722" s="227"/>
      <c r="MIC1722" s="227"/>
      <c r="MID1722" s="227"/>
      <c r="MIE1722" s="227"/>
      <c r="MIF1722" s="227"/>
      <c r="MIG1722" s="227"/>
      <c r="MIH1722" s="227"/>
      <c r="MII1722" s="227"/>
      <c r="MIJ1722" s="227"/>
      <c r="MIK1722" s="227"/>
      <c r="MIL1722" s="227"/>
      <c r="MIM1722" s="227"/>
      <c r="MIN1722" s="227"/>
      <c r="MIO1722" s="227"/>
      <c r="MIP1722" s="227"/>
      <c r="MIQ1722" s="227"/>
      <c r="MIR1722" s="227"/>
      <c r="MIS1722" s="227"/>
      <c r="MIT1722" s="227"/>
      <c r="MIU1722" s="227"/>
      <c r="MIV1722" s="227"/>
      <c r="MIW1722" s="227"/>
      <c r="MIX1722" s="227"/>
      <c r="MIY1722" s="227"/>
      <c r="MIZ1722" s="227"/>
      <c r="MJA1722" s="227"/>
      <c r="MJB1722" s="227"/>
      <c r="MJC1722" s="227"/>
      <c r="MJD1722" s="227"/>
      <c r="MJE1722" s="227"/>
      <c r="MJF1722" s="227"/>
      <c r="MJG1722" s="227"/>
      <c r="MJH1722" s="227"/>
      <c r="MJI1722" s="227"/>
      <c r="MJJ1722" s="227"/>
      <c r="MJK1722" s="227"/>
      <c r="MJL1722" s="227"/>
      <c r="MJM1722" s="227"/>
      <c r="MJN1722" s="227"/>
      <c r="MJO1722" s="227"/>
      <c r="MJP1722" s="227"/>
      <c r="MJQ1722" s="227"/>
      <c r="MJR1722" s="227"/>
      <c r="MJS1722" s="227"/>
      <c r="MJT1722" s="227"/>
      <c r="MJU1722" s="227"/>
      <c r="MJV1722" s="227"/>
      <c r="MJW1722" s="227"/>
      <c r="MJX1722" s="227"/>
      <c r="MJY1722" s="227"/>
      <c r="MJZ1722" s="227"/>
      <c r="MKA1722" s="227"/>
      <c r="MKB1722" s="227"/>
      <c r="MKC1722" s="227"/>
      <c r="MKD1722" s="227"/>
      <c r="MKE1722" s="227"/>
      <c r="MKF1722" s="227"/>
      <c r="MKG1722" s="227"/>
      <c r="MKH1722" s="227"/>
      <c r="MKI1722" s="227"/>
      <c r="MKJ1722" s="227"/>
      <c r="MKK1722" s="227"/>
      <c r="MKL1722" s="227"/>
      <c r="MKM1722" s="227"/>
      <c r="MKN1722" s="227"/>
      <c r="MKO1722" s="227"/>
      <c r="MKP1722" s="227"/>
      <c r="MKQ1722" s="227"/>
      <c r="MKR1722" s="227"/>
      <c r="MKS1722" s="227"/>
      <c r="MKT1722" s="227"/>
      <c r="MKU1722" s="227"/>
      <c r="MKV1722" s="227"/>
      <c r="MKW1722" s="227"/>
      <c r="MKX1722" s="227"/>
      <c r="MKY1722" s="227"/>
      <c r="MKZ1722" s="227"/>
      <c r="MLA1722" s="227"/>
      <c r="MLB1722" s="227"/>
      <c r="MLC1722" s="227"/>
      <c r="MLD1722" s="227"/>
      <c r="MLE1722" s="227"/>
      <c r="MLF1722" s="227"/>
      <c r="MLG1722" s="227"/>
      <c r="MLH1722" s="227"/>
      <c r="MLI1722" s="227"/>
      <c r="MLJ1722" s="227"/>
      <c r="MLK1722" s="227"/>
      <c r="MLL1722" s="227"/>
      <c r="MLM1722" s="227"/>
      <c r="MLN1722" s="227"/>
      <c r="MLO1722" s="227"/>
      <c r="MLP1722" s="227"/>
      <c r="MLQ1722" s="227"/>
      <c r="MLR1722" s="227"/>
      <c r="MLS1722" s="227"/>
      <c r="MLT1722" s="227"/>
      <c r="MLU1722" s="227"/>
      <c r="MLV1722" s="227"/>
      <c r="MLW1722" s="227"/>
      <c r="MLX1722" s="227"/>
      <c r="MLY1722" s="227"/>
      <c r="MLZ1722" s="227"/>
      <c r="MMA1722" s="227"/>
      <c r="MMB1722" s="227"/>
      <c r="MMC1722" s="227"/>
      <c r="MMD1722" s="227"/>
      <c r="MME1722" s="227"/>
      <c r="MMF1722" s="227"/>
      <c r="MMG1722" s="227"/>
      <c r="MMH1722" s="227"/>
      <c r="MMI1722" s="227"/>
      <c r="MMJ1722" s="227"/>
      <c r="MMK1722" s="227"/>
      <c r="MML1722" s="227"/>
      <c r="MMM1722" s="227"/>
      <c r="MMN1722" s="227"/>
      <c r="MMO1722" s="227"/>
      <c r="MMP1722" s="227"/>
      <c r="MMQ1722" s="227"/>
      <c r="MMR1722" s="227"/>
      <c r="MMS1722" s="227"/>
      <c r="MMT1722" s="227"/>
      <c r="MMU1722" s="227"/>
      <c r="MMV1722" s="227"/>
      <c r="MMW1722" s="227"/>
      <c r="MMX1722" s="227"/>
      <c r="MMY1722" s="227"/>
      <c r="MMZ1722" s="227"/>
      <c r="MNA1722" s="227"/>
      <c r="MNB1722" s="227"/>
      <c r="MNC1722" s="227"/>
      <c r="MND1722" s="227"/>
      <c r="MNE1722" s="227"/>
      <c r="MNF1722" s="227"/>
      <c r="MNG1722" s="227"/>
      <c r="MNH1722" s="227"/>
      <c r="MNI1722" s="227"/>
      <c r="MNJ1722" s="227"/>
      <c r="MNK1722" s="227"/>
      <c r="MNL1722" s="227"/>
      <c r="MNM1722" s="227"/>
      <c r="MNN1722" s="227"/>
      <c r="MNO1722" s="227"/>
      <c r="MNP1722" s="227"/>
      <c r="MNQ1722" s="227"/>
      <c r="MNR1722" s="227"/>
      <c r="MNS1722" s="227"/>
      <c r="MNT1722" s="227"/>
      <c r="MNU1722" s="227"/>
      <c r="MNV1722" s="227"/>
      <c r="MNW1722" s="227"/>
      <c r="MNX1722" s="227"/>
      <c r="MNY1722" s="227"/>
      <c r="MNZ1722" s="227"/>
      <c r="MOA1722" s="227"/>
      <c r="MOB1722" s="227"/>
      <c r="MOC1722" s="227"/>
      <c r="MOD1722" s="227"/>
      <c r="MOE1722" s="227"/>
      <c r="MOF1722" s="227"/>
      <c r="MOG1722" s="227"/>
      <c r="MOH1722" s="227"/>
      <c r="MOI1722" s="227"/>
      <c r="MOJ1722" s="227"/>
      <c r="MOK1722" s="227"/>
      <c r="MOL1722" s="227"/>
      <c r="MOM1722" s="227"/>
      <c r="MON1722" s="227"/>
      <c r="MOO1722" s="227"/>
      <c r="MOP1722" s="227"/>
      <c r="MOQ1722" s="227"/>
      <c r="MOR1722" s="227"/>
      <c r="MOS1722" s="227"/>
      <c r="MOT1722" s="227"/>
      <c r="MOU1722" s="227"/>
      <c r="MOV1722" s="227"/>
      <c r="MOW1722" s="227"/>
      <c r="MOX1722" s="227"/>
      <c r="MOY1722" s="227"/>
      <c r="MOZ1722" s="227"/>
      <c r="MPA1722" s="227"/>
      <c r="MPB1722" s="227"/>
      <c r="MPC1722" s="227"/>
      <c r="MPD1722" s="227"/>
      <c r="MPE1722" s="227"/>
      <c r="MPF1722" s="227"/>
      <c r="MPG1722" s="227"/>
      <c r="MPH1722" s="227"/>
      <c r="MPI1722" s="227"/>
      <c r="MPJ1722" s="227"/>
      <c r="MPK1722" s="227"/>
      <c r="MPL1722" s="227"/>
      <c r="MPM1722" s="227"/>
      <c r="MPN1722" s="227"/>
      <c r="MPO1722" s="227"/>
      <c r="MPP1722" s="227"/>
      <c r="MPQ1722" s="227"/>
      <c r="MPR1722" s="227"/>
      <c r="MPS1722" s="227"/>
      <c r="MPT1722" s="227"/>
      <c r="MPU1722" s="227"/>
      <c r="MPV1722" s="227"/>
      <c r="MPW1722" s="227"/>
      <c r="MPX1722" s="227"/>
      <c r="MPY1722" s="227"/>
      <c r="MPZ1722" s="227"/>
      <c r="MQA1722" s="227"/>
      <c r="MQB1722" s="227"/>
      <c r="MQC1722" s="227"/>
      <c r="MQD1722" s="227"/>
      <c r="MQE1722" s="227"/>
      <c r="MQF1722" s="227"/>
      <c r="MQG1722" s="227"/>
      <c r="MQH1722" s="227"/>
      <c r="MQI1722" s="227"/>
      <c r="MQJ1722" s="227"/>
      <c r="MQK1722" s="227"/>
      <c r="MQL1722" s="227"/>
      <c r="MQM1722" s="227"/>
      <c r="MQN1722" s="227"/>
      <c r="MQO1722" s="227"/>
      <c r="MQP1722" s="227"/>
      <c r="MQQ1722" s="227"/>
      <c r="MQR1722" s="227"/>
      <c r="MQS1722" s="227"/>
      <c r="MQT1722" s="227"/>
      <c r="MQU1722" s="227"/>
      <c r="MQV1722" s="227"/>
      <c r="MQW1722" s="227"/>
      <c r="MQX1722" s="227"/>
      <c r="MQY1722" s="227"/>
      <c r="MQZ1722" s="227"/>
      <c r="MRA1722" s="227"/>
      <c r="MRB1722" s="227"/>
      <c r="MRC1722" s="227"/>
      <c r="MRD1722" s="227"/>
      <c r="MRE1722" s="227"/>
      <c r="MRF1722" s="227"/>
      <c r="MRG1722" s="227"/>
      <c r="MRH1722" s="227"/>
      <c r="MRI1722" s="227"/>
      <c r="MRJ1722" s="227"/>
      <c r="MRK1722" s="227"/>
      <c r="MRL1722" s="227"/>
      <c r="MRM1722" s="227"/>
      <c r="MRN1722" s="227"/>
      <c r="MRO1722" s="227"/>
      <c r="MRP1722" s="227"/>
      <c r="MRQ1722" s="227"/>
      <c r="MRR1722" s="227"/>
      <c r="MRS1722" s="227"/>
      <c r="MRT1722" s="227"/>
      <c r="MRU1722" s="227"/>
      <c r="MRV1722" s="227"/>
      <c r="MRW1722" s="227"/>
      <c r="MRX1722" s="227"/>
      <c r="MRY1722" s="227"/>
      <c r="MRZ1722" s="227"/>
      <c r="MSA1722" s="227"/>
      <c r="MSB1722" s="227"/>
      <c r="MSC1722" s="227"/>
      <c r="MSD1722" s="227"/>
      <c r="MSE1722" s="227"/>
      <c r="MSF1722" s="227"/>
      <c r="MSG1722" s="227"/>
      <c r="MSH1722" s="227"/>
      <c r="MSI1722" s="227"/>
      <c r="MSJ1722" s="227"/>
      <c r="MSK1722" s="227"/>
      <c r="MSL1722" s="227"/>
      <c r="MSM1722" s="227"/>
      <c r="MSN1722" s="227"/>
      <c r="MSO1722" s="227"/>
      <c r="MSP1722" s="227"/>
      <c r="MSQ1722" s="227"/>
      <c r="MSR1722" s="227"/>
      <c r="MSS1722" s="227"/>
      <c r="MST1722" s="227"/>
      <c r="MSU1722" s="227"/>
      <c r="MSV1722" s="227"/>
      <c r="MSW1722" s="227"/>
      <c r="MSX1722" s="227"/>
      <c r="MSY1722" s="227"/>
      <c r="MSZ1722" s="227"/>
      <c r="MTA1722" s="227"/>
      <c r="MTB1722" s="227"/>
      <c r="MTC1722" s="227"/>
      <c r="MTD1722" s="227"/>
      <c r="MTE1722" s="227"/>
      <c r="MTF1722" s="227"/>
      <c r="MTG1722" s="227"/>
      <c r="MTH1722" s="227"/>
      <c r="MTI1722" s="227"/>
      <c r="MTJ1722" s="227"/>
      <c r="MTK1722" s="227"/>
      <c r="MTL1722" s="227"/>
      <c r="MTM1722" s="227"/>
      <c r="MTN1722" s="227"/>
      <c r="MTO1722" s="227"/>
      <c r="MTP1722" s="227"/>
      <c r="MTQ1722" s="227"/>
      <c r="MTR1722" s="227"/>
      <c r="MTS1722" s="227"/>
      <c r="MTT1722" s="227"/>
      <c r="MTU1722" s="227"/>
      <c r="MTV1722" s="227"/>
      <c r="MTW1722" s="227"/>
      <c r="MTX1722" s="227"/>
      <c r="MTY1722" s="227"/>
      <c r="MTZ1722" s="227"/>
      <c r="MUA1722" s="227"/>
      <c r="MUB1722" s="227"/>
      <c r="MUC1722" s="227"/>
      <c r="MUD1722" s="227"/>
      <c r="MUE1722" s="227"/>
      <c r="MUF1722" s="227"/>
      <c r="MUG1722" s="227"/>
      <c r="MUH1722" s="227"/>
      <c r="MUI1722" s="227"/>
      <c r="MUJ1722" s="227"/>
      <c r="MUK1722" s="227"/>
      <c r="MUL1722" s="227"/>
      <c r="MUM1722" s="227"/>
      <c r="MUN1722" s="227"/>
      <c r="MUO1722" s="227"/>
      <c r="MUP1722" s="227"/>
      <c r="MUQ1722" s="227"/>
      <c r="MUR1722" s="227"/>
      <c r="MUS1722" s="227"/>
      <c r="MUT1722" s="227"/>
      <c r="MUU1722" s="227"/>
      <c r="MUV1722" s="227"/>
      <c r="MUW1722" s="227"/>
      <c r="MUX1722" s="227"/>
      <c r="MUY1722" s="227"/>
      <c r="MUZ1722" s="227"/>
      <c r="MVA1722" s="227"/>
      <c r="MVB1722" s="227"/>
      <c r="MVC1722" s="227"/>
      <c r="MVD1722" s="227"/>
      <c r="MVE1722" s="227"/>
      <c r="MVF1722" s="227"/>
      <c r="MVG1722" s="227"/>
      <c r="MVH1722" s="227"/>
      <c r="MVI1722" s="227"/>
      <c r="MVJ1722" s="227"/>
      <c r="MVK1722" s="227"/>
      <c r="MVL1722" s="227"/>
      <c r="MVM1722" s="227"/>
      <c r="MVN1722" s="227"/>
      <c r="MVO1722" s="227"/>
      <c r="MVP1722" s="227"/>
      <c r="MVQ1722" s="227"/>
      <c r="MVR1722" s="227"/>
      <c r="MVS1722" s="227"/>
      <c r="MVT1722" s="227"/>
      <c r="MVU1722" s="227"/>
      <c r="MVV1722" s="227"/>
      <c r="MVW1722" s="227"/>
      <c r="MVX1722" s="227"/>
      <c r="MVY1722" s="227"/>
      <c r="MVZ1722" s="227"/>
      <c r="MWA1722" s="227"/>
      <c r="MWB1722" s="227"/>
      <c r="MWC1722" s="227"/>
      <c r="MWD1722" s="227"/>
      <c r="MWE1722" s="227"/>
      <c r="MWF1722" s="227"/>
      <c r="MWG1722" s="227"/>
      <c r="MWH1722" s="227"/>
      <c r="MWI1722" s="227"/>
      <c r="MWJ1722" s="227"/>
      <c r="MWK1722" s="227"/>
      <c r="MWL1722" s="227"/>
      <c r="MWM1722" s="227"/>
      <c r="MWN1722" s="227"/>
      <c r="MWO1722" s="227"/>
      <c r="MWP1722" s="227"/>
      <c r="MWQ1722" s="227"/>
      <c r="MWR1722" s="227"/>
      <c r="MWS1722" s="227"/>
      <c r="MWT1722" s="227"/>
      <c r="MWU1722" s="227"/>
      <c r="MWV1722" s="227"/>
      <c r="MWW1722" s="227"/>
      <c r="MWX1722" s="227"/>
      <c r="MWY1722" s="227"/>
      <c r="MWZ1722" s="227"/>
      <c r="MXA1722" s="227"/>
      <c r="MXB1722" s="227"/>
      <c r="MXC1722" s="227"/>
      <c r="MXD1722" s="227"/>
      <c r="MXE1722" s="227"/>
      <c r="MXF1722" s="227"/>
      <c r="MXG1722" s="227"/>
      <c r="MXH1722" s="227"/>
      <c r="MXI1722" s="227"/>
      <c r="MXJ1722" s="227"/>
      <c r="MXK1722" s="227"/>
      <c r="MXL1722" s="227"/>
      <c r="MXM1722" s="227"/>
      <c r="MXN1722" s="227"/>
      <c r="MXO1722" s="227"/>
      <c r="MXP1722" s="227"/>
      <c r="MXQ1722" s="227"/>
      <c r="MXR1722" s="227"/>
      <c r="MXS1722" s="227"/>
      <c r="MXT1722" s="227"/>
      <c r="MXU1722" s="227"/>
      <c r="MXV1722" s="227"/>
      <c r="MXW1722" s="227"/>
      <c r="MXX1722" s="227"/>
      <c r="MXY1722" s="227"/>
      <c r="MXZ1722" s="227"/>
      <c r="MYA1722" s="227"/>
      <c r="MYB1722" s="227"/>
      <c r="MYC1722" s="227"/>
      <c r="MYD1722" s="227"/>
      <c r="MYE1722" s="227"/>
      <c r="MYF1722" s="227"/>
      <c r="MYG1722" s="227"/>
      <c r="MYH1722" s="227"/>
      <c r="MYI1722" s="227"/>
      <c r="MYJ1722" s="227"/>
      <c r="MYK1722" s="227"/>
      <c r="MYL1722" s="227"/>
      <c r="MYM1722" s="227"/>
      <c r="MYN1722" s="227"/>
      <c r="MYO1722" s="227"/>
      <c r="MYP1722" s="227"/>
      <c r="MYQ1722" s="227"/>
      <c r="MYR1722" s="227"/>
      <c r="MYS1722" s="227"/>
      <c r="MYT1722" s="227"/>
      <c r="MYU1722" s="227"/>
      <c r="MYV1722" s="227"/>
      <c r="MYW1722" s="227"/>
      <c r="MYX1722" s="227"/>
      <c r="MYY1722" s="227"/>
      <c r="MYZ1722" s="227"/>
      <c r="MZA1722" s="227"/>
      <c r="MZB1722" s="227"/>
      <c r="MZC1722" s="227"/>
      <c r="MZD1722" s="227"/>
      <c r="MZE1722" s="227"/>
      <c r="MZF1722" s="227"/>
      <c r="MZG1722" s="227"/>
      <c r="MZH1722" s="227"/>
      <c r="MZI1722" s="227"/>
      <c r="MZJ1722" s="227"/>
      <c r="MZK1722" s="227"/>
      <c r="MZL1722" s="227"/>
      <c r="MZM1722" s="227"/>
      <c r="MZN1722" s="227"/>
      <c r="MZO1722" s="227"/>
      <c r="MZP1722" s="227"/>
      <c r="MZQ1722" s="227"/>
      <c r="MZR1722" s="227"/>
      <c r="MZS1722" s="227"/>
      <c r="MZT1722" s="227"/>
      <c r="MZU1722" s="227"/>
      <c r="MZV1722" s="227"/>
      <c r="MZW1722" s="227"/>
      <c r="MZX1722" s="227"/>
      <c r="MZY1722" s="227"/>
      <c r="MZZ1722" s="227"/>
      <c r="NAA1722" s="227"/>
      <c r="NAB1722" s="227"/>
      <c r="NAC1722" s="227"/>
      <c r="NAD1722" s="227"/>
      <c r="NAE1722" s="227"/>
      <c r="NAF1722" s="227"/>
      <c r="NAG1722" s="227"/>
      <c r="NAH1722" s="227"/>
      <c r="NAI1722" s="227"/>
      <c r="NAJ1722" s="227"/>
      <c r="NAK1722" s="227"/>
      <c r="NAL1722" s="227"/>
      <c r="NAM1722" s="227"/>
      <c r="NAN1722" s="227"/>
      <c r="NAO1722" s="227"/>
      <c r="NAP1722" s="227"/>
      <c r="NAQ1722" s="227"/>
      <c r="NAR1722" s="227"/>
      <c r="NAS1722" s="227"/>
      <c r="NAT1722" s="227"/>
      <c r="NAU1722" s="227"/>
      <c r="NAV1722" s="227"/>
      <c r="NAW1722" s="227"/>
      <c r="NAX1722" s="227"/>
      <c r="NAY1722" s="227"/>
      <c r="NAZ1722" s="227"/>
      <c r="NBA1722" s="227"/>
      <c r="NBB1722" s="227"/>
      <c r="NBC1722" s="227"/>
      <c r="NBD1722" s="227"/>
      <c r="NBE1722" s="227"/>
      <c r="NBF1722" s="227"/>
      <c r="NBG1722" s="227"/>
      <c r="NBH1722" s="227"/>
      <c r="NBI1722" s="227"/>
      <c r="NBJ1722" s="227"/>
      <c r="NBK1722" s="227"/>
      <c r="NBL1722" s="227"/>
      <c r="NBM1722" s="227"/>
      <c r="NBN1722" s="227"/>
      <c r="NBO1722" s="227"/>
      <c r="NBP1722" s="227"/>
      <c r="NBQ1722" s="227"/>
      <c r="NBR1722" s="227"/>
      <c r="NBS1722" s="227"/>
      <c r="NBT1722" s="227"/>
      <c r="NBU1722" s="227"/>
      <c r="NBV1722" s="227"/>
      <c r="NBW1722" s="227"/>
      <c r="NBX1722" s="227"/>
      <c r="NBY1722" s="227"/>
      <c r="NBZ1722" s="227"/>
      <c r="NCA1722" s="227"/>
      <c r="NCB1722" s="227"/>
      <c r="NCC1722" s="227"/>
      <c r="NCD1722" s="227"/>
      <c r="NCE1722" s="227"/>
      <c r="NCF1722" s="227"/>
      <c r="NCG1722" s="227"/>
      <c r="NCH1722" s="227"/>
      <c r="NCI1722" s="227"/>
      <c r="NCJ1722" s="227"/>
      <c r="NCK1722" s="227"/>
      <c r="NCL1722" s="227"/>
      <c r="NCM1722" s="227"/>
      <c r="NCN1722" s="227"/>
      <c r="NCO1722" s="227"/>
      <c r="NCP1722" s="227"/>
      <c r="NCQ1722" s="227"/>
      <c r="NCR1722" s="227"/>
      <c r="NCS1722" s="227"/>
      <c r="NCT1722" s="227"/>
      <c r="NCU1722" s="227"/>
      <c r="NCV1722" s="227"/>
      <c r="NCW1722" s="227"/>
      <c r="NCX1722" s="227"/>
      <c r="NCY1722" s="227"/>
      <c r="NCZ1722" s="227"/>
      <c r="NDA1722" s="227"/>
      <c r="NDB1722" s="227"/>
      <c r="NDC1722" s="227"/>
      <c r="NDD1722" s="227"/>
      <c r="NDE1722" s="227"/>
      <c r="NDF1722" s="227"/>
      <c r="NDG1722" s="227"/>
      <c r="NDH1722" s="227"/>
      <c r="NDI1722" s="227"/>
      <c r="NDJ1722" s="227"/>
      <c r="NDK1722" s="227"/>
      <c r="NDL1722" s="227"/>
      <c r="NDM1722" s="227"/>
      <c r="NDN1722" s="227"/>
      <c r="NDO1722" s="227"/>
      <c r="NDP1722" s="227"/>
      <c r="NDQ1722" s="227"/>
      <c r="NDR1722" s="227"/>
      <c r="NDS1722" s="227"/>
      <c r="NDT1722" s="227"/>
      <c r="NDU1722" s="227"/>
      <c r="NDV1722" s="227"/>
      <c r="NDW1722" s="227"/>
      <c r="NDX1722" s="227"/>
      <c r="NDY1722" s="227"/>
      <c r="NDZ1722" s="227"/>
      <c r="NEA1722" s="227"/>
      <c r="NEB1722" s="227"/>
      <c r="NEC1722" s="227"/>
      <c r="NED1722" s="227"/>
      <c r="NEE1722" s="227"/>
      <c r="NEF1722" s="227"/>
      <c r="NEG1722" s="227"/>
      <c r="NEH1722" s="227"/>
      <c r="NEI1722" s="227"/>
      <c r="NEJ1722" s="227"/>
      <c r="NEK1722" s="227"/>
      <c r="NEL1722" s="227"/>
      <c r="NEM1722" s="227"/>
      <c r="NEN1722" s="227"/>
      <c r="NEO1722" s="227"/>
      <c r="NEP1722" s="227"/>
      <c r="NEQ1722" s="227"/>
      <c r="NER1722" s="227"/>
      <c r="NES1722" s="227"/>
      <c r="NET1722" s="227"/>
      <c r="NEU1722" s="227"/>
      <c r="NEV1722" s="227"/>
      <c r="NEW1722" s="227"/>
      <c r="NEX1722" s="227"/>
      <c r="NEY1722" s="227"/>
      <c r="NEZ1722" s="227"/>
      <c r="NFA1722" s="227"/>
      <c r="NFB1722" s="227"/>
      <c r="NFC1722" s="227"/>
      <c r="NFD1722" s="227"/>
      <c r="NFE1722" s="227"/>
      <c r="NFF1722" s="227"/>
      <c r="NFG1722" s="227"/>
      <c r="NFH1722" s="227"/>
      <c r="NFI1722" s="227"/>
      <c r="NFJ1722" s="227"/>
      <c r="NFK1722" s="227"/>
      <c r="NFL1722" s="227"/>
      <c r="NFM1722" s="227"/>
      <c r="NFN1722" s="227"/>
      <c r="NFO1722" s="227"/>
      <c r="NFP1722" s="227"/>
      <c r="NFQ1722" s="227"/>
      <c r="NFR1722" s="227"/>
      <c r="NFS1722" s="227"/>
      <c r="NFT1722" s="227"/>
      <c r="NFU1722" s="227"/>
      <c r="NFV1722" s="227"/>
      <c r="NFW1722" s="227"/>
      <c r="NFX1722" s="227"/>
      <c r="NFY1722" s="227"/>
      <c r="NFZ1722" s="227"/>
      <c r="NGA1722" s="227"/>
      <c r="NGB1722" s="227"/>
      <c r="NGC1722" s="227"/>
      <c r="NGD1722" s="227"/>
      <c r="NGE1722" s="227"/>
      <c r="NGF1722" s="227"/>
      <c r="NGG1722" s="227"/>
      <c r="NGH1722" s="227"/>
      <c r="NGI1722" s="227"/>
      <c r="NGJ1722" s="227"/>
      <c r="NGK1722" s="227"/>
      <c r="NGL1722" s="227"/>
      <c r="NGM1722" s="227"/>
      <c r="NGN1722" s="227"/>
      <c r="NGO1722" s="227"/>
      <c r="NGP1722" s="227"/>
      <c r="NGQ1722" s="227"/>
      <c r="NGR1722" s="227"/>
      <c r="NGS1722" s="227"/>
      <c r="NGT1722" s="227"/>
      <c r="NGU1722" s="227"/>
      <c r="NGV1722" s="227"/>
      <c r="NGW1722" s="227"/>
      <c r="NGX1722" s="227"/>
      <c r="NGY1722" s="227"/>
      <c r="NGZ1722" s="227"/>
      <c r="NHA1722" s="227"/>
      <c r="NHB1722" s="227"/>
      <c r="NHC1722" s="227"/>
      <c r="NHD1722" s="227"/>
      <c r="NHE1722" s="227"/>
      <c r="NHF1722" s="227"/>
      <c r="NHG1722" s="227"/>
      <c r="NHH1722" s="227"/>
      <c r="NHI1722" s="227"/>
      <c r="NHJ1722" s="227"/>
      <c r="NHK1722" s="227"/>
      <c r="NHL1722" s="227"/>
      <c r="NHM1722" s="227"/>
      <c r="NHN1722" s="227"/>
      <c r="NHO1722" s="227"/>
      <c r="NHP1722" s="227"/>
      <c r="NHQ1722" s="227"/>
      <c r="NHR1722" s="227"/>
      <c r="NHS1722" s="227"/>
      <c r="NHT1722" s="227"/>
      <c r="NHU1722" s="227"/>
      <c r="NHV1722" s="227"/>
      <c r="NHW1722" s="227"/>
      <c r="NHX1722" s="227"/>
      <c r="NHY1722" s="227"/>
      <c r="NHZ1722" s="227"/>
      <c r="NIA1722" s="227"/>
      <c r="NIB1722" s="227"/>
      <c r="NIC1722" s="227"/>
      <c r="NID1722" s="227"/>
      <c r="NIE1722" s="227"/>
      <c r="NIF1722" s="227"/>
      <c r="NIG1722" s="227"/>
      <c r="NIH1722" s="227"/>
      <c r="NII1722" s="227"/>
      <c r="NIJ1722" s="227"/>
      <c r="NIK1722" s="227"/>
      <c r="NIL1722" s="227"/>
      <c r="NIM1722" s="227"/>
      <c r="NIN1722" s="227"/>
      <c r="NIO1722" s="227"/>
      <c r="NIP1722" s="227"/>
      <c r="NIQ1722" s="227"/>
      <c r="NIR1722" s="227"/>
      <c r="NIS1722" s="227"/>
      <c r="NIT1722" s="227"/>
      <c r="NIU1722" s="227"/>
      <c r="NIV1722" s="227"/>
      <c r="NIW1722" s="227"/>
      <c r="NIX1722" s="227"/>
      <c r="NIY1722" s="227"/>
      <c r="NIZ1722" s="227"/>
      <c r="NJA1722" s="227"/>
      <c r="NJB1722" s="227"/>
      <c r="NJC1722" s="227"/>
      <c r="NJD1722" s="227"/>
      <c r="NJE1722" s="227"/>
      <c r="NJF1722" s="227"/>
      <c r="NJG1722" s="227"/>
      <c r="NJH1722" s="227"/>
      <c r="NJI1722" s="227"/>
      <c r="NJJ1722" s="227"/>
      <c r="NJK1722" s="227"/>
      <c r="NJL1722" s="227"/>
      <c r="NJM1722" s="227"/>
      <c r="NJN1722" s="227"/>
      <c r="NJO1722" s="227"/>
      <c r="NJP1722" s="227"/>
      <c r="NJQ1722" s="227"/>
      <c r="NJR1722" s="227"/>
      <c r="NJS1722" s="227"/>
      <c r="NJT1722" s="227"/>
      <c r="NJU1722" s="227"/>
      <c r="NJV1722" s="227"/>
      <c r="NJW1722" s="227"/>
      <c r="NJX1722" s="227"/>
      <c r="NJY1722" s="227"/>
      <c r="NJZ1722" s="227"/>
      <c r="NKA1722" s="227"/>
      <c r="NKB1722" s="227"/>
      <c r="NKC1722" s="227"/>
      <c r="NKD1722" s="227"/>
      <c r="NKE1722" s="227"/>
      <c r="NKF1722" s="227"/>
      <c r="NKG1722" s="227"/>
      <c r="NKH1722" s="227"/>
      <c r="NKI1722" s="227"/>
      <c r="NKJ1722" s="227"/>
      <c r="NKK1722" s="227"/>
      <c r="NKL1722" s="227"/>
      <c r="NKM1722" s="227"/>
      <c r="NKN1722" s="227"/>
      <c r="NKO1722" s="227"/>
      <c r="NKP1722" s="227"/>
      <c r="NKQ1722" s="227"/>
      <c r="NKR1722" s="227"/>
      <c r="NKS1722" s="227"/>
      <c r="NKT1722" s="227"/>
      <c r="NKU1722" s="227"/>
      <c r="NKV1722" s="227"/>
      <c r="NKW1722" s="227"/>
      <c r="NKX1722" s="227"/>
      <c r="NKY1722" s="227"/>
      <c r="NKZ1722" s="227"/>
      <c r="NLA1722" s="227"/>
      <c r="NLB1722" s="227"/>
      <c r="NLC1722" s="227"/>
      <c r="NLD1722" s="227"/>
      <c r="NLE1722" s="227"/>
      <c r="NLF1722" s="227"/>
      <c r="NLG1722" s="227"/>
      <c r="NLH1722" s="227"/>
      <c r="NLI1722" s="227"/>
      <c r="NLJ1722" s="227"/>
      <c r="NLK1722" s="227"/>
      <c r="NLL1722" s="227"/>
      <c r="NLM1722" s="227"/>
      <c r="NLN1722" s="227"/>
      <c r="NLO1722" s="227"/>
      <c r="NLP1722" s="227"/>
      <c r="NLQ1722" s="227"/>
      <c r="NLR1722" s="227"/>
      <c r="NLS1722" s="227"/>
      <c r="NLT1722" s="227"/>
      <c r="NLU1722" s="227"/>
      <c r="NLV1722" s="227"/>
      <c r="NLW1722" s="227"/>
      <c r="NLX1722" s="227"/>
      <c r="NLY1722" s="227"/>
      <c r="NLZ1722" s="227"/>
      <c r="NMA1722" s="227"/>
      <c r="NMB1722" s="227"/>
      <c r="NMC1722" s="227"/>
      <c r="NMD1722" s="227"/>
      <c r="NME1722" s="227"/>
      <c r="NMF1722" s="227"/>
      <c r="NMG1722" s="227"/>
      <c r="NMH1722" s="227"/>
      <c r="NMI1722" s="227"/>
      <c r="NMJ1722" s="227"/>
      <c r="NMK1722" s="227"/>
      <c r="NML1722" s="227"/>
      <c r="NMM1722" s="227"/>
      <c r="NMN1722" s="227"/>
      <c r="NMO1722" s="227"/>
      <c r="NMP1722" s="227"/>
      <c r="NMQ1722" s="227"/>
      <c r="NMR1722" s="227"/>
      <c r="NMS1722" s="227"/>
      <c r="NMT1722" s="227"/>
      <c r="NMU1722" s="227"/>
      <c r="NMV1722" s="227"/>
      <c r="NMW1722" s="227"/>
      <c r="NMX1722" s="227"/>
      <c r="NMY1722" s="227"/>
      <c r="NMZ1722" s="227"/>
      <c r="NNA1722" s="227"/>
      <c r="NNB1722" s="227"/>
      <c r="NNC1722" s="227"/>
      <c r="NND1722" s="227"/>
      <c r="NNE1722" s="227"/>
      <c r="NNF1722" s="227"/>
      <c r="NNG1722" s="227"/>
      <c r="NNH1722" s="227"/>
      <c r="NNI1722" s="227"/>
      <c r="NNJ1722" s="227"/>
      <c r="NNK1722" s="227"/>
      <c r="NNL1722" s="227"/>
      <c r="NNM1722" s="227"/>
      <c r="NNN1722" s="227"/>
      <c r="NNO1722" s="227"/>
      <c r="NNP1722" s="227"/>
      <c r="NNQ1722" s="227"/>
      <c r="NNR1722" s="227"/>
      <c r="NNS1722" s="227"/>
      <c r="NNT1722" s="227"/>
      <c r="NNU1722" s="227"/>
      <c r="NNV1722" s="227"/>
      <c r="NNW1722" s="227"/>
      <c r="NNX1722" s="227"/>
      <c r="NNY1722" s="227"/>
      <c r="NNZ1722" s="227"/>
      <c r="NOA1722" s="227"/>
      <c r="NOB1722" s="227"/>
      <c r="NOC1722" s="227"/>
      <c r="NOD1722" s="227"/>
      <c r="NOE1722" s="227"/>
      <c r="NOF1722" s="227"/>
      <c r="NOG1722" s="227"/>
      <c r="NOH1722" s="227"/>
      <c r="NOI1722" s="227"/>
      <c r="NOJ1722" s="227"/>
      <c r="NOK1722" s="227"/>
      <c r="NOL1722" s="227"/>
      <c r="NOM1722" s="227"/>
      <c r="NON1722" s="227"/>
      <c r="NOO1722" s="227"/>
      <c r="NOP1722" s="227"/>
      <c r="NOQ1722" s="227"/>
      <c r="NOR1722" s="227"/>
      <c r="NOS1722" s="227"/>
      <c r="NOT1722" s="227"/>
      <c r="NOU1722" s="227"/>
      <c r="NOV1722" s="227"/>
      <c r="NOW1722" s="227"/>
      <c r="NOX1722" s="227"/>
      <c r="NOY1722" s="227"/>
      <c r="NOZ1722" s="227"/>
      <c r="NPA1722" s="227"/>
      <c r="NPB1722" s="227"/>
      <c r="NPC1722" s="227"/>
      <c r="NPD1722" s="227"/>
      <c r="NPE1722" s="227"/>
      <c r="NPF1722" s="227"/>
      <c r="NPG1722" s="227"/>
      <c r="NPH1722" s="227"/>
      <c r="NPI1722" s="227"/>
      <c r="NPJ1722" s="227"/>
      <c r="NPK1722" s="227"/>
      <c r="NPL1722" s="227"/>
      <c r="NPM1722" s="227"/>
      <c r="NPN1722" s="227"/>
      <c r="NPO1722" s="227"/>
      <c r="NPP1722" s="227"/>
      <c r="NPQ1722" s="227"/>
      <c r="NPR1722" s="227"/>
      <c r="NPS1722" s="227"/>
      <c r="NPT1722" s="227"/>
      <c r="NPU1722" s="227"/>
      <c r="NPV1722" s="227"/>
      <c r="NPW1722" s="227"/>
      <c r="NPX1722" s="227"/>
      <c r="NPY1722" s="227"/>
      <c r="NPZ1722" s="227"/>
      <c r="NQA1722" s="227"/>
      <c r="NQB1722" s="227"/>
      <c r="NQC1722" s="227"/>
      <c r="NQD1722" s="227"/>
      <c r="NQE1722" s="227"/>
      <c r="NQF1722" s="227"/>
      <c r="NQG1722" s="227"/>
      <c r="NQH1722" s="227"/>
      <c r="NQI1722" s="227"/>
      <c r="NQJ1722" s="227"/>
      <c r="NQK1722" s="227"/>
      <c r="NQL1722" s="227"/>
      <c r="NQM1722" s="227"/>
      <c r="NQN1722" s="227"/>
      <c r="NQO1722" s="227"/>
      <c r="NQP1722" s="227"/>
      <c r="NQQ1722" s="227"/>
      <c r="NQR1722" s="227"/>
      <c r="NQS1722" s="227"/>
      <c r="NQT1722" s="227"/>
      <c r="NQU1722" s="227"/>
      <c r="NQV1722" s="227"/>
      <c r="NQW1722" s="227"/>
      <c r="NQX1722" s="227"/>
      <c r="NQY1722" s="227"/>
      <c r="NQZ1722" s="227"/>
      <c r="NRA1722" s="227"/>
      <c r="NRB1722" s="227"/>
      <c r="NRC1722" s="227"/>
      <c r="NRD1722" s="227"/>
      <c r="NRE1722" s="227"/>
      <c r="NRF1722" s="227"/>
      <c r="NRG1722" s="227"/>
      <c r="NRH1722" s="227"/>
      <c r="NRI1722" s="227"/>
      <c r="NRJ1722" s="227"/>
      <c r="NRK1722" s="227"/>
      <c r="NRL1722" s="227"/>
      <c r="NRM1722" s="227"/>
      <c r="NRN1722" s="227"/>
      <c r="NRO1722" s="227"/>
      <c r="NRP1722" s="227"/>
      <c r="NRQ1722" s="227"/>
      <c r="NRR1722" s="227"/>
      <c r="NRS1722" s="227"/>
      <c r="NRT1722" s="227"/>
      <c r="NRU1722" s="227"/>
      <c r="NRV1722" s="227"/>
      <c r="NRW1722" s="227"/>
      <c r="NRX1722" s="227"/>
      <c r="NRY1722" s="227"/>
      <c r="NRZ1722" s="227"/>
      <c r="NSA1722" s="227"/>
      <c r="NSB1722" s="227"/>
      <c r="NSC1722" s="227"/>
      <c r="NSD1722" s="227"/>
      <c r="NSE1722" s="227"/>
      <c r="NSF1722" s="227"/>
      <c r="NSG1722" s="227"/>
      <c r="NSH1722" s="227"/>
      <c r="NSI1722" s="227"/>
      <c r="NSJ1722" s="227"/>
      <c r="NSK1722" s="227"/>
      <c r="NSL1722" s="227"/>
      <c r="NSM1722" s="227"/>
      <c r="NSN1722" s="227"/>
      <c r="NSO1722" s="227"/>
      <c r="NSP1722" s="227"/>
      <c r="NSQ1722" s="227"/>
      <c r="NSR1722" s="227"/>
      <c r="NSS1722" s="227"/>
      <c r="NST1722" s="227"/>
      <c r="NSU1722" s="227"/>
      <c r="NSV1722" s="227"/>
      <c r="NSW1722" s="227"/>
      <c r="NSX1722" s="227"/>
      <c r="NSY1722" s="227"/>
      <c r="NSZ1722" s="227"/>
      <c r="NTA1722" s="227"/>
      <c r="NTB1722" s="227"/>
      <c r="NTC1722" s="227"/>
      <c r="NTD1722" s="227"/>
      <c r="NTE1722" s="227"/>
      <c r="NTF1722" s="227"/>
      <c r="NTG1722" s="227"/>
      <c r="NTH1722" s="227"/>
      <c r="NTI1722" s="227"/>
      <c r="NTJ1722" s="227"/>
      <c r="NTK1722" s="227"/>
      <c r="NTL1722" s="227"/>
      <c r="NTM1722" s="227"/>
      <c r="NTN1722" s="227"/>
      <c r="NTO1722" s="227"/>
      <c r="NTP1722" s="227"/>
      <c r="NTQ1722" s="227"/>
      <c r="NTR1722" s="227"/>
      <c r="NTS1722" s="227"/>
      <c r="NTT1722" s="227"/>
      <c r="NTU1722" s="227"/>
      <c r="NTV1722" s="227"/>
      <c r="NTW1722" s="227"/>
      <c r="NTX1722" s="227"/>
      <c r="NTY1722" s="227"/>
      <c r="NTZ1722" s="227"/>
      <c r="NUA1722" s="227"/>
      <c r="NUB1722" s="227"/>
      <c r="NUC1722" s="227"/>
      <c r="NUD1722" s="227"/>
      <c r="NUE1722" s="227"/>
      <c r="NUF1722" s="227"/>
      <c r="NUG1722" s="227"/>
      <c r="NUH1722" s="227"/>
      <c r="NUI1722" s="227"/>
      <c r="NUJ1722" s="227"/>
      <c r="NUK1722" s="227"/>
      <c r="NUL1722" s="227"/>
      <c r="NUM1722" s="227"/>
      <c r="NUN1722" s="227"/>
      <c r="NUO1722" s="227"/>
      <c r="NUP1722" s="227"/>
      <c r="NUQ1722" s="227"/>
      <c r="NUR1722" s="227"/>
      <c r="NUS1722" s="227"/>
      <c r="NUT1722" s="227"/>
      <c r="NUU1722" s="227"/>
      <c r="NUV1722" s="227"/>
      <c r="NUW1722" s="227"/>
      <c r="NUX1722" s="227"/>
      <c r="NUY1722" s="227"/>
      <c r="NUZ1722" s="227"/>
      <c r="NVA1722" s="227"/>
      <c r="NVB1722" s="227"/>
      <c r="NVC1722" s="227"/>
      <c r="NVD1722" s="227"/>
      <c r="NVE1722" s="227"/>
      <c r="NVF1722" s="227"/>
      <c r="NVG1722" s="227"/>
      <c r="NVH1722" s="227"/>
      <c r="NVI1722" s="227"/>
      <c r="NVJ1722" s="227"/>
      <c r="NVK1722" s="227"/>
      <c r="NVL1722" s="227"/>
      <c r="NVM1722" s="227"/>
      <c r="NVN1722" s="227"/>
      <c r="NVO1722" s="227"/>
      <c r="NVP1722" s="227"/>
      <c r="NVQ1722" s="227"/>
      <c r="NVR1722" s="227"/>
      <c r="NVS1722" s="227"/>
      <c r="NVT1722" s="227"/>
      <c r="NVU1722" s="227"/>
      <c r="NVV1722" s="227"/>
      <c r="NVW1722" s="227"/>
      <c r="NVX1722" s="227"/>
      <c r="NVY1722" s="227"/>
      <c r="NVZ1722" s="227"/>
      <c r="NWA1722" s="227"/>
      <c r="NWB1722" s="227"/>
      <c r="NWC1722" s="227"/>
      <c r="NWD1722" s="227"/>
      <c r="NWE1722" s="227"/>
      <c r="NWF1722" s="227"/>
      <c r="NWG1722" s="227"/>
      <c r="NWH1722" s="227"/>
      <c r="NWI1722" s="227"/>
      <c r="NWJ1722" s="227"/>
      <c r="NWK1722" s="227"/>
      <c r="NWL1722" s="227"/>
      <c r="NWM1722" s="227"/>
      <c r="NWN1722" s="227"/>
      <c r="NWO1722" s="227"/>
      <c r="NWP1722" s="227"/>
      <c r="NWQ1722" s="227"/>
      <c r="NWR1722" s="227"/>
      <c r="NWS1722" s="227"/>
      <c r="NWT1722" s="227"/>
      <c r="NWU1722" s="227"/>
      <c r="NWV1722" s="227"/>
      <c r="NWW1722" s="227"/>
      <c r="NWX1722" s="227"/>
      <c r="NWY1722" s="227"/>
      <c r="NWZ1722" s="227"/>
      <c r="NXA1722" s="227"/>
      <c r="NXB1722" s="227"/>
      <c r="NXC1722" s="227"/>
      <c r="NXD1722" s="227"/>
      <c r="NXE1722" s="227"/>
      <c r="NXF1722" s="227"/>
      <c r="NXG1722" s="227"/>
      <c r="NXH1722" s="227"/>
      <c r="NXI1722" s="227"/>
      <c r="NXJ1722" s="227"/>
      <c r="NXK1722" s="227"/>
      <c r="NXL1722" s="227"/>
      <c r="NXM1722" s="227"/>
      <c r="NXN1722" s="227"/>
      <c r="NXO1722" s="227"/>
      <c r="NXP1722" s="227"/>
      <c r="NXQ1722" s="227"/>
      <c r="NXR1722" s="227"/>
      <c r="NXS1722" s="227"/>
      <c r="NXT1722" s="227"/>
      <c r="NXU1722" s="227"/>
      <c r="NXV1722" s="227"/>
      <c r="NXW1722" s="227"/>
      <c r="NXX1722" s="227"/>
      <c r="NXY1722" s="227"/>
      <c r="NXZ1722" s="227"/>
      <c r="NYA1722" s="227"/>
      <c r="NYB1722" s="227"/>
      <c r="NYC1722" s="227"/>
      <c r="NYD1722" s="227"/>
      <c r="NYE1722" s="227"/>
      <c r="NYF1722" s="227"/>
      <c r="NYG1722" s="227"/>
      <c r="NYH1722" s="227"/>
      <c r="NYI1722" s="227"/>
      <c r="NYJ1722" s="227"/>
      <c r="NYK1722" s="227"/>
      <c r="NYL1722" s="227"/>
      <c r="NYM1722" s="227"/>
      <c r="NYN1722" s="227"/>
      <c r="NYO1722" s="227"/>
      <c r="NYP1722" s="227"/>
      <c r="NYQ1722" s="227"/>
      <c r="NYR1722" s="227"/>
      <c r="NYS1722" s="227"/>
      <c r="NYT1722" s="227"/>
      <c r="NYU1722" s="227"/>
      <c r="NYV1722" s="227"/>
      <c r="NYW1722" s="227"/>
      <c r="NYX1722" s="227"/>
      <c r="NYY1722" s="227"/>
      <c r="NYZ1722" s="227"/>
      <c r="NZA1722" s="227"/>
      <c r="NZB1722" s="227"/>
      <c r="NZC1722" s="227"/>
      <c r="NZD1722" s="227"/>
      <c r="NZE1722" s="227"/>
      <c r="NZF1722" s="227"/>
      <c r="NZG1722" s="227"/>
      <c r="NZH1722" s="227"/>
      <c r="NZI1722" s="227"/>
      <c r="NZJ1722" s="227"/>
      <c r="NZK1722" s="227"/>
      <c r="NZL1722" s="227"/>
      <c r="NZM1722" s="227"/>
      <c r="NZN1722" s="227"/>
      <c r="NZO1722" s="227"/>
      <c r="NZP1722" s="227"/>
      <c r="NZQ1722" s="227"/>
      <c r="NZR1722" s="227"/>
      <c r="NZS1722" s="227"/>
      <c r="NZT1722" s="227"/>
      <c r="NZU1722" s="227"/>
      <c r="NZV1722" s="227"/>
      <c r="NZW1722" s="227"/>
      <c r="NZX1722" s="227"/>
      <c r="NZY1722" s="227"/>
      <c r="NZZ1722" s="227"/>
      <c r="OAA1722" s="227"/>
      <c r="OAB1722" s="227"/>
      <c r="OAC1722" s="227"/>
      <c r="OAD1722" s="227"/>
      <c r="OAE1722" s="227"/>
      <c r="OAF1722" s="227"/>
      <c r="OAG1722" s="227"/>
      <c r="OAH1722" s="227"/>
      <c r="OAI1722" s="227"/>
      <c r="OAJ1722" s="227"/>
      <c r="OAK1722" s="227"/>
      <c r="OAL1722" s="227"/>
      <c r="OAM1722" s="227"/>
      <c r="OAN1722" s="227"/>
      <c r="OAO1722" s="227"/>
      <c r="OAP1722" s="227"/>
      <c r="OAQ1722" s="227"/>
      <c r="OAR1722" s="227"/>
      <c r="OAS1722" s="227"/>
      <c r="OAT1722" s="227"/>
      <c r="OAU1722" s="227"/>
      <c r="OAV1722" s="227"/>
      <c r="OAW1722" s="227"/>
      <c r="OAX1722" s="227"/>
      <c r="OAY1722" s="227"/>
      <c r="OAZ1722" s="227"/>
      <c r="OBA1722" s="227"/>
      <c r="OBB1722" s="227"/>
      <c r="OBC1722" s="227"/>
      <c r="OBD1722" s="227"/>
      <c r="OBE1722" s="227"/>
      <c r="OBF1722" s="227"/>
      <c r="OBG1722" s="227"/>
      <c r="OBH1722" s="227"/>
      <c r="OBI1722" s="227"/>
      <c r="OBJ1722" s="227"/>
      <c r="OBK1722" s="227"/>
      <c r="OBL1722" s="227"/>
      <c r="OBM1722" s="227"/>
      <c r="OBN1722" s="227"/>
      <c r="OBO1722" s="227"/>
      <c r="OBP1722" s="227"/>
      <c r="OBQ1722" s="227"/>
      <c r="OBR1722" s="227"/>
      <c r="OBS1722" s="227"/>
      <c r="OBT1722" s="227"/>
      <c r="OBU1722" s="227"/>
      <c r="OBV1722" s="227"/>
      <c r="OBW1722" s="227"/>
      <c r="OBX1722" s="227"/>
      <c r="OBY1722" s="227"/>
      <c r="OBZ1722" s="227"/>
      <c r="OCA1722" s="227"/>
      <c r="OCB1722" s="227"/>
      <c r="OCC1722" s="227"/>
      <c r="OCD1722" s="227"/>
      <c r="OCE1722" s="227"/>
      <c r="OCF1722" s="227"/>
      <c r="OCG1722" s="227"/>
      <c r="OCH1722" s="227"/>
      <c r="OCI1722" s="227"/>
      <c r="OCJ1722" s="227"/>
      <c r="OCK1722" s="227"/>
      <c r="OCL1722" s="227"/>
      <c r="OCM1722" s="227"/>
      <c r="OCN1722" s="227"/>
      <c r="OCO1722" s="227"/>
      <c r="OCP1722" s="227"/>
      <c r="OCQ1722" s="227"/>
      <c r="OCR1722" s="227"/>
      <c r="OCS1722" s="227"/>
      <c r="OCT1722" s="227"/>
      <c r="OCU1722" s="227"/>
      <c r="OCV1722" s="227"/>
      <c r="OCW1722" s="227"/>
      <c r="OCX1722" s="227"/>
      <c r="OCY1722" s="227"/>
      <c r="OCZ1722" s="227"/>
      <c r="ODA1722" s="227"/>
      <c r="ODB1722" s="227"/>
      <c r="ODC1722" s="227"/>
      <c r="ODD1722" s="227"/>
      <c r="ODE1722" s="227"/>
      <c r="ODF1722" s="227"/>
      <c r="ODG1722" s="227"/>
      <c r="ODH1722" s="227"/>
      <c r="ODI1722" s="227"/>
      <c r="ODJ1722" s="227"/>
      <c r="ODK1722" s="227"/>
      <c r="ODL1722" s="227"/>
      <c r="ODM1722" s="227"/>
      <c r="ODN1722" s="227"/>
      <c r="ODO1722" s="227"/>
      <c r="ODP1722" s="227"/>
      <c r="ODQ1722" s="227"/>
      <c r="ODR1722" s="227"/>
      <c r="ODS1722" s="227"/>
      <c r="ODT1722" s="227"/>
      <c r="ODU1722" s="227"/>
      <c r="ODV1722" s="227"/>
      <c r="ODW1722" s="227"/>
      <c r="ODX1722" s="227"/>
      <c r="ODY1722" s="227"/>
      <c r="ODZ1722" s="227"/>
      <c r="OEA1722" s="227"/>
      <c r="OEB1722" s="227"/>
      <c r="OEC1722" s="227"/>
      <c r="OED1722" s="227"/>
      <c r="OEE1722" s="227"/>
      <c r="OEF1722" s="227"/>
      <c r="OEG1722" s="227"/>
      <c r="OEH1722" s="227"/>
      <c r="OEI1722" s="227"/>
      <c r="OEJ1722" s="227"/>
      <c r="OEK1722" s="227"/>
      <c r="OEL1722" s="227"/>
      <c r="OEM1722" s="227"/>
      <c r="OEN1722" s="227"/>
      <c r="OEO1722" s="227"/>
      <c r="OEP1722" s="227"/>
      <c r="OEQ1722" s="227"/>
      <c r="OER1722" s="227"/>
      <c r="OES1722" s="227"/>
      <c r="OET1722" s="227"/>
      <c r="OEU1722" s="227"/>
      <c r="OEV1722" s="227"/>
      <c r="OEW1722" s="227"/>
      <c r="OEX1722" s="227"/>
      <c r="OEY1722" s="227"/>
      <c r="OEZ1722" s="227"/>
      <c r="OFA1722" s="227"/>
      <c r="OFB1722" s="227"/>
      <c r="OFC1722" s="227"/>
      <c r="OFD1722" s="227"/>
      <c r="OFE1722" s="227"/>
      <c r="OFF1722" s="227"/>
      <c r="OFG1722" s="227"/>
      <c r="OFH1722" s="227"/>
      <c r="OFI1722" s="227"/>
      <c r="OFJ1722" s="227"/>
      <c r="OFK1722" s="227"/>
      <c r="OFL1722" s="227"/>
      <c r="OFM1722" s="227"/>
      <c r="OFN1722" s="227"/>
      <c r="OFO1722" s="227"/>
      <c r="OFP1722" s="227"/>
      <c r="OFQ1722" s="227"/>
      <c r="OFR1722" s="227"/>
      <c r="OFS1722" s="227"/>
      <c r="OFT1722" s="227"/>
      <c r="OFU1722" s="227"/>
      <c r="OFV1722" s="227"/>
      <c r="OFW1722" s="227"/>
      <c r="OFX1722" s="227"/>
      <c r="OFY1722" s="227"/>
      <c r="OFZ1722" s="227"/>
      <c r="OGA1722" s="227"/>
      <c r="OGB1722" s="227"/>
      <c r="OGC1722" s="227"/>
      <c r="OGD1722" s="227"/>
      <c r="OGE1722" s="227"/>
      <c r="OGF1722" s="227"/>
      <c r="OGG1722" s="227"/>
      <c r="OGH1722" s="227"/>
      <c r="OGI1722" s="227"/>
      <c r="OGJ1722" s="227"/>
      <c r="OGK1722" s="227"/>
      <c r="OGL1722" s="227"/>
      <c r="OGM1722" s="227"/>
      <c r="OGN1722" s="227"/>
      <c r="OGO1722" s="227"/>
      <c r="OGP1722" s="227"/>
      <c r="OGQ1722" s="227"/>
      <c r="OGR1722" s="227"/>
      <c r="OGS1722" s="227"/>
      <c r="OGT1722" s="227"/>
      <c r="OGU1722" s="227"/>
      <c r="OGV1722" s="227"/>
      <c r="OGW1722" s="227"/>
      <c r="OGX1722" s="227"/>
      <c r="OGY1722" s="227"/>
      <c r="OGZ1722" s="227"/>
      <c r="OHA1722" s="227"/>
      <c r="OHB1722" s="227"/>
      <c r="OHC1722" s="227"/>
      <c r="OHD1722" s="227"/>
      <c r="OHE1722" s="227"/>
      <c r="OHF1722" s="227"/>
      <c r="OHG1722" s="227"/>
      <c r="OHH1722" s="227"/>
      <c r="OHI1722" s="227"/>
      <c r="OHJ1722" s="227"/>
      <c r="OHK1722" s="227"/>
      <c r="OHL1722" s="227"/>
      <c r="OHM1722" s="227"/>
      <c r="OHN1722" s="227"/>
      <c r="OHO1722" s="227"/>
      <c r="OHP1722" s="227"/>
      <c r="OHQ1722" s="227"/>
      <c r="OHR1722" s="227"/>
      <c r="OHS1722" s="227"/>
      <c r="OHT1722" s="227"/>
      <c r="OHU1722" s="227"/>
      <c r="OHV1722" s="227"/>
      <c r="OHW1722" s="227"/>
      <c r="OHX1722" s="227"/>
      <c r="OHY1722" s="227"/>
      <c r="OHZ1722" s="227"/>
      <c r="OIA1722" s="227"/>
      <c r="OIB1722" s="227"/>
      <c r="OIC1722" s="227"/>
      <c r="OID1722" s="227"/>
      <c r="OIE1722" s="227"/>
      <c r="OIF1722" s="227"/>
      <c r="OIG1722" s="227"/>
      <c r="OIH1722" s="227"/>
      <c r="OII1722" s="227"/>
      <c r="OIJ1722" s="227"/>
      <c r="OIK1722" s="227"/>
      <c r="OIL1722" s="227"/>
      <c r="OIM1722" s="227"/>
      <c r="OIN1722" s="227"/>
      <c r="OIO1722" s="227"/>
      <c r="OIP1722" s="227"/>
      <c r="OIQ1722" s="227"/>
      <c r="OIR1722" s="227"/>
      <c r="OIS1722" s="227"/>
      <c r="OIT1722" s="227"/>
      <c r="OIU1722" s="227"/>
      <c r="OIV1722" s="227"/>
      <c r="OIW1722" s="227"/>
      <c r="OIX1722" s="227"/>
      <c r="OIY1722" s="227"/>
      <c r="OIZ1722" s="227"/>
      <c r="OJA1722" s="227"/>
      <c r="OJB1722" s="227"/>
      <c r="OJC1722" s="227"/>
      <c r="OJD1722" s="227"/>
      <c r="OJE1722" s="227"/>
      <c r="OJF1722" s="227"/>
      <c r="OJG1722" s="227"/>
      <c r="OJH1722" s="227"/>
      <c r="OJI1722" s="227"/>
      <c r="OJJ1722" s="227"/>
      <c r="OJK1722" s="227"/>
      <c r="OJL1722" s="227"/>
      <c r="OJM1722" s="227"/>
      <c r="OJN1722" s="227"/>
      <c r="OJO1722" s="227"/>
      <c r="OJP1722" s="227"/>
      <c r="OJQ1722" s="227"/>
      <c r="OJR1722" s="227"/>
      <c r="OJS1722" s="227"/>
      <c r="OJT1722" s="227"/>
      <c r="OJU1722" s="227"/>
      <c r="OJV1722" s="227"/>
      <c r="OJW1722" s="227"/>
      <c r="OJX1722" s="227"/>
      <c r="OJY1722" s="227"/>
      <c r="OJZ1722" s="227"/>
      <c r="OKA1722" s="227"/>
      <c r="OKB1722" s="227"/>
      <c r="OKC1722" s="227"/>
      <c r="OKD1722" s="227"/>
      <c r="OKE1722" s="227"/>
      <c r="OKF1722" s="227"/>
      <c r="OKG1722" s="227"/>
      <c r="OKH1722" s="227"/>
      <c r="OKI1722" s="227"/>
      <c r="OKJ1722" s="227"/>
      <c r="OKK1722" s="227"/>
      <c r="OKL1722" s="227"/>
      <c r="OKM1722" s="227"/>
      <c r="OKN1722" s="227"/>
      <c r="OKO1722" s="227"/>
      <c r="OKP1722" s="227"/>
      <c r="OKQ1722" s="227"/>
      <c r="OKR1722" s="227"/>
      <c r="OKS1722" s="227"/>
      <c r="OKT1722" s="227"/>
      <c r="OKU1722" s="227"/>
      <c r="OKV1722" s="227"/>
      <c r="OKW1722" s="227"/>
      <c r="OKX1722" s="227"/>
      <c r="OKY1722" s="227"/>
      <c r="OKZ1722" s="227"/>
      <c r="OLA1722" s="227"/>
      <c r="OLB1722" s="227"/>
      <c r="OLC1722" s="227"/>
      <c r="OLD1722" s="227"/>
      <c r="OLE1722" s="227"/>
      <c r="OLF1722" s="227"/>
      <c r="OLG1722" s="227"/>
      <c r="OLH1722" s="227"/>
      <c r="OLI1722" s="227"/>
      <c r="OLJ1722" s="227"/>
      <c r="OLK1722" s="227"/>
      <c r="OLL1722" s="227"/>
      <c r="OLM1722" s="227"/>
      <c r="OLN1722" s="227"/>
      <c r="OLO1722" s="227"/>
      <c r="OLP1722" s="227"/>
      <c r="OLQ1722" s="227"/>
      <c r="OLR1722" s="227"/>
      <c r="OLS1722" s="227"/>
      <c r="OLT1722" s="227"/>
      <c r="OLU1722" s="227"/>
      <c r="OLV1722" s="227"/>
      <c r="OLW1722" s="227"/>
      <c r="OLX1722" s="227"/>
      <c r="OLY1722" s="227"/>
      <c r="OLZ1722" s="227"/>
      <c r="OMA1722" s="227"/>
      <c r="OMB1722" s="227"/>
      <c r="OMC1722" s="227"/>
      <c r="OMD1722" s="227"/>
      <c r="OME1722" s="227"/>
      <c r="OMF1722" s="227"/>
      <c r="OMG1722" s="227"/>
      <c r="OMH1722" s="227"/>
      <c r="OMI1722" s="227"/>
      <c r="OMJ1722" s="227"/>
      <c r="OMK1722" s="227"/>
      <c r="OML1722" s="227"/>
      <c r="OMM1722" s="227"/>
      <c r="OMN1722" s="227"/>
      <c r="OMO1722" s="227"/>
      <c r="OMP1722" s="227"/>
      <c r="OMQ1722" s="227"/>
      <c r="OMR1722" s="227"/>
      <c r="OMS1722" s="227"/>
      <c r="OMT1722" s="227"/>
      <c r="OMU1722" s="227"/>
      <c r="OMV1722" s="227"/>
      <c r="OMW1722" s="227"/>
      <c r="OMX1722" s="227"/>
      <c r="OMY1722" s="227"/>
      <c r="OMZ1722" s="227"/>
      <c r="ONA1722" s="227"/>
      <c r="ONB1722" s="227"/>
      <c r="ONC1722" s="227"/>
      <c r="OND1722" s="227"/>
      <c r="ONE1722" s="227"/>
      <c r="ONF1722" s="227"/>
      <c r="ONG1722" s="227"/>
      <c r="ONH1722" s="227"/>
      <c r="ONI1722" s="227"/>
      <c r="ONJ1722" s="227"/>
      <c r="ONK1722" s="227"/>
      <c r="ONL1722" s="227"/>
      <c r="ONM1722" s="227"/>
      <c r="ONN1722" s="227"/>
      <c r="ONO1722" s="227"/>
      <c r="ONP1722" s="227"/>
      <c r="ONQ1722" s="227"/>
      <c r="ONR1722" s="227"/>
      <c r="ONS1722" s="227"/>
      <c r="ONT1722" s="227"/>
      <c r="ONU1722" s="227"/>
      <c r="ONV1722" s="227"/>
      <c r="ONW1722" s="227"/>
      <c r="ONX1722" s="227"/>
      <c r="ONY1722" s="227"/>
      <c r="ONZ1722" s="227"/>
      <c r="OOA1722" s="227"/>
      <c r="OOB1722" s="227"/>
      <c r="OOC1722" s="227"/>
      <c r="OOD1722" s="227"/>
      <c r="OOE1722" s="227"/>
      <c r="OOF1722" s="227"/>
      <c r="OOG1722" s="227"/>
      <c r="OOH1722" s="227"/>
      <c r="OOI1722" s="227"/>
      <c r="OOJ1722" s="227"/>
      <c r="OOK1722" s="227"/>
      <c r="OOL1722" s="227"/>
      <c r="OOM1722" s="227"/>
      <c r="OON1722" s="227"/>
      <c r="OOO1722" s="227"/>
      <c r="OOP1722" s="227"/>
      <c r="OOQ1722" s="227"/>
      <c r="OOR1722" s="227"/>
      <c r="OOS1722" s="227"/>
      <c r="OOT1722" s="227"/>
      <c r="OOU1722" s="227"/>
      <c r="OOV1722" s="227"/>
      <c r="OOW1722" s="227"/>
      <c r="OOX1722" s="227"/>
      <c r="OOY1722" s="227"/>
      <c r="OOZ1722" s="227"/>
      <c r="OPA1722" s="227"/>
      <c r="OPB1722" s="227"/>
      <c r="OPC1722" s="227"/>
      <c r="OPD1722" s="227"/>
      <c r="OPE1722" s="227"/>
      <c r="OPF1722" s="227"/>
      <c r="OPG1722" s="227"/>
      <c r="OPH1722" s="227"/>
      <c r="OPI1722" s="227"/>
      <c r="OPJ1722" s="227"/>
      <c r="OPK1722" s="227"/>
      <c r="OPL1722" s="227"/>
      <c r="OPM1722" s="227"/>
      <c r="OPN1722" s="227"/>
      <c r="OPO1722" s="227"/>
      <c r="OPP1722" s="227"/>
      <c r="OPQ1722" s="227"/>
      <c r="OPR1722" s="227"/>
      <c r="OPS1722" s="227"/>
      <c r="OPT1722" s="227"/>
      <c r="OPU1722" s="227"/>
      <c r="OPV1722" s="227"/>
      <c r="OPW1722" s="227"/>
      <c r="OPX1722" s="227"/>
      <c r="OPY1722" s="227"/>
      <c r="OPZ1722" s="227"/>
      <c r="OQA1722" s="227"/>
      <c r="OQB1722" s="227"/>
      <c r="OQC1722" s="227"/>
      <c r="OQD1722" s="227"/>
      <c r="OQE1722" s="227"/>
      <c r="OQF1722" s="227"/>
      <c r="OQG1722" s="227"/>
      <c r="OQH1722" s="227"/>
      <c r="OQI1722" s="227"/>
      <c r="OQJ1722" s="227"/>
      <c r="OQK1722" s="227"/>
      <c r="OQL1722" s="227"/>
      <c r="OQM1722" s="227"/>
      <c r="OQN1722" s="227"/>
      <c r="OQO1722" s="227"/>
      <c r="OQP1722" s="227"/>
      <c r="OQQ1722" s="227"/>
      <c r="OQR1722" s="227"/>
      <c r="OQS1722" s="227"/>
      <c r="OQT1722" s="227"/>
      <c r="OQU1722" s="227"/>
      <c r="OQV1722" s="227"/>
      <c r="OQW1722" s="227"/>
      <c r="OQX1722" s="227"/>
      <c r="OQY1722" s="227"/>
      <c r="OQZ1722" s="227"/>
      <c r="ORA1722" s="227"/>
      <c r="ORB1722" s="227"/>
      <c r="ORC1722" s="227"/>
      <c r="ORD1722" s="227"/>
      <c r="ORE1722" s="227"/>
      <c r="ORF1722" s="227"/>
      <c r="ORG1722" s="227"/>
      <c r="ORH1722" s="227"/>
      <c r="ORI1722" s="227"/>
      <c r="ORJ1722" s="227"/>
      <c r="ORK1722" s="227"/>
      <c r="ORL1722" s="227"/>
      <c r="ORM1722" s="227"/>
      <c r="ORN1722" s="227"/>
      <c r="ORO1722" s="227"/>
      <c r="ORP1722" s="227"/>
      <c r="ORQ1722" s="227"/>
      <c r="ORR1722" s="227"/>
      <c r="ORS1722" s="227"/>
      <c r="ORT1722" s="227"/>
      <c r="ORU1722" s="227"/>
      <c r="ORV1722" s="227"/>
      <c r="ORW1722" s="227"/>
      <c r="ORX1722" s="227"/>
      <c r="ORY1722" s="227"/>
      <c r="ORZ1722" s="227"/>
      <c r="OSA1722" s="227"/>
      <c r="OSB1722" s="227"/>
      <c r="OSC1722" s="227"/>
      <c r="OSD1722" s="227"/>
      <c r="OSE1722" s="227"/>
      <c r="OSF1722" s="227"/>
      <c r="OSG1722" s="227"/>
      <c r="OSH1722" s="227"/>
      <c r="OSI1722" s="227"/>
      <c r="OSJ1722" s="227"/>
      <c r="OSK1722" s="227"/>
      <c r="OSL1722" s="227"/>
      <c r="OSM1722" s="227"/>
      <c r="OSN1722" s="227"/>
      <c r="OSO1722" s="227"/>
      <c r="OSP1722" s="227"/>
      <c r="OSQ1722" s="227"/>
      <c r="OSR1722" s="227"/>
      <c r="OSS1722" s="227"/>
      <c r="OST1722" s="227"/>
      <c r="OSU1722" s="227"/>
      <c r="OSV1722" s="227"/>
      <c r="OSW1722" s="227"/>
      <c r="OSX1722" s="227"/>
      <c r="OSY1722" s="227"/>
      <c r="OSZ1722" s="227"/>
      <c r="OTA1722" s="227"/>
      <c r="OTB1722" s="227"/>
      <c r="OTC1722" s="227"/>
      <c r="OTD1722" s="227"/>
      <c r="OTE1722" s="227"/>
      <c r="OTF1722" s="227"/>
      <c r="OTG1722" s="227"/>
      <c r="OTH1722" s="227"/>
      <c r="OTI1722" s="227"/>
      <c r="OTJ1722" s="227"/>
      <c r="OTK1722" s="227"/>
      <c r="OTL1722" s="227"/>
      <c r="OTM1722" s="227"/>
      <c r="OTN1722" s="227"/>
      <c r="OTO1722" s="227"/>
      <c r="OTP1722" s="227"/>
      <c r="OTQ1722" s="227"/>
      <c r="OTR1722" s="227"/>
      <c r="OTS1722" s="227"/>
      <c r="OTT1722" s="227"/>
      <c r="OTU1722" s="227"/>
      <c r="OTV1722" s="227"/>
      <c r="OTW1722" s="227"/>
      <c r="OTX1722" s="227"/>
      <c r="OTY1722" s="227"/>
      <c r="OTZ1722" s="227"/>
      <c r="OUA1722" s="227"/>
      <c r="OUB1722" s="227"/>
      <c r="OUC1722" s="227"/>
      <c r="OUD1722" s="227"/>
      <c r="OUE1722" s="227"/>
      <c r="OUF1722" s="227"/>
      <c r="OUG1722" s="227"/>
      <c r="OUH1722" s="227"/>
      <c r="OUI1722" s="227"/>
      <c r="OUJ1722" s="227"/>
      <c r="OUK1722" s="227"/>
      <c r="OUL1722" s="227"/>
      <c r="OUM1722" s="227"/>
      <c r="OUN1722" s="227"/>
      <c r="OUO1722" s="227"/>
      <c r="OUP1722" s="227"/>
      <c r="OUQ1722" s="227"/>
      <c r="OUR1722" s="227"/>
      <c r="OUS1722" s="227"/>
      <c r="OUT1722" s="227"/>
      <c r="OUU1722" s="227"/>
      <c r="OUV1722" s="227"/>
      <c r="OUW1722" s="227"/>
      <c r="OUX1722" s="227"/>
      <c r="OUY1722" s="227"/>
      <c r="OUZ1722" s="227"/>
      <c r="OVA1722" s="227"/>
      <c r="OVB1722" s="227"/>
      <c r="OVC1722" s="227"/>
      <c r="OVD1722" s="227"/>
      <c r="OVE1722" s="227"/>
      <c r="OVF1722" s="227"/>
      <c r="OVG1722" s="227"/>
      <c r="OVH1722" s="227"/>
      <c r="OVI1722" s="227"/>
      <c r="OVJ1722" s="227"/>
      <c r="OVK1722" s="227"/>
      <c r="OVL1722" s="227"/>
      <c r="OVM1722" s="227"/>
      <c r="OVN1722" s="227"/>
      <c r="OVO1722" s="227"/>
      <c r="OVP1722" s="227"/>
      <c r="OVQ1722" s="227"/>
      <c r="OVR1722" s="227"/>
      <c r="OVS1722" s="227"/>
      <c r="OVT1722" s="227"/>
      <c r="OVU1722" s="227"/>
      <c r="OVV1722" s="227"/>
      <c r="OVW1722" s="227"/>
      <c r="OVX1722" s="227"/>
      <c r="OVY1722" s="227"/>
      <c r="OVZ1722" s="227"/>
      <c r="OWA1722" s="227"/>
      <c r="OWB1722" s="227"/>
      <c r="OWC1722" s="227"/>
      <c r="OWD1722" s="227"/>
      <c r="OWE1722" s="227"/>
      <c r="OWF1722" s="227"/>
      <c r="OWG1722" s="227"/>
      <c r="OWH1722" s="227"/>
      <c r="OWI1722" s="227"/>
      <c r="OWJ1722" s="227"/>
      <c r="OWK1722" s="227"/>
      <c r="OWL1722" s="227"/>
      <c r="OWM1722" s="227"/>
      <c r="OWN1722" s="227"/>
      <c r="OWO1722" s="227"/>
      <c r="OWP1722" s="227"/>
      <c r="OWQ1722" s="227"/>
      <c r="OWR1722" s="227"/>
      <c r="OWS1722" s="227"/>
      <c r="OWT1722" s="227"/>
      <c r="OWU1722" s="227"/>
      <c r="OWV1722" s="227"/>
      <c r="OWW1722" s="227"/>
      <c r="OWX1722" s="227"/>
      <c r="OWY1722" s="227"/>
      <c r="OWZ1722" s="227"/>
      <c r="OXA1722" s="227"/>
      <c r="OXB1722" s="227"/>
      <c r="OXC1722" s="227"/>
      <c r="OXD1722" s="227"/>
      <c r="OXE1722" s="227"/>
      <c r="OXF1722" s="227"/>
      <c r="OXG1722" s="227"/>
      <c r="OXH1722" s="227"/>
      <c r="OXI1722" s="227"/>
      <c r="OXJ1722" s="227"/>
      <c r="OXK1722" s="227"/>
      <c r="OXL1722" s="227"/>
      <c r="OXM1722" s="227"/>
      <c r="OXN1722" s="227"/>
      <c r="OXO1722" s="227"/>
      <c r="OXP1722" s="227"/>
      <c r="OXQ1722" s="227"/>
      <c r="OXR1722" s="227"/>
      <c r="OXS1722" s="227"/>
      <c r="OXT1722" s="227"/>
      <c r="OXU1722" s="227"/>
      <c r="OXV1722" s="227"/>
      <c r="OXW1722" s="227"/>
      <c r="OXX1722" s="227"/>
      <c r="OXY1722" s="227"/>
      <c r="OXZ1722" s="227"/>
      <c r="OYA1722" s="227"/>
      <c r="OYB1722" s="227"/>
      <c r="OYC1722" s="227"/>
      <c r="OYD1722" s="227"/>
      <c r="OYE1722" s="227"/>
      <c r="OYF1722" s="227"/>
      <c r="OYG1722" s="227"/>
      <c r="OYH1722" s="227"/>
      <c r="OYI1722" s="227"/>
      <c r="OYJ1722" s="227"/>
      <c r="OYK1722" s="227"/>
      <c r="OYL1722" s="227"/>
      <c r="OYM1722" s="227"/>
      <c r="OYN1722" s="227"/>
      <c r="OYO1722" s="227"/>
      <c r="OYP1722" s="227"/>
      <c r="OYQ1722" s="227"/>
      <c r="OYR1722" s="227"/>
      <c r="OYS1722" s="227"/>
      <c r="OYT1722" s="227"/>
      <c r="OYU1722" s="227"/>
      <c r="OYV1722" s="227"/>
      <c r="OYW1722" s="227"/>
      <c r="OYX1722" s="227"/>
      <c r="OYY1722" s="227"/>
      <c r="OYZ1722" s="227"/>
      <c r="OZA1722" s="227"/>
      <c r="OZB1722" s="227"/>
      <c r="OZC1722" s="227"/>
      <c r="OZD1722" s="227"/>
      <c r="OZE1722" s="227"/>
      <c r="OZF1722" s="227"/>
      <c r="OZG1722" s="227"/>
      <c r="OZH1722" s="227"/>
      <c r="OZI1722" s="227"/>
      <c r="OZJ1722" s="227"/>
      <c r="OZK1722" s="227"/>
      <c r="OZL1722" s="227"/>
      <c r="OZM1722" s="227"/>
      <c r="OZN1722" s="227"/>
      <c r="OZO1722" s="227"/>
      <c r="OZP1722" s="227"/>
      <c r="OZQ1722" s="227"/>
      <c r="OZR1722" s="227"/>
      <c r="OZS1722" s="227"/>
      <c r="OZT1722" s="227"/>
      <c r="OZU1722" s="227"/>
      <c r="OZV1722" s="227"/>
      <c r="OZW1722" s="227"/>
      <c r="OZX1722" s="227"/>
      <c r="OZY1722" s="227"/>
      <c r="OZZ1722" s="227"/>
      <c r="PAA1722" s="227"/>
      <c r="PAB1722" s="227"/>
      <c r="PAC1722" s="227"/>
      <c r="PAD1722" s="227"/>
      <c r="PAE1722" s="227"/>
      <c r="PAF1722" s="227"/>
      <c r="PAG1722" s="227"/>
      <c r="PAH1722" s="227"/>
      <c r="PAI1722" s="227"/>
      <c r="PAJ1722" s="227"/>
      <c r="PAK1722" s="227"/>
      <c r="PAL1722" s="227"/>
      <c r="PAM1722" s="227"/>
      <c r="PAN1722" s="227"/>
      <c r="PAO1722" s="227"/>
      <c r="PAP1722" s="227"/>
      <c r="PAQ1722" s="227"/>
      <c r="PAR1722" s="227"/>
      <c r="PAS1722" s="227"/>
      <c r="PAT1722" s="227"/>
      <c r="PAU1722" s="227"/>
      <c r="PAV1722" s="227"/>
      <c r="PAW1722" s="227"/>
      <c r="PAX1722" s="227"/>
      <c r="PAY1722" s="227"/>
      <c r="PAZ1722" s="227"/>
      <c r="PBA1722" s="227"/>
      <c r="PBB1722" s="227"/>
      <c r="PBC1722" s="227"/>
      <c r="PBD1722" s="227"/>
      <c r="PBE1722" s="227"/>
      <c r="PBF1722" s="227"/>
      <c r="PBG1722" s="227"/>
      <c r="PBH1722" s="227"/>
      <c r="PBI1722" s="227"/>
      <c r="PBJ1722" s="227"/>
      <c r="PBK1722" s="227"/>
      <c r="PBL1722" s="227"/>
      <c r="PBM1722" s="227"/>
      <c r="PBN1722" s="227"/>
      <c r="PBO1722" s="227"/>
      <c r="PBP1722" s="227"/>
      <c r="PBQ1722" s="227"/>
      <c r="PBR1722" s="227"/>
      <c r="PBS1722" s="227"/>
      <c r="PBT1722" s="227"/>
      <c r="PBU1722" s="227"/>
      <c r="PBV1722" s="227"/>
      <c r="PBW1722" s="227"/>
      <c r="PBX1722" s="227"/>
      <c r="PBY1722" s="227"/>
      <c r="PBZ1722" s="227"/>
      <c r="PCA1722" s="227"/>
      <c r="PCB1722" s="227"/>
      <c r="PCC1722" s="227"/>
      <c r="PCD1722" s="227"/>
      <c r="PCE1722" s="227"/>
      <c r="PCF1722" s="227"/>
      <c r="PCG1722" s="227"/>
      <c r="PCH1722" s="227"/>
      <c r="PCI1722" s="227"/>
      <c r="PCJ1722" s="227"/>
      <c r="PCK1722" s="227"/>
      <c r="PCL1722" s="227"/>
      <c r="PCM1722" s="227"/>
      <c r="PCN1722" s="227"/>
      <c r="PCO1722" s="227"/>
      <c r="PCP1722" s="227"/>
      <c r="PCQ1722" s="227"/>
      <c r="PCR1722" s="227"/>
      <c r="PCS1722" s="227"/>
      <c r="PCT1722" s="227"/>
      <c r="PCU1722" s="227"/>
      <c r="PCV1722" s="227"/>
      <c r="PCW1722" s="227"/>
      <c r="PCX1722" s="227"/>
      <c r="PCY1722" s="227"/>
      <c r="PCZ1722" s="227"/>
      <c r="PDA1722" s="227"/>
      <c r="PDB1722" s="227"/>
      <c r="PDC1722" s="227"/>
      <c r="PDD1722" s="227"/>
      <c r="PDE1722" s="227"/>
      <c r="PDF1722" s="227"/>
      <c r="PDG1722" s="227"/>
      <c r="PDH1722" s="227"/>
      <c r="PDI1722" s="227"/>
      <c r="PDJ1722" s="227"/>
      <c r="PDK1722" s="227"/>
      <c r="PDL1722" s="227"/>
      <c r="PDM1722" s="227"/>
      <c r="PDN1722" s="227"/>
      <c r="PDO1722" s="227"/>
      <c r="PDP1722" s="227"/>
      <c r="PDQ1722" s="227"/>
      <c r="PDR1722" s="227"/>
      <c r="PDS1722" s="227"/>
      <c r="PDT1722" s="227"/>
      <c r="PDU1722" s="227"/>
      <c r="PDV1722" s="227"/>
      <c r="PDW1722" s="227"/>
      <c r="PDX1722" s="227"/>
      <c r="PDY1722" s="227"/>
      <c r="PDZ1722" s="227"/>
      <c r="PEA1722" s="227"/>
      <c r="PEB1722" s="227"/>
      <c r="PEC1722" s="227"/>
      <c r="PED1722" s="227"/>
      <c r="PEE1722" s="227"/>
      <c r="PEF1722" s="227"/>
      <c r="PEG1722" s="227"/>
      <c r="PEH1722" s="227"/>
      <c r="PEI1722" s="227"/>
      <c r="PEJ1722" s="227"/>
      <c r="PEK1722" s="227"/>
      <c r="PEL1722" s="227"/>
      <c r="PEM1722" s="227"/>
      <c r="PEN1722" s="227"/>
      <c r="PEO1722" s="227"/>
      <c r="PEP1722" s="227"/>
      <c r="PEQ1722" s="227"/>
      <c r="PER1722" s="227"/>
      <c r="PES1722" s="227"/>
      <c r="PET1722" s="227"/>
      <c r="PEU1722" s="227"/>
      <c r="PEV1722" s="227"/>
      <c r="PEW1722" s="227"/>
      <c r="PEX1722" s="227"/>
      <c r="PEY1722" s="227"/>
      <c r="PEZ1722" s="227"/>
      <c r="PFA1722" s="227"/>
      <c r="PFB1722" s="227"/>
      <c r="PFC1722" s="227"/>
      <c r="PFD1722" s="227"/>
      <c r="PFE1722" s="227"/>
      <c r="PFF1722" s="227"/>
      <c r="PFG1722" s="227"/>
      <c r="PFH1722" s="227"/>
      <c r="PFI1722" s="227"/>
      <c r="PFJ1722" s="227"/>
      <c r="PFK1722" s="227"/>
      <c r="PFL1722" s="227"/>
      <c r="PFM1722" s="227"/>
      <c r="PFN1722" s="227"/>
      <c r="PFO1722" s="227"/>
      <c r="PFP1722" s="227"/>
      <c r="PFQ1722" s="227"/>
      <c r="PFR1722" s="227"/>
      <c r="PFS1722" s="227"/>
      <c r="PFT1722" s="227"/>
      <c r="PFU1722" s="227"/>
      <c r="PFV1722" s="227"/>
      <c r="PFW1722" s="227"/>
      <c r="PFX1722" s="227"/>
      <c r="PFY1722" s="227"/>
      <c r="PFZ1722" s="227"/>
      <c r="PGA1722" s="227"/>
      <c r="PGB1722" s="227"/>
      <c r="PGC1722" s="227"/>
      <c r="PGD1722" s="227"/>
      <c r="PGE1722" s="227"/>
      <c r="PGF1722" s="227"/>
      <c r="PGG1722" s="227"/>
      <c r="PGH1722" s="227"/>
      <c r="PGI1722" s="227"/>
      <c r="PGJ1722" s="227"/>
      <c r="PGK1722" s="227"/>
      <c r="PGL1722" s="227"/>
      <c r="PGM1722" s="227"/>
      <c r="PGN1722" s="227"/>
      <c r="PGO1722" s="227"/>
      <c r="PGP1722" s="227"/>
      <c r="PGQ1722" s="227"/>
      <c r="PGR1722" s="227"/>
      <c r="PGS1722" s="227"/>
      <c r="PGT1722" s="227"/>
      <c r="PGU1722" s="227"/>
      <c r="PGV1722" s="227"/>
      <c r="PGW1722" s="227"/>
      <c r="PGX1722" s="227"/>
      <c r="PGY1722" s="227"/>
      <c r="PGZ1722" s="227"/>
      <c r="PHA1722" s="227"/>
      <c r="PHB1722" s="227"/>
      <c r="PHC1722" s="227"/>
      <c r="PHD1722" s="227"/>
      <c r="PHE1722" s="227"/>
      <c r="PHF1722" s="227"/>
      <c r="PHG1722" s="227"/>
      <c r="PHH1722" s="227"/>
      <c r="PHI1722" s="227"/>
      <c r="PHJ1722" s="227"/>
      <c r="PHK1722" s="227"/>
      <c r="PHL1722" s="227"/>
      <c r="PHM1722" s="227"/>
      <c r="PHN1722" s="227"/>
      <c r="PHO1722" s="227"/>
      <c r="PHP1722" s="227"/>
      <c r="PHQ1722" s="227"/>
      <c r="PHR1722" s="227"/>
      <c r="PHS1722" s="227"/>
      <c r="PHT1722" s="227"/>
      <c r="PHU1722" s="227"/>
      <c r="PHV1722" s="227"/>
      <c r="PHW1722" s="227"/>
      <c r="PHX1722" s="227"/>
      <c r="PHY1722" s="227"/>
      <c r="PHZ1722" s="227"/>
      <c r="PIA1722" s="227"/>
      <c r="PIB1722" s="227"/>
      <c r="PIC1722" s="227"/>
      <c r="PID1722" s="227"/>
      <c r="PIE1722" s="227"/>
      <c r="PIF1722" s="227"/>
      <c r="PIG1722" s="227"/>
      <c r="PIH1722" s="227"/>
      <c r="PII1722" s="227"/>
      <c r="PIJ1722" s="227"/>
      <c r="PIK1722" s="227"/>
      <c r="PIL1722" s="227"/>
      <c r="PIM1722" s="227"/>
      <c r="PIN1722" s="227"/>
      <c r="PIO1722" s="227"/>
      <c r="PIP1722" s="227"/>
      <c r="PIQ1722" s="227"/>
      <c r="PIR1722" s="227"/>
      <c r="PIS1722" s="227"/>
      <c r="PIT1722" s="227"/>
      <c r="PIU1722" s="227"/>
      <c r="PIV1722" s="227"/>
      <c r="PIW1722" s="227"/>
      <c r="PIX1722" s="227"/>
      <c r="PIY1722" s="227"/>
      <c r="PIZ1722" s="227"/>
      <c r="PJA1722" s="227"/>
      <c r="PJB1722" s="227"/>
      <c r="PJC1722" s="227"/>
      <c r="PJD1722" s="227"/>
      <c r="PJE1722" s="227"/>
      <c r="PJF1722" s="227"/>
      <c r="PJG1722" s="227"/>
      <c r="PJH1722" s="227"/>
      <c r="PJI1722" s="227"/>
      <c r="PJJ1722" s="227"/>
      <c r="PJK1722" s="227"/>
      <c r="PJL1722" s="227"/>
      <c r="PJM1722" s="227"/>
      <c r="PJN1722" s="227"/>
      <c r="PJO1722" s="227"/>
      <c r="PJP1722" s="227"/>
      <c r="PJQ1722" s="227"/>
      <c r="PJR1722" s="227"/>
      <c r="PJS1722" s="227"/>
      <c r="PJT1722" s="227"/>
      <c r="PJU1722" s="227"/>
      <c r="PJV1722" s="227"/>
      <c r="PJW1722" s="227"/>
      <c r="PJX1722" s="227"/>
      <c r="PJY1722" s="227"/>
      <c r="PJZ1722" s="227"/>
      <c r="PKA1722" s="227"/>
      <c r="PKB1722" s="227"/>
      <c r="PKC1722" s="227"/>
      <c r="PKD1722" s="227"/>
      <c r="PKE1722" s="227"/>
      <c r="PKF1722" s="227"/>
      <c r="PKG1722" s="227"/>
      <c r="PKH1722" s="227"/>
      <c r="PKI1722" s="227"/>
      <c r="PKJ1722" s="227"/>
      <c r="PKK1722" s="227"/>
      <c r="PKL1722" s="227"/>
      <c r="PKM1722" s="227"/>
      <c r="PKN1722" s="227"/>
      <c r="PKO1722" s="227"/>
      <c r="PKP1722" s="227"/>
      <c r="PKQ1722" s="227"/>
      <c r="PKR1722" s="227"/>
      <c r="PKS1722" s="227"/>
      <c r="PKT1722" s="227"/>
      <c r="PKU1722" s="227"/>
      <c r="PKV1722" s="227"/>
      <c r="PKW1722" s="227"/>
      <c r="PKX1722" s="227"/>
      <c r="PKY1722" s="227"/>
      <c r="PKZ1722" s="227"/>
      <c r="PLA1722" s="227"/>
      <c r="PLB1722" s="227"/>
      <c r="PLC1722" s="227"/>
      <c r="PLD1722" s="227"/>
      <c r="PLE1722" s="227"/>
      <c r="PLF1722" s="227"/>
      <c r="PLG1722" s="227"/>
      <c r="PLH1722" s="227"/>
      <c r="PLI1722" s="227"/>
      <c r="PLJ1722" s="227"/>
      <c r="PLK1722" s="227"/>
      <c r="PLL1722" s="227"/>
      <c r="PLM1722" s="227"/>
      <c r="PLN1722" s="227"/>
      <c r="PLO1722" s="227"/>
      <c r="PLP1722" s="227"/>
      <c r="PLQ1722" s="227"/>
      <c r="PLR1722" s="227"/>
      <c r="PLS1722" s="227"/>
      <c r="PLT1722" s="227"/>
      <c r="PLU1722" s="227"/>
      <c r="PLV1722" s="227"/>
      <c r="PLW1722" s="227"/>
      <c r="PLX1722" s="227"/>
      <c r="PLY1722" s="227"/>
      <c r="PLZ1722" s="227"/>
      <c r="PMA1722" s="227"/>
      <c r="PMB1722" s="227"/>
      <c r="PMC1722" s="227"/>
      <c r="PMD1722" s="227"/>
      <c r="PME1722" s="227"/>
      <c r="PMF1722" s="227"/>
      <c r="PMG1722" s="227"/>
      <c r="PMH1722" s="227"/>
      <c r="PMI1722" s="227"/>
      <c r="PMJ1722" s="227"/>
      <c r="PMK1722" s="227"/>
      <c r="PML1722" s="227"/>
      <c r="PMM1722" s="227"/>
      <c r="PMN1722" s="227"/>
      <c r="PMO1722" s="227"/>
      <c r="PMP1722" s="227"/>
      <c r="PMQ1722" s="227"/>
      <c r="PMR1722" s="227"/>
      <c r="PMS1722" s="227"/>
      <c r="PMT1722" s="227"/>
      <c r="PMU1722" s="227"/>
      <c r="PMV1722" s="227"/>
      <c r="PMW1722" s="227"/>
      <c r="PMX1722" s="227"/>
      <c r="PMY1722" s="227"/>
      <c r="PMZ1722" s="227"/>
      <c r="PNA1722" s="227"/>
      <c r="PNB1722" s="227"/>
      <c r="PNC1722" s="227"/>
      <c r="PND1722" s="227"/>
      <c r="PNE1722" s="227"/>
      <c r="PNF1722" s="227"/>
      <c r="PNG1722" s="227"/>
      <c r="PNH1722" s="227"/>
      <c r="PNI1722" s="227"/>
      <c r="PNJ1722" s="227"/>
      <c r="PNK1722" s="227"/>
      <c r="PNL1722" s="227"/>
      <c r="PNM1722" s="227"/>
      <c r="PNN1722" s="227"/>
      <c r="PNO1722" s="227"/>
      <c r="PNP1722" s="227"/>
      <c r="PNQ1722" s="227"/>
      <c r="PNR1722" s="227"/>
      <c r="PNS1722" s="227"/>
      <c r="PNT1722" s="227"/>
      <c r="PNU1722" s="227"/>
      <c r="PNV1722" s="227"/>
      <c r="PNW1722" s="227"/>
      <c r="PNX1722" s="227"/>
      <c r="PNY1722" s="227"/>
      <c r="PNZ1722" s="227"/>
      <c r="POA1722" s="227"/>
      <c r="POB1722" s="227"/>
      <c r="POC1722" s="227"/>
      <c r="POD1722" s="227"/>
      <c r="POE1722" s="227"/>
      <c r="POF1722" s="227"/>
      <c r="POG1722" s="227"/>
      <c r="POH1722" s="227"/>
      <c r="POI1722" s="227"/>
      <c r="POJ1722" s="227"/>
      <c r="POK1722" s="227"/>
      <c r="POL1722" s="227"/>
      <c r="POM1722" s="227"/>
      <c r="PON1722" s="227"/>
      <c r="POO1722" s="227"/>
      <c r="POP1722" s="227"/>
      <c r="POQ1722" s="227"/>
      <c r="POR1722" s="227"/>
      <c r="POS1722" s="227"/>
      <c r="POT1722" s="227"/>
      <c r="POU1722" s="227"/>
      <c r="POV1722" s="227"/>
      <c r="POW1722" s="227"/>
      <c r="POX1722" s="227"/>
      <c r="POY1722" s="227"/>
      <c r="POZ1722" s="227"/>
      <c r="PPA1722" s="227"/>
      <c r="PPB1722" s="227"/>
      <c r="PPC1722" s="227"/>
      <c r="PPD1722" s="227"/>
      <c r="PPE1722" s="227"/>
      <c r="PPF1722" s="227"/>
      <c r="PPG1722" s="227"/>
      <c r="PPH1722" s="227"/>
      <c r="PPI1722" s="227"/>
      <c r="PPJ1722" s="227"/>
      <c r="PPK1722" s="227"/>
      <c r="PPL1722" s="227"/>
      <c r="PPM1722" s="227"/>
      <c r="PPN1722" s="227"/>
      <c r="PPO1722" s="227"/>
      <c r="PPP1722" s="227"/>
      <c r="PPQ1722" s="227"/>
      <c r="PPR1722" s="227"/>
      <c r="PPS1722" s="227"/>
      <c r="PPT1722" s="227"/>
      <c r="PPU1722" s="227"/>
      <c r="PPV1722" s="227"/>
      <c r="PPW1722" s="227"/>
      <c r="PPX1722" s="227"/>
      <c r="PPY1722" s="227"/>
      <c r="PPZ1722" s="227"/>
      <c r="PQA1722" s="227"/>
      <c r="PQB1722" s="227"/>
      <c r="PQC1722" s="227"/>
      <c r="PQD1722" s="227"/>
      <c r="PQE1722" s="227"/>
      <c r="PQF1722" s="227"/>
      <c r="PQG1722" s="227"/>
      <c r="PQH1722" s="227"/>
      <c r="PQI1722" s="227"/>
      <c r="PQJ1722" s="227"/>
      <c r="PQK1722" s="227"/>
      <c r="PQL1722" s="227"/>
      <c r="PQM1722" s="227"/>
      <c r="PQN1722" s="227"/>
      <c r="PQO1722" s="227"/>
      <c r="PQP1722" s="227"/>
      <c r="PQQ1722" s="227"/>
      <c r="PQR1722" s="227"/>
      <c r="PQS1722" s="227"/>
      <c r="PQT1722" s="227"/>
      <c r="PQU1722" s="227"/>
      <c r="PQV1722" s="227"/>
      <c r="PQW1722" s="227"/>
      <c r="PQX1722" s="227"/>
      <c r="PQY1722" s="227"/>
      <c r="PQZ1722" s="227"/>
      <c r="PRA1722" s="227"/>
      <c r="PRB1722" s="227"/>
      <c r="PRC1722" s="227"/>
      <c r="PRD1722" s="227"/>
      <c r="PRE1722" s="227"/>
      <c r="PRF1722" s="227"/>
      <c r="PRG1722" s="227"/>
      <c r="PRH1722" s="227"/>
      <c r="PRI1722" s="227"/>
      <c r="PRJ1722" s="227"/>
      <c r="PRK1722" s="227"/>
      <c r="PRL1722" s="227"/>
      <c r="PRM1722" s="227"/>
      <c r="PRN1722" s="227"/>
      <c r="PRO1722" s="227"/>
      <c r="PRP1722" s="227"/>
      <c r="PRQ1722" s="227"/>
      <c r="PRR1722" s="227"/>
      <c r="PRS1722" s="227"/>
      <c r="PRT1722" s="227"/>
      <c r="PRU1722" s="227"/>
      <c r="PRV1722" s="227"/>
      <c r="PRW1722" s="227"/>
      <c r="PRX1722" s="227"/>
      <c r="PRY1722" s="227"/>
      <c r="PRZ1722" s="227"/>
      <c r="PSA1722" s="227"/>
      <c r="PSB1722" s="227"/>
      <c r="PSC1722" s="227"/>
      <c r="PSD1722" s="227"/>
      <c r="PSE1722" s="227"/>
      <c r="PSF1722" s="227"/>
      <c r="PSG1722" s="227"/>
      <c r="PSH1722" s="227"/>
      <c r="PSI1722" s="227"/>
      <c r="PSJ1722" s="227"/>
      <c r="PSK1722" s="227"/>
      <c r="PSL1722" s="227"/>
      <c r="PSM1722" s="227"/>
      <c r="PSN1722" s="227"/>
      <c r="PSO1722" s="227"/>
      <c r="PSP1722" s="227"/>
      <c r="PSQ1722" s="227"/>
      <c r="PSR1722" s="227"/>
      <c r="PSS1722" s="227"/>
      <c r="PST1722" s="227"/>
      <c r="PSU1722" s="227"/>
      <c r="PSV1722" s="227"/>
      <c r="PSW1722" s="227"/>
      <c r="PSX1722" s="227"/>
      <c r="PSY1722" s="227"/>
      <c r="PSZ1722" s="227"/>
      <c r="PTA1722" s="227"/>
      <c r="PTB1722" s="227"/>
      <c r="PTC1722" s="227"/>
      <c r="PTD1722" s="227"/>
      <c r="PTE1722" s="227"/>
      <c r="PTF1722" s="227"/>
      <c r="PTG1722" s="227"/>
      <c r="PTH1722" s="227"/>
      <c r="PTI1722" s="227"/>
      <c r="PTJ1722" s="227"/>
      <c r="PTK1722" s="227"/>
      <c r="PTL1722" s="227"/>
      <c r="PTM1722" s="227"/>
      <c r="PTN1722" s="227"/>
      <c r="PTO1722" s="227"/>
      <c r="PTP1722" s="227"/>
      <c r="PTQ1722" s="227"/>
      <c r="PTR1722" s="227"/>
      <c r="PTS1722" s="227"/>
      <c r="PTT1722" s="227"/>
      <c r="PTU1722" s="227"/>
      <c r="PTV1722" s="227"/>
      <c r="PTW1722" s="227"/>
      <c r="PTX1722" s="227"/>
      <c r="PTY1722" s="227"/>
      <c r="PTZ1722" s="227"/>
      <c r="PUA1722" s="227"/>
      <c r="PUB1722" s="227"/>
      <c r="PUC1722" s="227"/>
      <c r="PUD1722" s="227"/>
      <c r="PUE1722" s="227"/>
      <c r="PUF1722" s="227"/>
      <c r="PUG1722" s="227"/>
      <c r="PUH1722" s="227"/>
      <c r="PUI1722" s="227"/>
      <c r="PUJ1722" s="227"/>
      <c r="PUK1722" s="227"/>
      <c r="PUL1722" s="227"/>
      <c r="PUM1722" s="227"/>
      <c r="PUN1722" s="227"/>
      <c r="PUO1722" s="227"/>
      <c r="PUP1722" s="227"/>
      <c r="PUQ1722" s="227"/>
      <c r="PUR1722" s="227"/>
      <c r="PUS1722" s="227"/>
      <c r="PUT1722" s="227"/>
      <c r="PUU1722" s="227"/>
      <c r="PUV1722" s="227"/>
      <c r="PUW1722" s="227"/>
      <c r="PUX1722" s="227"/>
      <c r="PUY1722" s="227"/>
      <c r="PUZ1722" s="227"/>
      <c r="PVA1722" s="227"/>
      <c r="PVB1722" s="227"/>
      <c r="PVC1722" s="227"/>
      <c r="PVD1722" s="227"/>
      <c r="PVE1722" s="227"/>
      <c r="PVF1722" s="227"/>
      <c r="PVG1722" s="227"/>
      <c r="PVH1722" s="227"/>
      <c r="PVI1722" s="227"/>
      <c r="PVJ1722" s="227"/>
      <c r="PVK1722" s="227"/>
      <c r="PVL1722" s="227"/>
      <c r="PVM1722" s="227"/>
      <c r="PVN1722" s="227"/>
      <c r="PVO1722" s="227"/>
      <c r="PVP1722" s="227"/>
      <c r="PVQ1722" s="227"/>
      <c r="PVR1722" s="227"/>
      <c r="PVS1722" s="227"/>
      <c r="PVT1722" s="227"/>
      <c r="PVU1722" s="227"/>
      <c r="PVV1722" s="227"/>
      <c r="PVW1722" s="227"/>
      <c r="PVX1722" s="227"/>
      <c r="PVY1722" s="227"/>
      <c r="PVZ1722" s="227"/>
      <c r="PWA1722" s="227"/>
      <c r="PWB1722" s="227"/>
      <c r="PWC1722" s="227"/>
      <c r="PWD1722" s="227"/>
      <c r="PWE1722" s="227"/>
      <c r="PWF1722" s="227"/>
      <c r="PWG1722" s="227"/>
      <c r="PWH1722" s="227"/>
      <c r="PWI1722" s="227"/>
      <c r="PWJ1722" s="227"/>
      <c r="PWK1722" s="227"/>
      <c r="PWL1722" s="227"/>
      <c r="PWM1722" s="227"/>
      <c r="PWN1722" s="227"/>
      <c r="PWO1722" s="227"/>
      <c r="PWP1722" s="227"/>
      <c r="PWQ1722" s="227"/>
      <c r="PWR1722" s="227"/>
      <c r="PWS1722" s="227"/>
      <c r="PWT1722" s="227"/>
      <c r="PWU1722" s="227"/>
      <c r="PWV1722" s="227"/>
      <c r="PWW1722" s="227"/>
      <c r="PWX1722" s="227"/>
      <c r="PWY1722" s="227"/>
      <c r="PWZ1722" s="227"/>
      <c r="PXA1722" s="227"/>
      <c r="PXB1722" s="227"/>
      <c r="PXC1722" s="227"/>
      <c r="PXD1722" s="227"/>
      <c r="PXE1722" s="227"/>
      <c r="PXF1722" s="227"/>
      <c r="PXG1722" s="227"/>
      <c r="PXH1722" s="227"/>
      <c r="PXI1722" s="227"/>
      <c r="PXJ1722" s="227"/>
      <c r="PXK1722" s="227"/>
      <c r="PXL1722" s="227"/>
      <c r="PXM1722" s="227"/>
      <c r="PXN1722" s="227"/>
      <c r="PXO1722" s="227"/>
      <c r="PXP1722" s="227"/>
      <c r="PXQ1722" s="227"/>
      <c r="PXR1722" s="227"/>
      <c r="PXS1722" s="227"/>
      <c r="PXT1722" s="227"/>
      <c r="PXU1722" s="227"/>
      <c r="PXV1722" s="227"/>
      <c r="PXW1722" s="227"/>
      <c r="PXX1722" s="227"/>
      <c r="PXY1722" s="227"/>
      <c r="PXZ1722" s="227"/>
      <c r="PYA1722" s="227"/>
      <c r="PYB1722" s="227"/>
      <c r="PYC1722" s="227"/>
      <c r="PYD1722" s="227"/>
      <c r="PYE1722" s="227"/>
      <c r="PYF1722" s="227"/>
      <c r="PYG1722" s="227"/>
      <c r="PYH1722" s="227"/>
      <c r="PYI1722" s="227"/>
      <c r="PYJ1722" s="227"/>
      <c r="PYK1722" s="227"/>
      <c r="PYL1722" s="227"/>
      <c r="PYM1722" s="227"/>
      <c r="PYN1722" s="227"/>
      <c r="PYO1722" s="227"/>
      <c r="PYP1722" s="227"/>
      <c r="PYQ1722" s="227"/>
      <c r="PYR1722" s="227"/>
      <c r="PYS1722" s="227"/>
      <c r="PYT1722" s="227"/>
      <c r="PYU1722" s="227"/>
      <c r="PYV1722" s="227"/>
      <c r="PYW1722" s="227"/>
      <c r="PYX1722" s="227"/>
      <c r="PYY1722" s="227"/>
      <c r="PYZ1722" s="227"/>
      <c r="PZA1722" s="227"/>
      <c r="PZB1722" s="227"/>
      <c r="PZC1722" s="227"/>
      <c r="PZD1722" s="227"/>
      <c r="PZE1722" s="227"/>
      <c r="PZF1722" s="227"/>
      <c r="PZG1722" s="227"/>
      <c r="PZH1722" s="227"/>
      <c r="PZI1722" s="227"/>
      <c r="PZJ1722" s="227"/>
      <c r="PZK1722" s="227"/>
      <c r="PZL1722" s="227"/>
      <c r="PZM1722" s="227"/>
      <c r="PZN1722" s="227"/>
      <c r="PZO1722" s="227"/>
      <c r="PZP1722" s="227"/>
      <c r="PZQ1722" s="227"/>
      <c r="PZR1722" s="227"/>
      <c r="PZS1722" s="227"/>
      <c r="PZT1722" s="227"/>
      <c r="PZU1722" s="227"/>
      <c r="PZV1722" s="227"/>
      <c r="PZW1722" s="227"/>
      <c r="PZX1722" s="227"/>
      <c r="PZY1722" s="227"/>
      <c r="PZZ1722" s="227"/>
      <c r="QAA1722" s="227"/>
      <c r="QAB1722" s="227"/>
      <c r="QAC1722" s="227"/>
      <c r="QAD1722" s="227"/>
      <c r="QAE1722" s="227"/>
      <c r="QAF1722" s="227"/>
      <c r="QAG1722" s="227"/>
      <c r="QAH1722" s="227"/>
      <c r="QAI1722" s="227"/>
      <c r="QAJ1722" s="227"/>
      <c r="QAK1722" s="227"/>
      <c r="QAL1722" s="227"/>
      <c r="QAM1722" s="227"/>
      <c r="QAN1722" s="227"/>
      <c r="QAO1722" s="227"/>
      <c r="QAP1722" s="227"/>
      <c r="QAQ1722" s="227"/>
      <c r="QAR1722" s="227"/>
      <c r="QAS1722" s="227"/>
      <c r="QAT1722" s="227"/>
      <c r="QAU1722" s="227"/>
      <c r="QAV1722" s="227"/>
      <c r="QAW1722" s="227"/>
      <c r="QAX1722" s="227"/>
      <c r="QAY1722" s="227"/>
      <c r="QAZ1722" s="227"/>
      <c r="QBA1722" s="227"/>
      <c r="QBB1722" s="227"/>
      <c r="QBC1722" s="227"/>
      <c r="QBD1722" s="227"/>
      <c r="QBE1722" s="227"/>
      <c r="QBF1722" s="227"/>
      <c r="QBG1722" s="227"/>
      <c r="QBH1722" s="227"/>
      <c r="QBI1722" s="227"/>
      <c r="QBJ1722" s="227"/>
      <c r="QBK1722" s="227"/>
      <c r="QBL1722" s="227"/>
      <c r="QBM1722" s="227"/>
      <c r="QBN1722" s="227"/>
      <c r="QBO1722" s="227"/>
      <c r="QBP1722" s="227"/>
      <c r="QBQ1722" s="227"/>
      <c r="QBR1722" s="227"/>
      <c r="QBS1722" s="227"/>
      <c r="QBT1722" s="227"/>
      <c r="QBU1722" s="227"/>
      <c r="QBV1722" s="227"/>
      <c r="QBW1722" s="227"/>
      <c r="QBX1722" s="227"/>
      <c r="QBY1722" s="227"/>
      <c r="QBZ1722" s="227"/>
      <c r="QCA1722" s="227"/>
      <c r="QCB1722" s="227"/>
      <c r="QCC1722" s="227"/>
      <c r="QCD1722" s="227"/>
      <c r="QCE1722" s="227"/>
      <c r="QCF1722" s="227"/>
      <c r="QCG1722" s="227"/>
      <c r="QCH1722" s="227"/>
      <c r="QCI1722" s="227"/>
      <c r="QCJ1722" s="227"/>
      <c r="QCK1722" s="227"/>
      <c r="QCL1722" s="227"/>
      <c r="QCM1722" s="227"/>
      <c r="QCN1722" s="227"/>
      <c r="QCO1722" s="227"/>
      <c r="QCP1722" s="227"/>
      <c r="QCQ1722" s="227"/>
      <c r="QCR1722" s="227"/>
      <c r="QCS1722" s="227"/>
      <c r="QCT1722" s="227"/>
      <c r="QCU1722" s="227"/>
      <c r="QCV1722" s="227"/>
      <c r="QCW1722" s="227"/>
      <c r="QCX1722" s="227"/>
      <c r="QCY1722" s="227"/>
      <c r="QCZ1722" s="227"/>
      <c r="QDA1722" s="227"/>
      <c r="QDB1722" s="227"/>
      <c r="QDC1722" s="227"/>
      <c r="QDD1722" s="227"/>
      <c r="QDE1722" s="227"/>
      <c r="QDF1722" s="227"/>
      <c r="QDG1722" s="227"/>
      <c r="QDH1722" s="227"/>
      <c r="QDI1722" s="227"/>
      <c r="QDJ1722" s="227"/>
      <c r="QDK1722" s="227"/>
      <c r="QDL1722" s="227"/>
      <c r="QDM1722" s="227"/>
      <c r="QDN1722" s="227"/>
      <c r="QDO1722" s="227"/>
      <c r="QDP1722" s="227"/>
      <c r="QDQ1722" s="227"/>
      <c r="QDR1722" s="227"/>
      <c r="QDS1722" s="227"/>
      <c r="QDT1722" s="227"/>
      <c r="QDU1722" s="227"/>
      <c r="QDV1722" s="227"/>
      <c r="QDW1722" s="227"/>
      <c r="QDX1722" s="227"/>
      <c r="QDY1722" s="227"/>
      <c r="QDZ1722" s="227"/>
      <c r="QEA1722" s="227"/>
      <c r="QEB1722" s="227"/>
      <c r="QEC1722" s="227"/>
      <c r="QED1722" s="227"/>
      <c r="QEE1722" s="227"/>
      <c r="QEF1722" s="227"/>
      <c r="QEG1722" s="227"/>
      <c r="QEH1722" s="227"/>
      <c r="QEI1722" s="227"/>
      <c r="QEJ1722" s="227"/>
      <c r="QEK1722" s="227"/>
      <c r="QEL1722" s="227"/>
      <c r="QEM1722" s="227"/>
      <c r="QEN1722" s="227"/>
      <c r="QEO1722" s="227"/>
      <c r="QEP1722" s="227"/>
      <c r="QEQ1722" s="227"/>
      <c r="QER1722" s="227"/>
      <c r="QES1722" s="227"/>
      <c r="QET1722" s="227"/>
      <c r="QEU1722" s="227"/>
      <c r="QEV1722" s="227"/>
      <c r="QEW1722" s="227"/>
      <c r="QEX1722" s="227"/>
      <c r="QEY1722" s="227"/>
      <c r="QEZ1722" s="227"/>
      <c r="QFA1722" s="227"/>
      <c r="QFB1722" s="227"/>
      <c r="QFC1722" s="227"/>
      <c r="QFD1722" s="227"/>
      <c r="QFE1722" s="227"/>
      <c r="QFF1722" s="227"/>
      <c r="QFG1722" s="227"/>
      <c r="QFH1722" s="227"/>
      <c r="QFI1722" s="227"/>
      <c r="QFJ1722" s="227"/>
      <c r="QFK1722" s="227"/>
      <c r="QFL1722" s="227"/>
      <c r="QFM1722" s="227"/>
      <c r="QFN1722" s="227"/>
      <c r="QFO1722" s="227"/>
      <c r="QFP1722" s="227"/>
      <c r="QFQ1722" s="227"/>
      <c r="QFR1722" s="227"/>
      <c r="QFS1722" s="227"/>
      <c r="QFT1722" s="227"/>
      <c r="QFU1722" s="227"/>
      <c r="QFV1722" s="227"/>
      <c r="QFW1722" s="227"/>
      <c r="QFX1722" s="227"/>
      <c r="QFY1722" s="227"/>
      <c r="QFZ1722" s="227"/>
      <c r="QGA1722" s="227"/>
      <c r="QGB1722" s="227"/>
      <c r="QGC1722" s="227"/>
      <c r="QGD1722" s="227"/>
      <c r="QGE1722" s="227"/>
      <c r="QGF1722" s="227"/>
      <c r="QGG1722" s="227"/>
      <c r="QGH1722" s="227"/>
      <c r="QGI1722" s="227"/>
      <c r="QGJ1722" s="227"/>
      <c r="QGK1722" s="227"/>
      <c r="QGL1722" s="227"/>
      <c r="QGM1722" s="227"/>
      <c r="QGN1722" s="227"/>
      <c r="QGO1722" s="227"/>
      <c r="QGP1722" s="227"/>
      <c r="QGQ1722" s="227"/>
      <c r="QGR1722" s="227"/>
      <c r="QGS1722" s="227"/>
      <c r="QGT1722" s="227"/>
      <c r="QGU1722" s="227"/>
      <c r="QGV1722" s="227"/>
      <c r="QGW1722" s="227"/>
      <c r="QGX1722" s="227"/>
      <c r="QGY1722" s="227"/>
      <c r="QGZ1722" s="227"/>
      <c r="QHA1722" s="227"/>
      <c r="QHB1722" s="227"/>
      <c r="QHC1722" s="227"/>
      <c r="QHD1722" s="227"/>
      <c r="QHE1722" s="227"/>
      <c r="QHF1722" s="227"/>
      <c r="QHG1722" s="227"/>
      <c r="QHH1722" s="227"/>
      <c r="QHI1722" s="227"/>
      <c r="QHJ1722" s="227"/>
      <c r="QHK1722" s="227"/>
      <c r="QHL1722" s="227"/>
      <c r="QHM1722" s="227"/>
      <c r="QHN1722" s="227"/>
      <c r="QHO1722" s="227"/>
      <c r="QHP1722" s="227"/>
      <c r="QHQ1722" s="227"/>
      <c r="QHR1722" s="227"/>
      <c r="QHS1722" s="227"/>
      <c r="QHT1722" s="227"/>
      <c r="QHU1722" s="227"/>
      <c r="QHV1722" s="227"/>
      <c r="QHW1722" s="227"/>
      <c r="QHX1722" s="227"/>
      <c r="QHY1722" s="227"/>
      <c r="QHZ1722" s="227"/>
      <c r="QIA1722" s="227"/>
      <c r="QIB1722" s="227"/>
      <c r="QIC1722" s="227"/>
      <c r="QID1722" s="227"/>
      <c r="QIE1722" s="227"/>
      <c r="QIF1722" s="227"/>
      <c r="QIG1722" s="227"/>
      <c r="QIH1722" s="227"/>
      <c r="QII1722" s="227"/>
      <c r="QIJ1722" s="227"/>
      <c r="QIK1722" s="227"/>
      <c r="QIL1722" s="227"/>
      <c r="QIM1722" s="227"/>
      <c r="QIN1722" s="227"/>
      <c r="QIO1722" s="227"/>
      <c r="QIP1722" s="227"/>
      <c r="QIQ1722" s="227"/>
      <c r="QIR1722" s="227"/>
      <c r="QIS1722" s="227"/>
      <c r="QIT1722" s="227"/>
      <c r="QIU1722" s="227"/>
      <c r="QIV1722" s="227"/>
      <c r="QIW1722" s="227"/>
      <c r="QIX1722" s="227"/>
      <c r="QIY1722" s="227"/>
      <c r="QIZ1722" s="227"/>
      <c r="QJA1722" s="227"/>
      <c r="QJB1722" s="227"/>
      <c r="QJC1722" s="227"/>
      <c r="QJD1722" s="227"/>
      <c r="QJE1722" s="227"/>
      <c r="QJF1722" s="227"/>
      <c r="QJG1722" s="227"/>
      <c r="QJH1722" s="227"/>
      <c r="QJI1722" s="227"/>
      <c r="QJJ1722" s="227"/>
      <c r="QJK1722" s="227"/>
      <c r="QJL1722" s="227"/>
      <c r="QJM1722" s="227"/>
      <c r="QJN1722" s="227"/>
      <c r="QJO1722" s="227"/>
      <c r="QJP1722" s="227"/>
      <c r="QJQ1722" s="227"/>
      <c r="QJR1722" s="227"/>
      <c r="QJS1722" s="227"/>
      <c r="QJT1722" s="227"/>
      <c r="QJU1722" s="227"/>
      <c r="QJV1722" s="227"/>
      <c r="QJW1722" s="227"/>
      <c r="QJX1722" s="227"/>
      <c r="QJY1722" s="227"/>
      <c r="QJZ1722" s="227"/>
      <c r="QKA1722" s="227"/>
      <c r="QKB1722" s="227"/>
      <c r="QKC1722" s="227"/>
      <c r="QKD1722" s="227"/>
      <c r="QKE1722" s="227"/>
      <c r="QKF1722" s="227"/>
      <c r="QKG1722" s="227"/>
      <c r="QKH1722" s="227"/>
      <c r="QKI1722" s="227"/>
      <c r="QKJ1722" s="227"/>
      <c r="QKK1722" s="227"/>
      <c r="QKL1722" s="227"/>
      <c r="QKM1722" s="227"/>
      <c r="QKN1722" s="227"/>
      <c r="QKO1722" s="227"/>
      <c r="QKP1722" s="227"/>
      <c r="QKQ1722" s="227"/>
      <c r="QKR1722" s="227"/>
      <c r="QKS1722" s="227"/>
      <c r="QKT1722" s="227"/>
      <c r="QKU1722" s="227"/>
      <c r="QKV1722" s="227"/>
      <c r="QKW1722" s="227"/>
      <c r="QKX1722" s="227"/>
      <c r="QKY1722" s="227"/>
      <c r="QKZ1722" s="227"/>
      <c r="QLA1722" s="227"/>
      <c r="QLB1722" s="227"/>
      <c r="QLC1722" s="227"/>
      <c r="QLD1722" s="227"/>
      <c r="QLE1722" s="227"/>
      <c r="QLF1722" s="227"/>
      <c r="QLG1722" s="227"/>
      <c r="QLH1722" s="227"/>
      <c r="QLI1722" s="227"/>
      <c r="QLJ1722" s="227"/>
      <c r="QLK1722" s="227"/>
      <c r="QLL1722" s="227"/>
      <c r="QLM1722" s="227"/>
      <c r="QLN1722" s="227"/>
      <c r="QLO1722" s="227"/>
      <c r="QLP1722" s="227"/>
      <c r="QLQ1722" s="227"/>
      <c r="QLR1722" s="227"/>
      <c r="QLS1722" s="227"/>
      <c r="QLT1722" s="227"/>
      <c r="QLU1722" s="227"/>
      <c r="QLV1722" s="227"/>
      <c r="QLW1722" s="227"/>
      <c r="QLX1722" s="227"/>
      <c r="QLY1722" s="227"/>
      <c r="QLZ1722" s="227"/>
      <c r="QMA1722" s="227"/>
      <c r="QMB1722" s="227"/>
      <c r="QMC1722" s="227"/>
      <c r="QMD1722" s="227"/>
      <c r="QME1722" s="227"/>
      <c r="QMF1722" s="227"/>
      <c r="QMG1722" s="227"/>
      <c r="QMH1722" s="227"/>
      <c r="QMI1722" s="227"/>
      <c r="QMJ1722" s="227"/>
      <c r="QMK1722" s="227"/>
      <c r="QML1722" s="227"/>
      <c r="QMM1722" s="227"/>
      <c r="QMN1722" s="227"/>
      <c r="QMO1722" s="227"/>
      <c r="QMP1722" s="227"/>
      <c r="QMQ1722" s="227"/>
      <c r="QMR1722" s="227"/>
      <c r="QMS1722" s="227"/>
      <c r="QMT1722" s="227"/>
      <c r="QMU1722" s="227"/>
      <c r="QMV1722" s="227"/>
      <c r="QMW1722" s="227"/>
      <c r="QMX1722" s="227"/>
      <c r="QMY1722" s="227"/>
      <c r="QMZ1722" s="227"/>
      <c r="QNA1722" s="227"/>
      <c r="QNB1722" s="227"/>
      <c r="QNC1722" s="227"/>
      <c r="QND1722" s="227"/>
      <c r="QNE1722" s="227"/>
      <c r="QNF1722" s="227"/>
      <c r="QNG1722" s="227"/>
      <c r="QNH1722" s="227"/>
      <c r="QNI1722" s="227"/>
      <c r="QNJ1722" s="227"/>
      <c r="QNK1722" s="227"/>
      <c r="QNL1722" s="227"/>
      <c r="QNM1722" s="227"/>
      <c r="QNN1722" s="227"/>
      <c r="QNO1722" s="227"/>
      <c r="QNP1722" s="227"/>
      <c r="QNQ1722" s="227"/>
      <c r="QNR1722" s="227"/>
      <c r="QNS1722" s="227"/>
      <c r="QNT1722" s="227"/>
      <c r="QNU1722" s="227"/>
      <c r="QNV1722" s="227"/>
      <c r="QNW1722" s="227"/>
      <c r="QNX1722" s="227"/>
      <c r="QNY1722" s="227"/>
      <c r="QNZ1722" s="227"/>
      <c r="QOA1722" s="227"/>
      <c r="QOB1722" s="227"/>
      <c r="QOC1722" s="227"/>
      <c r="QOD1722" s="227"/>
      <c r="QOE1722" s="227"/>
      <c r="QOF1722" s="227"/>
      <c r="QOG1722" s="227"/>
      <c r="QOH1722" s="227"/>
      <c r="QOI1722" s="227"/>
      <c r="QOJ1722" s="227"/>
      <c r="QOK1722" s="227"/>
      <c r="QOL1722" s="227"/>
      <c r="QOM1722" s="227"/>
      <c r="QON1722" s="227"/>
      <c r="QOO1722" s="227"/>
      <c r="QOP1722" s="227"/>
      <c r="QOQ1722" s="227"/>
      <c r="QOR1722" s="227"/>
      <c r="QOS1722" s="227"/>
      <c r="QOT1722" s="227"/>
      <c r="QOU1722" s="227"/>
      <c r="QOV1722" s="227"/>
      <c r="QOW1722" s="227"/>
      <c r="QOX1722" s="227"/>
      <c r="QOY1722" s="227"/>
      <c r="QOZ1722" s="227"/>
      <c r="QPA1722" s="227"/>
      <c r="QPB1722" s="227"/>
      <c r="QPC1722" s="227"/>
      <c r="QPD1722" s="227"/>
      <c r="QPE1722" s="227"/>
      <c r="QPF1722" s="227"/>
      <c r="QPG1722" s="227"/>
      <c r="QPH1722" s="227"/>
      <c r="QPI1722" s="227"/>
      <c r="QPJ1722" s="227"/>
      <c r="QPK1722" s="227"/>
      <c r="QPL1722" s="227"/>
      <c r="QPM1722" s="227"/>
      <c r="QPN1722" s="227"/>
      <c r="QPO1722" s="227"/>
      <c r="QPP1722" s="227"/>
      <c r="QPQ1722" s="227"/>
      <c r="QPR1722" s="227"/>
      <c r="QPS1722" s="227"/>
      <c r="QPT1722" s="227"/>
      <c r="QPU1722" s="227"/>
      <c r="QPV1722" s="227"/>
      <c r="QPW1722" s="227"/>
      <c r="QPX1722" s="227"/>
      <c r="QPY1722" s="227"/>
      <c r="QPZ1722" s="227"/>
      <c r="QQA1722" s="227"/>
      <c r="QQB1722" s="227"/>
      <c r="QQC1722" s="227"/>
      <c r="QQD1722" s="227"/>
      <c r="QQE1722" s="227"/>
      <c r="QQF1722" s="227"/>
      <c r="QQG1722" s="227"/>
      <c r="QQH1722" s="227"/>
      <c r="QQI1722" s="227"/>
      <c r="QQJ1722" s="227"/>
      <c r="QQK1722" s="227"/>
      <c r="QQL1722" s="227"/>
      <c r="QQM1722" s="227"/>
      <c r="QQN1722" s="227"/>
      <c r="QQO1722" s="227"/>
      <c r="QQP1722" s="227"/>
      <c r="QQQ1722" s="227"/>
      <c r="QQR1722" s="227"/>
      <c r="QQS1722" s="227"/>
      <c r="QQT1722" s="227"/>
      <c r="QQU1722" s="227"/>
      <c r="QQV1722" s="227"/>
      <c r="QQW1722" s="227"/>
      <c r="QQX1722" s="227"/>
      <c r="QQY1722" s="227"/>
      <c r="QQZ1722" s="227"/>
      <c r="QRA1722" s="227"/>
      <c r="QRB1722" s="227"/>
      <c r="QRC1722" s="227"/>
      <c r="QRD1722" s="227"/>
      <c r="QRE1722" s="227"/>
      <c r="QRF1722" s="227"/>
      <c r="QRG1722" s="227"/>
      <c r="QRH1722" s="227"/>
      <c r="QRI1722" s="227"/>
      <c r="QRJ1722" s="227"/>
      <c r="QRK1722" s="227"/>
      <c r="QRL1722" s="227"/>
      <c r="QRM1722" s="227"/>
      <c r="QRN1722" s="227"/>
      <c r="QRO1722" s="227"/>
      <c r="QRP1722" s="227"/>
      <c r="QRQ1722" s="227"/>
      <c r="QRR1722" s="227"/>
      <c r="QRS1722" s="227"/>
      <c r="QRT1722" s="227"/>
      <c r="QRU1722" s="227"/>
      <c r="QRV1722" s="227"/>
      <c r="QRW1722" s="227"/>
      <c r="QRX1722" s="227"/>
      <c r="QRY1722" s="227"/>
      <c r="QRZ1722" s="227"/>
      <c r="QSA1722" s="227"/>
      <c r="QSB1722" s="227"/>
      <c r="QSC1722" s="227"/>
      <c r="QSD1722" s="227"/>
      <c r="QSE1722" s="227"/>
      <c r="QSF1722" s="227"/>
      <c r="QSG1722" s="227"/>
      <c r="QSH1722" s="227"/>
      <c r="QSI1722" s="227"/>
      <c r="QSJ1722" s="227"/>
      <c r="QSK1722" s="227"/>
      <c r="QSL1722" s="227"/>
      <c r="QSM1722" s="227"/>
      <c r="QSN1722" s="227"/>
      <c r="QSO1722" s="227"/>
      <c r="QSP1722" s="227"/>
      <c r="QSQ1722" s="227"/>
      <c r="QSR1722" s="227"/>
      <c r="QSS1722" s="227"/>
      <c r="QST1722" s="227"/>
      <c r="QSU1722" s="227"/>
      <c r="QSV1722" s="227"/>
      <c r="QSW1722" s="227"/>
      <c r="QSX1722" s="227"/>
      <c r="QSY1722" s="227"/>
      <c r="QSZ1722" s="227"/>
      <c r="QTA1722" s="227"/>
      <c r="QTB1722" s="227"/>
      <c r="QTC1722" s="227"/>
      <c r="QTD1722" s="227"/>
      <c r="QTE1722" s="227"/>
      <c r="QTF1722" s="227"/>
      <c r="QTG1722" s="227"/>
      <c r="QTH1722" s="227"/>
      <c r="QTI1722" s="227"/>
      <c r="QTJ1722" s="227"/>
      <c r="QTK1722" s="227"/>
      <c r="QTL1722" s="227"/>
      <c r="QTM1722" s="227"/>
      <c r="QTN1722" s="227"/>
      <c r="QTO1722" s="227"/>
      <c r="QTP1722" s="227"/>
      <c r="QTQ1722" s="227"/>
      <c r="QTR1722" s="227"/>
      <c r="QTS1722" s="227"/>
      <c r="QTT1722" s="227"/>
      <c r="QTU1722" s="227"/>
      <c r="QTV1722" s="227"/>
      <c r="QTW1722" s="227"/>
      <c r="QTX1722" s="227"/>
      <c r="QTY1722" s="227"/>
      <c r="QTZ1722" s="227"/>
      <c r="QUA1722" s="227"/>
      <c r="QUB1722" s="227"/>
      <c r="QUC1722" s="227"/>
      <c r="QUD1722" s="227"/>
      <c r="QUE1722" s="227"/>
      <c r="QUF1722" s="227"/>
      <c r="QUG1722" s="227"/>
      <c r="QUH1722" s="227"/>
      <c r="QUI1722" s="227"/>
      <c r="QUJ1722" s="227"/>
      <c r="QUK1722" s="227"/>
      <c r="QUL1722" s="227"/>
      <c r="QUM1722" s="227"/>
      <c r="QUN1722" s="227"/>
      <c r="QUO1722" s="227"/>
      <c r="QUP1722" s="227"/>
      <c r="QUQ1722" s="227"/>
      <c r="QUR1722" s="227"/>
      <c r="QUS1722" s="227"/>
      <c r="QUT1722" s="227"/>
      <c r="QUU1722" s="227"/>
      <c r="QUV1722" s="227"/>
      <c r="QUW1722" s="227"/>
      <c r="QUX1722" s="227"/>
      <c r="QUY1722" s="227"/>
      <c r="QUZ1722" s="227"/>
      <c r="QVA1722" s="227"/>
      <c r="QVB1722" s="227"/>
      <c r="QVC1722" s="227"/>
      <c r="QVD1722" s="227"/>
      <c r="QVE1722" s="227"/>
      <c r="QVF1722" s="227"/>
      <c r="QVG1722" s="227"/>
      <c r="QVH1722" s="227"/>
      <c r="QVI1722" s="227"/>
      <c r="QVJ1722" s="227"/>
      <c r="QVK1722" s="227"/>
      <c r="QVL1722" s="227"/>
      <c r="QVM1722" s="227"/>
      <c r="QVN1722" s="227"/>
      <c r="QVO1722" s="227"/>
      <c r="QVP1722" s="227"/>
      <c r="QVQ1722" s="227"/>
      <c r="QVR1722" s="227"/>
      <c r="QVS1722" s="227"/>
      <c r="QVT1722" s="227"/>
      <c r="QVU1722" s="227"/>
      <c r="QVV1722" s="227"/>
      <c r="QVW1722" s="227"/>
      <c r="QVX1722" s="227"/>
      <c r="QVY1722" s="227"/>
      <c r="QVZ1722" s="227"/>
      <c r="QWA1722" s="227"/>
      <c r="QWB1722" s="227"/>
      <c r="QWC1722" s="227"/>
      <c r="QWD1722" s="227"/>
      <c r="QWE1722" s="227"/>
      <c r="QWF1722" s="227"/>
      <c r="QWG1722" s="227"/>
      <c r="QWH1722" s="227"/>
      <c r="QWI1722" s="227"/>
      <c r="QWJ1722" s="227"/>
      <c r="QWK1722" s="227"/>
      <c r="QWL1722" s="227"/>
      <c r="QWM1722" s="227"/>
      <c r="QWN1722" s="227"/>
      <c r="QWO1722" s="227"/>
      <c r="QWP1722" s="227"/>
      <c r="QWQ1722" s="227"/>
      <c r="QWR1722" s="227"/>
      <c r="QWS1722" s="227"/>
      <c r="QWT1722" s="227"/>
      <c r="QWU1722" s="227"/>
      <c r="QWV1722" s="227"/>
      <c r="QWW1722" s="227"/>
      <c r="QWX1722" s="227"/>
      <c r="QWY1722" s="227"/>
      <c r="QWZ1722" s="227"/>
      <c r="QXA1722" s="227"/>
      <c r="QXB1722" s="227"/>
      <c r="QXC1722" s="227"/>
      <c r="QXD1722" s="227"/>
      <c r="QXE1722" s="227"/>
      <c r="QXF1722" s="227"/>
      <c r="QXG1722" s="227"/>
      <c r="QXH1722" s="227"/>
      <c r="QXI1722" s="227"/>
      <c r="QXJ1722" s="227"/>
      <c r="QXK1722" s="227"/>
      <c r="QXL1722" s="227"/>
      <c r="QXM1722" s="227"/>
      <c r="QXN1722" s="227"/>
      <c r="QXO1722" s="227"/>
      <c r="QXP1722" s="227"/>
      <c r="QXQ1722" s="227"/>
      <c r="QXR1722" s="227"/>
      <c r="QXS1722" s="227"/>
      <c r="QXT1722" s="227"/>
      <c r="QXU1722" s="227"/>
      <c r="QXV1722" s="227"/>
      <c r="QXW1722" s="227"/>
      <c r="QXX1722" s="227"/>
      <c r="QXY1722" s="227"/>
      <c r="QXZ1722" s="227"/>
      <c r="QYA1722" s="227"/>
      <c r="QYB1722" s="227"/>
      <c r="QYC1722" s="227"/>
      <c r="QYD1722" s="227"/>
      <c r="QYE1722" s="227"/>
      <c r="QYF1722" s="227"/>
      <c r="QYG1722" s="227"/>
      <c r="QYH1722" s="227"/>
      <c r="QYI1722" s="227"/>
      <c r="QYJ1722" s="227"/>
      <c r="QYK1722" s="227"/>
      <c r="QYL1722" s="227"/>
      <c r="QYM1722" s="227"/>
      <c r="QYN1722" s="227"/>
      <c r="QYO1722" s="227"/>
      <c r="QYP1722" s="227"/>
      <c r="QYQ1722" s="227"/>
      <c r="QYR1722" s="227"/>
      <c r="QYS1722" s="227"/>
      <c r="QYT1722" s="227"/>
      <c r="QYU1722" s="227"/>
      <c r="QYV1722" s="227"/>
      <c r="QYW1722" s="227"/>
      <c r="QYX1722" s="227"/>
      <c r="QYY1722" s="227"/>
      <c r="QYZ1722" s="227"/>
      <c r="QZA1722" s="227"/>
      <c r="QZB1722" s="227"/>
      <c r="QZC1722" s="227"/>
      <c r="QZD1722" s="227"/>
      <c r="QZE1722" s="227"/>
      <c r="QZF1722" s="227"/>
      <c r="QZG1722" s="227"/>
      <c r="QZH1722" s="227"/>
      <c r="QZI1722" s="227"/>
      <c r="QZJ1722" s="227"/>
      <c r="QZK1722" s="227"/>
      <c r="QZL1722" s="227"/>
      <c r="QZM1722" s="227"/>
      <c r="QZN1722" s="227"/>
      <c r="QZO1722" s="227"/>
      <c r="QZP1722" s="227"/>
      <c r="QZQ1722" s="227"/>
      <c r="QZR1722" s="227"/>
      <c r="QZS1722" s="227"/>
      <c r="QZT1722" s="227"/>
      <c r="QZU1722" s="227"/>
      <c r="QZV1722" s="227"/>
      <c r="QZW1722" s="227"/>
      <c r="QZX1722" s="227"/>
      <c r="QZY1722" s="227"/>
      <c r="QZZ1722" s="227"/>
      <c r="RAA1722" s="227"/>
      <c r="RAB1722" s="227"/>
      <c r="RAC1722" s="227"/>
      <c r="RAD1722" s="227"/>
      <c r="RAE1722" s="227"/>
      <c r="RAF1722" s="227"/>
      <c r="RAG1722" s="227"/>
      <c r="RAH1722" s="227"/>
      <c r="RAI1722" s="227"/>
      <c r="RAJ1722" s="227"/>
      <c r="RAK1722" s="227"/>
      <c r="RAL1722" s="227"/>
      <c r="RAM1722" s="227"/>
      <c r="RAN1722" s="227"/>
      <c r="RAO1722" s="227"/>
      <c r="RAP1722" s="227"/>
      <c r="RAQ1722" s="227"/>
      <c r="RAR1722" s="227"/>
      <c r="RAS1722" s="227"/>
      <c r="RAT1722" s="227"/>
      <c r="RAU1722" s="227"/>
      <c r="RAV1722" s="227"/>
      <c r="RAW1722" s="227"/>
      <c r="RAX1722" s="227"/>
      <c r="RAY1722" s="227"/>
      <c r="RAZ1722" s="227"/>
      <c r="RBA1722" s="227"/>
      <c r="RBB1722" s="227"/>
      <c r="RBC1722" s="227"/>
      <c r="RBD1722" s="227"/>
      <c r="RBE1722" s="227"/>
      <c r="RBF1722" s="227"/>
      <c r="RBG1722" s="227"/>
      <c r="RBH1722" s="227"/>
      <c r="RBI1722" s="227"/>
      <c r="RBJ1722" s="227"/>
      <c r="RBK1722" s="227"/>
      <c r="RBL1722" s="227"/>
      <c r="RBM1722" s="227"/>
      <c r="RBN1722" s="227"/>
      <c r="RBO1722" s="227"/>
      <c r="RBP1722" s="227"/>
      <c r="RBQ1722" s="227"/>
      <c r="RBR1722" s="227"/>
      <c r="RBS1722" s="227"/>
      <c r="RBT1722" s="227"/>
      <c r="RBU1722" s="227"/>
      <c r="RBV1722" s="227"/>
      <c r="RBW1722" s="227"/>
      <c r="RBX1722" s="227"/>
      <c r="RBY1722" s="227"/>
      <c r="RBZ1722" s="227"/>
      <c r="RCA1722" s="227"/>
      <c r="RCB1722" s="227"/>
      <c r="RCC1722" s="227"/>
      <c r="RCD1722" s="227"/>
      <c r="RCE1722" s="227"/>
      <c r="RCF1722" s="227"/>
      <c r="RCG1722" s="227"/>
      <c r="RCH1722" s="227"/>
      <c r="RCI1722" s="227"/>
      <c r="RCJ1722" s="227"/>
      <c r="RCK1722" s="227"/>
      <c r="RCL1722" s="227"/>
      <c r="RCM1722" s="227"/>
      <c r="RCN1722" s="227"/>
      <c r="RCO1722" s="227"/>
      <c r="RCP1722" s="227"/>
      <c r="RCQ1722" s="227"/>
      <c r="RCR1722" s="227"/>
      <c r="RCS1722" s="227"/>
      <c r="RCT1722" s="227"/>
      <c r="RCU1722" s="227"/>
      <c r="RCV1722" s="227"/>
      <c r="RCW1722" s="227"/>
      <c r="RCX1722" s="227"/>
      <c r="RCY1722" s="227"/>
      <c r="RCZ1722" s="227"/>
      <c r="RDA1722" s="227"/>
      <c r="RDB1722" s="227"/>
      <c r="RDC1722" s="227"/>
      <c r="RDD1722" s="227"/>
      <c r="RDE1722" s="227"/>
      <c r="RDF1722" s="227"/>
      <c r="RDG1722" s="227"/>
      <c r="RDH1722" s="227"/>
      <c r="RDI1722" s="227"/>
      <c r="RDJ1722" s="227"/>
      <c r="RDK1722" s="227"/>
      <c r="RDL1722" s="227"/>
      <c r="RDM1722" s="227"/>
      <c r="RDN1722" s="227"/>
      <c r="RDO1722" s="227"/>
      <c r="RDP1722" s="227"/>
      <c r="RDQ1722" s="227"/>
      <c r="RDR1722" s="227"/>
      <c r="RDS1722" s="227"/>
      <c r="RDT1722" s="227"/>
      <c r="RDU1722" s="227"/>
      <c r="RDV1722" s="227"/>
      <c r="RDW1722" s="227"/>
      <c r="RDX1722" s="227"/>
      <c r="RDY1722" s="227"/>
      <c r="RDZ1722" s="227"/>
      <c r="REA1722" s="227"/>
      <c r="REB1722" s="227"/>
      <c r="REC1722" s="227"/>
      <c r="RED1722" s="227"/>
      <c r="REE1722" s="227"/>
      <c r="REF1722" s="227"/>
      <c r="REG1722" s="227"/>
      <c r="REH1722" s="227"/>
      <c r="REI1722" s="227"/>
      <c r="REJ1722" s="227"/>
      <c r="REK1722" s="227"/>
      <c r="REL1722" s="227"/>
      <c r="REM1722" s="227"/>
      <c r="REN1722" s="227"/>
      <c r="REO1722" s="227"/>
      <c r="REP1722" s="227"/>
      <c r="REQ1722" s="227"/>
      <c r="RER1722" s="227"/>
      <c r="RES1722" s="227"/>
      <c r="RET1722" s="227"/>
      <c r="REU1722" s="227"/>
      <c r="REV1722" s="227"/>
      <c r="REW1722" s="227"/>
      <c r="REX1722" s="227"/>
      <c r="REY1722" s="227"/>
      <c r="REZ1722" s="227"/>
      <c r="RFA1722" s="227"/>
      <c r="RFB1722" s="227"/>
      <c r="RFC1722" s="227"/>
      <c r="RFD1722" s="227"/>
      <c r="RFE1722" s="227"/>
      <c r="RFF1722" s="227"/>
      <c r="RFG1722" s="227"/>
      <c r="RFH1722" s="227"/>
      <c r="RFI1722" s="227"/>
      <c r="RFJ1722" s="227"/>
      <c r="RFK1722" s="227"/>
      <c r="RFL1722" s="227"/>
      <c r="RFM1722" s="227"/>
      <c r="RFN1722" s="227"/>
      <c r="RFO1722" s="227"/>
      <c r="RFP1722" s="227"/>
      <c r="RFQ1722" s="227"/>
      <c r="RFR1722" s="227"/>
      <c r="RFS1722" s="227"/>
      <c r="RFT1722" s="227"/>
      <c r="RFU1722" s="227"/>
      <c r="RFV1722" s="227"/>
      <c r="RFW1722" s="227"/>
      <c r="RFX1722" s="227"/>
      <c r="RFY1722" s="227"/>
      <c r="RFZ1722" s="227"/>
      <c r="RGA1722" s="227"/>
      <c r="RGB1722" s="227"/>
      <c r="RGC1722" s="227"/>
      <c r="RGD1722" s="227"/>
      <c r="RGE1722" s="227"/>
      <c r="RGF1722" s="227"/>
      <c r="RGG1722" s="227"/>
      <c r="RGH1722" s="227"/>
      <c r="RGI1722" s="227"/>
      <c r="RGJ1722" s="227"/>
      <c r="RGK1722" s="227"/>
      <c r="RGL1722" s="227"/>
      <c r="RGM1722" s="227"/>
      <c r="RGN1722" s="227"/>
      <c r="RGO1722" s="227"/>
      <c r="RGP1722" s="227"/>
      <c r="RGQ1722" s="227"/>
      <c r="RGR1722" s="227"/>
      <c r="RGS1722" s="227"/>
      <c r="RGT1722" s="227"/>
      <c r="RGU1722" s="227"/>
      <c r="RGV1722" s="227"/>
      <c r="RGW1722" s="227"/>
      <c r="RGX1722" s="227"/>
      <c r="RGY1722" s="227"/>
      <c r="RGZ1722" s="227"/>
      <c r="RHA1722" s="227"/>
      <c r="RHB1722" s="227"/>
      <c r="RHC1722" s="227"/>
      <c r="RHD1722" s="227"/>
      <c r="RHE1722" s="227"/>
      <c r="RHF1722" s="227"/>
      <c r="RHG1722" s="227"/>
      <c r="RHH1722" s="227"/>
      <c r="RHI1722" s="227"/>
      <c r="RHJ1722" s="227"/>
      <c r="RHK1722" s="227"/>
      <c r="RHL1722" s="227"/>
      <c r="RHM1722" s="227"/>
      <c r="RHN1722" s="227"/>
      <c r="RHO1722" s="227"/>
      <c r="RHP1722" s="227"/>
      <c r="RHQ1722" s="227"/>
      <c r="RHR1722" s="227"/>
      <c r="RHS1722" s="227"/>
      <c r="RHT1722" s="227"/>
      <c r="RHU1722" s="227"/>
      <c r="RHV1722" s="227"/>
      <c r="RHW1722" s="227"/>
      <c r="RHX1722" s="227"/>
      <c r="RHY1722" s="227"/>
      <c r="RHZ1722" s="227"/>
      <c r="RIA1722" s="227"/>
      <c r="RIB1722" s="227"/>
      <c r="RIC1722" s="227"/>
      <c r="RID1722" s="227"/>
      <c r="RIE1722" s="227"/>
      <c r="RIF1722" s="227"/>
      <c r="RIG1722" s="227"/>
      <c r="RIH1722" s="227"/>
      <c r="RII1722" s="227"/>
      <c r="RIJ1722" s="227"/>
      <c r="RIK1722" s="227"/>
      <c r="RIL1722" s="227"/>
      <c r="RIM1722" s="227"/>
      <c r="RIN1722" s="227"/>
      <c r="RIO1722" s="227"/>
      <c r="RIP1722" s="227"/>
      <c r="RIQ1722" s="227"/>
      <c r="RIR1722" s="227"/>
      <c r="RIS1722" s="227"/>
      <c r="RIT1722" s="227"/>
      <c r="RIU1722" s="227"/>
      <c r="RIV1722" s="227"/>
      <c r="RIW1722" s="227"/>
      <c r="RIX1722" s="227"/>
      <c r="RIY1722" s="227"/>
      <c r="RIZ1722" s="227"/>
      <c r="RJA1722" s="227"/>
      <c r="RJB1722" s="227"/>
      <c r="RJC1722" s="227"/>
      <c r="RJD1722" s="227"/>
      <c r="RJE1722" s="227"/>
      <c r="RJF1722" s="227"/>
      <c r="RJG1722" s="227"/>
      <c r="RJH1722" s="227"/>
      <c r="RJI1722" s="227"/>
      <c r="RJJ1722" s="227"/>
      <c r="RJK1722" s="227"/>
      <c r="RJL1722" s="227"/>
      <c r="RJM1722" s="227"/>
      <c r="RJN1722" s="227"/>
      <c r="RJO1722" s="227"/>
      <c r="RJP1722" s="227"/>
      <c r="RJQ1722" s="227"/>
      <c r="RJR1722" s="227"/>
      <c r="RJS1722" s="227"/>
      <c r="RJT1722" s="227"/>
      <c r="RJU1722" s="227"/>
      <c r="RJV1722" s="227"/>
      <c r="RJW1722" s="227"/>
      <c r="RJX1722" s="227"/>
      <c r="RJY1722" s="227"/>
      <c r="RJZ1722" s="227"/>
      <c r="RKA1722" s="227"/>
      <c r="RKB1722" s="227"/>
      <c r="RKC1722" s="227"/>
      <c r="RKD1722" s="227"/>
      <c r="RKE1722" s="227"/>
      <c r="RKF1722" s="227"/>
      <c r="RKG1722" s="227"/>
      <c r="RKH1722" s="227"/>
      <c r="RKI1722" s="227"/>
      <c r="RKJ1722" s="227"/>
      <c r="RKK1722" s="227"/>
      <c r="RKL1722" s="227"/>
      <c r="RKM1722" s="227"/>
      <c r="RKN1722" s="227"/>
      <c r="RKO1722" s="227"/>
      <c r="RKP1722" s="227"/>
      <c r="RKQ1722" s="227"/>
      <c r="RKR1722" s="227"/>
      <c r="RKS1722" s="227"/>
      <c r="RKT1722" s="227"/>
      <c r="RKU1722" s="227"/>
      <c r="RKV1722" s="227"/>
      <c r="RKW1722" s="227"/>
      <c r="RKX1722" s="227"/>
      <c r="RKY1722" s="227"/>
      <c r="RKZ1722" s="227"/>
      <c r="RLA1722" s="227"/>
      <c r="RLB1722" s="227"/>
      <c r="RLC1722" s="227"/>
      <c r="RLD1722" s="227"/>
      <c r="RLE1722" s="227"/>
      <c r="RLF1722" s="227"/>
      <c r="RLG1722" s="227"/>
      <c r="RLH1722" s="227"/>
      <c r="RLI1722" s="227"/>
      <c r="RLJ1722" s="227"/>
      <c r="RLK1722" s="227"/>
      <c r="RLL1722" s="227"/>
      <c r="RLM1722" s="227"/>
      <c r="RLN1722" s="227"/>
      <c r="RLO1722" s="227"/>
      <c r="RLP1722" s="227"/>
      <c r="RLQ1722" s="227"/>
      <c r="RLR1722" s="227"/>
      <c r="RLS1722" s="227"/>
      <c r="RLT1722" s="227"/>
      <c r="RLU1722" s="227"/>
      <c r="RLV1722" s="227"/>
      <c r="RLW1722" s="227"/>
      <c r="RLX1722" s="227"/>
      <c r="RLY1722" s="227"/>
      <c r="RLZ1722" s="227"/>
      <c r="RMA1722" s="227"/>
      <c r="RMB1722" s="227"/>
      <c r="RMC1722" s="227"/>
      <c r="RMD1722" s="227"/>
      <c r="RME1722" s="227"/>
      <c r="RMF1722" s="227"/>
      <c r="RMG1722" s="227"/>
      <c r="RMH1722" s="227"/>
      <c r="RMI1722" s="227"/>
      <c r="RMJ1722" s="227"/>
      <c r="RMK1722" s="227"/>
      <c r="RML1722" s="227"/>
      <c r="RMM1722" s="227"/>
      <c r="RMN1722" s="227"/>
      <c r="RMO1722" s="227"/>
      <c r="RMP1722" s="227"/>
      <c r="RMQ1722" s="227"/>
      <c r="RMR1722" s="227"/>
      <c r="RMS1722" s="227"/>
      <c r="RMT1722" s="227"/>
      <c r="RMU1722" s="227"/>
      <c r="RMV1722" s="227"/>
      <c r="RMW1722" s="227"/>
      <c r="RMX1722" s="227"/>
      <c r="RMY1722" s="227"/>
      <c r="RMZ1722" s="227"/>
      <c r="RNA1722" s="227"/>
      <c r="RNB1722" s="227"/>
      <c r="RNC1722" s="227"/>
      <c r="RND1722" s="227"/>
      <c r="RNE1722" s="227"/>
      <c r="RNF1722" s="227"/>
      <c r="RNG1722" s="227"/>
      <c r="RNH1722" s="227"/>
      <c r="RNI1722" s="227"/>
      <c r="RNJ1722" s="227"/>
      <c r="RNK1722" s="227"/>
      <c r="RNL1722" s="227"/>
      <c r="RNM1722" s="227"/>
      <c r="RNN1722" s="227"/>
      <c r="RNO1722" s="227"/>
      <c r="RNP1722" s="227"/>
      <c r="RNQ1722" s="227"/>
      <c r="RNR1722" s="227"/>
      <c r="RNS1722" s="227"/>
      <c r="RNT1722" s="227"/>
      <c r="RNU1722" s="227"/>
      <c r="RNV1722" s="227"/>
      <c r="RNW1722" s="227"/>
      <c r="RNX1722" s="227"/>
      <c r="RNY1722" s="227"/>
      <c r="RNZ1722" s="227"/>
      <c r="ROA1722" s="227"/>
      <c r="ROB1722" s="227"/>
      <c r="ROC1722" s="227"/>
      <c r="ROD1722" s="227"/>
      <c r="ROE1722" s="227"/>
      <c r="ROF1722" s="227"/>
      <c r="ROG1722" s="227"/>
      <c r="ROH1722" s="227"/>
      <c r="ROI1722" s="227"/>
      <c r="ROJ1722" s="227"/>
      <c r="ROK1722" s="227"/>
      <c r="ROL1722" s="227"/>
      <c r="ROM1722" s="227"/>
      <c r="RON1722" s="227"/>
      <c r="ROO1722" s="227"/>
      <c r="ROP1722" s="227"/>
      <c r="ROQ1722" s="227"/>
      <c r="ROR1722" s="227"/>
      <c r="ROS1722" s="227"/>
      <c r="ROT1722" s="227"/>
      <c r="ROU1722" s="227"/>
      <c r="ROV1722" s="227"/>
      <c r="ROW1722" s="227"/>
      <c r="ROX1722" s="227"/>
      <c r="ROY1722" s="227"/>
      <c r="ROZ1722" s="227"/>
      <c r="RPA1722" s="227"/>
      <c r="RPB1722" s="227"/>
      <c r="RPC1722" s="227"/>
      <c r="RPD1722" s="227"/>
      <c r="RPE1722" s="227"/>
      <c r="RPF1722" s="227"/>
      <c r="RPG1722" s="227"/>
      <c r="RPH1722" s="227"/>
      <c r="RPI1722" s="227"/>
      <c r="RPJ1722" s="227"/>
      <c r="RPK1722" s="227"/>
      <c r="RPL1722" s="227"/>
      <c r="RPM1722" s="227"/>
      <c r="RPN1722" s="227"/>
      <c r="RPO1722" s="227"/>
      <c r="RPP1722" s="227"/>
      <c r="RPQ1722" s="227"/>
      <c r="RPR1722" s="227"/>
      <c r="RPS1722" s="227"/>
      <c r="RPT1722" s="227"/>
      <c r="RPU1722" s="227"/>
      <c r="RPV1722" s="227"/>
      <c r="RPW1722" s="227"/>
      <c r="RPX1722" s="227"/>
      <c r="RPY1722" s="227"/>
      <c r="RPZ1722" s="227"/>
      <c r="RQA1722" s="227"/>
      <c r="RQB1722" s="227"/>
      <c r="RQC1722" s="227"/>
      <c r="RQD1722" s="227"/>
      <c r="RQE1722" s="227"/>
      <c r="RQF1722" s="227"/>
      <c r="RQG1722" s="227"/>
      <c r="RQH1722" s="227"/>
      <c r="RQI1722" s="227"/>
      <c r="RQJ1722" s="227"/>
      <c r="RQK1722" s="227"/>
      <c r="RQL1722" s="227"/>
      <c r="RQM1722" s="227"/>
      <c r="RQN1722" s="227"/>
      <c r="RQO1722" s="227"/>
      <c r="RQP1722" s="227"/>
      <c r="RQQ1722" s="227"/>
      <c r="RQR1722" s="227"/>
      <c r="RQS1722" s="227"/>
      <c r="RQT1722" s="227"/>
      <c r="RQU1722" s="227"/>
      <c r="RQV1722" s="227"/>
      <c r="RQW1722" s="227"/>
      <c r="RQX1722" s="227"/>
      <c r="RQY1722" s="227"/>
      <c r="RQZ1722" s="227"/>
      <c r="RRA1722" s="227"/>
      <c r="RRB1722" s="227"/>
      <c r="RRC1722" s="227"/>
      <c r="RRD1722" s="227"/>
      <c r="RRE1722" s="227"/>
      <c r="RRF1722" s="227"/>
      <c r="RRG1722" s="227"/>
      <c r="RRH1722" s="227"/>
      <c r="RRI1722" s="227"/>
      <c r="RRJ1722" s="227"/>
      <c r="RRK1722" s="227"/>
      <c r="RRL1722" s="227"/>
      <c r="RRM1722" s="227"/>
      <c r="RRN1722" s="227"/>
      <c r="RRO1722" s="227"/>
      <c r="RRP1722" s="227"/>
      <c r="RRQ1722" s="227"/>
      <c r="RRR1722" s="227"/>
      <c r="RRS1722" s="227"/>
      <c r="RRT1722" s="227"/>
      <c r="RRU1722" s="227"/>
      <c r="RRV1722" s="227"/>
      <c r="RRW1722" s="227"/>
      <c r="RRX1722" s="227"/>
      <c r="RRY1722" s="227"/>
      <c r="RRZ1722" s="227"/>
      <c r="RSA1722" s="227"/>
      <c r="RSB1722" s="227"/>
      <c r="RSC1722" s="227"/>
      <c r="RSD1722" s="227"/>
      <c r="RSE1722" s="227"/>
      <c r="RSF1722" s="227"/>
      <c r="RSG1722" s="227"/>
      <c r="RSH1722" s="227"/>
      <c r="RSI1722" s="227"/>
      <c r="RSJ1722" s="227"/>
      <c r="RSK1722" s="227"/>
      <c r="RSL1722" s="227"/>
      <c r="RSM1722" s="227"/>
      <c r="RSN1722" s="227"/>
      <c r="RSO1722" s="227"/>
      <c r="RSP1722" s="227"/>
      <c r="RSQ1722" s="227"/>
      <c r="RSR1722" s="227"/>
      <c r="RSS1722" s="227"/>
      <c r="RST1722" s="227"/>
      <c r="RSU1722" s="227"/>
      <c r="RSV1722" s="227"/>
      <c r="RSW1722" s="227"/>
      <c r="RSX1722" s="227"/>
      <c r="RSY1722" s="227"/>
      <c r="RSZ1722" s="227"/>
      <c r="RTA1722" s="227"/>
      <c r="RTB1722" s="227"/>
      <c r="RTC1722" s="227"/>
      <c r="RTD1722" s="227"/>
      <c r="RTE1722" s="227"/>
      <c r="RTF1722" s="227"/>
      <c r="RTG1722" s="227"/>
      <c r="RTH1722" s="227"/>
      <c r="RTI1722" s="227"/>
      <c r="RTJ1722" s="227"/>
      <c r="RTK1722" s="227"/>
      <c r="RTL1722" s="227"/>
      <c r="RTM1722" s="227"/>
      <c r="RTN1722" s="227"/>
      <c r="RTO1722" s="227"/>
      <c r="RTP1722" s="227"/>
      <c r="RTQ1722" s="227"/>
      <c r="RTR1722" s="227"/>
      <c r="RTS1722" s="227"/>
      <c r="RTT1722" s="227"/>
      <c r="RTU1722" s="227"/>
      <c r="RTV1722" s="227"/>
      <c r="RTW1722" s="227"/>
      <c r="RTX1722" s="227"/>
      <c r="RTY1722" s="227"/>
      <c r="RTZ1722" s="227"/>
      <c r="RUA1722" s="227"/>
      <c r="RUB1722" s="227"/>
      <c r="RUC1722" s="227"/>
      <c r="RUD1722" s="227"/>
      <c r="RUE1722" s="227"/>
      <c r="RUF1722" s="227"/>
      <c r="RUG1722" s="227"/>
      <c r="RUH1722" s="227"/>
      <c r="RUI1722" s="227"/>
      <c r="RUJ1722" s="227"/>
      <c r="RUK1722" s="227"/>
      <c r="RUL1722" s="227"/>
      <c r="RUM1722" s="227"/>
      <c r="RUN1722" s="227"/>
      <c r="RUO1722" s="227"/>
      <c r="RUP1722" s="227"/>
      <c r="RUQ1722" s="227"/>
      <c r="RUR1722" s="227"/>
      <c r="RUS1722" s="227"/>
      <c r="RUT1722" s="227"/>
      <c r="RUU1722" s="227"/>
      <c r="RUV1722" s="227"/>
      <c r="RUW1722" s="227"/>
      <c r="RUX1722" s="227"/>
      <c r="RUY1722" s="227"/>
      <c r="RUZ1722" s="227"/>
      <c r="RVA1722" s="227"/>
      <c r="RVB1722" s="227"/>
      <c r="RVC1722" s="227"/>
      <c r="RVD1722" s="227"/>
      <c r="RVE1722" s="227"/>
      <c r="RVF1722" s="227"/>
      <c r="RVG1722" s="227"/>
      <c r="RVH1722" s="227"/>
      <c r="RVI1722" s="227"/>
      <c r="RVJ1722" s="227"/>
      <c r="RVK1722" s="227"/>
      <c r="RVL1722" s="227"/>
      <c r="RVM1722" s="227"/>
      <c r="RVN1722" s="227"/>
      <c r="RVO1722" s="227"/>
      <c r="RVP1722" s="227"/>
      <c r="RVQ1722" s="227"/>
      <c r="RVR1722" s="227"/>
      <c r="RVS1722" s="227"/>
      <c r="RVT1722" s="227"/>
      <c r="RVU1722" s="227"/>
      <c r="RVV1722" s="227"/>
      <c r="RVW1722" s="227"/>
      <c r="RVX1722" s="227"/>
      <c r="RVY1722" s="227"/>
      <c r="RVZ1722" s="227"/>
      <c r="RWA1722" s="227"/>
      <c r="RWB1722" s="227"/>
      <c r="RWC1722" s="227"/>
      <c r="RWD1722" s="227"/>
      <c r="RWE1722" s="227"/>
      <c r="RWF1722" s="227"/>
      <c r="RWG1722" s="227"/>
      <c r="RWH1722" s="227"/>
      <c r="RWI1722" s="227"/>
      <c r="RWJ1722" s="227"/>
      <c r="RWK1722" s="227"/>
      <c r="RWL1722" s="227"/>
      <c r="RWM1722" s="227"/>
      <c r="RWN1722" s="227"/>
      <c r="RWO1722" s="227"/>
      <c r="RWP1722" s="227"/>
      <c r="RWQ1722" s="227"/>
      <c r="RWR1722" s="227"/>
      <c r="RWS1722" s="227"/>
      <c r="RWT1722" s="227"/>
      <c r="RWU1722" s="227"/>
      <c r="RWV1722" s="227"/>
      <c r="RWW1722" s="227"/>
      <c r="RWX1722" s="227"/>
      <c r="RWY1722" s="227"/>
      <c r="RWZ1722" s="227"/>
      <c r="RXA1722" s="227"/>
      <c r="RXB1722" s="227"/>
      <c r="RXC1722" s="227"/>
      <c r="RXD1722" s="227"/>
      <c r="RXE1722" s="227"/>
      <c r="RXF1722" s="227"/>
      <c r="RXG1722" s="227"/>
      <c r="RXH1722" s="227"/>
      <c r="RXI1722" s="227"/>
      <c r="RXJ1722" s="227"/>
      <c r="RXK1722" s="227"/>
      <c r="RXL1722" s="227"/>
      <c r="RXM1722" s="227"/>
      <c r="RXN1722" s="227"/>
      <c r="RXO1722" s="227"/>
      <c r="RXP1722" s="227"/>
      <c r="RXQ1722" s="227"/>
      <c r="RXR1722" s="227"/>
      <c r="RXS1722" s="227"/>
      <c r="RXT1722" s="227"/>
      <c r="RXU1722" s="227"/>
      <c r="RXV1722" s="227"/>
      <c r="RXW1722" s="227"/>
      <c r="RXX1722" s="227"/>
      <c r="RXY1722" s="227"/>
      <c r="RXZ1722" s="227"/>
      <c r="RYA1722" s="227"/>
      <c r="RYB1722" s="227"/>
      <c r="RYC1722" s="227"/>
      <c r="RYD1722" s="227"/>
      <c r="RYE1722" s="227"/>
      <c r="RYF1722" s="227"/>
      <c r="RYG1722" s="227"/>
      <c r="RYH1722" s="227"/>
      <c r="RYI1722" s="227"/>
      <c r="RYJ1722" s="227"/>
      <c r="RYK1722" s="227"/>
      <c r="RYL1722" s="227"/>
      <c r="RYM1722" s="227"/>
      <c r="RYN1722" s="227"/>
      <c r="RYO1722" s="227"/>
      <c r="RYP1722" s="227"/>
      <c r="RYQ1722" s="227"/>
      <c r="RYR1722" s="227"/>
      <c r="RYS1722" s="227"/>
      <c r="RYT1722" s="227"/>
      <c r="RYU1722" s="227"/>
      <c r="RYV1722" s="227"/>
      <c r="RYW1722" s="227"/>
      <c r="RYX1722" s="227"/>
      <c r="RYY1722" s="227"/>
      <c r="RYZ1722" s="227"/>
      <c r="RZA1722" s="227"/>
      <c r="RZB1722" s="227"/>
      <c r="RZC1722" s="227"/>
      <c r="RZD1722" s="227"/>
      <c r="RZE1722" s="227"/>
      <c r="RZF1722" s="227"/>
      <c r="RZG1722" s="227"/>
      <c r="RZH1722" s="227"/>
      <c r="RZI1722" s="227"/>
      <c r="RZJ1722" s="227"/>
      <c r="RZK1722" s="227"/>
      <c r="RZL1722" s="227"/>
      <c r="RZM1722" s="227"/>
      <c r="RZN1722" s="227"/>
      <c r="RZO1722" s="227"/>
      <c r="RZP1722" s="227"/>
      <c r="RZQ1722" s="227"/>
      <c r="RZR1722" s="227"/>
      <c r="RZS1722" s="227"/>
      <c r="RZT1722" s="227"/>
      <c r="RZU1722" s="227"/>
      <c r="RZV1722" s="227"/>
      <c r="RZW1722" s="227"/>
      <c r="RZX1722" s="227"/>
      <c r="RZY1722" s="227"/>
      <c r="RZZ1722" s="227"/>
      <c r="SAA1722" s="227"/>
      <c r="SAB1722" s="227"/>
      <c r="SAC1722" s="227"/>
      <c r="SAD1722" s="227"/>
      <c r="SAE1722" s="227"/>
      <c r="SAF1722" s="227"/>
      <c r="SAG1722" s="227"/>
      <c r="SAH1722" s="227"/>
      <c r="SAI1722" s="227"/>
      <c r="SAJ1722" s="227"/>
      <c r="SAK1722" s="227"/>
      <c r="SAL1722" s="227"/>
      <c r="SAM1722" s="227"/>
      <c r="SAN1722" s="227"/>
      <c r="SAO1722" s="227"/>
      <c r="SAP1722" s="227"/>
      <c r="SAQ1722" s="227"/>
      <c r="SAR1722" s="227"/>
      <c r="SAS1722" s="227"/>
      <c r="SAT1722" s="227"/>
      <c r="SAU1722" s="227"/>
      <c r="SAV1722" s="227"/>
      <c r="SAW1722" s="227"/>
      <c r="SAX1722" s="227"/>
      <c r="SAY1722" s="227"/>
      <c r="SAZ1722" s="227"/>
      <c r="SBA1722" s="227"/>
      <c r="SBB1722" s="227"/>
      <c r="SBC1722" s="227"/>
      <c r="SBD1722" s="227"/>
      <c r="SBE1722" s="227"/>
      <c r="SBF1722" s="227"/>
      <c r="SBG1722" s="227"/>
      <c r="SBH1722" s="227"/>
      <c r="SBI1722" s="227"/>
      <c r="SBJ1722" s="227"/>
      <c r="SBK1722" s="227"/>
      <c r="SBL1722" s="227"/>
      <c r="SBM1722" s="227"/>
      <c r="SBN1722" s="227"/>
      <c r="SBO1722" s="227"/>
      <c r="SBP1722" s="227"/>
      <c r="SBQ1722" s="227"/>
      <c r="SBR1722" s="227"/>
      <c r="SBS1722" s="227"/>
      <c r="SBT1722" s="227"/>
      <c r="SBU1722" s="227"/>
      <c r="SBV1722" s="227"/>
      <c r="SBW1722" s="227"/>
      <c r="SBX1722" s="227"/>
      <c r="SBY1722" s="227"/>
      <c r="SBZ1722" s="227"/>
      <c r="SCA1722" s="227"/>
      <c r="SCB1722" s="227"/>
      <c r="SCC1722" s="227"/>
      <c r="SCD1722" s="227"/>
      <c r="SCE1722" s="227"/>
      <c r="SCF1722" s="227"/>
      <c r="SCG1722" s="227"/>
      <c r="SCH1722" s="227"/>
      <c r="SCI1722" s="227"/>
      <c r="SCJ1722" s="227"/>
      <c r="SCK1722" s="227"/>
      <c r="SCL1722" s="227"/>
      <c r="SCM1722" s="227"/>
      <c r="SCN1722" s="227"/>
      <c r="SCO1722" s="227"/>
      <c r="SCP1722" s="227"/>
      <c r="SCQ1722" s="227"/>
      <c r="SCR1722" s="227"/>
      <c r="SCS1722" s="227"/>
      <c r="SCT1722" s="227"/>
      <c r="SCU1722" s="227"/>
      <c r="SCV1722" s="227"/>
      <c r="SCW1722" s="227"/>
      <c r="SCX1722" s="227"/>
      <c r="SCY1722" s="227"/>
      <c r="SCZ1722" s="227"/>
      <c r="SDA1722" s="227"/>
      <c r="SDB1722" s="227"/>
      <c r="SDC1722" s="227"/>
      <c r="SDD1722" s="227"/>
      <c r="SDE1722" s="227"/>
      <c r="SDF1722" s="227"/>
      <c r="SDG1722" s="227"/>
      <c r="SDH1722" s="227"/>
      <c r="SDI1722" s="227"/>
      <c r="SDJ1722" s="227"/>
      <c r="SDK1722" s="227"/>
      <c r="SDL1722" s="227"/>
      <c r="SDM1722" s="227"/>
      <c r="SDN1722" s="227"/>
      <c r="SDO1722" s="227"/>
      <c r="SDP1722" s="227"/>
      <c r="SDQ1722" s="227"/>
      <c r="SDR1722" s="227"/>
      <c r="SDS1722" s="227"/>
      <c r="SDT1722" s="227"/>
      <c r="SDU1722" s="227"/>
      <c r="SDV1722" s="227"/>
      <c r="SDW1722" s="227"/>
      <c r="SDX1722" s="227"/>
      <c r="SDY1722" s="227"/>
      <c r="SDZ1722" s="227"/>
      <c r="SEA1722" s="227"/>
      <c r="SEB1722" s="227"/>
      <c r="SEC1722" s="227"/>
      <c r="SED1722" s="227"/>
      <c r="SEE1722" s="227"/>
      <c r="SEF1722" s="227"/>
      <c r="SEG1722" s="227"/>
      <c r="SEH1722" s="227"/>
      <c r="SEI1722" s="227"/>
      <c r="SEJ1722" s="227"/>
      <c r="SEK1722" s="227"/>
      <c r="SEL1722" s="227"/>
      <c r="SEM1722" s="227"/>
      <c r="SEN1722" s="227"/>
      <c r="SEO1722" s="227"/>
      <c r="SEP1722" s="227"/>
      <c r="SEQ1722" s="227"/>
      <c r="SER1722" s="227"/>
      <c r="SES1722" s="227"/>
      <c r="SET1722" s="227"/>
      <c r="SEU1722" s="227"/>
      <c r="SEV1722" s="227"/>
      <c r="SEW1722" s="227"/>
      <c r="SEX1722" s="227"/>
      <c r="SEY1722" s="227"/>
      <c r="SEZ1722" s="227"/>
      <c r="SFA1722" s="227"/>
      <c r="SFB1722" s="227"/>
      <c r="SFC1722" s="227"/>
      <c r="SFD1722" s="227"/>
      <c r="SFE1722" s="227"/>
      <c r="SFF1722" s="227"/>
      <c r="SFG1722" s="227"/>
      <c r="SFH1722" s="227"/>
      <c r="SFI1722" s="227"/>
      <c r="SFJ1722" s="227"/>
      <c r="SFK1722" s="227"/>
      <c r="SFL1722" s="227"/>
      <c r="SFM1722" s="227"/>
      <c r="SFN1722" s="227"/>
      <c r="SFO1722" s="227"/>
      <c r="SFP1722" s="227"/>
      <c r="SFQ1722" s="227"/>
      <c r="SFR1722" s="227"/>
      <c r="SFS1722" s="227"/>
      <c r="SFT1722" s="227"/>
      <c r="SFU1722" s="227"/>
      <c r="SFV1722" s="227"/>
      <c r="SFW1722" s="227"/>
      <c r="SFX1722" s="227"/>
      <c r="SFY1722" s="227"/>
      <c r="SFZ1722" s="227"/>
      <c r="SGA1722" s="227"/>
      <c r="SGB1722" s="227"/>
      <c r="SGC1722" s="227"/>
      <c r="SGD1722" s="227"/>
      <c r="SGE1722" s="227"/>
      <c r="SGF1722" s="227"/>
      <c r="SGG1722" s="227"/>
      <c r="SGH1722" s="227"/>
      <c r="SGI1722" s="227"/>
      <c r="SGJ1722" s="227"/>
      <c r="SGK1722" s="227"/>
      <c r="SGL1722" s="227"/>
      <c r="SGM1722" s="227"/>
      <c r="SGN1722" s="227"/>
      <c r="SGO1722" s="227"/>
      <c r="SGP1722" s="227"/>
      <c r="SGQ1722" s="227"/>
      <c r="SGR1722" s="227"/>
      <c r="SGS1722" s="227"/>
      <c r="SGT1722" s="227"/>
      <c r="SGU1722" s="227"/>
      <c r="SGV1722" s="227"/>
      <c r="SGW1722" s="227"/>
      <c r="SGX1722" s="227"/>
      <c r="SGY1722" s="227"/>
      <c r="SGZ1722" s="227"/>
      <c r="SHA1722" s="227"/>
      <c r="SHB1722" s="227"/>
      <c r="SHC1722" s="227"/>
      <c r="SHD1722" s="227"/>
      <c r="SHE1722" s="227"/>
      <c r="SHF1722" s="227"/>
      <c r="SHG1722" s="227"/>
      <c r="SHH1722" s="227"/>
      <c r="SHI1722" s="227"/>
      <c r="SHJ1722" s="227"/>
      <c r="SHK1722" s="227"/>
      <c r="SHL1722" s="227"/>
      <c r="SHM1722" s="227"/>
      <c r="SHN1722" s="227"/>
      <c r="SHO1722" s="227"/>
      <c r="SHP1722" s="227"/>
      <c r="SHQ1722" s="227"/>
      <c r="SHR1722" s="227"/>
      <c r="SHS1722" s="227"/>
      <c r="SHT1722" s="227"/>
      <c r="SHU1722" s="227"/>
      <c r="SHV1722" s="227"/>
      <c r="SHW1722" s="227"/>
      <c r="SHX1722" s="227"/>
      <c r="SHY1722" s="227"/>
      <c r="SHZ1722" s="227"/>
      <c r="SIA1722" s="227"/>
      <c r="SIB1722" s="227"/>
      <c r="SIC1722" s="227"/>
      <c r="SID1722" s="227"/>
      <c r="SIE1722" s="227"/>
      <c r="SIF1722" s="227"/>
      <c r="SIG1722" s="227"/>
      <c r="SIH1722" s="227"/>
      <c r="SII1722" s="227"/>
      <c r="SIJ1722" s="227"/>
      <c r="SIK1722" s="227"/>
      <c r="SIL1722" s="227"/>
      <c r="SIM1722" s="227"/>
      <c r="SIN1722" s="227"/>
      <c r="SIO1722" s="227"/>
      <c r="SIP1722" s="227"/>
      <c r="SIQ1722" s="227"/>
      <c r="SIR1722" s="227"/>
      <c r="SIS1722" s="227"/>
      <c r="SIT1722" s="227"/>
      <c r="SIU1722" s="227"/>
      <c r="SIV1722" s="227"/>
      <c r="SIW1722" s="227"/>
      <c r="SIX1722" s="227"/>
      <c r="SIY1722" s="227"/>
      <c r="SIZ1722" s="227"/>
      <c r="SJA1722" s="227"/>
      <c r="SJB1722" s="227"/>
      <c r="SJC1722" s="227"/>
      <c r="SJD1722" s="227"/>
      <c r="SJE1722" s="227"/>
      <c r="SJF1722" s="227"/>
      <c r="SJG1722" s="227"/>
      <c r="SJH1722" s="227"/>
      <c r="SJI1722" s="227"/>
      <c r="SJJ1722" s="227"/>
      <c r="SJK1722" s="227"/>
      <c r="SJL1722" s="227"/>
      <c r="SJM1722" s="227"/>
      <c r="SJN1722" s="227"/>
      <c r="SJO1722" s="227"/>
      <c r="SJP1722" s="227"/>
      <c r="SJQ1722" s="227"/>
      <c r="SJR1722" s="227"/>
      <c r="SJS1722" s="227"/>
      <c r="SJT1722" s="227"/>
      <c r="SJU1722" s="227"/>
      <c r="SJV1722" s="227"/>
      <c r="SJW1722" s="227"/>
      <c r="SJX1722" s="227"/>
      <c r="SJY1722" s="227"/>
      <c r="SJZ1722" s="227"/>
      <c r="SKA1722" s="227"/>
      <c r="SKB1722" s="227"/>
      <c r="SKC1722" s="227"/>
      <c r="SKD1722" s="227"/>
      <c r="SKE1722" s="227"/>
      <c r="SKF1722" s="227"/>
      <c r="SKG1722" s="227"/>
      <c r="SKH1722" s="227"/>
      <c r="SKI1722" s="227"/>
      <c r="SKJ1722" s="227"/>
      <c r="SKK1722" s="227"/>
      <c r="SKL1722" s="227"/>
      <c r="SKM1722" s="227"/>
      <c r="SKN1722" s="227"/>
      <c r="SKO1722" s="227"/>
      <c r="SKP1722" s="227"/>
      <c r="SKQ1722" s="227"/>
      <c r="SKR1722" s="227"/>
      <c r="SKS1722" s="227"/>
      <c r="SKT1722" s="227"/>
      <c r="SKU1722" s="227"/>
      <c r="SKV1722" s="227"/>
      <c r="SKW1722" s="227"/>
      <c r="SKX1722" s="227"/>
      <c r="SKY1722" s="227"/>
      <c r="SKZ1722" s="227"/>
      <c r="SLA1722" s="227"/>
      <c r="SLB1722" s="227"/>
      <c r="SLC1722" s="227"/>
      <c r="SLD1722" s="227"/>
      <c r="SLE1722" s="227"/>
      <c r="SLF1722" s="227"/>
      <c r="SLG1722" s="227"/>
      <c r="SLH1722" s="227"/>
      <c r="SLI1722" s="227"/>
      <c r="SLJ1722" s="227"/>
      <c r="SLK1722" s="227"/>
      <c r="SLL1722" s="227"/>
      <c r="SLM1722" s="227"/>
      <c r="SLN1722" s="227"/>
      <c r="SLO1722" s="227"/>
      <c r="SLP1722" s="227"/>
      <c r="SLQ1722" s="227"/>
      <c r="SLR1722" s="227"/>
      <c r="SLS1722" s="227"/>
      <c r="SLT1722" s="227"/>
      <c r="SLU1722" s="227"/>
      <c r="SLV1722" s="227"/>
      <c r="SLW1722" s="227"/>
      <c r="SLX1722" s="227"/>
      <c r="SLY1722" s="227"/>
      <c r="SLZ1722" s="227"/>
      <c r="SMA1722" s="227"/>
      <c r="SMB1722" s="227"/>
      <c r="SMC1722" s="227"/>
      <c r="SMD1722" s="227"/>
      <c r="SME1722" s="227"/>
      <c r="SMF1722" s="227"/>
      <c r="SMG1722" s="227"/>
      <c r="SMH1722" s="227"/>
      <c r="SMI1722" s="227"/>
      <c r="SMJ1722" s="227"/>
      <c r="SMK1722" s="227"/>
      <c r="SML1722" s="227"/>
      <c r="SMM1722" s="227"/>
      <c r="SMN1722" s="227"/>
      <c r="SMO1722" s="227"/>
      <c r="SMP1722" s="227"/>
      <c r="SMQ1722" s="227"/>
      <c r="SMR1722" s="227"/>
      <c r="SMS1722" s="227"/>
      <c r="SMT1722" s="227"/>
      <c r="SMU1722" s="227"/>
      <c r="SMV1722" s="227"/>
      <c r="SMW1722" s="227"/>
      <c r="SMX1722" s="227"/>
      <c r="SMY1722" s="227"/>
      <c r="SMZ1722" s="227"/>
      <c r="SNA1722" s="227"/>
      <c r="SNB1722" s="227"/>
      <c r="SNC1722" s="227"/>
      <c r="SND1722" s="227"/>
      <c r="SNE1722" s="227"/>
      <c r="SNF1722" s="227"/>
      <c r="SNG1722" s="227"/>
      <c r="SNH1722" s="227"/>
      <c r="SNI1722" s="227"/>
      <c r="SNJ1722" s="227"/>
      <c r="SNK1722" s="227"/>
      <c r="SNL1722" s="227"/>
      <c r="SNM1722" s="227"/>
      <c r="SNN1722" s="227"/>
      <c r="SNO1722" s="227"/>
      <c r="SNP1722" s="227"/>
      <c r="SNQ1722" s="227"/>
      <c r="SNR1722" s="227"/>
      <c r="SNS1722" s="227"/>
      <c r="SNT1722" s="227"/>
      <c r="SNU1722" s="227"/>
      <c r="SNV1722" s="227"/>
      <c r="SNW1722" s="227"/>
      <c r="SNX1722" s="227"/>
      <c r="SNY1722" s="227"/>
      <c r="SNZ1722" s="227"/>
      <c r="SOA1722" s="227"/>
      <c r="SOB1722" s="227"/>
      <c r="SOC1722" s="227"/>
      <c r="SOD1722" s="227"/>
      <c r="SOE1722" s="227"/>
      <c r="SOF1722" s="227"/>
      <c r="SOG1722" s="227"/>
      <c r="SOH1722" s="227"/>
      <c r="SOI1722" s="227"/>
      <c r="SOJ1722" s="227"/>
      <c r="SOK1722" s="227"/>
      <c r="SOL1722" s="227"/>
      <c r="SOM1722" s="227"/>
      <c r="SON1722" s="227"/>
      <c r="SOO1722" s="227"/>
      <c r="SOP1722" s="227"/>
      <c r="SOQ1722" s="227"/>
      <c r="SOR1722" s="227"/>
      <c r="SOS1722" s="227"/>
      <c r="SOT1722" s="227"/>
      <c r="SOU1722" s="227"/>
      <c r="SOV1722" s="227"/>
      <c r="SOW1722" s="227"/>
      <c r="SOX1722" s="227"/>
      <c r="SOY1722" s="227"/>
      <c r="SOZ1722" s="227"/>
      <c r="SPA1722" s="227"/>
      <c r="SPB1722" s="227"/>
      <c r="SPC1722" s="227"/>
      <c r="SPD1722" s="227"/>
      <c r="SPE1722" s="227"/>
      <c r="SPF1722" s="227"/>
      <c r="SPG1722" s="227"/>
      <c r="SPH1722" s="227"/>
      <c r="SPI1722" s="227"/>
      <c r="SPJ1722" s="227"/>
      <c r="SPK1722" s="227"/>
      <c r="SPL1722" s="227"/>
      <c r="SPM1722" s="227"/>
      <c r="SPN1722" s="227"/>
      <c r="SPO1722" s="227"/>
      <c r="SPP1722" s="227"/>
      <c r="SPQ1722" s="227"/>
      <c r="SPR1722" s="227"/>
      <c r="SPS1722" s="227"/>
      <c r="SPT1722" s="227"/>
      <c r="SPU1722" s="227"/>
      <c r="SPV1722" s="227"/>
      <c r="SPW1722" s="227"/>
      <c r="SPX1722" s="227"/>
      <c r="SPY1722" s="227"/>
      <c r="SPZ1722" s="227"/>
      <c r="SQA1722" s="227"/>
      <c r="SQB1722" s="227"/>
      <c r="SQC1722" s="227"/>
      <c r="SQD1722" s="227"/>
      <c r="SQE1722" s="227"/>
      <c r="SQF1722" s="227"/>
      <c r="SQG1722" s="227"/>
      <c r="SQH1722" s="227"/>
      <c r="SQI1722" s="227"/>
      <c r="SQJ1722" s="227"/>
      <c r="SQK1722" s="227"/>
      <c r="SQL1722" s="227"/>
      <c r="SQM1722" s="227"/>
      <c r="SQN1722" s="227"/>
      <c r="SQO1722" s="227"/>
      <c r="SQP1722" s="227"/>
      <c r="SQQ1722" s="227"/>
      <c r="SQR1722" s="227"/>
      <c r="SQS1722" s="227"/>
      <c r="SQT1722" s="227"/>
      <c r="SQU1722" s="227"/>
      <c r="SQV1722" s="227"/>
      <c r="SQW1722" s="227"/>
      <c r="SQX1722" s="227"/>
      <c r="SQY1722" s="227"/>
      <c r="SQZ1722" s="227"/>
      <c r="SRA1722" s="227"/>
      <c r="SRB1722" s="227"/>
      <c r="SRC1722" s="227"/>
      <c r="SRD1722" s="227"/>
      <c r="SRE1722" s="227"/>
      <c r="SRF1722" s="227"/>
      <c r="SRG1722" s="227"/>
      <c r="SRH1722" s="227"/>
      <c r="SRI1722" s="227"/>
      <c r="SRJ1722" s="227"/>
      <c r="SRK1722" s="227"/>
      <c r="SRL1722" s="227"/>
      <c r="SRM1722" s="227"/>
      <c r="SRN1722" s="227"/>
      <c r="SRO1722" s="227"/>
      <c r="SRP1722" s="227"/>
      <c r="SRQ1722" s="227"/>
      <c r="SRR1722" s="227"/>
      <c r="SRS1722" s="227"/>
      <c r="SRT1722" s="227"/>
      <c r="SRU1722" s="227"/>
      <c r="SRV1722" s="227"/>
      <c r="SRW1722" s="227"/>
      <c r="SRX1722" s="227"/>
      <c r="SRY1722" s="227"/>
      <c r="SRZ1722" s="227"/>
      <c r="SSA1722" s="227"/>
      <c r="SSB1722" s="227"/>
      <c r="SSC1722" s="227"/>
      <c r="SSD1722" s="227"/>
      <c r="SSE1722" s="227"/>
      <c r="SSF1722" s="227"/>
      <c r="SSG1722" s="227"/>
      <c r="SSH1722" s="227"/>
      <c r="SSI1722" s="227"/>
      <c r="SSJ1722" s="227"/>
      <c r="SSK1722" s="227"/>
      <c r="SSL1722" s="227"/>
      <c r="SSM1722" s="227"/>
      <c r="SSN1722" s="227"/>
      <c r="SSO1722" s="227"/>
      <c r="SSP1722" s="227"/>
      <c r="SSQ1722" s="227"/>
      <c r="SSR1722" s="227"/>
      <c r="SSS1722" s="227"/>
      <c r="SST1722" s="227"/>
      <c r="SSU1722" s="227"/>
      <c r="SSV1722" s="227"/>
      <c r="SSW1722" s="227"/>
      <c r="SSX1722" s="227"/>
      <c r="SSY1722" s="227"/>
      <c r="SSZ1722" s="227"/>
      <c r="STA1722" s="227"/>
      <c r="STB1722" s="227"/>
      <c r="STC1722" s="227"/>
      <c r="STD1722" s="227"/>
      <c r="STE1722" s="227"/>
      <c r="STF1722" s="227"/>
      <c r="STG1722" s="227"/>
      <c r="STH1722" s="227"/>
      <c r="STI1722" s="227"/>
      <c r="STJ1722" s="227"/>
      <c r="STK1722" s="227"/>
      <c r="STL1722" s="227"/>
      <c r="STM1722" s="227"/>
      <c r="STN1722" s="227"/>
      <c r="STO1722" s="227"/>
      <c r="STP1722" s="227"/>
      <c r="STQ1722" s="227"/>
      <c r="STR1722" s="227"/>
      <c r="STS1722" s="227"/>
      <c r="STT1722" s="227"/>
      <c r="STU1722" s="227"/>
      <c r="STV1722" s="227"/>
      <c r="STW1722" s="227"/>
      <c r="STX1722" s="227"/>
      <c r="STY1722" s="227"/>
      <c r="STZ1722" s="227"/>
      <c r="SUA1722" s="227"/>
      <c r="SUB1722" s="227"/>
      <c r="SUC1722" s="227"/>
      <c r="SUD1722" s="227"/>
      <c r="SUE1722" s="227"/>
      <c r="SUF1722" s="227"/>
      <c r="SUG1722" s="227"/>
      <c r="SUH1722" s="227"/>
      <c r="SUI1722" s="227"/>
      <c r="SUJ1722" s="227"/>
      <c r="SUK1722" s="227"/>
      <c r="SUL1722" s="227"/>
      <c r="SUM1722" s="227"/>
      <c r="SUN1722" s="227"/>
      <c r="SUO1722" s="227"/>
      <c r="SUP1722" s="227"/>
      <c r="SUQ1722" s="227"/>
      <c r="SUR1722" s="227"/>
      <c r="SUS1722" s="227"/>
      <c r="SUT1722" s="227"/>
      <c r="SUU1722" s="227"/>
      <c r="SUV1722" s="227"/>
      <c r="SUW1722" s="227"/>
      <c r="SUX1722" s="227"/>
      <c r="SUY1722" s="227"/>
      <c r="SUZ1722" s="227"/>
      <c r="SVA1722" s="227"/>
      <c r="SVB1722" s="227"/>
      <c r="SVC1722" s="227"/>
      <c r="SVD1722" s="227"/>
      <c r="SVE1722" s="227"/>
      <c r="SVF1722" s="227"/>
      <c r="SVG1722" s="227"/>
      <c r="SVH1722" s="227"/>
      <c r="SVI1722" s="227"/>
      <c r="SVJ1722" s="227"/>
      <c r="SVK1722" s="227"/>
      <c r="SVL1722" s="227"/>
      <c r="SVM1722" s="227"/>
      <c r="SVN1722" s="227"/>
      <c r="SVO1722" s="227"/>
      <c r="SVP1722" s="227"/>
      <c r="SVQ1722" s="227"/>
      <c r="SVR1722" s="227"/>
      <c r="SVS1722" s="227"/>
      <c r="SVT1722" s="227"/>
      <c r="SVU1722" s="227"/>
      <c r="SVV1722" s="227"/>
      <c r="SVW1722" s="227"/>
      <c r="SVX1722" s="227"/>
      <c r="SVY1722" s="227"/>
      <c r="SVZ1722" s="227"/>
      <c r="SWA1722" s="227"/>
      <c r="SWB1722" s="227"/>
      <c r="SWC1722" s="227"/>
      <c r="SWD1722" s="227"/>
      <c r="SWE1722" s="227"/>
      <c r="SWF1722" s="227"/>
      <c r="SWG1722" s="227"/>
      <c r="SWH1722" s="227"/>
      <c r="SWI1722" s="227"/>
      <c r="SWJ1722" s="227"/>
      <c r="SWK1722" s="227"/>
      <c r="SWL1722" s="227"/>
      <c r="SWM1722" s="227"/>
      <c r="SWN1722" s="227"/>
      <c r="SWO1722" s="227"/>
      <c r="SWP1722" s="227"/>
      <c r="SWQ1722" s="227"/>
      <c r="SWR1722" s="227"/>
      <c r="SWS1722" s="227"/>
      <c r="SWT1722" s="227"/>
      <c r="SWU1722" s="227"/>
      <c r="SWV1722" s="227"/>
      <c r="SWW1722" s="227"/>
      <c r="SWX1722" s="227"/>
      <c r="SWY1722" s="227"/>
      <c r="SWZ1722" s="227"/>
      <c r="SXA1722" s="227"/>
      <c r="SXB1722" s="227"/>
      <c r="SXC1722" s="227"/>
      <c r="SXD1722" s="227"/>
      <c r="SXE1722" s="227"/>
      <c r="SXF1722" s="227"/>
      <c r="SXG1722" s="227"/>
      <c r="SXH1722" s="227"/>
      <c r="SXI1722" s="227"/>
      <c r="SXJ1722" s="227"/>
      <c r="SXK1722" s="227"/>
      <c r="SXL1722" s="227"/>
      <c r="SXM1722" s="227"/>
      <c r="SXN1722" s="227"/>
      <c r="SXO1722" s="227"/>
      <c r="SXP1722" s="227"/>
      <c r="SXQ1722" s="227"/>
      <c r="SXR1722" s="227"/>
      <c r="SXS1722" s="227"/>
      <c r="SXT1722" s="227"/>
      <c r="SXU1722" s="227"/>
      <c r="SXV1722" s="227"/>
      <c r="SXW1722" s="227"/>
      <c r="SXX1722" s="227"/>
      <c r="SXY1722" s="227"/>
      <c r="SXZ1722" s="227"/>
      <c r="SYA1722" s="227"/>
      <c r="SYB1722" s="227"/>
      <c r="SYC1722" s="227"/>
      <c r="SYD1722" s="227"/>
      <c r="SYE1722" s="227"/>
      <c r="SYF1722" s="227"/>
      <c r="SYG1722" s="227"/>
      <c r="SYH1722" s="227"/>
      <c r="SYI1722" s="227"/>
      <c r="SYJ1722" s="227"/>
      <c r="SYK1722" s="227"/>
      <c r="SYL1722" s="227"/>
      <c r="SYM1722" s="227"/>
      <c r="SYN1722" s="227"/>
      <c r="SYO1722" s="227"/>
      <c r="SYP1722" s="227"/>
      <c r="SYQ1722" s="227"/>
      <c r="SYR1722" s="227"/>
      <c r="SYS1722" s="227"/>
      <c r="SYT1722" s="227"/>
      <c r="SYU1722" s="227"/>
      <c r="SYV1722" s="227"/>
      <c r="SYW1722" s="227"/>
      <c r="SYX1722" s="227"/>
      <c r="SYY1722" s="227"/>
      <c r="SYZ1722" s="227"/>
      <c r="SZA1722" s="227"/>
      <c r="SZB1722" s="227"/>
      <c r="SZC1722" s="227"/>
      <c r="SZD1722" s="227"/>
      <c r="SZE1722" s="227"/>
      <c r="SZF1722" s="227"/>
      <c r="SZG1722" s="227"/>
      <c r="SZH1722" s="227"/>
      <c r="SZI1722" s="227"/>
      <c r="SZJ1722" s="227"/>
      <c r="SZK1722" s="227"/>
      <c r="SZL1722" s="227"/>
      <c r="SZM1722" s="227"/>
      <c r="SZN1722" s="227"/>
      <c r="SZO1722" s="227"/>
      <c r="SZP1722" s="227"/>
      <c r="SZQ1722" s="227"/>
      <c r="SZR1722" s="227"/>
      <c r="SZS1722" s="227"/>
      <c r="SZT1722" s="227"/>
      <c r="SZU1722" s="227"/>
      <c r="SZV1722" s="227"/>
      <c r="SZW1722" s="227"/>
      <c r="SZX1722" s="227"/>
      <c r="SZY1722" s="227"/>
      <c r="SZZ1722" s="227"/>
      <c r="TAA1722" s="227"/>
      <c r="TAB1722" s="227"/>
      <c r="TAC1722" s="227"/>
      <c r="TAD1722" s="227"/>
      <c r="TAE1722" s="227"/>
      <c r="TAF1722" s="227"/>
      <c r="TAG1722" s="227"/>
      <c r="TAH1722" s="227"/>
      <c r="TAI1722" s="227"/>
      <c r="TAJ1722" s="227"/>
      <c r="TAK1722" s="227"/>
      <c r="TAL1722" s="227"/>
      <c r="TAM1722" s="227"/>
      <c r="TAN1722" s="227"/>
      <c r="TAO1722" s="227"/>
      <c r="TAP1722" s="227"/>
      <c r="TAQ1722" s="227"/>
      <c r="TAR1722" s="227"/>
      <c r="TAS1722" s="227"/>
      <c r="TAT1722" s="227"/>
      <c r="TAU1722" s="227"/>
      <c r="TAV1722" s="227"/>
      <c r="TAW1722" s="227"/>
      <c r="TAX1722" s="227"/>
      <c r="TAY1722" s="227"/>
      <c r="TAZ1722" s="227"/>
      <c r="TBA1722" s="227"/>
      <c r="TBB1722" s="227"/>
      <c r="TBC1722" s="227"/>
      <c r="TBD1722" s="227"/>
      <c r="TBE1722" s="227"/>
      <c r="TBF1722" s="227"/>
      <c r="TBG1722" s="227"/>
      <c r="TBH1722" s="227"/>
      <c r="TBI1722" s="227"/>
      <c r="TBJ1722" s="227"/>
      <c r="TBK1722" s="227"/>
      <c r="TBL1722" s="227"/>
      <c r="TBM1722" s="227"/>
      <c r="TBN1722" s="227"/>
      <c r="TBO1722" s="227"/>
      <c r="TBP1722" s="227"/>
      <c r="TBQ1722" s="227"/>
      <c r="TBR1722" s="227"/>
      <c r="TBS1722" s="227"/>
      <c r="TBT1722" s="227"/>
      <c r="TBU1722" s="227"/>
      <c r="TBV1722" s="227"/>
      <c r="TBW1722" s="227"/>
      <c r="TBX1722" s="227"/>
      <c r="TBY1722" s="227"/>
      <c r="TBZ1722" s="227"/>
      <c r="TCA1722" s="227"/>
      <c r="TCB1722" s="227"/>
      <c r="TCC1722" s="227"/>
      <c r="TCD1722" s="227"/>
      <c r="TCE1722" s="227"/>
      <c r="TCF1722" s="227"/>
      <c r="TCG1722" s="227"/>
      <c r="TCH1722" s="227"/>
      <c r="TCI1722" s="227"/>
      <c r="TCJ1722" s="227"/>
      <c r="TCK1722" s="227"/>
      <c r="TCL1722" s="227"/>
      <c r="TCM1722" s="227"/>
      <c r="TCN1722" s="227"/>
      <c r="TCO1722" s="227"/>
      <c r="TCP1722" s="227"/>
      <c r="TCQ1722" s="227"/>
      <c r="TCR1722" s="227"/>
      <c r="TCS1722" s="227"/>
      <c r="TCT1722" s="227"/>
      <c r="TCU1722" s="227"/>
      <c r="TCV1722" s="227"/>
      <c r="TCW1722" s="227"/>
      <c r="TCX1722" s="227"/>
      <c r="TCY1722" s="227"/>
      <c r="TCZ1722" s="227"/>
      <c r="TDA1722" s="227"/>
      <c r="TDB1722" s="227"/>
      <c r="TDC1722" s="227"/>
      <c r="TDD1722" s="227"/>
      <c r="TDE1722" s="227"/>
      <c r="TDF1722" s="227"/>
      <c r="TDG1722" s="227"/>
      <c r="TDH1722" s="227"/>
      <c r="TDI1722" s="227"/>
      <c r="TDJ1722" s="227"/>
      <c r="TDK1722" s="227"/>
      <c r="TDL1722" s="227"/>
      <c r="TDM1722" s="227"/>
      <c r="TDN1722" s="227"/>
      <c r="TDO1722" s="227"/>
      <c r="TDP1722" s="227"/>
      <c r="TDQ1722" s="227"/>
      <c r="TDR1722" s="227"/>
      <c r="TDS1722" s="227"/>
      <c r="TDT1722" s="227"/>
      <c r="TDU1722" s="227"/>
      <c r="TDV1722" s="227"/>
      <c r="TDW1722" s="227"/>
      <c r="TDX1722" s="227"/>
      <c r="TDY1722" s="227"/>
      <c r="TDZ1722" s="227"/>
      <c r="TEA1722" s="227"/>
      <c r="TEB1722" s="227"/>
      <c r="TEC1722" s="227"/>
      <c r="TED1722" s="227"/>
      <c r="TEE1722" s="227"/>
      <c r="TEF1722" s="227"/>
      <c r="TEG1722" s="227"/>
      <c r="TEH1722" s="227"/>
      <c r="TEI1722" s="227"/>
      <c r="TEJ1722" s="227"/>
      <c r="TEK1722" s="227"/>
      <c r="TEL1722" s="227"/>
      <c r="TEM1722" s="227"/>
      <c r="TEN1722" s="227"/>
      <c r="TEO1722" s="227"/>
      <c r="TEP1722" s="227"/>
      <c r="TEQ1722" s="227"/>
      <c r="TER1722" s="227"/>
      <c r="TES1722" s="227"/>
      <c r="TET1722" s="227"/>
      <c r="TEU1722" s="227"/>
      <c r="TEV1722" s="227"/>
      <c r="TEW1722" s="227"/>
      <c r="TEX1722" s="227"/>
      <c r="TEY1722" s="227"/>
      <c r="TEZ1722" s="227"/>
      <c r="TFA1722" s="227"/>
      <c r="TFB1722" s="227"/>
      <c r="TFC1722" s="227"/>
      <c r="TFD1722" s="227"/>
      <c r="TFE1722" s="227"/>
      <c r="TFF1722" s="227"/>
      <c r="TFG1722" s="227"/>
      <c r="TFH1722" s="227"/>
      <c r="TFI1722" s="227"/>
      <c r="TFJ1722" s="227"/>
      <c r="TFK1722" s="227"/>
      <c r="TFL1722" s="227"/>
      <c r="TFM1722" s="227"/>
      <c r="TFN1722" s="227"/>
      <c r="TFO1722" s="227"/>
      <c r="TFP1722" s="227"/>
      <c r="TFQ1722" s="227"/>
      <c r="TFR1722" s="227"/>
      <c r="TFS1722" s="227"/>
      <c r="TFT1722" s="227"/>
      <c r="TFU1722" s="227"/>
      <c r="TFV1722" s="227"/>
      <c r="TFW1722" s="227"/>
      <c r="TFX1722" s="227"/>
      <c r="TFY1722" s="227"/>
      <c r="TFZ1722" s="227"/>
      <c r="TGA1722" s="227"/>
      <c r="TGB1722" s="227"/>
      <c r="TGC1722" s="227"/>
      <c r="TGD1722" s="227"/>
      <c r="TGE1722" s="227"/>
      <c r="TGF1722" s="227"/>
      <c r="TGG1722" s="227"/>
      <c r="TGH1722" s="227"/>
      <c r="TGI1722" s="227"/>
      <c r="TGJ1722" s="227"/>
      <c r="TGK1722" s="227"/>
      <c r="TGL1722" s="227"/>
      <c r="TGM1722" s="227"/>
      <c r="TGN1722" s="227"/>
      <c r="TGO1722" s="227"/>
      <c r="TGP1722" s="227"/>
      <c r="TGQ1722" s="227"/>
      <c r="TGR1722" s="227"/>
      <c r="TGS1722" s="227"/>
      <c r="TGT1722" s="227"/>
      <c r="TGU1722" s="227"/>
      <c r="TGV1722" s="227"/>
      <c r="TGW1722" s="227"/>
      <c r="TGX1722" s="227"/>
      <c r="TGY1722" s="227"/>
      <c r="TGZ1722" s="227"/>
      <c r="THA1722" s="227"/>
      <c r="THB1722" s="227"/>
      <c r="THC1722" s="227"/>
      <c r="THD1722" s="227"/>
      <c r="THE1722" s="227"/>
      <c r="THF1722" s="227"/>
      <c r="THG1722" s="227"/>
      <c r="THH1722" s="227"/>
      <c r="THI1722" s="227"/>
      <c r="THJ1722" s="227"/>
      <c r="THK1722" s="227"/>
      <c r="THL1722" s="227"/>
      <c r="THM1722" s="227"/>
      <c r="THN1722" s="227"/>
      <c r="THO1722" s="227"/>
      <c r="THP1722" s="227"/>
      <c r="THQ1722" s="227"/>
      <c r="THR1722" s="227"/>
      <c r="THS1722" s="227"/>
      <c r="THT1722" s="227"/>
      <c r="THU1722" s="227"/>
      <c r="THV1722" s="227"/>
      <c r="THW1722" s="227"/>
      <c r="THX1722" s="227"/>
      <c r="THY1722" s="227"/>
      <c r="THZ1722" s="227"/>
      <c r="TIA1722" s="227"/>
      <c r="TIB1722" s="227"/>
      <c r="TIC1722" s="227"/>
      <c r="TID1722" s="227"/>
      <c r="TIE1722" s="227"/>
      <c r="TIF1722" s="227"/>
      <c r="TIG1722" s="227"/>
      <c r="TIH1722" s="227"/>
      <c r="TII1722" s="227"/>
      <c r="TIJ1722" s="227"/>
      <c r="TIK1722" s="227"/>
      <c r="TIL1722" s="227"/>
      <c r="TIM1722" s="227"/>
      <c r="TIN1722" s="227"/>
      <c r="TIO1722" s="227"/>
      <c r="TIP1722" s="227"/>
      <c r="TIQ1722" s="227"/>
      <c r="TIR1722" s="227"/>
      <c r="TIS1722" s="227"/>
      <c r="TIT1722" s="227"/>
      <c r="TIU1722" s="227"/>
      <c r="TIV1722" s="227"/>
      <c r="TIW1722" s="227"/>
      <c r="TIX1722" s="227"/>
      <c r="TIY1722" s="227"/>
      <c r="TIZ1722" s="227"/>
      <c r="TJA1722" s="227"/>
      <c r="TJB1722" s="227"/>
      <c r="TJC1722" s="227"/>
      <c r="TJD1722" s="227"/>
      <c r="TJE1722" s="227"/>
      <c r="TJF1722" s="227"/>
      <c r="TJG1722" s="227"/>
      <c r="TJH1722" s="227"/>
      <c r="TJI1722" s="227"/>
      <c r="TJJ1722" s="227"/>
      <c r="TJK1722" s="227"/>
      <c r="TJL1722" s="227"/>
      <c r="TJM1722" s="227"/>
      <c r="TJN1722" s="227"/>
      <c r="TJO1722" s="227"/>
      <c r="TJP1722" s="227"/>
      <c r="TJQ1722" s="227"/>
      <c r="TJR1722" s="227"/>
      <c r="TJS1722" s="227"/>
      <c r="TJT1722" s="227"/>
      <c r="TJU1722" s="227"/>
      <c r="TJV1722" s="227"/>
      <c r="TJW1722" s="227"/>
      <c r="TJX1722" s="227"/>
      <c r="TJY1722" s="227"/>
      <c r="TJZ1722" s="227"/>
      <c r="TKA1722" s="227"/>
      <c r="TKB1722" s="227"/>
      <c r="TKC1722" s="227"/>
      <c r="TKD1722" s="227"/>
      <c r="TKE1722" s="227"/>
      <c r="TKF1722" s="227"/>
      <c r="TKG1722" s="227"/>
      <c r="TKH1722" s="227"/>
      <c r="TKI1722" s="227"/>
      <c r="TKJ1722" s="227"/>
      <c r="TKK1722" s="227"/>
      <c r="TKL1722" s="227"/>
      <c r="TKM1722" s="227"/>
      <c r="TKN1722" s="227"/>
      <c r="TKO1722" s="227"/>
      <c r="TKP1722" s="227"/>
      <c r="TKQ1722" s="227"/>
      <c r="TKR1722" s="227"/>
      <c r="TKS1722" s="227"/>
      <c r="TKT1722" s="227"/>
      <c r="TKU1722" s="227"/>
      <c r="TKV1722" s="227"/>
      <c r="TKW1722" s="227"/>
      <c r="TKX1722" s="227"/>
      <c r="TKY1722" s="227"/>
      <c r="TKZ1722" s="227"/>
      <c r="TLA1722" s="227"/>
      <c r="TLB1722" s="227"/>
      <c r="TLC1722" s="227"/>
      <c r="TLD1722" s="227"/>
      <c r="TLE1722" s="227"/>
      <c r="TLF1722" s="227"/>
      <c r="TLG1722" s="227"/>
      <c r="TLH1722" s="227"/>
      <c r="TLI1722" s="227"/>
      <c r="TLJ1722" s="227"/>
      <c r="TLK1722" s="227"/>
      <c r="TLL1722" s="227"/>
      <c r="TLM1722" s="227"/>
      <c r="TLN1722" s="227"/>
      <c r="TLO1722" s="227"/>
      <c r="TLP1722" s="227"/>
      <c r="TLQ1722" s="227"/>
      <c r="TLR1722" s="227"/>
      <c r="TLS1722" s="227"/>
      <c r="TLT1722" s="227"/>
      <c r="TLU1722" s="227"/>
      <c r="TLV1722" s="227"/>
      <c r="TLW1722" s="227"/>
      <c r="TLX1722" s="227"/>
      <c r="TLY1722" s="227"/>
      <c r="TLZ1722" s="227"/>
      <c r="TMA1722" s="227"/>
      <c r="TMB1722" s="227"/>
      <c r="TMC1722" s="227"/>
      <c r="TMD1722" s="227"/>
      <c r="TME1722" s="227"/>
      <c r="TMF1722" s="227"/>
      <c r="TMG1722" s="227"/>
      <c r="TMH1722" s="227"/>
      <c r="TMI1722" s="227"/>
      <c r="TMJ1722" s="227"/>
      <c r="TMK1722" s="227"/>
      <c r="TML1722" s="227"/>
      <c r="TMM1722" s="227"/>
      <c r="TMN1722" s="227"/>
      <c r="TMO1722" s="227"/>
      <c r="TMP1722" s="227"/>
      <c r="TMQ1722" s="227"/>
      <c r="TMR1722" s="227"/>
      <c r="TMS1722" s="227"/>
      <c r="TMT1722" s="227"/>
      <c r="TMU1722" s="227"/>
      <c r="TMV1722" s="227"/>
      <c r="TMW1722" s="227"/>
      <c r="TMX1722" s="227"/>
      <c r="TMY1722" s="227"/>
      <c r="TMZ1722" s="227"/>
      <c r="TNA1722" s="227"/>
      <c r="TNB1722" s="227"/>
      <c r="TNC1722" s="227"/>
      <c r="TND1722" s="227"/>
      <c r="TNE1722" s="227"/>
      <c r="TNF1722" s="227"/>
      <c r="TNG1722" s="227"/>
      <c r="TNH1722" s="227"/>
      <c r="TNI1722" s="227"/>
      <c r="TNJ1722" s="227"/>
      <c r="TNK1722" s="227"/>
      <c r="TNL1722" s="227"/>
      <c r="TNM1722" s="227"/>
      <c r="TNN1722" s="227"/>
      <c r="TNO1722" s="227"/>
      <c r="TNP1722" s="227"/>
      <c r="TNQ1722" s="227"/>
      <c r="TNR1722" s="227"/>
      <c r="TNS1722" s="227"/>
      <c r="TNT1722" s="227"/>
      <c r="TNU1722" s="227"/>
      <c r="TNV1722" s="227"/>
      <c r="TNW1722" s="227"/>
      <c r="TNX1722" s="227"/>
      <c r="TNY1722" s="227"/>
      <c r="TNZ1722" s="227"/>
      <c r="TOA1722" s="227"/>
      <c r="TOB1722" s="227"/>
      <c r="TOC1722" s="227"/>
      <c r="TOD1722" s="227"/>
      <c r="TOE1722" s="227"/>
      <c r="TOF1722" s="227"/>
      <c r="TOG1722" s="227"/>
      <c r="TOH1722" s="227"/>
      <c r="TOI1722" s="227"/>
      <c r="TOJ1722" s="227"/>
      <c r="TOK1722" s="227"/>
      <c r="TOL1722" s="227"/>
      <c r="TOM1722" s="227"/>
      <c r="TON1722" s="227"/>
      <c r="TOO1722" s="227"/>
      <c r="TOP1722" s="227"/>
      <c r="TOQ1722" s="227"/>
      <c r="TOR1722" s="227"/>
      <c r="TOS1722" s="227"/>
      <c r="TOT1722" s="227"/>
      <c r="TOU1722" s="227"/>
      <c r="TOV1722" s="227"/>
      <c r="TOW1722" s="227"/>
      <c r="TOX1722" s="227"/>
      <c r="TOY1722" s="227"/>
      <c r="TOZ1722" s="227"/>
      <c r="TPA1722" s="227"/>
      <c r="TPB1722" s="227"/>
      <c r="TPC1722" s="227"/>
      <c r="TPD1722" s="227"/>
      <c r="TPE1722" s="227"/>
      <c r="TPF1722" s="227"/>
      <c r="TPG1722" s="227"/>
      <c r="TPH1722" s="227"/>
      <c r="TPI1722" s="227"/>
      <c r="TPJ1722" s="227"/>
      <c r="TPK1722" s="227"/>
      <c r="TPL1722" s="227"/>
      <c r="TPM1722" s="227"/>
      <c r="TPN1722" s="227"/>
      <c r="TPO1722" s="227"/>
      <c r="TPP1722" s="227"/>
      <c r="TPQ1722" s="227"/>
      <c r="TPR1722" s="227"/>
      <c r="TPS1722" s="227"/>
      <c r="TPT1722" s="227"/>
      <c r="TPU1722" s="227"/>
      <c r="TPV1722" s="227"/>
      <c r="TPW1722" s="227"/>
      <c r="TPX1722" s="227"/>
      <c r="TPY1722" s="227"/>
      <c r="TPZ1722" s="227"/>
      <c r="TQA1722" s="227"/>
      <c r="TQB1722" s="227"/>
      <c r="TQC1722" s="227"/>
      <c r="TQD1722" s="227"/>
      <c r="TQE1722" s="227"/>
      <c r="TQF1722" s="227"/>
      <c r="TQG1722" s="227"/>
      <c r="TQH1722" s="227"/>
      <c r="TQI1722" s="227"/>
      <c r="TQJ1722" s="227"/>
      <c r="TQK1722" s="227"/>
      <c r="TQL1722" s="227"/>
      <c r="TQM1722" s="227"/>
      <c r="TQN1722" s="227"/>
      <c r="TQO1722" s="227"/>
      <c r="TQP1722" s="227"/>
      <c r="TQQ1722" s="227"/>
      <c r="TQR1722" s="227"/>
      <c r="TQS1722" s="227"/>
      <c r="TQT1722" s="227"/>
      <c r="TQU1722" s="227"/>
      <c r="TQV1722" s="227"/>
      <c r="TQW1722" s="227"/>
      <c r="TQX1722" s="227"/>
      <c r="TQY1722" s="227"/>
      <c r="TQZ1722" s="227"/>
      <c r="TRA1722" s="227"/>
      <c r="TRB1722" s="227"/>
      <c r="TRC1722" s="227"/>
      <c r="TRD1722" s="227"/>
      <c r="TRE1722" s="227"/>
      <c r="TRF1722" s="227"/>
      <c r="TRG1722" s="227"/>
      <c r="TRH1722" s="227"/>
      <c r="TRI1722" s="227"/>
      <c r="TRJ1722" s="227"/>
      <c r="TRK1722" s="227"/>
      <c r="TRL1722" s="227"/>
      <c r="TRM1722" s="227"/>
      <c r="TRN1722" s="227"/>
      <c r="TRO1722" s="227"/>
      <c r="TRP1722" s="227"/>
      <c r="TRQ1722" s="227"/>
      <c r="TRR1722" s="227"/>
      <c r="TRS1722" s="227"/>
      <c r="TRT1722" s="227"/>
      <c r="TRU1722" s="227"/>
      <c r="TRV1722" s="227"/>
      <c r="TRW1722" s="227"/>
      <c r="TRX1722" s="227"/>
      <c r="TRY1722" s="227"/>
      <c r="TRZ1722" s="227"/>
      <c r="TSA1722" s="227"/>
      <c r="TSB1722" s="227"/>
      <c r="TSC1722" s="227"/>
      <c r="TSD1722" s="227"/>
      <c r="TSE1722" s="227"/>
      <c r="TSF1722" s="227"/>
      <c r="TSG1722" s="227"/>
      <c r="TSH1722" s="227"/>
      <c r="TSI1722" s="227"/>
      <c r="TSJ1722" s="227"/>
      <c r="TSK1722" s="227"/>
      <c r="TSL1722" s="227"/>
      <c r="TSM1722" s="227"/>
      <c r="TSN1722" s="227"/>
      <c r="TSO1722" s="227"/>
      <c r="TSP1722" s="227"/>
      <c r="TSQ1722" s="227"/>
      <c r="TSR1722" s="227"/>
      <c r="TSS1722" s="227"/>
      <c r="TST1722" s="227"/>
      <c r="TSU1722" s="227"/>
      <c r="TSV1722" s="227"/>
      <c r="TSW1722" s="227"/>
      <c r="TSX1722" s="227"/>
      <c r="TSY1722" s="227"/>
      <c r="TSZ1722" s="227"/>
      <c r="TTA1722" s="227"/>
      <c r="TTB1722" s="227"/>
      <c r="TTC1722" s="227"/>
      <c r="TTD1722" s="227"/>
      <c r="TTE1722" s="227"/>
      <c r="TTF1722" s="227"/>
      <c r="TTG1722" s="227"/>
      <c r="TTH1722" s="227"/>
      <c r="TTI1722" s="227"/>
      <c r="TTJ1722" s="227"/>
      <c r="TTK1722" s="227"/>
      <c r="TTL1722" s="227"/>
      <c r="TTM1722" s="227"/>
      <c r="TTN1722" s="227"/>
      <c r="TTO1722" s="227"/>
      <c r="TTP1722" s="227"/>
      <c r="TTQ1722" s="227"/>
      <c r="TTR1722" s="227"/>
      <c r="TTS1722" s="227"/>
      <c r="TTT1722" s="227"/>
      <c r="TTU1722" s="227"/>
      <c r="TTV1722" s="227"/>
      <c r="TTW1722" s="227"/>
      <c r="TTX1722" s="227"/>
      <c r="TTY1722" s="227"/>
      <c r="TTZ1722" s="227"/>
      <c r="TUA1722" s="227"/>
      <c r="TUB1722" s="227"/>
      <c r="TUC1722" s="227"/>
      <c r="TUD1722" s="227"/>
      <c r="TUE1722" s="227"/>
      <c r="TUF1722" s="227"/>
      <c r="TUG1722" s="227"/>
      <c r="TUH1722" s="227"/>
      <c r="TUI1722" s="227"/>
      <c r="TUJ1722" s="227"/>
      <c r="TUK1722" s="227"/>
      <c r="TUL1722" s="227"/>
      <c r="TUM1722" s="227"/>
      <c r="TUN1722" s="227"/>
      <c r="TUO1722" s="227"/>
      <c r="TUP1722" s="227"/>
      <c r="TUQ1722" s="227"/>
      <c r="TUR1722" s="227"/>
      <c r="TUS1722" s="227"/>
      <c r="TUT1722" s="227"/>
      <c r="TUU1722" s="227"/>
      <c r="TUV1722" s="227"/>
      <c r="TUW1722" s="227"/>
      <c r="TUX1722" s="227"/>
      <c r="TUY1722" s="227"/>
      <c r="TUZ1722" s="227"/>
      <c r="TVA1722" s="227"/>
      <c r="TVB1722" s="227"/>
      <c r="TVC1722" s="227"/>
      <c r="TVD1722" s="227"/>
      <c r="TVE1722" s="227"/>
      <c r="TVF1722" s="227"/>
      <c r="TVG1722" s="227"/>
      <c r="TVH1722" s="227"/>
      <c r="TVI1722" s="227"/>
      <c r="TVJ1722" s="227"/>
      <c r="TVK1722" s="227"/>
      <c r="TVL1722" s="227"/>
      <c r="TVM1722" s="227"/>
      <c r="TVN1722" s="227"/>
      <c r="TVO1722" s="227"/>
      <c r="TVP1722" s="227"/>
      <c r="TVQ1722" s="227"/>
      <c r="TVR1722" s="227"/>
      <c r="TVS1722" s="227"/>
      <c r="TVT1722" s="227"/>
      <c r="TVU1722" s="227"/>
      <c r="TVV1722" s="227"/>
      <c r="TVW1722" s="227"/>
      <c r="TVX1722" s="227"/>
      <c r="TVY1722" s="227"/>
      <c r="TVZ1722" s="227"/>
      <c r="TWA1722" s="227"/>
      <c r="TWB1722" s="227"/>
      <c r="TWC1722" s="227"/>
      <c r="TWD1722" s="227"/>
      <c r="TWE1722" s="227"/>
      <c r="TWF1722" s="227"/>
      <c r="TWG1722" s="227"/>
      <c r="TWH1722" s="227"/>
      <c r="TWI1722" s="227"/>
      <c r="TWJ1722" s="227"/>
      <c r="TWK1722" s="227"/>
      <c r="TWL1722" s="227"/>
      <c r="TWM1722" s="227"/>
      <c r="TWN1722" s="227"/>
      <c r="TWO1722" s="227"/>
      <c r="TWP1722" s="227"/>
      <c r="TWQ1722" s="227"/>
      <c r="TWR1722" s="227"/>
      <c r="TWS1722" s="227"/>
      <c r="TWT1722" s="227"/>
      <c r="TWU1722" s="227"/>
      <c r="TWV1722" s="227"/>
      <c r="TWW1722" s="227"/>
      <c r="TWX1722" s="227"/>
      <c r="TWY1722" s="227"/>
      <c r="TWZ1722" s="227"/>
      <c r="TXA1722" s="227"/>
      <c r="TXB1722" s="227"/>
      <c r="TXC1722" s="227"/>
      <c r="TXD1722" s="227"/>
      <c r="TXE1722" s="227"/>
      <c r="TXF1722" s="227"/>
      <c r="TXG1722" s="227"/>
      <c r="TXH1722" s="227"/>
      <c r="TXI1722" s="227"/>
      <c r="TXJ1722" s="227"/>
      <c r="TXK1722" s="227"/>
      <c r="TXL1722" s="227"/>
      <c r="TXM1722" s="227"/>
      <c r="TXN1722" s="227"/>
      <c r="TXO1722" s="227"/>
      <c r="TXP1722" s="227"/>
      <c r="TXQ1722" s="227"/>
      <c r="TXR1722" s="227"/>
      <c r="TXS1722" s="227"/>
      <c r="TXT1722" s="227"/>
      <c r="TXU1722" s="227"/>
      <c r="TXV1722" s="227"/>
      <c r="TXW1722" s="227"/>
      <c r="TXX1722" s="227"/>
      <c r="TXY1722" s="227"/>
      <c r="TXZ1722" s="227"/>
      <c r="TYA1722" s="227"/>
      <c r="TYB1722" s="227"/>
      <c r="TYC1722" s="227"/>
      <c r="TYD1722" s="227"/>
      <c r="TYE1722" s="227"/>
      <c r="TYF1722" s="227"/>
      <c r="TYG1722" s="227"/>
      <c r="TYH1722" s="227"/>
      <c r="TYI1722" s="227"/>
      <c r="TYJ1722" s="227"/>
      <c r="TYK1722" s="227"/>
      <c r="TYL1722" s="227"/>
      <c r="TYM1722" s="227"/>
      <c r="TYN1722" s="227"/>
      <c r="TYO1722" s="227"/>
      <c r="TYP1722" s="227"/>
      <c r="TYQ1722" s="227"/>
      <c r="TYR1722" s="227"/>
      <c r="TYS1722" s="227"/>
      <c r="TYT1722" s="227"/>
      <c r="TYU1722" s="227"/>
      <c r="TYV1722" s="227"/>
      <c r="TYW1722" s="227"/>
      <c r="TYX1722" s="227"/>
      <c r="TYY1722" s="227"/>
      <c r="TYZ1722" s="227"/>
      <c r="TZA1722" s="227"/>
      <c r="TZB1722" s="227"/>
      <c r="TZC1722" s="227"/>
      <c r="TZD1722" s="227"/>
      <c r="TZE1722" s="227"/>
      <c r="TZF1722" s="227"/>
      <c r="TZG1722" s="227"/>
      <c r="TZH1722" s="227"/>
      <c r="TZI1722" s="227"/>
      <c r="TZJ1722" s="227"/>
      <c r="TZK1722" s="227"/>
      <c r="TZL1722" s="227"/>
      <c r="TZM1722" s="227"/>
      <c r="TZN1722" s="227"/>
      <c r="TZO1722" s="227"/>
      <c r="TZP1722" s="227"/>
      <c r="TZQ1722" s="227"/>
      <c r="TZR1722" s="227"/>
      <c r="TZS1722" s="227"/>
      <c r="TZT1722" s="227"/>
      <c r="TZU1722" s="227"/>
      <c r="TZV1722" s="227"/>
      <c r="TZW1722" s="227"/>
      <c r="TZX1722" s="227"/>
      <c r="TZY1722" s="227"/>
      <c r="TZZ1722" s="227"/>
      <c r="UAA1722" s="227"/>
      <c r="UAB1722" s="227"/>
      <c r="UAC1722" s="227"/>
      <c r="UAD1722" s="227"/>
      <c r="UAE1722" s="227"/>
      <c r="UAF1722" s="227"/>
      <c r="UAG1722" s="227"/>
      <c r="UAH1722" s="227"/>
      <c r="UAI1722" s="227"/>
      <c r="UAJ1722" s="227"/>
      <c r="UAK1722" s="227"/>
      <c r="UAL1722" s="227"/>
      <c r="UAM1722" s="227"/>
      <c r="UAN1722" s="227"/>
      <c r="UAO1722" s="227"/>
      <c r="UAP1722" s="227"/>
      <c r="UAQ1722" s="227"/>
      <c r="UAR1722" s="227"/>
      <c r="UAS1722" s="227"/>
      <c r="UAT1722" s="227"/>
      <c r="UAU1722" s="227"/>
      <c r="UAV1722" s="227"/>
      <c r="UAW1722" s="227"/>
      <c r="UAX1722" s="227"/>
      <c r="UAY1722" s="227"/>
      <c r="UAZ1722" s="227"/>
      <c r="UBA1722" s="227"/>
      <c r="UBB1722" s="227"/>
      <c r="UBC1722" s="227"/>
      <c r="UBD1722" s="227"/>
      <c r="UBE1722" s="227"/>
      <c r="UBF1722" s="227"/>
      <c r="UBG1722" s="227"/>
      <c r="UBH1722" s="227"/>
      <c r="UBI1722" s="227"/>
      <c r="UBJ1722" s="227"/>
      <c r="UBK1722" s="227"/>
      <c r="UBL1722" s="227"/>
      <c r="UBM1722" s="227"/>
      <c r="UBN1722" s="227"/>
      <c r="UBO1722" s="227"/>
      <c r="UBP1722" s="227"/>
      <c r="UBQ1722" s="227"/>
      <c r="UBR1722" s="227"/>
      <c r="UBS1722" s="227"/>
      <c r="UBT1722" s="227"/>
      <c r="UBU1722" s="227"/>
      <c r="UBV1722" s="227"/>
      <c r="UBW1722" s="227"/>
      <c r="UBX1722" s="227"/>
      <c r="UBY1722" s="227"/>
      <c r="UBZ1722" s="227"/>
      <c r="UCA1722" s="227"/>
      <c r="UCB1722" s="227"/>
      <c r="UCC1722" s="227"/>
      <c r="UCD1722" s="227"/>
      <c r="UCE1722" s="227"/>
      <c r="UCF1722" s="227"/>
      <c r="UCG1722" s="227"/>
      <c r="UCH1722" s="227"/>
      <c r="UCI1722" s="227"/>
      <c r="UCJ1722" s="227"/>
      <c r="UCK1722" s="227"/>
      <c r="UCL1722" s="227"/>
      <c r="UCM1722" s="227"/>
      <c r="UCN1722" s="227"/>
      <c r="UCO1722" s="227"/>
      <c r="UCP1722" s="227"/>
      <c r="UCQ1722" s="227"/>
      <c r="UCR1722" s="227"/>
      <c r="UCS1722" s="227"/>
      <c r="UCT1722" s="227"/>
      <c r="UCU1722" s="227"/>
      <c r="UCV1722" s="227"/>
      <c r="UCW1722" s="227"/>
      <c r="UCX1722" s="227"/>
      <c r="UCY1722" s="227"/>
      <c r="UCZ1722" s="227"/>
      <c r="UDA1722" s="227"/>
      <c r="UDB1722" s="227"/>
      <c r="UDC1722" s="227"/>
      <c r="UDD1722" s="227"/>
      <c r="UDE1722" s="227"/>
      <c r="UDF1722" s="227"/>
      <c r="UDG1722" s="227"/>
      <c r="UDH1722" s="227"/>
      <c r="UDI1722" s="227"/>
      <c r="UDJ1722" s="227"/>
      <c r="UDK1722" s="227"/>
      <c r="UDL1722" s="227"/>
      <c r="UDM1722" s="227"/>
      <c r="UDN1722" s="227"/>
      <c r="UDO1722" s="227"/>
      <c r="UDP1722" s="227"/>
      <c r="UDQ1722" s="227"/>
      <c r="UDR1722" s="227"/>
      <c r="UDS1722" s="227"/>
      <c r="UDT1722" s="227"/>
      <c r="UDU1722" s="227"/>
      <c r="UDV1722" s="227"/>
      <c r="UDW1722" s="227"/>
      <c r="UDX1722" s="227"/>
      <c r="UDY1722" s="227"/>
      <c r="UDZ1722" s="227"/>
      <c r="UEA1722" s="227"/>
      <c r="UEB1722" s="227"/>
      <c r="UEC1722" s="227"/>
      <c r="UED1722" s="227"/>
      <c r="UEE1722" s="227"/>
      <c r="UEF1722" s="227"/>
      <c r="UEG1722" s="227"/>
      <c r="UEH1722" s="227"/>
      <c r="UEI1722" s="227"/>
      <c r="UEJ1722" s="227"/>
      <c r="UEK1722" s="227"/>
      <c r="UEL1722" s="227"/>
      <c r="UEM1722" s="227"/>
      <c r="UEN1722" s="227"/>
      <c r="UEO1722" s="227"/>
      <c r="UEP1722" s="227"/>
      <c r="UEQ1722" s="227"/>
      <c r="UER1722" s="227"/>
      <c r="UES1722" s="227"/>
      <c r="UET1722" s="227"/>
      <c r="UEU1722" s="227"/>
      <c r="UEV1722" s="227"/>
      <c r="UEW1722" s="227"/>
      <c r="UEX1722" s="227"/>
      <c r="UEY1722" s="227"/>
      <c r="UEZ1722" s="227"/>
      <c r="UFA1722" s="227"/>
      <c r="UFB1722" s="227"/>
      <c r="UFC1722" s="227"/>
      <c r="UFD1722" s="227"/>
      <c r="UFE1722" s="227"/>
      <c r="UFF1722" s="227"/>
      <c r="UFG1722" s="227"/>
      <c r="UFH1722" s="227"/>
      <c r="UFI1722" s="227"/>
      <c r="UFJ1722" s="227"/>
      <c r="UFK1722" s="227"/>
      <c r="UFL1722" s="227"/>
      <c r="UFM1722" s="227"/>
      <c r="UFN1722" s="227"/>
      <c r="UFO1722" s="227"/>
      <c r="UFP1722" s="227"/>
      <c r="UFQ1722" s="227"/>
      <c r="UFR1722" s="227"/>
      <c r="UFS1722" s="227"/>
      <c r="UFT1722" s="227"/>
      <c r="UFU1722" s="227"/>
      <c r="UFV1722" s="227"/>
      <c r="UFW1722" s="227"/>
      <c r="UFX1722" s="227"/>
      <c r="UFY1722" s="227"/>
      <c r="UFZ1722" s="227"/>
      <c r="UGA1722" s="227"/>
      <c r="UGB1722" s="227"/>
      <c r="UGC1722" s="227"/>
      <c r="UGD1722" s="227"/>
      <c r="UGE1722" s="227"/>
      <c r="UGF1722" s="227"/>
      <c r="UGG1722" s="227"/>
      <c r="UGH1722" s="227"/>
      <c r="UGI1722" s="227"/>
      <c r="UGJ1722" s="227"/>
      <c r="UGK1722" s="227"/>
      <c r="UGL1722" s="227"/>
      <c r="UGM1722" s="227"/>
      <c r="UGN1722" s="227"/>
      <c r="UGO1722" s="227"/>
      <c r="UGP1722" s="227"/>
      <c r="UGQ1722" s="227"/>
      <c r="UGR1722" s="227"/>
      <c r="UGS1722" s="227"/>
      <c r="UGT1722" s="227"/>
      <c r="UGU1722" s="227"/>
      <c r="UGV1722" s="227"/>
      <c r="UGW1722" s="227"/>
      <c r="UGX1722" s="227"/>
      <c r="UGY1722" s="227"/>
      <c r="UGZ1722" s="227"/>
      <c r="UHA1722" s="227"/>
      <c r="UHB1722" s="227"/>
      <c r="UHC1722" s="227"/>
      <c r="UHD1722" s="227"/>
      <c r="UHE1722" s="227"/>
      <c r="UHF1722" s="227"/>
      <c r="UHG1722" s="227"/>
      <c r="UHH1722" s="227"/>
      <c r="UHI1722" s="227"/>
      <c r="UHJ1722" s="227"/>
      <c r="UHK1722" s="227"/>
      <c r="UHL1722" s="227"/>
      <c r="UHM1722" s="227"/>
      <c r="UHN1722" s="227"/>
      <c r="UHO1722" s="227"/>
      <c r="UHP1722" s="227"/>
      <c r="UHQ1722" s="227"/>
      <c r="UHR1722" s="227"/>
      <c r="UHS1722" s="227"/>
      <c r="UHT1722" s="227"/>
      <c r="UHU1722" s="227"/>
      <c r="UHV1722" s="227"/>
      <c r="UHW1722" s="227"/>
      <c r="UHX1722" s="227"/>
      <c r="UHY1722" s="227"/>
      <c r="UHZ1722" s="227"/>
      <c r="UIA1722" s="227"/>
      <c r="UIB1722" s="227"/>
      <c r="UIC1722" s="227"/>
      <c r="UID1722" s="227"/>
      <c r="UIE1722" s="227"/>
      <c r="UIF1722" s="227"/>
      <c r="UIG1722" s="227"/>
      <c r="UIH1722" s="227"/>
      <c r="UII1722" s="227"/>
      <c r="UIJ1722" s="227"/>
      <c r="UIK1722" s="227"/>
      <c r="UIL1722" s="227"/>
      <c r="UIM1722" s="227"/>
      <c r="UIN1722" s="227"/>
      <c r="UIO1722" s="227"/>
      <c r="UIP1722" s="227"/>
      <c r="UIQ1722" s="227"/>
      <c r="UIR1722" s="227"/>
      <c r="UIS1722" s="227"/>
      <c r="UIT1722" s="227"/>
      <c r="UIU1722" s="227"/>
      <c r="UIV1722" s="227"/>
      <c r="UIW1722" s="227"/>
      <c r="UIX1722" s="227"/>
      <c r="UIY1722" s="227"/>
      <c r="UIZ1722" s="227"/>
      <c r="UJA1722" s="227"/>
      <c r="UJB1722" s="227"/>
      <c r="UJC1722" s="227"/>
      <c r="UJD1722" s="227"/>
      <c r="UJE1722" s="227"/>
      <c r="UJF1722" s="227"/>
      <c r="UJG1722" s="227"/>
      <c r="UJH1722" s="227"/>
      <c r="UJI1722" s="227"/>
      <c r="UJJ1722" s="227"/>
      <c r="UJK1722" s="227"/>
      <c r="UJL1722" s="227"/>
      <c r="UJM1722" s="227"/>
      <c r="UJN1722" s="227"/>
      <c r="UJO1722" s="227"/>
      <c r="UJP1722" s="227"/>
      <c r="UJQ1722" s="227"/>
      <c r="UJR1722" s="227"/>
      <c r="UJS1722" s="227"/>
      <c r="UJT1722" s="227"/>
      <c r="UJU1722" s="227"/>
      <c r="UJV1722" s="227"/>
      <c r="UJW1722" s="227"/>
      <c r="UJX1722" s="227"/>
      <c r="UJY1722" s="227"/>
      <c r="UJZ1722" s="227"/>
      <c r="UKA1722" s="227"/>
      <c r="UKB1722" s="227"/>
      <c r="UKC1722" s="227"/>
      <c r="UKD1722" s="227"/>
      <c r="UKE1722" s="227"/>
      <c r="UKF1722" s="227"/>
      <c r="UKG1722" s="227"/>
      <c r="UKH1722" s="227"/>
      <c r="UKI1722" s="227"/>
      <c r="UKJ1722" s="227"/>
      <c r="UKK1722" s="227"/>
      <c r="UKL1722" s="227"/>
      <c r="UKM1722" s="227"/>
      <c r="UKN1722" s="227"/>
      <c r="UKO1722" s="227"/>
      <c r="UKP1722" s="227"/>
      <c r="UKQ1722" s="227"/>
      <c r="UKR1722" s="227"/>
      <c r="UKS1722" s="227"/>
      <c r="UKT1722" s="227"/>
      <c r="UKU1722" s="227"/>
      <c r="UKV1722" s="227"/>
      <c r="UKW1722" s="227"/>
      <c r="UKX1722" s="227"/>
      <c r="UKY1722" s="227"/>
      <c r="UKZ1722" s="227"/>
      <c r="ULA1722" s="227"/>
      <c r="ULB1722" s="227"/>
      <c r="ULC1722" s="227"/>
      <c r="ULD1722" s="227"/>
      <c r="ULE1722" s="227"/>
      <c r="ULF1722" s="227"/>
      <c r="ULG1722" s="227"/>
      <c r="ULH1722" s="227"/>
      <c r="ULI1722" s="227"/>
      <c r="ULJ1722" s="227"/>
      <c r="ULK1722" s="227"/>
      <c r="ULL1722" s="227"/>
      <c r="ULM1722" s="227"/>
      <c r="ULN1722" s="227"/>
      <c r="ULO1722" s="227"/>
      <c r="ULP1722" s="227"/>
      <c r="ULQ1722" s="227"/>
      <c r="ULR1722" s="227"/>
      <c r="ULS1722" s="227"/>
      <c r="ULT1722" s="227"/>
      <c r="ULU1722" s="227"/>
      <c r="ULV1722" s="227"/>
      <c r="ULW1722" s="227"/>
      <c r="ULX1722" s="227"/>
      <c r="ULY1722" s="227"/>
      <c r="ULZ1722" s="227"/>
      <c r="UMA1722" s="227"/>
      <c r="UMB1722" s="227"/>
      <c r="UMC1722" s="227"/>
      <c r="UMD1722" s="227"/>
      <c r="UME1722" s="227"/>
      <c r="UMF1722" s="227"/>
      <c r="UMG1722" s="227"/>
      <c r="UMH1722" s="227"/>
      <c r="UMI1722" s="227"/>
      <c r="UMJ1722" s="227"/>
      <c r="UMK1722" s="227"/>
      <c r="UML1722" s="227"/>
      <c r="UMM1722" s="227"/>
      <c r="UMN1722" s="227"/>
      <c r="UMO1722" s="227"/>
      <c r="UMP1722" s="227"/>
      <c r="UMQ1722" s="227"/>
      <c r="UMR1722" s="227"/>
      <c r="UMS1722" s="227"/>
      <c r="UMT1722" s="227"/>
      <c r="UMU1722" s="227"/>
      <c r="UMV1722" s="227"/>
      <c r="UMW1722" s="227"/>
      <c r="UMX1722" s="227"/>
      <c r="UMY1722" s="227"/>
      <c r="UMZ1722" s="227"/>
      <c r="UNA1722" s="227"/>
      <c r="UNB1722" s="227"/>
      <c r="UNC1722" s="227"/>
      <c r="UND1722" s="227"/>
      <c r="UNE1722" s="227"/>
      <c r="UNF1722" s="227"/>
      <c r="UNG1722" s="227"/>
      <c r="UNH1722" s="227"/>
      <c r="UNI1722" s="227"/>
      <c r="UNJ1722" s="227"/>
      <c r="UNK1722" s="227"/>
      <c r="UNL1722" s="227"/>
      <c r="UNM1722" s="227"/>
      <c r="UNN1722" s="227"/>
      <c r="UNO1722" s="227"/>
      <c r="UNP1722" s="227"/>
      <c r="UNQ1722" s="227"/>
      <c r="UNR1722" s="227"/>
      <c r="UNS1722" s="227"/>
      <c r="UNT1722" s="227"/>
      <c r="UNU1722" s="227"/>
      <c r="UNV1722" s="227"/>
      <c r="UNW1722" s="227"/>
      <c r="UNX1722" s="227"/>
      <c r="UNY1722" s="227"/>
      <c r="UNZ1722" s="227"/>
      <c r="UOA1722" s="227"/>
      <c r="UOB1722" s="227"/>
      <c r="UOC1722" s="227"/>
      <c r="UOD1722" s="227"/>
      <c r="UOE1722" s="227"/>
      <c r="UOF1722" s="227"/>
      <c r="UOG1722" s="227"/>
      <c r="UOH1722" s="227"/>
      <c r="UOI1722" s="227"/>
      <c r="UOJ1722" s="227"/>
      <c r="UOK1722" s="227"/>
      <c r="UOL1722" s="227"/>
      <c r="UOM1722" s="227"/>
      <c r="UON1722" s="227"/>
      <c r="UOO1722" s="227"/>
      <c r="UOP1722" s="227"/>
      <c r="UOQ1722" s="227"/>
      <c r="UOR1722" s="227"/>
      <c r="UOS1722" s="227"/>
      <c r="UOT1722" s="227"/>
      <c r="UOU1722" s="227"/>
      <c r="UOV1722" s="227"/>
      <c r="UOW1722" s="227"/>
      <c r="UOX1722" s="227"/>
      <c r="UOY1722" s="227"/>
      <c r="UOZ1722" s="227"/>
      <c r="UPA1722" s="227"/>
      <c r="UPB1722" s="227"/>
      <c r="UPC1722" s="227"/>
      <c r="UPD1722" s="227"/>
      <c r="UPE1722" s="227"/>
      <c r="UPF1722" s="227"/>
      <c r="UPG1722" s="227"/>
      <c r="UPH1722" s="227"/>
      <c r="UPI1722" s="227"/>
      <c r="UPJ1722" s="227"/>
      <c r="UPK1722" s="227"/>
      <c r="UPL1722" s="227"/>
      <c r="UPM1722" s="227"/>
      <c r="UPN1722" s="227"/>
      <c r="UPO1722" s="227"/>
      <c r="UPP1722" s="227"/>
      <c r="UPQ1722" s="227"/>
      <c r="UPR1722" s="227"/>
      <c r="UPS1722" s="227"/>
      <c r="UPT1722" s="227"/>
      <c r="UPU1722" s="227"/>
      <c r="UPV1722" s="227"/>
      <c r="UPW1722" s="227"/>
      <c r="UPX1722" s="227"/>
      <c r="UPY1722" s="227"/>
      <c r="UPZ1722" s="227"/>
      <c r="UQA1722" s="227"/>
      <c r="UQB1722" s="227"/>
      <c r="UQC1722" s="227"/>
      <c r="UQD1722" s="227"/>
      <c r="UQE1722" s="227"/>
      <c r="UQF1722" s="227"/>
      <c r="UQG1722" s="227"/>
      <c r="UQH1722" s="227"/>
      <c r="UQI1722" s="227"/>
      <c r="UQJ1722" s="227"/>
      <c r="UQK1722" s="227"/>
      <c r="UQL1722" s="227"/>
      <c r="UQM1722" s="227"/>
      <c r="UQN1722" s="227"/>
      <c r="UQO1722" s="227"/>
      <c r="UQP1722" s="227"/>
      <c r="UQQ1722" s="227"/>
      <c r="UQR1722" s="227"/>
      <c r="UQS1722" s="227"/>
      <c r="UQT1722" s="227"/>
      <c r="UQU1722" s="227"/>
      <c r="UQV1722" s="227"/>
      <c r="UQW1722" s="227"/>
      <c r="UQX1722" s="227"/>
      <c r="UQY1722" s="227"/>
      <c r="UQZ1722" s="227"/>
      <c r="URA1722" s="227"/>
      <c r="URB1722" s="227"/>
      <c r="URC1722" s="227"/>
      <c r="URD1722" s="227"/>
      <c r="URE1722" s="227"/>
      <c r="URF1722" s="227"/>
      <c r="URG1722" s="227"/>
      <c r="URH1722" s="227"/>
      <c r="URI1722" s="227"/>
      <c r="URJ1722" s="227"/>
      <c r="URK1722" s="227"/>
      <c r="URL1722" s="227"/>
      <c r="URM1722" s="227"/>
      <c r="URN1722" s="227"/>
      <c r="URO1722" s="227"/>
      <c r="URP1722" s="227"/>
      <c r="URQ1722" s="227"/>
      <c r="URR1722" s="227"/>
      <c r="URS1722" s="227"/>
      <c r="URT1722" s="227"/>
      <c r="URU1722" s="227"/>
      <c r="URV1722" s="227"/>
      <c r="URW1722" s="227"/>
      <c r="URX1722" s="227"/>
      <c r="URY1722" s="227"/>
      <c r="URZ1722" s="227"/>
      <c r="USA1722" s="227"/>
      <c r="USB1722" s="227"/>
      <c r="USC1722" s="227"/>
      <c r="USD1722" s="227"/>
      <c r="USE1722" s="227"/>
      <c r="USF1722" s="227"/>
      <c r="USG1722" s="227"/>
      <c r="USH1722" s="227"/>
      <c r="USI1722" s="227"/>
      <c r="USJ1722" s="227"/>
      <c r="USK1722" s="227"/>
      <c r="USL1722" s="227"/>
      <c r="USM1722" s="227"/>
      <c r="USN1722" s="227"/>
      <c r="USO1722" s="227"/>
      <c r="USP1722" s="227"/>
      <c r="USQ1722" s="227"/>
      <c r="USR1722" s="227"/>
      <c r="USS1722" s="227"/>
      <c r="UST1722" s="227"/>
      <c r="USU1722" s="227"/>
      <c r="USV1722" s="227"/>
      <c r="USW1722" s="227"/>
      <c r="USX1722" s="227"/>
      <c r="USY1722" s="227"/>
      <c r="USZ1722" s="227"/>
      <c r="UTA1722" s="227"/>
      <c r="UTB1722" s="227"/>
      <c r="UTC1722" s="227"/>
      <c r="UTD1722" s="227"/>
      <c r="UTE1722" s="227"/>
      <c r="UTF1722" s="227"/>
      <c r="UTG1722" s="227"/>
      <c r="UTH1722" s="227"/>
      <c r="UTI1722" s="227"/>
      <c r="UTJ1722" s="227"/>
      <c r="UTK1722" s="227"/>
      <c r="UTL1722" s="227"/>
      <c r="UTM1722" s="227"/>
      <c r="UTN1722" s="227"/>
      <c r="UTO1722" s="227"/>
      <c r="UTP1722" s="227"/>
      <c r="UTQ1722" s="227"/>
      <c r="UTR1722" s="227"/>
      <c r="UTS1722" s="227"/>
      <c r="UTT1722" s="227"/>
      <c r="UTU1722" s="227"/>
      <c r="UTV1722" s="227"/>
      <c r="UTW1722" s="227"/>
      <c r="UTX1722" s="227"/>
      <c r="UTY1722" s="227"/>
      <c r="UTZ1722" s="227"/>
      <c r="UUA1722" s="227"/>
      <c r="UUB1722" s="227"/>
      <c r="UUC1722" s="227"/>
      <c r="UUD1722" s="227"/>
      <c r="UUE1722" s="227"/>
      <c r="UUF1722" s="227"/>
      <c r="UUG1722" s="227"/>
      <c r="UUH1722" s="227"/>
      <c r="UUI1722" s="227"/>
      <c r="UUJ1722" s="227"/>
      <c r="UUK1722" s="227"/>
      <c r="UUL1722" s="227"/>
      <c r="UUM1722" s="227"/>
      <c r="UUN1722" s="227"/>
      <c r="UUO1722" s="227"/>
      <c r="UUP1722" s="227"/>
      <c r="UUQ1722" s="227"/>
      <c r="UUR1722" s="227"/>
      <c r="UUS1722" s="227"/>
      <c r="UUT1722" s="227"/>
      <c r="UUU1722" s="227"/>
      <c r="UUV1722" s="227"/>
      <c r="UUW1722" s="227"/>
      <c r="UUX1722" s="227"/>
      <c r="UUY1722" s="227"/>
      <c r="UUZ1722" s="227"/>
      <c r="UVA1722" s="227"/>
      <c r="UVB1722" s="227"/>
      <c r="UVC1722" s="227"/>
      <c r="UVD1722" s="227"/>
      <c r="UVE1722" s="227"/>
      <c r="UVF1722" s="227"/>
      <c r="UVG1722" s="227"/>
      <c r="UVH1722" s="227"/>
      <c r="UVI1722" s="227"/>
      <c r="UVJ1722" s="227"/>
      <c r="UVK1722" s="227"/>
      <c r="UVL1722" s="227"/>
      <c r="UVM1722" s="227"/>
      <c r="UVN1722" s="227"/>
      <c r="UVO1722" s="227"/>
      <c r="UVP1722" s="227"/>
      <c r="UVQ1722" s="227"/>
      <c r="UVR1722" s="227"/>
      <c r="UVS1722" s="227"/>
      <c r="UVT1722" s="227"/>
      <c r="UVU1722" s="227"/>
      <c r="UVV1722" s="227"/>
      <c r="UVW1722" s="227"/>
      <c r="UVX1722" s="227"/>
      <c r="UVY1722" s="227"/>
      <c r="UVZ1722" s="227"/>
      <c r="UWA1722" s="227"/>
      <c r="UWB1722" s="227"/>
      <c r="UWC1722" s="227"/>
      <c r="UWD1722" s="227"/>
      <c r="UWE1722" s="227"/>
      <c r="UWF1722" s="227"/>
      <c r="UWG1722" s="227"/>
      <c r="UWH1722" s="227"/>
      <c r="UWI1722" s="227"/>
      <c r="UWJ1722" s="227"/>
      <c r="UWK1722" s="227"/>
      <c r="UWL1722" s="227"/>
      <c r="UWM1722" s="227"/>
      <c r="UWN1722" s="227"/>
      <c r="UWO1722" s="227"/>
      <c r="UWP1722" s="227"/>
      <c r="UWQ1722" s="227"/>
      <c r="UWR1722" s="227"/>
      <c r="UWS1722" s="227"/>
      <c r="UWT1722" s="227"/>
      <c r="UWU1722" s="227"/>
      <c r="UWV1722" s="227"/>
      <c r="UWW1722" s="227"/>
      <c r="UWX1722" s="227"/>
      <c r="UWY1722" s="227"/>
      <c r="UWZ1722" s="227"/>
      <c r="UXA1722" s="227"/>
      <c r="UXB1722" s="227"/>
      <c r="UXC1722" s="227"/>
      <c r="UXD1722" s="227"/>
      <c r="UXE1722" s="227"/>
      <c r="UXF1722" s="227"/>
      <c r="UXG1722" s="227"/>
      <c r="UXH1722" s="227"/>
      <c r="UXI1722" s="227"/>
      <c r="UXJ1722" s="227"/>
      <c r="UXK1722" s="227"/>
      <c r="UXL1722" s="227"/>
      <c r="UXM1722" s="227"/>
      <c r="UXN1722" s="227"/>
      <c r="UXO1722" s="227"/>
      <c r="UXP1722" s="227"/>
      <c r="UXQ1722" s="227"/>
      <c r="UXR1722" s="227"/>
      <c r="UXS1722" s="227"/>
      <c r="UXT1722" s="227"/>
      <c r="UXU1722" s="227"/>
      <c r="UXV1722" s="227"/>
      <c r="UXW1722" s="227"/>
      <c r="UXX1722" s="227"/>
      <c r="UXY1722" s="227"/>
      <c r="UXZ1722" s="227"/>
      <c r="UYA1722" s="227"/>
      <c r="UYB1722" s="227"/>
      <c r="UYC1722" s="227"/>
      <c r="UYD1722" s="227"/>
      <c r="UYE1722" s="227"/>
      <c r="UYF1722" s="227"/>
      <c r="UYG1722" s="227"/>
      <c r="UYH1722" s="227"/>
      <c r="UYI1722" s="227"/>
      <c r="UYJ1722" s="227"/>
      <c r="UYK1722" s="227"/>
      <c r="UYL1722" s="227"/>
      <c r="UYM1722" s="227"/>
      <c r="UYN1722" s="227"/>
      <c r="UYO1722" s="227"/>
      <c r="UYP1722" s="227"/>
      <c r="UYQ1722" s="227"/>
      <c r="UYR1722" s="227"/>
      <c r="UYS1722" s="227"/>
      <c r="UYT1722" s="227"/>
      <c r="UYU1722" s="227"/>
      <c r="UYV1722" s="227"/>
      <c r="UYW1722" s="227"/>
      <c r="UYX1722" s="227"/>
      <c r="UYY1722" s="227"/>
      <c r="UYZ1722" s="227"/>
      <c r="UZA1722" s="227"/>
      <c r="UZB1722" s="227"/>
      <c r="UZC1722" s="227"/>
      <c r="UZD1722" s="227"/>
      <c r="UZE1722" s="227"/>
      <c r="UZF1722" s="227"/>
      <c r="UZG1722" s="227"/>
      <c r="UZH1722" s="227"/>
      <c r="UZI1722" s="227"/>
      <c r="UZJ1722" s="227"/>
      <c r="UZK1722" s="227"/>
      <c r="UZL1722" s="227"/>
      <c r="UZM1722" s="227"/>
      <c r="UZN1722" s="227"/>
      <c r="UZO1722" s="227"/>
      <c r="UZP1722" s="227"/>
      <c r="UZQ1722" s="227"/>
      <c r="UZR1722" s="227"/>
      <c r="UZS1722" s="227"/>
      <c r="UZT1722" s="227"/>
      <c r="UZU1722" s="227"/>
      <c r="UZV1722" s="227"/>
      <c r="UZW1722" s="227"/>
      <c r="UZX1722" s="227"/>
      <c r="UZY1722" s="227"/>
      <c r="UZZ1722" s="227"/>
      <c r="VAA1722" s="227"/>
      <c r="VAB1722" s="227"/>
      <c r="VAC1722" s="227"/>
      <c r="VAD1722" s="227"/>
      <c r="VAE1722" s="227"/>
      <c r="VAF1722" s="227"/>
      <c r="VAG1722" s="227"/>
      <c r="VAH1722" s="227"/>
      <c r="VAI1722" s="227"/>
      <c r="VAJ1722" s="227"/>
      <c r="VAK1722" s="227"/>
      <c r="VAL1722" s="227"/>
      <c r="VAM1722" s="227"/>
      <c r="VAN1722" s="227"/>
      <c r="VAO1722" s="227"/>
      <c r="VAP1722" s="227"/>
      <c r="VAQ1722" s="227"/>
      <c r="VAR1722" s="227"/>
      <c r="VAS1722" s="227"/>
      <c r="VAT1722" s="227"/>
      <c r="VAU1722" s="227"/>
      <c r="VAV1722" s="227"/>
      <c r="VAW1722" s="227"/>
      <c r="VAX1722" s="227"/>
      <c r="VAY1722" s="227"/>
      <c r="VAZ1722" s="227"/>
      <c r="VBA1722" s="227"/>
      <c r="VBB1722" s="227"/>
      <c r="VBC1722" s="227"/>
      <c r="VBD1722" s="227"/>
      <c r="VBE1722" s="227"/>
      <c r="VBF1722" s="227"/>
      <c r="VBG1722" s="227"/>
      <c r="VBH1722" s="227"/>
      <c r="VBI1722" s="227"/>
      <c r="VBJ1722" s="227"/>
      <c r="VBK1722" s="227"/>
      <c r="VBL1722" s="227"/>
      <c r="VBM1722" s="227"/>
      <c r="VBN1722" s="227"/>
      <c r="VBO1722" s="227"/>
      <c r="VBP1722" s="227"/>
      <c r="VBQ1722" s="227"/>
      <c r="VBR1722" s="227"/>
      <c r="VBS1722" s="227"/>
      <c r="VBT1722" s="227"/>
      <c r="VBU1722" s="227"/>
      <c r="VBV1722" s="227"/>
      <c r="VBW1722" s="227"/>
      <c r="VBX1722" s="227"/>
      <c r="VBY1722" s="227"/>
      <c r="VBZ1722" s="227"/>
      <c r="VCA1722" s="227"/>
      <c r="VCB1722" s="227"/>
      <c r="VCC1722" s="227"/>
      <c r="VCD1722" s="227"/>
      <c r="VCE1722" s="227"/>
      <c r="VCF1722" s="227"/>
      <c r="VCG1722" s="227"/>
      <c r="VCH1722" s="227"/>
      <c r="VCI1722" s="227"/>
      <c r="VCJ1722" s="227"/>
      <c r="VCK1722" s="227"/>
      <c r="VCL1722" s="227"/>
      <c r="VCM1722" s="227"/>
      <c r="VCN1722" s="227"/>
      <c r="VCO1722" s="227"/>
      <c r="VCP1722" s="227"/>
      <c r="VCQ1722" s="227"/>
      <c r="VCR1722" s="227"/>
      <c r="VCS1722" s="227"/>
      <c r="VCT1722" s="227"/>
      <c r="VCU1722" s="227"/>
      <c r="VCV1722" s="227"/>
      <c r="VCW1722" s="227"/>
      <c r="VCX1722" s="227"/>
      <c r="VCY1722" s="227"/>
      <c r="VCZ1722" s="227"/>
      <c r="VDA1722" s="227"/>
      <c r="VDB1722" s="227"/>
      <c r="VDC1722" s="227"/>
      <c r="VDD1722" s="227"/>
      <c r="VDE1722" s="227"/>
      <c r="VDF1722" s="227"/>
      <c r="VDG1722" s="227"/>
      <c r="VDH1722" s="227"/>
      <c r="VDI1722" s="227"/>
      <c r="VDJ1722" s="227"/>
      <c r="VDK1722" s="227"/>
      <c r="VDL1722" s="227"/>
      <c r="VDM1722" s="227"/>
      <c r="VDN1722" s="227"/>
      <c r="VDO1722" s="227"/>
      <c r="VDP1722" s="227"/>
      <c r="VDQ1722" s="227"/>
      <c r="VDR1722" s="227"/>
      <c r="VDS1722" s="227"/>
      <c r="VDT1722" s="227"/>
      <c r="VDU1722" s="227"/>
      <c r="VDV1722" s="227"/>
      <c r="VDW1722" s="227"/>
      <c r="VDX1722" s="227"/>
      <c r="VDY1722" s="227"/>
      <c r="VDZ1722" s="227"/>
      <c r="VEA1722" s="227"/>
      <c r="VEB1722" s="227"/>
      <c r="VEC1722" s="227"/>
      <c r="VED1722" s="227"/>
      <c r="VEE1722" s="227"/>
      <c r="VEF1722" s="227"/>
      <c r="VEG1722" s="227"/>
      <c r="VEH1722" s="227"/>
      <c r="VEI1722" s="227"/>
      <c r="VEJ1722" s="227"/>
      <c r="VEK1722" s="227"/>
      <c r="VEL1722" s="227"/>
      <c r="VEM1722" s="227"/>
      <c r="VEN1722" s="227"/>
      <c r="VEO1722" s="227"/>
      <c r="VEP1722" s="227"/>
      <c r="VEQ1722" s="227"/>
      <c r="VER1722" s="227"/>
      <c r="VES1722" s="227"/>
      <c r="VET1722" s="227"/>
      <c r="VEU1722" s="227"/>
      <c r="VEV1722" s="227"/>
      <c r="VEW1722" s="227"/>
      <c r="VEX1722" s="227"/>
      <c r="VEY1722" s="227"/>
      <c r="VEZ1722" s="227"/>
      <c r="VFA1722" s="227"/>
      <c r="VFB1722" s="227"/>
      <c r="VFC1722" s="227"/>
      <c r="VFD1722" s="227"/>
      <c r="VFE1722" s="227"/>
      <c r="VFF1722" s="227"/>
      <c r="VFG1722" s="227"/>
      <c r="VFH1722" s="227"/>
      <c r="VFI1722" s="227"/>
      <c r="VFJ1722" s="227"/>
      <c r="VFK1722" s="227"/>
      <c r="VFL1722" s="227"/>
      <c r="VFM1722" s="227"/>
      <c r="VFN1722" s="227"/>
      <c r="VFO1722" s="227"/>
      <c r="VFP1722" s="227"/>
      <c r="VFQ1722" s="227"/>
      <c r="VFR1722" s="227"/>
      <c r="VFS1722" s="227"/>
      <c r="VFT1722" s="227"/>
      <c r="VFU1722" s="227"/>
      <c r="VFV1722" s="227"/>
      <c r="VFW1722" s="227"/>
      <c r="VFX1722" s="227"/>
      <c r="VFY1722" s="227"/>
      <c r="VFZ1722" s="227"/>
      <c r="VGA1722" s="227"/>
      <c r="VGB1722" s="227"/>
      <c r="VGC1722" s="227"/>
      <c r="VGD1722" s="227"/>
      <c r="VGE1722" s="227"/>
      <c r="VGF1722" s="227"/>
      <c r="VGG1722" s="227"/>
      <c r="VGH1722" s="227"/>
      <c r="VGI1722" s="227"/>
      <c r="VGJ1722" s="227"/>
      <c r="VGK1722" s="227"/>
      <c r="VGL1722" s="227"/>
      <c r="VGM1722" s="227"/>
      <c r="VGN1722" s="227"/>
      <c r="VGO1722" s="227"/>
      <c r="VGP1722" s="227"/>
      <c r="VGQ1722" s="227"/>
      <c r="VGR1722" s="227"/>
      <c r="VGS1722" s="227"/>
      <c r="VGT1722" s="227"/>
      <c r="VGU1722" s="227"/>
      <c r="VGV1722" s="227"/>
      <c r="VGW1722" s="227"/>
      <c r="VGX1722" s="227"/>
      <c r="VGY1722" s="227"/>
      <c r="VGZ1722" s="227"/>
      <c r="VHA1722" s="227"/>
      <c r="VHB1722" s="227"/>
      <c r="VHC1722" s="227"/>
      <c r="VHD1722" s="227"/>
      <c r="VHE1722" s="227"/>
      <c r="VHF1722" s="227"/>
      <c r="VHG1722" s="227"/>
      <c r="VHH1722" s="227"/>
      <c r="VHI1722" s="227"/>
      <c r="VHJ1722" s="227"/>
      <c r="VHK1722" s="227"/>
      <c r="VHL1722" s="227"/>
      <c r="VHM1722" s="227"/>
      <c r="VHN1722" s="227"/>
      <c r="VHO1722" s="227"/>
      <c r="VHP1722" s="227"/>
      <c r="VHQ1722" s="227"/>
      <c r="VHR1722" s="227"/>
      <c r="VHS1722" s="227"/>
      <c r="VHT1722" s="227"/>
      <c r="VHU1722" s="227"/>
      <c r="VHV1722" s="227"/>
      <c r="VHW1722" s="227"/>
      <c r="VHX1722" s="227"/>
      <c r="VHY1722" s="227"/>
      <c r="VHZ1722" s="227"/>
      <c r="VIA1722" s="227"/>
      <c r="VIB1722" s="227"/>
      <c r="VIC1722" s="227"/>
      <c r="VID1722" s="227"/>
      <c r="VIE1722" s="227"/>
      <c r="VIF1722" s="227"/>
      <c r="VIG1722" s="227"/>
      <c r="VIH1722" s="227"/>
      <c r="VII1722" s="227"/>
      <c r="VIJ1722" s="227"/>
      <c r="VIK1722" s="227"/>
      <c r="VIL1722" s="227"/>
      <c r="VIM1722" s="227"/>
      <c r="VIN1722" s="227"/>
      <c r="VIO1722" s="227"/>
      <c r="VIP1722" s="227"/>
      <c r="VIQ1722" s="227"/>
      <c r="VIR1722" s="227"/>
      <c r="VIS1722" s="227"/>
      <c r="VIT1722" s="227"/>
      <c r="VIU1722" s="227"/>
      <c r="VIV1722" s="227"/>
      <c r="VIW1722" s="227"/>
      <c r="VIX1722" s="227"/>
      <c r="VIY1722" s="227"/>
      <c r="VIZ1722" s="227"/>
      <c r="VJA1722" s="227"/>
      <c r="VJB1722" s="227"/>
      <c r="VJC1722" s="227"/>
      <c r="VJD1722" s="227"/>
      <c r="VJE1722" s="227"/>
      <c r="VJF1722" s="227"/>
      <c r="VJG1722" s="227"/>
      <c r="VJH1722" s="227"/>
      <c r="VJI1722" s="227"/>
      <c r="VJJ1722" s="227"/>
      <c r="VJK1722" s="227"/>
      <c r="VJL1722" s="227"/>
      <c r="VJM1722" s="227"/>
      <c r="VJN1722" s="227"/>
      <c r="VJO1722" s="227"/>
      <c r="VJP1722" s="227"/>
      <c r="VJQ1722" s="227"/>
      <c r="VJR1722" s="227"/>
      <c r="VJS1722" s="227"/>
      <c r="VJT1722" s="227"/>
      <c r="VJU1722" s="227"/>
      <c r="VJV1722" s="227"/>
      <c r="VJW1722" s="227"/>
      <c r="VJX1722" s="227"/>
      <c r="VJY1722" s="227"/>
      <c r="VJZ1722" s="227"/>
      <c r="VKA1722" s="227"/>
      <c r="VKB1722" s="227"/>
      <c r="VKC1722" s="227"/>
      <c r="VKD1722" s="227"/>
      <c r="VKE1722" s="227"/>
      <c r="VKF1722" s="227"/>
      <c r="VKG1722" s="227"/>
      <c r="VKH1722" s="227"/>
      <c r="VKI1722" s="227"/>
      <c r="VKJ1722" s="227"/>
      <c r="VKK1722" s="227"/>
      <c r="VKL1722" s="227"/>
      <c r="VKM1722" s="227"/>
      <c r="VKN1722" s="227"/>
      <c r="VKO1722" s="227"/>
      <c r="VKP1722" s="227"/>
      <c r="VKQ1722" s="227"/>
      <c r="VKR1722" s="227"/>
      <c r="VKS1722" s="227"/>
      <c r="VKT1722" s="227"/>
      <c r="VKU1722" s="227"/>
      <c r="VKV1722" s="227"/>
      <c r="VKW1722" s="227"/>
      <c r="VKX1722" s="227"/>
      <c r="VKY1722" s="227"/>
      <c r="VKZ1722" s="227"/>
      <c r="VLA1722" s="227"/>
      <c r="VLB1722" s="227"/>
      <c r="VLC1722" s="227"/>
      <c r="VLD1722" s="227"/>
      <c r="VLE1722" s="227"/>
      <c r="VLF1722" s="227"/>
      <c r="VLG1722" s="227"/>
      <c r="VLH1722" s="227"/>
      <c r="VLI1722" s="227"/>
      <c r="VLJ1722" s="227"/>
      <c r="VLK1722" s="227"/>
      <c r="VLL1722" s="227"/>
      <c r="VLM1722" s="227"/>
      <c r="VLN1722" s="227"/>
      <c r="VLO1722" s="227"/>
      <c r="VLP1722" s="227"/>
      <c r="VLQ1722" s="227"/>
      <c r="VLR1722" s="227"/>
      <c r="VLS1722" s="227"/>
      <c r="VLT1722" s="227"/>
      <c r="VLU1722" s="227"/>
      <c r="VLV1722" s="227"/>
      <c r="VLW1722" s="227"/>
      <c r="VLX1722" s="227"/>
      <c r="VLY1722" s="227"/>
      <c r="VLZ1722" s="227"/>
      <c r="VMA1722" s="227"/>
      <c r="VMB1722" s="227"/>
      <c r="VMC1722" s="227"/>
      <c r="VMD1722" s="227"/>
      <c r="VME1722" s="227"/>
      <c r="VMF1722" s="227"/>
      <c r="VMG1722" s="227"/>
      <c r="VMH1722" s="227"/>
      <c r="VMI1722" s="227"/>
      <c r="VMJ1722" s="227"/>
      <c r="VMK1722" s="227"/>
      <c r="VML1722" s="227"/>
      <c r="VMM1722" s="227"/>
      <c r="VMN1722" s="227"/>
      <c r="VMO1722" s="227"/>
      <c r="VMP1722" s="227"/>
      <c r="VMQ1722" s="227"/>
      <c r="VMR1722" s="227"/>
      <c r="VMS1722" s="227"/>
      <c r="VMT1722" s="227"/>
      <c r="VMU1722" s="227"/>
      <c r="VMV1722" s="227"/>
      <c r="VMW1722" s="227"/>
      <c r="VMX1722" s="227"/>
      <c r="VMY1722" s="227"/>
      <c r="VMZ1722" s="227"/>
      <c r="VNA1722" s="227"/>
      <c r="VNB1722" s="227"/>
      <c r="VNC1722" s="227"/>
      <c r="VND1722" s="227"/>
      <c r="VNE1722" s="227"/>
      <c r="VNF1722" s="227"/>
      <c r="VNG1722" s="227"/>
      <c r="VNH1722" s="227"/>
      <c r="VNI1722" s="227"/>
      <c r="VNJ1722" s="227"/>
      <c r="VNK1722" s="227"/>
      <c r="VNL1722" s="227"/>
      <c r="VNM1722" s="227"/>
      <c r="VNN1722" s="227"/>
      <c r="VNO1722" s="227"/>
      <c r="VNP1722" s="227"/>
      <c r="VNQ1722" s="227"/>
      <c r="VNR1722" s="227"/>
      <c r="VNS1722" s="227"/>
      <c r="VNT1722" s="227"/>
      <c r="VNU1722" s="227"/>
      <c r="VNV1722" s="227"/>
      <c r="VNW1722" s="227"/>
      <c r="VNX1722" s="227"/>
      <c r="VNY1722" s="227"/>
      <c r="VNZ1722" s="227"/>
      <c r="VOA1722" s="227"/>
      <c r="VOB1722" s="227"/>
      <c r="VOC1722" s="227"/>
      <c r="VOD1722" s="227"/>
      <c r="VOE1722" s="227"/>
      <c r="VOF1722" s="227"/>
      <c r="VOG1722" s="227"/>
      <c r="VOH1722" s="227"/>
      <c r="VOI1722" s="227"/>
      <c r="VOJ1722" s="227"/>
      <c r="VOK1722" s="227"/>
      <c r="VOL1722" s="227"/>
      <c r="VOM1722" s="227"/>
      <c r="VON1722" s="227"/>
      <c r="VOO1722" s="227"/>
      <c r="VOP1722" s="227"/>
      <c r="VOQ1722" s="227"/>
      <c r="VOR1722" s="227"/>
      <c r="VOS1722" s="227"/>
      <c r="VOT1722" s="227"/>
      <c r="VOU1722" s="227"/>
      <c r="VOV1722" s="227"/>
      <c r="VOW1722" s="227"/>
      <c r="VOX1722" s="227"/>
      <c r="VOY1722" s="227"/>
      <c r="VOZ1722" s="227"/>
      <c r="VPA1722" s="227"/>
      <c r="VPB1722" s="227"/>
      <c r="VPC1722" s="227"/>
      <c r="VPD1722" s="227"/>
      <c r="VPE1722" s="227"/>
      <c r="VPF1722" s="227"/>
      <c r="VPG1722" s="227"/>
      <c r="VPH1722" s="227"/>
      <c r="VPI1722" s="227"/>
      <c r="VPJ1722" s="227"/>
      <c r="VPK1722" s="227"/>
      <c r="VPL1722" s="227"/>
      <c r="VPM1722" s="227"/>
      <c r="VPN1722" s="227"/>
      <c r="VPO1722" s="227"/>
      <c r="VPP1722" s="227"/>
      <c r="VPQ1722" s="227"/>
      <c r="VPR1722" s="227"/>
      <c r="VPS1722" s="227"/>
      <c r="VPT1722" s="227"/>
      <c r="VPU1722" s="227"/>
      <c r="VPV1722" s="227"/>
      <c r="VPW1722" s="227"/>
      <c r="VPX1722" s="227"/>
      <c r="VPY1722" s="227"/>
      <c r="VPZ1722" s="227"/>
      <c r="VQA1722" s="227"/>
      <c r="VQB1722" s="227"/>
      <c r="VQC1722" s="227"/>
      <c r="VQD1722" s="227"/>
      <c r="VQE1722" s="227"/>
      <c r="VQF1722" s="227"/>
      <c r="VQG1722" s="227"/>
      <c r="VQH1722" s="227"/>
      <c r="VQI1722" s="227"/>
      <c r="VQJ1722" s="227"/>
      <c r="VQK1722" s="227"/>
      <c r="VQL1722" s="227"/>
      <c r="VQM1722" s="227"/>
      <c r="VQN1722" s="227"/>
      <c r="VQO1722" s="227"/>
      <c r="VQP1722" s="227"/>
      <c r="VQQ1722" s="227"/>
      <c r="VQR1722" s="227"/>
      <c r="VQS1722" s="227"/>
      <c r="VQT1722" s="227"/>
      <c r="VQU1722" s="227"/>
      <c r="VQV1722" s="227"/>
      <c r="VQW1722" s="227"/>
      <c r="VQX1722" s="227"/>
      <c r="VQY1722" s="227"/>
      <c r="VQZ1722" s="227"/>
      <c r="VRA1722" s="227"/>
      <c r="VRB1722" s="227"/>
      <c r="VRC1722" s="227"/>
      <c r="VRD1722" s="227"/>
      <c r="VRE1722" s="227"/>
      <c r="VRF1722" s="227"/>
      <c r="VRG1722" s="227"/>
      <c r="VRH1722" s="227"/>
      <c r="VRI1722" s="227"/>
      <c r="VRJ1722" s="227"/>
      <c r="VRK1722" s="227"/>
      <c r="VRL1722" s="227"/>
      <c r="VRM1722" s="227"/>
      <c r="VRN1722" s="227"/>
      <c r="VRO1722" s="227"/>
      <c r="VRP1722" s="227"/>
      <c r="VRQ1722" s="227"/>
      <c r="VRR1722" s="227"/>
      <c r="VRS1722" s="227"/>
      <c r="VRT1722" s="227"/>
      <c r="VRU1722" s="227"/>
      <c r="VRV1722" s="227"/>
      <c r="VRW1722" s="227"/>
      <c r="VRX1722" s="227"/>
      <c r="VRY1722" s="227"/>
      <c r="VRZ1722" s="227"/>
      <c r="VSA1722" s="227"/>
      <c r="VSB1722" s="227"/>
      <c r="VSC1722" s="227"/>
      <c r="VSD1722" s="227"/>
      <c r="VSE1722" s="227"/>
      <c r="VSF1722" s="227"/>
      <c r="VSG1722" s="227"/>
      <c r="VSH1722" s="227"/>
      <c r="VSI1722" s="227"/>
      <c r="VSJ1722" s="227"/>
      <c r="VSK1722" s="227"/>
      <c r="VSL1722" s="227"/>
      <c r="VSM1722" s="227"/>
      <c r="VSN1722" s="227"/>
      <c r="VSO1722" s="227"/>
      <c r="VSP1722" s="227"/>
      <c r="VSQ1722" s="227"/>
      <c r="VSR1722" s="227"/>
      <c r="VSS1722" s="227"/>
      <c r="VST1722" s="227"/>
      <c r="VSU1722" s="227"/>
      <c r="VSV1722" s="227"/>
      <c r="VSW1722" s="227"/>
      <c r="VSX1722" s="227"/>
      <c r="VSY1722" s="227"/>
      <c r="VSZ1722" s="227"/>
      <c r="VTA1722" s="227"/>
      <c r="VTB1722" s="227"/>
      <c r="VTC1722" s="227"/>
      <c r="VTD1722" s="227"/>
      <c r="VTE1722" s="227"/>
      <c r="VTF1722" s="227"/>
      <c r="VTG1722" s="227"/>
      <c r="VTH1722" s="227"/>
      <c r="VTI1722" s="227"/>
      <c r="VTJ1722" s="227"/>
      <c r="VTK1722" s="227"/>
      <c r="VTL1722" s="227"/>
      <c r="VTM1722" s="227"/>
      <c r="VTN1722" s="227"/>
      <c r="VTO1722" s="227"/>
      <c r="VTP1722" s="227"/>
      <c r="VTQ1722" s="227"/>
      <c r="VTR1722" s="227"/>
      <c r="VTS1722" s="227"/>
      <c r="VTT1722" s="227"/>
      <c r="VTU1722" s="227"/>
      <c r="VTV1722" s="227"/>
      <c r="VTW1722" s="227"/>
      <c r="VTX1722" s="227"/>
      <c r="VTY1722" s="227"/>
      <c r="VTZ1722" s="227"/>
      <c r="VUA1722" s="227"/>
      <c r="VUB1722" s="227"/>
      <c r="VUC1722" s="227"/>
      <c r="VUD1722" s="227"/>
      <c r="VUE1722" s="227"/>
      <c r="VUF1722" s="227"/>
      <c r="VUG1722" s="227"/>
      <c r="VUH1722" s="227"/>
      <c r="VUI1722" s="227"/>
      <c r="VUJ1722" s="227"/>
      <c r="VUK1722" s="227"/>
      <c r="VUL1722" s="227"/>
      <c r="VUM1722" s="227"/>
      <c r="VUN1722" s="227"/>
      <c r="VUO1722" s="227"/>
      <c r="VUP1722" s="227"/>
      <c r="VUQ1722" s="227"/>
      <c r="VUR1722" s="227"/>
      <c r="VUS1722" s="227"/>
      <c r="VUT1722" s="227"/>
      <c r="VUU1722" s="227"/>
      <c r="VUV1722" s="227"/>
      <c r="VUW1722" s="227"/>
      <c r="VUX1722" s="227"/>
      <c r="VUY1722" s="227"/>
      <c r="VUZ1722" s="227"/>
      <c r="VVA1722" s="227"/>
      <c r="VVB1722" s="227"/>
      <c r="VVC1722" s="227"/>
      <c r="VVD1722" s="227"/>
      <c r="VVE1722" s="227"/>
      <c r="VVF1722" s="227"/>
      <c r="VVG1722" s="227"/>
      <c r="VVH1722" s="227"/>
      <c r="VVI1722" s="227"/>
      <c r="VVJ1722" s="227"/>
      <c r="VVK1722" s="227"/>
      <c r="VVL1722" s="227"/>
      <c r="VVM1722" s="227"/>
      <c r="VVN1722" s="227"/>
      <c r="VVO1722" s="227"/>
      <c r="VVP1722" s="227"/>
      <c r="VVQ1722" s="227"/>
      <c r="VVR1722" s="227"/>
      <c r="VVS1722" s="227"/>
      <c r="VVT1722" s="227"/>
      <c r="VVU1722" s="227"/>
      <c r="VVV1722" s="227"/>
      <c r="VVW1722" s="227"/>
      <c r="VVX1722" s="227"/>
      <c r="VVY1722" s="227"/>
      <c r="VVZ1722" s="227"/>
      <c r="VWA1722" s="227"/>
      <c r="VWB1722" s="227"/>
      <c r="VWC1722" s="227"/>
      <c r="VWD1722" s="227"/>
      <c r="VWE1722" s="227"/>
      <c r="VWF1722" s="227"/>
      <c r="VWG1722" s="227"/>
      <c r="VWH1722" s="227"/>
      <c r="VWI1722" s="227"/>
      <c r="VWJ1722" s="227"/>
      <c r="VWK1722" s="227"/>
      <c r="VWL1722" s="227"/>
      <c r="VWM1722" s="227"/>
      <c r="VWN1722" s="227"/>
      <c r="VWO1722" s="227"/>
      <c r="VWP1722" s="227"/>
      <c r="VWQ1722" s="227"/>
      <c r="VWR1722" s="227"/>
      <c r="VWS1722" s="227"/>
      <c r="VWT1722" s="227"/>
      <c r="VWU1722" s="227"/>
      <c r="VWV1722" s="227"/>
      <c r="VWW1722" s="227"/>
      <c r="VWX1722" s="227"/>
      <c r="VWY1722" s="227"/>
      <c r="VWZ1722" s="227"/>
      <c r="VXA1722" s="227"/>
      <c r="VXB1722" s="227"/>
      <c r="VXC1722" s="227"/>
      <c r="VXD1722" s="227"/>
      <c r="VXE1722" s="227"/>
      <c r="VXF1722" s="227"/>
      <c r="VXG1722" s="227"/>
      <c r="VXH1722" s="227"/>
      <c r="VXI1722" s="227"/>
      <c r="VXJ1722" s="227"/>
      <c r="VXK1722" s="227"/>
      <c r="VXL1722" s="227"/>
      <c r="VXM1722" s="227"/>
      <c r="VXN1722" s="227"/>
      <c r="VXO1722" s="227"/>
      <c r="VXP1722" s="227"/>
      <c r="VXQ1722" s="227"/>
      <c r="VXR1722" s="227"/>
      <c r="VXS1722" s="227"/>
      <c r="VXT1722" s="227"/>
      <c r="VXU1722" s="227"/>
      <c r="VXV1722" s="227"/>
      <c r="VXW1722" s="227"/>
      <c r="VXX1722" s="227"/>
      <c r="VXY1722" s="227"/>
      <c r="VXZ1722" s="227"/>
      <c r="VYA1722" s="227"/>
      <c r="VYB1722" s="227"/>
      <c r="VYC1722" s="227"/>
      <c r="VYD1722" s="227"/>
      <c r="VYE1722" s="227"/>
      <c r="VYF1722" s="227"/>
      <c r="VYG1722" s="227"/>
      <c r="VYH1722" s="227"/>
      <c r="VYI1722" s="227"/>
      <c r="VYJ1722" s="227"/>
      <c r="VYK1722" s="227"/>
      <c r="VYL1722" s="227"/>
      <c r="VYM1722" s="227"/>
      <c r="VYN1722" s="227"/>
      <c r="VYO1722" s="227"/>
      <c r="VYP1722" s="227"/>
      <c r="VYQ1722" s="227"/>
      <c r="VYR1722" s="227"/>
      <c r="VYS1722" s="227"/>
      <c r="VYT1722" s="227"/>
      <c r="VYU1722" s="227"/>
      <c r="VYV1722" s="227"/>
      <c r="VYW1722" s="227"/>
      <c r="VYX1722" s="227"/>
      <c r="VYY1722" s="227"/>
      <c r="VYZ1722" s="227"/>
      <c r="VZA1722" s="227"/>
      <c r="VZB1722" s="227"/>
      <c r="VZC1722" s="227"/>
      <c r="VZD1722" s="227"/>
      <c r="VZE1722" s="227"/>
      <c r="VZF1722" s="227"/>
      <c r="VZG1722" s="227"/>
      <c r="VZH1722" s="227"/>
      <c r="VZI1722" s="227"/>
      <c r="VZJ1722" s="227"/>
      <c r="VZK1722" s="227"/>
      <c r="VZL1722" s="227"/>
      <c r="VZM1722" s="227"/>
      <c r="VZN1722" s="227"/>
      <c r="VZO1722" s="227"/>
      <c r="VZP1722" s="227"/>
      <c r="VZQ1722" s="227"/>
      <c r="VZR1722" s="227"/>
      <c r="VZS1722" s="227"/>
      <c r="VZT1722" s="227"/>
      <c r="VZU1722" s="227"/>
      <c r="VZV1722" s="227"/>
      <c r="VZW1722" s="227"/>
      <c r="VZX1722" s="227"/>
      <c r="VZY1722" s="227"/>
      <c r="VZZ1722" s="227"/>
      <c r="WAA1722" s="227"/>
      <c r="WAB1722" s="227"/>
      <c r="WAC1722" s="227"/>
      <c r="WAD1722" s="227"/>
      <c r="WAE1722" s="227"/>
      <c r="WAF1722" s="227"/>
      <c r="WAG1722" s="227"/>
      <c r="WAH1722" s="227"/>
      <c r="WAI1722" s="227"/>
      <c r="WAJ1722" s="227"/>
      <c r="WAK1722" s="227"/>
      <c r="WAL1722" s="227"/>
      <c r="WAM1722" s="227"/>
      <c r="WAN1722" s="227"/>
      <c r="WAO1722" s="227"/>
      <c r="WAP1722" s="227"/>
      <c r="WAQ1722" s="227"/>
      <c r="WAR1722" s="227"/>
      <c r="WAS1722" s="227"/>
      <c r="WAT1722" s="227"/>
      <c r="WAU1722" s="227"/>
      <c r="WAV1722" s="227"/>
      <c r="WAW1722" s="227"/>
      <c r="WAX1722" s="227"/>
      <c r="WAY1722" s="227"/>
      <c r="WAZ1722" s="227"/>
      <c r="WBA1722" s="227"/>
      <c r="WBB1722" s="227"/>
      <c r="WBC1722" s="227"/>
      <c r="WBD1722" s="227"/>
      <c r="WBE1722" s="227"/>
      <c r="WBF1722" s="227"/>
      <c r="WBG1722" s="227"/>
      <c r="WBH1722" s="227"/>
      <c r="WBI1722" s="227"/>
      <c r="WBJ1722" s="227"/>
      <c r="WBK1722" s="227"/>
      <c r="WBL1722" s="227"/>
      <c r="WBM1722" s="227"/>
      <c r="WBN1722" s="227"/>
      <c r="WBO1722" s="227"/>
      <c r="WBP1722" s="227"/>
      <c r="WBQ1722" s="227"/>
      <c r="WBR1722" s="227"/>
      <c r="WBS1722" s="227"/>
      <c r="WBT1722" s="227"/>
      <c r="WBU1722" s="227"/>
      <c r="WBV1722" s="227"/>
      <c r="WBW1722" s="227"/>
      <c r="WBX1722" s="227"/>
      <c r="WBY1722" s="227"/>
      <c r="WBZ1722" s="227"/>
      <c r="WCA1722" s="227"/>
      <c r="WCB1722" s="227"/>
      <c r="WCC1722" s="227"/>
      <c r="WCD1722" s="227"/>
      <c r="WCE1722" s="227"/>
      <c r="WCF1722" s="227"/>
      <c r="WCG1722" s="227"/>
      <c r="WCH1722" s="227"/>
      <c r="WCI1722" s="227"/>
      <c r="WCJ1722" s="227"/>
      <c r="WCK1722" s="227"/>
      <c r="WCL1722" s="227"/>
      <c r="WCM1722" s="227"/>
      <c r="WCN1722" s="227"/>
      <c r="WCO1722" s="227"/>
      <c r="WCP1722" s="227"/>
      <c r="WCQ1722" s="227"/>
      <c r="WCR1722" s="227"/>
      <c r="WCS1722" s="227"/>
      <c r="WCT1722" s="227"/>
      <c r="WCU1722" s="227"/>
      <c r="WCV1722" s="227"/>
      <c r="WCW1722" s="227"/>
      <c r="WCX1722" s="227"/>
      <c r="WCY1722" s="227"/>
      <c r="WCZ1722" s="227"/>
      <c r="WDA1722" s="227"/>
      <c r="WDB1722" s="227"/>
      <c r="WDC1722" s="227"/>
      <c r="WDD1722" s="227"/>
      <c r="WDE1722" s="227"/>
      <c r="WDF1722" s="227"/>
      <c r="WDG1722" s="227"/>
      <c r="WDH1722" s="227"/>
      <c r="WDI1722" s="227"/>
      <c r="WDJ1722" s="227"/>
      <c r="WDK1722" s="227"/>
      <c r="WDL1722" s="227"/>
      <c r="WDM1722" s="227"/>
      <c r="WDN1722" s="227"/>
      <c r="WDO1722" s="227"/>
      <c r="WDP1722" s="227"/>
      <c r="WDQ1722" s="227"/>
      <c r="WDR1722" s="227"/>
      <c r="WDS1722" s="227"/>
      <c r="WDT1722" s="227"/>
      <c r="WDU1722" s="227"/>
      <c r="WDV1722" s="227"/>
      <c r="WDW1722" s="227"/>
      <c r="WDX1722" s="227"/>
      <c r="WDY1722" s="227"/>
      <c r="WDZ1722" s="227"/>
      <c r="WEA1722" s="227"/>
      <c r="WEB1722" s="227"/>
      <c r="WEC1722" s="227"/>
      <c r="WED1722" s="227"/>
      <c r="WEE1722" s="227"/>
      <c r="WEF1722" s="227"/>
      <c r="WEG1722" s="227"/>
      <c r="WEH1722" s="227"/>
      <c r="WEI1722" s="227"/>
      <c r="WEJ1722" s="227"/>
      <c r="WEK1722" s="227"/>
      <c r="WEL1722" s="227"/>
      <c r="WEM1722" s="227"/>
      <c r="WEN1722" s="227"/>
      <c r="WEO1722" s="227"/>
      <c r="WEP1722" s="227"/>
      <c r="WEQ1722" s="227"/>
      <c r="WER1722" s="227"/>
      <c r="WES1722" s="227"/>
      <c r="WET1722" s="227"/>
      <c r="WEU1722" s="227"/>
      <c r="WEV1722" s="227"/>
      <c r="WEW1722" s="227"/>
      <c r="WEX1722" s="227"/>
      <c r="WEY1722" s="227"/>
      <c r="WEZ1722" s="227"/>
      <c r="WFA1722" s="227"/>
      <c r="WFB1722" s="227"/>
      <c r="WFC1722" s="227"/>
      <c r="WFD1722" s="227"/>
      <c r="WFE1722" s="227"/>
      <c r="WFF1722" s="227"/>
      <c r="WFG1722" s="227"/>
      <c r="WFH1722" s="227"/>
      <c r="WFI1722" s="227"/>
      <c r="WFJ1722" s="227"/>
      <c r="WFK1722" s="227"/>
      <c r="WFL1722" s="227"/>
      <c r="WFM1722" s="227"/>
      <c r="WFN1722" s="227"/>
      <c r="WFO1722" s="227"/>
      <c r="WFP1722" s="227"/>
      <c r="WFQ1722" s="227"/>
      <c r="WFR1722" s="227"/>
      <c r="WFS1722" s="227"/>
      <c r="WFT1722" s="227"/>
      <c r="WFU1722" s="227"/>
      <c r="WFV1722" s="227"/>
      <c r="WFW1722" s="227"/>
      <c r="WFX1722" s="227"/>
      <c r="WFY1722" s="227"/>
      <c r="WFZ1722" s="227"/>
      <c r="WGA1722" s="227"/>
      <c r="WGB1722" s="227"/>
      <c r="WGC1722" s="227"/>
      <c r="WGD1722" s="227"/>
      <c r="WGE1722" s="227"/>
      <c r="WGF1722" s="227"/>
      <c r="WGG1722" s="227"/>
      <c r="WGH1722" s="227"/>
      <c r="WGI1722" s="227"/>
      <c r="WGJ1722" s="227"/>
      <c r="WGK1722" s="227"/>
      <c r="WGL1722" s="227"/>
      <c r="WGM1722" s="227"/>
      <c r="WGN1722" s="227"/>
      <c r="WGO1722" s="227"/>
      <c r="WGP1722" s="227"/>
      <c r="WGQ1722" s="227"/>
      <c r="WGR1722" s="227"/>
      <c r="WGS1722" s="227"/>
      <c r="WGT1722" s="227"/>
      <c r="WGU1722" s="227"/>
      <c r="WGV1722" s="227"/>
      <c r="WGW1722" s="227"/>
      <c r="WGX1722" s="227"/>
      <c r="WGY1722" s="227"/>
      <c r="WGZ1722" s="227"/>
      <c r="WHA1722" s="227"/>
      <c r="WHB1722" s="227"/>
      <c r="WHC1722" s="227"/>
      <c r="WHD1722" s="227"/>
      <c r="WHE1722" s="227"/>
      <c r="WHF1722" s="227"/>
      <c r="WHG1722" s="227"/>
      <c r="WHH1722" s="227"/>
      <c r="WHI1722" s="227"/>
      <c r="WHJ1722" s="227"/>
      <c r="WHK1722" s="227"/>
      <c r="WHL1722" s="227"/>
      <c r="WHM1722" s="227"/>
      <c r="WHN1722" s="227"/>
      <c r="WHO1722" s="227"/>
      <c r="WHP1722" s="227"/>
      <c r="WHQ1722" s="227"/>
      <c r="WHR1722" s="227"/>
      <c r="WHS1722" s="227"/>
      <c r="WHT1722" s="227"/>
      <c r="WHU1722" s="227"/>
      <c r="WHV1722" s="227"/>
      <c r="WHW1722" s="227"/>
      <c r="WHX1722" s="227"/>
      <c r="WHY1722" s="227"/>
      <c r="WHZ1722" s="227"/>
      <c r="WIA1722" s="227"/>
      <c r="WIB1722" s="227"/>
      <c r="WIC1722" s="227"/>
      <c r="WID1722" s="227"/>
      <c r="WIE1722" s="227"/>
      <c r="WIF1722" s="227"/>
      <c r="WIG1722" s="227"/>
      <c r="WIH1722" s="227"/>
      <c r="WII1722" s="227"/>
      <c r="WIJ1722" s="227"/>
      <c r="WIK1722" s="227"/>
      <c r="WIL1722" s="227"/>
      <c r="WIM1722" s="227"/>
      <c r="WIN1722" s="227"/>
      <c r="WIO1722" s="227"/>
      <c r="WIP1722" s="227"/>
      <c r="WIQ1722" s="227"/>
      <c r="WIR1722" s="227"/>
      <c r="WIS1722" s="227"/>
      <c r="WIT1722" s="227"/>
      <c r="WIU1722" s="227"/>
      <c r="WIV1722" s="227"/>
      <c r="WIW1722" s="227"/>
      <c r="WIX1722" s="227"/>
      <c r="WIY1722" s="227"/>
      <c r="WIZ1722" s="227"/>
      <c r="WJA1722" s="227"/>
      <c r="WJB1722" s="227"/>
      <c r="WJC1722" s="227"/>
      <c r="WJD1722" s="227"/>
      <c r="WJE1722" s="227"/>
      <c r="WJF1722" s="227"/>
      <c r="WJG1722" s="227"/>
      <c r="WJH1722" s="227"/>
      <c r="WJI1722" s="227"/>
      <c r="WJJ1722" s="227"/>
      <c r="WJK1722" s="227"/>
      <c r="WJL1722" s="227"/>
      <c r="WJM1722" s="227"/>
      <c r="WJN1722" s="227"/>
      <c r="WJO1722" s="227"/>
      <c r="WJP1722" s="227"/>
      <c r="WJQ1722" s="227"/>
      <c r="WJR1722" s="227"/>
      <c r="WJS1722" s="227"/>
      <c r="WJT1722" s="227"/>
      <c r="WJU1722" s="227"/>
      <c r="WJV1722" s="227"/>
      <c r="WJW1722" s="227"/>
      <c r="WJX1722" s="227"/>
      <c r="WJY1722" s="227"/>
      <c r="WJZ1722" s="227"/>
      <c r="WKA1722" s="227"/>
      <c r="WKB1722" s="227"/>
      <c r="WKC1722" s="227"/>
      <c r="WKD1722" s="227"/>
      <c r="WKE1722" s="227"/>
      <c r="WKF1722" s="227"/>
      <c r="WKG1722" s="227"/>
      <c r="WKH1722" s="227"/>
      <c r="WKI1722" s="227"/>
      <c r="WKJ1722" s="227"/>
      <c r="WKK1722" s="227"/>
      <c r="WKL1722" s="227"/>
      <c r="WKM1722" s="227"/>
      <c r="WKN1722" s="227"/>
      <c r="WKO1722" s="227"/>
      <c r="WKP1722" s="227"/>
      <c r="WKQ1722" s="227"/>
      <c r="WKR1722" s="227"/>
      <c r="WKS1722" s="227"/>
      <c r="WKT1722" s="227"/>
      <c r="WKU1722" s="227"/>
      <c r="WKV1722" s="227"/>
      <c r="WKW1722" s="227"/>
      <c r="WKX1722" s="227"/>
      <c r="WKY1722" s="227"/>
      <c r="WKZ1722" s="227"/>
      <c r="WLA1722" s="227"/>
      <c r="WLB1722" s="227"/>
      <c r="WLC1722" s="227"/>
      <c r="WLD1722" s="227"/>
      <c r="WLE1722" s="227"/>
      <c r="WLF1722" s="227"/>
      <c r="WLG1722" s="227"/>
      <c r="WLH1722" s="227"/>
      <c r="WLI1722" s="227"/>
      <c r="WLJ1722" s="227"/>
      <c r="WLK1722" s="227"/>
      <c r="WLL1722" s="227"/>
      <c r="WLM1722" s="227"/>
      <c r="WLN1722" s="227"/>
      <c r="WLO1722" s="227"/>
      <c r="WLP1722" s="227"/>
      <c r="WLQ1722" s="227"/>
      <c r="WLR1722" s="227"/>
      <c r="WLS1722" s="227"/>
      <c r="WLT1722" s="227"/>
      <c r="WLU1722" s="227"/>
      <c r="WLV1722" s="227"/>
      <c r="WLW1722" s="227"/>
      <c r="WLX1722" s="227"/>
      <c r="WLY1722" s="227"/>
      <c r="WLZ1722" s="227"/>
      <c r="WMA1722" s="227"/>
      <c r="WMB1722" s="227"/>
      <c r="WMC1722" s="227"/>
      <c r="WMD1722" s="227"/>
      <c r="WME1722" s="227"/>
      <c r="WMF1722" s="227"/>
      <c r="WMG1722" s="227"/>
      <c r="WMH1722" s="227"/>
      <c r="WMI1722" s="227"/>
      <c r="WMJ1722" s="227"/>
      <c r="WMK1722" s="227"/>
      <c r="WML1722" s="227"/>
      <c r="WMM1722" s="227"/>
      <c r="WMN1722" s="227"/>
      <c r="WMO1722" s="227"/>
      <c r="WMP1722" s="227"/>
      <c r="WMQ1722" s="227"/>
      <c r="WMR1722" s="227"/>
      <c r="WMS1722" s="227"/>
      <c r="WMT1722" s="227"/>
      <c r="WMU1722" s="227"/>
      <c r="WMV1722" s="227"/>
      <c r="WMW1722" s="227"/>
      <c r="WMX1722" s="227"/>
      <c r="WMY1722" s="227"/>
      <c r="WMZ1722" s="227"/>
      <c r="WNA1722" s="227"/>
      <c r="WNB1722" s="227"/>
      <c r="WNC1722" s="227"/>
      <c r="WND1722" s="227"/>
      <c r="WNE1722" s="227"/>
      <c r="WNF1722" s="227"/>
      <c r="WNG1722" s="227"/>
      <c r="WNH1722" s="227"/>
      <c r="WNI1722" s="227"/>
      <c r="WNJ1722" s="227"/>
      <c r="WNK1722" s="227"/>
      <c r="WNL1722" s="227"/>
      <c r="WNM1722" s="227"/>
      <c r="WNN1722" s="227"/>
      <c r="WNO1722" s="227"/>
      <c r="WNP1722" s="227"/>
      <c r="WNQ1722" s="227"/>
      <c r="WNR1722" s="227"/>
      <c r="WNS1722" s="227"/>
      <c r="WNT1722" s="227"/>
      <c r="WNU1722" s="227"/>
      <c r="WNV1722" s="227"/>
      <c r="WNW1722" s="227"/>
      <c r="WNX1722" s="227"/>
      <c r="WNY1722" s="227"/>
      <c r="WNZ1722" s="227"/>
      <c r="WOA1722" s="227"/>
      <c r="WOB1722" s="227"/>
      <c r="WOC1722" s="227"/>
      <c r="WOD1722" s="227"/>
      <c r="WOE1722" s="227"/>
      <c r="WOF1722" s="227"/>
      <c r="WOG1722" s="227"/>
      <c r="WOH1722" s="227"/>
      <c r="WOI1722" s="227"/>
      <c r="WOJ1722" s="227"/>
      <c r="WOK1722" s="227"/>
      <c r="WOL1722" s="227"/>
      <c r="WOM1722" s="227"/>
      <c r="WON1722" s="227"/>
      <c r="WOO1722" s="227"/>
      <c r="WOP1722" s="227"/>
      <c r="WOQ1722" s="227"/>
      <c r="WOR1722" s="227"/>
      <c r="WOS1722" s="227"/>
      <c r="WOT1722" s="227"/>
      <c r="WOU1722" s="227"/>
      <c r="WOV1722" s="227"/>
      <c r="WOW1722" s="227"/>
      <c r="WOX1722" s="227"/>
      <c r="WOY1722" s="227"/>
      <c r="WOZ1722" s="227"/>
      <c r="WPA1722" s="227"/>
      <c r="WPB1722" s="227"/>
      <c r="WPC1722" s="227"/>
      <c r="WPD1722" s="227"/>
      <c r="WPE1722" s="227"/>
      <c r="WPF1722" s="227"/>
      <c r="WPG1722" s="227"/>
      <c r="WPH1722" s="227"/>
      <c r="WPI1722" s="227"/>
      <c r="WPJ1722" s="227"/>
      <c r="WPK1722" s="227"/>
      <c r="WPL1722" s="227"/>
      <c r="WPM1722" s="227"/>
      <c r="WPN1722" s="227"/>
      <c r="WPO1722" s="227"/>
      <c r="WPP1722" s="227"/>
      <c r="WPQ1722" s="227"/>
      <c r="WPR1722" s="227"/>
      <c r="WPS1722" s="227"/>
      <c r="WPT1722" s="227"/>
      <c r="WPU1722" s="227"/>
      <c r="WPV1722" s="227"/>
      <c r="WPW1722" s="227"/>
      <c r="WPX1722" s="227"/>
      <c r="WPY1722" s="227"/>
      <c r="WPZ1722" s="227"/>
      <c r="WQA1722" s="227"/>
      <c r="WQB1722" s="227"/>
      <c r="WQC1722" s="227"/>
      <c r="WQD1722" s="227"/>
      <c r="WQE1722" s="227"/>
      <c r="WQF1722" s="227"/>
      <c r="WQG1722" s="227"/>
      <c r="WQH1722" s="227"/>
      <c r="WQI1722" s="227"/>
      <c r="WQJ1722" s="227"/>
      <c r="WQK1722" s="227"/>
      <c r="WQL1722" s="227"/>
      <c r="WQM1722" s="227"/>
      <c r="WQN1722" s="227"/>
      <c r="WQO1722" s="227"/>
      <c r="WQP1722" s="227"/>
      <c r="WQQ1722" s="227"/>
      <c r="WQR1722" s="227"/>
      <c r="WQS1722" s="227"/>
      <c r="WQT1722" s="227"/>
      <c r="WQU1722" s="227"/>
      <c r="WQV1722" s="227"/>
      <c r="WQW1722" s="227"/>
      <c r="WQX1722" s="227"/>
      <c r="WQY1722" s="227"/>
      <c r="WQZ1722" s="227"/>
      <c r="WRA1722" s="227"/>
      <c r="WRB1722" s="227"/>
      <c r="WRC1722" s="227"/>
      <c r="WRD1722" s="227"/>
      <c r="WRE1722" s="227"/>
      <c r="WRF1722" s="227"/>
      <c r="WRG1722" s="227"/>
      <c r="WRH1722" s="227"/>
      <c r="WRI1722" s="227"/>
      <c r="WRJ1722" s="227"/>
      <c r="WRK1722" s="227"/>
      <c r="WRL1722" s="227"/>
      <c r="WRM1722" s="227"/>
      <c r="WRN1722" s="227"/>
      <c r="WRO1722" s="227"/>
      <c r="WRP1722" s="227"/>
      <c r="WRQ1722" s="227"/>
      <c r="WRR1722" s="227"/>
      <c r="WRS1722" s="227"/>
      <c r="WRT1722" s="227"/>
      <c r="WRU1722" s="227"/>
      <c r="WRV1722" s="227"/>
      <c r="WRW1722" s="227"/>
      <c r="WRX1722" s="227"/>
      <c r="WRY1722" s="227"/>
      <c r="WRZ1722" s="227"/>
      <c r="WSA1722" s="227"/>
      <c r="WSB1722" s="227"/>
      <c r="WSC1722" s="227"/>
      <c r="WSD1722" s="227"/>
      <c r="WSE1722" s="227"/>
      <c r="WSF1722" s="227"/>
      <c r="WSG1722" s="227"/>
      <c r="WSH1722" s="227"/>
      <c r="WSI1722" s="227"/>
      <c r="WSJ1722" s="227"/>
      <c r="WSK1722" s="227"/>
      <c r="WSL1722" s="227"/>
      <c r="WSM1722" s="227"/>
      <c r="WSN1722" s="227"/>
      <c r="WSO1722" s="227"/>
      <c r="WSP1722" s="227"/>
      <c r="WSQ1722" s="227"/>
      <c r="WSR1722" s="227"/>
      <c r="WSS1722" s="227"/>
      <c r="WST1722" s="227"/>
      <c r="WSU1722" s="227"/>
      <c r="WSV1722" s="227"/>
      <c r="WSW1722" s="227"/>
      <c r="WSX1722" s="227"/>
      <c r="WSY1722" s="227"/>
      <c r="WSZ1722" s="227"/>
      <c r="WTA1722" s="227"/>
      <c r="WTB1722" s="227"/>
      <c r="WTC1722" s="227"/>
      <c r="WTD1722" s="227"/>
      <c r="WTE1722" s="227"/>
      <c r="WTF1722" s="227"/>
      <c r="WTG1722" s="227"/>
      <c r="WTH1722" s="227"/>
      <c r="WTI1722" s="227"/>
      <c r="WTJ1722" s="227"/>
      <c r="WTK1722" s="227"/>
      <c r="WTL1722" s="227"/>
      <c r="WTM1722" s="227"/>
      <c r="WTN1722" s="227"/>
      <c r="WTO1722" s="227"/>
      <c r="WTP1722" s="227"/>
      <c r="WTQ1722" s="227"/>
      <c r="WTR1722" s="227"/>
      <c r="WTS1722" s="227"/>
      <c r="WTT1722" s="227"/>
      <c r="WTU1722" s="227"/>
      <c r="WTV1722" s="227"/>
      <c r="WTW1722" s="227"/>
      <c r="WTX1722" s="227"/>
      <c r="WTY1722" s="227"/>
      <c r="WTZ1722" s="227"/>
      <c r="WUA1722" s="227"/>
      <c r="WUB1722" s="227"/>
      <c r="WUC1722" s="227"/>
      <c r="WUD1722" s="227"/>
      <c r="WUE1722" s="227"/>
      <c r="WUF1722" s="227"/>
      <c r="WUG1722" s="227"/>
      <c r="WUH1722" s="227"/>
      <c r="WUI1722" s="227"/>
      <c r="WUJ1722" s="227"/>
      <c r="WUK1722" s="227"/>
      <c r="WUL1722" s="227"/>
      <c r="WUM1722" s="227"/>
      <c r="WUN1722" s="227"/>
      <c r="WUO1722" s="227"/>
      <c r="WUP1722" s="227"/>
      <c r="WUQ1722" s="227"/>
      <c r="WUR1722" s="227"/>
      <c r="WUS1722" s="227"/>
      <c r="WUT1722" s="227"/>
      <c r="WUU1722" s="227"/>
      <c r="WUV1722" s="227"/>
      <c r="WUW1722" s="227"/>
      <c r="WUX1722" s="227"/>
      <c r="WUY1722" s="227"/>
      <c r="WUZ1722" s="227"/>
      <c r="WVA1722" s="227"/>
      <c r="WVB1722" s="227"/>
      <c r="WVC1722" s="227"/>
      <c r="WVD1722" s="227"/>
      <c r="WVE1722" s="227"/>
      <c r="WVF1722" s="227"/>
      <c r="WVG1722" s="227"/>
      <c r="WVH1722" s="227"/>
      <c r="WVI1722" s="227"/>
      <c r="WVJ1722" s="227"/>
      <c r="WVK1722" s="227"/>
      <c r="WVL1722" s="227"/>
      <c r="WVM1722" s="227"/>
      <c r="WVN1722" s="227"/>
      <c r="WVO1722" s="227"/>
      <c r="WVP1722" s="227"/>
      <c r="WVQ1722" s="227"/>
      <c r="WVR1722" s="227"/>
      <c r="WVS1722" s="227"/>
      <c r="WVT1722" s="227"/>
      <c r="WVU1722" s="227"/>
      <c r="WVV1722" s="227"/>
      <c r="WVW1722" s="227"/>
      <c r="WVX1722" s="227"/>
      <c r="WVY1722" s="227"/>
      <c r="WVZ1722" s="227"/>
      <c r="WWA1722" s="227"/>
      <c r="WWB1722" s="227"/>
      <c r="WWC1722" s="227"/>
      <c r="WWD1722" s="227"/>
      <c r="WWE1722" s="227"/>
      <c r="WWF1722" s="227"/>
      <c r="WWG1722" s="227"/>
      <c r="WWH1722" s="227"/>
      <c r="WWI1722" s="227"/>
      <c r="WWJ1722" s="227"/>
      <c r="WWK1722" s="227"/>
      <c r="WWL1722" s="227"/>
      <c r="WWM1722" s="227"/>
      <c r="WWN1722" s="227"/>
      <c r="WWO1722" s="227"/>
      <c r="WWP1722" s="227"/>
      <c r="WWQ1722" s="227"/>
      <c r="WWR1722" s="227"/>
      <c r="WWS1722" s="227"/>
      <c r="WWT1722" s="227"/>
      <c r="WWU1722" s="227"/>
      <c r="WWV1722" s="227"/>
      <c r="WWW1722" s="227"/>
      <c r="WWX1722" s="227"/>
      <c r="WWY1722" s="227"/>
      <c r="WWZ1722" s="227"/>
      <c r="WXA1722" s="227"/>
      <c r="WXB1722" s="227"/>
      <c r="WXC1722" s="227"/>
      <c r="WXD1722" s="227"/>
      <c r="WXE1722" s="227"/>
      <c r="WXF1722" s="227"/>
      <c r="WXG1722" s="227"/>
      <c r="WXH1722" s="227"/>
      <c r="WXI1722" s="227"/>
      <c r="WXJ1722" s="227"/>
      <c r="WXK1722" s="227"/>
      <c r="WXL1722" s="227"/>
      <c r="WXM1722" s="227"/>
      <c r="WXN1722" s="227"/>
      <c r="WXO1722" s="227"/>
      <c r="WXP1722" s="227"/>
      <c r="WXQ1722" s="227"/>
      <c r="WXR1722" s="227"/>
      <c r="WXS1722" s="227"/>
      <c r="WXT1722" s="227"/>
      <c r="WXU1722" s="227"/>
      <c r="WXV1722" s="227"/>
      <c r="WXW1722" s="227"/>
      <c r="WXX1722" s="227"/>
      <c r="WXY1722" s="227"/>
      <c r="WXZ1722" s="227"/>
      <c r="WYA1722" s="227"/>
      <c r="WYB1722" s="227"/>
      <c r="WYC1722" s="227"/>
      <c r="WYD1722" s="227"/>
      <c r="WYE1722" s="227"/>
      <c r="WYF1722" s="227"/>
      <c r="WYG1722" s="227"/>
      <c r="WYH1722" s="227"/>
      <c r="WYI1722" s="227"/>
      <c r="WYJ1722" s="227"/>
      <c r="WYK1722" s="227"/>
      <c r="WYL1722" s="227"/>
      <c r="WYM1722" s="227"/>
      <c r="WYN1722" s="227"/>
      <c r="WYO1722" s="227"/>
      <c r="WYP1722" s="227"/>
      <c r="WYQ1722" s="227"/>
      <c r="WYR1722" s="227"/>
      <c r="WYS1722" s="227"/>
      <c r="WYT1722" s="227"/>
      <c r="WYU1722" s="227"/>
      <c r="WYV1722" s="227"/>
      <c r="WYW1722" s="227"/>
      <c r="WYX1722" s="227"/>
      <c r="WYY1722" s="227"/>
      <c r="WYZ1722" s="227"/>
      <c r="WZA1722" s="227"/>
      <c r="WZB1722" s="227"/>
      <c r="WZC1722" s="227"/>
      <c r="WZD1722" s="227"/>
      <c r="WZE1722" s="227"/>
      <c r="WZF1722" s="227"/>
      <c r="WZG1722" s="227"/>
      <c r="WZH1722" s="227"/>
      <c r="WZI1722" s="227"/>
      <c r="WZJ1722" s="227"/>
      <c r="WZK1722" s="227"/>
      <c r="WZL1722" s="227"/>
      <c r="WZM1722" s="227"/>
      <c r="WZN1722" s="227"/>
      <c r="WZO1722" s="227"/>
      <c r="WZP1722" s="227"/>
      <c r="WZQ1722" s="227"/>
      <c r="WZR1722" s="227"/>
      <c r="WZS1722" s="227"/>
      <c r="WZT1722" s="227"/>
      <c r="WZU1722" s="227"/>
      <c r="WZV1722" s="227"/>
      <c r="WZW1722" s="227"/>
      <c r="WZX1722" s="227"/>
      <c r="WZY1722" s="227"/>
      <c r="WZZ1722" s="227"/>
      <c r="XAA1722" s="227"/>
      <c r="XAB1722" s="227"/>
      <c r="XAC1722" s="227"/>
      <c r="XAD1722" s="227"/>
      <c r="XAE1722" s="227"/>
      <c r="XAF1722" s="227"/>
      <c r="XAG1722" s="227"/>
      <c r="XAH1722" s="227"/>
      <c r="XAI1722" s="227"/>
      <c r="XAJ1722" s="227"/>
      <c r="XAK1722" s="227"/>
      <c r="XAL1722" s="227"/>
      <c r="XAM1722" s="227"/>
      <c r="XAN1722" s="227"/>
      <c r="XAO1722" s="227"/>
      <c r="XAP1722" s="227"/>
      <c r="XAQ1722" s="227"/>
      <c r="XAR1722" s="227"/>
      <c r="XAS1722" s="227"/>
      <c r="XAT1722" s="227"/>
      <c r="XAU1722" s="227"/>
      <c r="XAV1722" s="227"/>
      <c r="XAW1722" s="227"/>
      <c r="XAX1722" s="227"/>
      <c r="XAY1722" s="227"/>
      <c r="XAZ1722" s="227"/>
      <c r="XBA1722" s="227"/>
      <c r="XBB1722" s="227"/>
      <c r="XBC1722" s="227"/>
      <c r="XBD1722" s="227"/>
      <c r="XBE1722" s="227"/>
      <c r="XBF1722" s="227"/>
      <c r="XBG1722" s="227"/>
      <c r="XBH1722" s="227"/>
      <c r="XBI1722" s="227"/>
      <c r="XBJ1722" s="227"/>
      <c r="XBK1722" s="227"/>
      <c r="XBL1722" s="227"/>
      <c r="XBM1722" s="227"/>
      <c r="XBN1722" s="227"/>
      <c r="XBO1722" s="227"/>
      <c r="XBP1722" s="227"/>
      <c r="XBQ1722" s="227"/>
      <c r="XBR1722" s="227"/>
      <c r="XBS1722" s="227"/>
      <c r="XBT1722" s="227"/>
      <c r="XBU1722" s="227"/>
      <c r="XBV1722" s="227"/>
      <c r="XBW1722" s="227"/>
      <c r="XBX1722" s="227"/>
      <c r="XBY1722" s="227"/>
      <c r="XBZ1722" s="227"/>
      <c r="XCA1722" s="227"/>
      <c r="XCB1722" s="227"/>
      <c r="XCC1722" s="227"/>
      <c r="XCD1722" s="227"/>
      <c r="XCE1722" s="227"/>
      <c r="XCF1722" s="227"/>
      <c r="XCG1722" s="227"/>
      <c r="XCH1722" s="227"/>
      <c r="XCI1722" s="227"/>
      <c r="XCJ1722" s="227"/>
      <c r="XCK1722" s="227"/>
      <c r="XCL1722" s="227"/>
      <c r="XCM1722" s="227"/>
      <c r="XCN1722" s="227"/>
      <c r="XCO1722" s="227"/>
      <c r="XCP1722" s="227"/>
      <c r="XCQ1722" s="227"/>
      <c r="XCR1722" s="227"/>
      <c r="XCS1722" s="227"/>
      <c r="XCT1722" s="227"/>
      <c r="XCU1722" s="227"/>
      <c r="XCV1722" s="227"/>
      <c r="XCW1722" s="227"/>
      <c r="XCX1722" s="227"/>
      <c r="XCY1722" s="227"/>
      <c r="XCZ1722" s="227"/>
      <c r="XDA1722" s="227"/>
      <c r="XDB1722" s="227"/>
      <c r="XDC1722" s="227"/>
      <c r="XDD1722" s="227"/>
      <c r="XDE1722" s="227"/>
      <c r="XDF1722" s="227"/>
      <c r="XDG1722" s="227"/>
      <c r="XDH1722" s="227"/>
      <c r="XDI1722" s="227"/>
      <c r="XDJ1722" s="227"/>
      <c r="XDK1722" s="227"/>
      <c r="XDL1722" s="227"/>
      <c r="XDM1722" s="227"/>
      <c r="XDN1722" s="227"/>
      <c r="XDO1722" s="227"/>
      <c r="XDP1722" s="227"/>
      <c r="XDQ1722" s="227"/>
      <c r="XDR1722" s="227"/>
      <c r="XDS1722" s="227"/>
      <c r="XDT1722" s="227"/>
      <c r="XDU1722" s="227"/>
      <c r="XDV1722" s="227"/>
      <c r="XDW1722" s="227"/>
      <c r="XDX1722" s="227"/>
      <c r="XDY1722" s="227"/>
      <c r="XDZ1722" s="227"/>
      <c r="XEA1722" s="227"/>
      <c r="XEB1722" s="227"/>
      <c r="XEC1722" s="227"/>
      <c r="XED1722" s="227"/>
      <c r="XEE1722" s="227"/>
      <c r="XEF1722" s="227"/>
      <c r="XEG1722" s="227"/>
      <c r="XEH1722" s="227"/>
      <c r="XEI1722" s="227"/>
      <c r="XEJ1722" s="227"/>
      <c r="XEK1722" s="227"/>
      <c r="XEL1722" s="227"/>
      <c r="XEM1722" s="227"/>
      <c r="XEN1722" s="227"/>
      <c r="XEO1722" s="227"/>
      <c r="XEP1722" s="227"/>
      <c r="XEQ1722" s="227"/>
      <c r="XER1722" s="227"/>
      <c r="XES1722" s="227"/>
      <c r="XET1722" s="227"/>
      <c r="XEU1722" s="227"/>
      <c r="XEV1722" s="227"/>
      <c r="XEW1722" s="227"/>
      <c r="XEX1722" s="227"/>
      <c r="XEY1722" s="227"/>
      <c r="XEZ1722" s="227"/>
      <c r="XFA1722" s="227"/>
      <c r="XFB1722" s="227"/>
      <c r="XFC1722" s="227"/>
      <c r="XFD1722" s="227"/>
    </row>
    <row r="1723" spans="1:16384" customFormat="1" x14ac:dyDescent="0.25">
      <c r="A1723" s="240">
        <v>487</v>
      </c>
      <c r="B1723" s="239">
        <v>44922.427083333336</v>
      </c>
      <c r="C1723" s="235">
        <v>0.43055555555555558</v>
      </c>
      <c r="D1723" s="235">
        <v>0.4375</v>
      </c>
      <c r="E1723" s="235">
        <v>0.44097222222222227</v>
      </c>
      <c r="F1723" s="246" t="s">
        <v>169</v>
      </c>
      <c r="G1723" s="236" t="s">
        <v>4379</v>
      </c>
      <c r="H1723" s="229" t="s">
        <v>4380</v>
      </c>
      <c r="I1723" s="229" t="s">
        <v>4381</v>
      </c>
      <c r="J1723" s="230" t="s">
        <v>37</v>
      </c>
      <c r="K1723" s="229" t="s">
        <v>241</v>
      </c>
      <c r="L1723" s="229">
        <v>0</v>
      </c>
      <c r="M1723" s="236" t="s">
        <v>4382</v>
      </c>
      <c r="N1723" s="236" t="s">
        <v>44</v>
      </c>
      <c r="O1723" s="236" t="s">
        <v>4383</v>
      </c>
      <c r="P1723" s="236">
        <v>30908</v>
      </c>
      <c r="Q1723" s="303">
        <f t="shared" si="151"/>
        <v>3</v>
      </c>
      <c r="R1723" s="303">
        <f t="shared" si="152"/>
        <v>44</v>
      </c>
      <c r="S1723" s="236">
        <v>3</v>
      </c>
      <c r="T1723" s="236">
        <v>44</v>
      </c>
      <c r="U1723" s="236">
        <v>0</v>
      </c>
      <c r="V1723" s="236">
        <v>0</v>
      </c>
      <c r="W1723" s="236">
        <v>52.5</v>
      </c>
      <c r="X1723" s="236">
        <v>60</v>
      </c>
      <c r="Y1723" s="236">
        <v>40</v>
      </c>
      <c r="Z1723" s="236">
        <v>50</v>
      </c>
      <c r="AA1723" s="236">
        <v>2</v>
      </c>
      <c r="AB1723" s="300">
        <f t="shared" si="153"/>
        <v>40</v>
      </c>
      <c r="AC1723" s="300">
        <f t="shared" si="154"/>
        <v>0.24096385542168675</v>
      </c>
      <c r="AD1723" s="236">
        <v>355.5</v>
      </c>
      <c r="AE1723" s="236" t="s">
        <v>109</v>
      </c>
      <c r="AF1723" s="236" t="s">
        <v>4384</v>
      </c>
      <c r="AG1723" s="236" t="s">
        <v>4336</v>
      </c>
      <c r="AH1723" s="236" t="s">
        <v>4385</v>
      </c>
      <c r="AI1723" s="309"/>
      <c r="AJ1723" s="309"/>
      <c r="AK1723" s="236" t="s">
        <v>48</v>
      </c>
      <c r="AL1723" s="246" t="s">
        <v>49</v>
      </c>
      <c r="AM1723" s="299">
        <f t="shared" ca="1" si="150"/>
        <v>3.3090277777737356</v>
      </c>
      <c r="AN1723" s="241"/>
      <c r="AO1723" s="288" t="s">
        <v>53</v>
      </c>
      <c r="AP1723" s="275" t="s">
        <v>4382</v>
      </c>
      <c r="AQ1723" s="288" t="s">
        <v>4639</v>
      </c>
      <c r="AR1723" s="277">
        <v>44925.736111111109</v>
      </c>
      <c r="AS1723" s="272" t="s">
        <v>483</v>
      </c>
      <c r="AT1723" s="288" t="s">
        <v>225</v>
      </c>
      <c r="AU1723" s="276">
        <v>0.73611111111111116</v>
      </c>
      <c r="AV1723" s="288">
        <v>2</v>
      </c>
      <c r="AW1723" s="288" t="s">
        <v>66</v>
      </c>
      <c r="AX1723" s="242"/>
      <c r="AY1723" s="242"/>
      <c r="AZ1723" s="242"/>
      <c r="BA1723" s="242"/>
      <c r="BB1723" s="227"/>
      <c r="BC1723" s="227"/>
      <c r="BD1723" s="227"/>
      <c r="BE1723" s="227"/>
      <c r="BF1723" s="227"/>
      <c r="BG1723" s="227"/>
      <c r="BH1723" s="227"/>
      <c r="BI1723" s="227"/>
      <c r="BJ1723" s="227"/>
      <c r="BK1723" s="227"/>
      <c r="BL1723" s="227"/>
      <c r="BM1723" s="227"/>
      <c r="BN1723" s="227"/>
      <c r="BO1723" s="227"/>
      <c r="BP1723" s="227"/>
      <c r="BQ1723" s="227"/>
      <c r="BR1723" s="227"/>
      <c r="BS1723" s="227"/>
      <c r="BT1723" s="227"/>
      <c r="BU1723" s="227"/>
      <c r="BV1723" s="227"/>
      <c r="BW1723" s="227"/>
      <c r="BX1723" s="227"/>
      <c r="BY1723" s="227"/>
      <c r="BZ1723" s="227"/>
      <c r="CA1723" s="227"/>
      <c r="CB1723" s="227"/>
      <c r="CC1723" s="227"/>
      <c r="CD1723" s="227"/>
      <c r="CE1723" s="227"/>
      <c r="CF1723" s="227"/>
      <c r="CG1723" s="227"/>
      <c r="CH1723" s="227"/>
      <c r="CI1723" s="227"/>
      <c r="CJ1723" s="227"/>
      <c r="CK1723" s="227"/>
      <c r="CL1723" s="227"/>
      <c r="CM1723" s="227"/>
      <c r="CN1723" s="227"/>
      <c r="CO1723" s="227"/>
      <c r="CP1723" s="227"/>
      <c r="CQ1723" s="227"/>
      <c r="CR1723" s="227"/>
      <c r="CS1723" s="227"/>
      <c r="CT1723" s="227"/>
      <c r="CU1723" s="227"/>
      <c r="CV1723" s="227"/>
      <c r="CW1723" s="227"/>
      <c r="CX1723" s="227"/>
      <c r="CY1723" s="227"/>
      <c r="CZ1723" s="227"/>
      <c r="DA1723" s="227"/>
      <c r="DB1723" s="227"/>
      <c r="DC1723" s="227"/>
      <c r="DD1723" s="227"/>
      <c r="DE1723" s="227"/>
      <c r="DF1723" s="227"/>
      <c r="DG1723" s="227"/>
      <c r="DH1723" s="227"/>
      <c r="DI1723" s="227"/>
      <c r="DJ1723" s="227"/>
      <c r="DK1723" s="227"/>
      <c r="DL1723" s="227"/>
      <c r="DM1723" s="227"/>
      <c r="DN1723" s="227"/>
      <c r="DO1723" s="227"/>
      <c r="DP1723" s="227"/>
      <c r="DQ1723" s="227"/>
      <c r="DR1723" s="227"/>
      <c r="DS1723" s="227"/>
      <c r="DT1723" s="227"/>
      <c r="DU1723" s="227"/>
      <c r="DV1723" s="227"/>
      <c r="DW1723" s="227"/>
      <c r="DX1723" s="227"/>
      <c r="DY1723" s="227"/>
      <c r="DZ1723" s="227"/>
      <c r="EA1723" s="227"/>
      <c r="EB1723" s="227"/>
      <c r="EC1723" s="227"/>
      <c r="ED1723" s="227"/>
      <c r="EE1723" s="227"/>
      <c r="EF1723" s="227"/>
      <c r="EG1723" s="227"/>
      <c r="EH1723" s="227"/>
      <c r="EI1723" s="227"/>
      <c r="EJ1723" s="227"/>
      <c r="EK1723" s="227"/>
      <c r="EL1723" s="227"/>
      <c r="EM1723" s="227"/>
      <c r="EN1723" s="227"/>
      <c r="EO1723" s="227"/>
      <c r="EP1723" s="227"/>
      <c r="EQ1723" s="227"/>
      <c r="ER1723" s="227"/>
      <c r="ES1723" s="227"/>
      <c r="ET1723" s="227"/>
      <c r="EU1723" s="227"/>
      <c r="EV1723" s="227"/>
      <c r="EW1723" s="227"/>
      <c r="EX1723" s="227"/>
      <c r="EY1723" s="227"/>
      <c r="EZ1723" s="227"/>
      <c r="FA1723" s="227"/>
      <c r="FB1723" s="227"/>
      <c r="FC1723" s="227"/>
      <c r="FD1723" s="227"/>
      <c r="FE1723" s="227"/>
      <c r="FF1723" s="227"/>
      <c r="FG1723" s="227"/>
      <c r="FH1723" s="227"/>
      <c r="FI1723" s="227"/>
      <c r="FJ1723" s="227"/>
      <c r="FK1723" s="227"/>
      <c r="FL1723" s="227"/>
      <c r="FM1723" s="227"/>
      <c r="FN1723" s="227"/>
      <c r="FO1723" s="227"/>
      <c r="FP1723" s="227"/>
      <c r="FQ1723" s="227"/>
      <c r="FR1723" s="227"/>
      <c r="FS1723" s="227"/>
      <c r="FT1723" s="227"/>
      <c r="FU1723" s="227"/>
      <c r="FV1723" s="227"/>
      <c r="FW1723" s="227"/>
      <c r="FX1723" s="227"/>
      <c r="FY1723" s="227"/>
      <c r="FZ1723" s="227"/>
      <c r="GA1723" s="227"/>
      <c r="GB1723" s="227"/>
      <c r="GC1723" s="227"/>
      <c r="GD1723" s="227"/>
      <c r="GE1723" s="227"/>
      <c r="GF1723" s="227"/>
      <c r="GG1723" s="227"/>
      <c r="GH1723" s="227"/>
      <c r="GI1723" s="227"/>
      <c r="GJ1723" s="227"/>
      <c r="GK1723" s="227"/>
      <c r="GL1723" s="227"/>
      <c r="GM1723" s="227"/>
      <c r="GN1723" s="227"/>
      <c r="GO1723" s="227"/>
      <c r="GP1723" s="227"/>
      <c r="GQ1723" s="227"/>
      <c r="GR1723" s="227"/>
      <c r="GS1723" s="227"/>
      <c r="GT1723" s="227"/>
      <c r="GU1723" s="227"/>
      <c r="GV1723" s="227"/>
      <c r="GW1723" s="227"/>
      <c r="GX1723" s="227"/>
      <c r="GY1723" s="227"/>
      <c r="GZ1723" s="227"/>
      <c r="HA1723" s="227"/>
      <c r="HB1723" s="227"/>
      <c r="HC1723" s="227"/>
      <c r="HD1723" s="227"/>
      <c r="HE1723" s="227"/>
      <c r="HF1723" s="227"/>
      <c r="HG1723" s="227"/>
      <c r="HH1723" s="227"/>
      <c r="HI1723" s="227"/>
      <c r="HJ1723" s="227"/>
      <c r="HK1723" s="227"/>
      <c r="HL1723" s="227"/>
      <c r="HM1723" s="227"/>
      <c r="HN1723" s="227"/>
      <c r="HO1723" s="227"/>
      <c r="HP1723" s="227"/>
      <c r="HQ1723" s="227"/>
      <c r="HR1723" s="227"/>
      <c r="HS1723" s="227"/>
      <c r="HT1723" s="227"/>
      <c r="HU1723" s="227"/>
      <c r="HV1723" s="227"/>
      <c r="HW1723" s="227"/>
      <c r="HX1723" s="227"/>
      <c r="HY1723" s="227"/>
      <c r="HZ1723" s="227"/>
      <c r="IA1723" s="227"/>
      <c r="IB1723" s="227"/>
      <c r="IC1723" s="227"/>
      <c r="ID1723" s="227"/>
      <c r="IE1723" s="227"/>
      <c r="IF1723" s="227"/>
      <c r="IG1723" s="227"/>
      <c r="IH1723" s="227"/>
      <c r="II1723" s="227"/>
      <c r="IJ1723" s="227"/>
      <c r="IK1723" s="227"/>
      <c r="IL1723" s="227"/>
      <c r="IM1723" s="227"/>
      <c r="IN1723" s="227"/>
      <c r="IO1723" s="227"/>
      <c r="IP1723" s="227"/>
      <c r="IQ1723" s="227"/>
      <c r="IR1723" s="227"/>
      <c r="IS1723" s="227"/>
      <c r="IT1723" s="227"/>
      <c r="IU1723" s="227"/>
      <c r="IV1723" s="227"/>
      <c r="IW1723" s="227"/>
      <c r="IX1723" s="227"/>
      <c r="IY1723" s="227"/>
      <c r="IZ1723" s="227"/>
      <c r="JA1723" s="227"/>
      <c r="JB1723" s="227"/>
      <c r="JC1723" s="227"/>
      <c r="JD1723" s="227"/>
      <c r="JE1723" s="227"/>
      <c r="JF1723" s="227"/>
      <c r="JG1723" s="227"/>
      <c r="JH1723" s="227"/>
      <c r="JI1723" s="227"/>
      <c r="JJ1723" s="227"/>
      <c r="JK1723" s="227"/>
      <c r="JL1723" s="227"/>
      <c r="JM1723" s="227"/>
      <c r="JN1723" s="227"/>
      <c r="JO1723" s="227"/>
      <c r="JP1723" s="227"/>
      <c r="JQ1723" s="227"/>
      <c r="JR1723" s="227"/>
      <c r="JS1723" s="227"/>
      <c r="JT1723" s="227"/>
      <c r="JU1723" s="227"/>
      <c r="JV1723" s="227"/>
      <c r="JW1723" s="227"/>
      <c r="JX1723" s="227"/>
      <c r="JY1723" s="227"/>
      <c r="JZ1723" s="227"/>
      <c r="KA1723" s="227"/>
      <c r="KB1723" s="227"/>
      <c r="KC1723" s="227"/>
      <c r="KD1723" s="227"/>
      <c r="KE1723" s="227"/>
      <c r="KF1723" s="227"/>
      <c r="KG1723" s="227"/>
      <c r="KH1723" s="227"/>
      <c r="KI1723" s="227"/>
      <c r="KJ1723" s="227"/>
      <c r="KK1723" s="227"/>
      <c r="KL1723" s="227"/>
      <c r="KM1723" s="227"/>
      <c r="KN1723" s="227"/>
      <c r="KO1723" s="227"/>
      <c r="KP1723" s="227"/>
      <c r="KQ1723" s="227"/>
      <c r="KR1723" s="227"/>
      <c r="KS1723" s="227"/>
      <c r="KT1723" s="227"/>
      <c r="KU1723" s="227"/>
      <c r="KV1723" s="227"/>
      <c r="KW1723" s="227"/>
      <c r="KX1723" s="227"/>
      <c r="KY1723" s="227"/>
      <c r="KZ1723" s="227"/>
      <c r="LA1723" s="227"/>
      <c r="LB1723" s="227"/>
      <c r="LC1723" s="227"/>
      <c r="LD1723" s="227"/>
      <c r="LE1723" s="227"/>
      <c r="LF1723" s="227"/>
      <c r="LG1723" s="227"/>
      <c r="LH1723" s="227"/>
      <c r="LI1723" s="227"/>
      <c r="LJ1723" s="227"/>
      <c r="LK1723" s="227"/>
      <c r="LL1723" s="227"/>
      <c r="LM1723" s="227"/>
      <c r="LN1723" s="227"/>
      <c r="LO1723" s="227"/>
      <c r="LP1723" s="227"/>
      <c r="LQ1723" s="227"/>
      <c r="LR1723" s="227"/>
      <c r="LS1723" s="227"/>
      <c r="LT1723" s="227"/>
      <c r="LU1723" s="227"/>
      <c r="LV1723" s="227"/>
      <c r="LW1723" s="227"/>
      <c r="LX1723" s="227"/>
      <c r="LY1723" s="227"/>
      <c r="LZ1723" s="227"/>
      <c r="MA1723" s="227"/>
      <c r="MB1723" s="227"/>
      <c r="MC1723" s="227"/>
      <c r="MD1723" s="227"/>
      <c r="ME1723" s="227"/>
      <c r="MF1723" s="227"/>
      <c r="MG1723" s="227"/>
      <c r="MH1723" s="227"/>
      <c r="MI1723" s="227"/>
      <c r="MJ1723" s="227"/>
      <c r="MK1723" s="227"/>
      <c r="ML1723" s="227"/>
      <c r="MM1723" s="227"/>
      <c r="MN1723" s="227"/>
      <c r="MO1723" s="227"/>
      <c r="MP1723" s="227"/>
      <c r="MQ1723" s="227"/>
      <c r="MR1723" s="227"/>
      <c r="MS1723" s="227"/>
      <c r="MT1723" s="227"/>
      <c r="MU1723" s="227"/>
      <c r="MV1723" s="227"/>
      <c r="MW1723" s="227"/>
      <c r="MX1723" s="227"/>
      <c r="MY1723" s="227"/>
      <c r="MZ1723" s="227"/>
      <c r="NA1723" s="227"/>
      <c r="NB1723" s="227"/>
      <c r="NC1723" s="227"/>
      <c r="ND1723" s="227"/>
      <c r="NE1723" s="227"/>
      <c r="NF1723" s="227"/>
      <c r="NG1723" s="227"/>
      <c r="NH1723" s="227"/>
      <c r="NI1723" s="227"/>
      <c r="NJ1723" s="227"/>
      <c r="NK1723" s="227"/>
      <c r="NL1723" s="227"/>
      <c r="NM1723" s="227"/>
      <c r="NN1723" s="227"/>
      <c r="NO1723" s="227"/>
      <c r="NP1723" s="227"/>
      <c r="NQ1723" s="227"/>
      <c r="NR1723" s="227"/>
      <c r="NS1723" s="227"/>
      <c r="NT1723" s="227"/>
      <c r="NU1723" s="227"/>
      <c r="NV1723" s="227"/>
      <c r="NW1723" s="227"/>
      <c r="NX1723" s="227"/>
      <c r="NY1723" s="227"/>
      <c r="NZ1723" s="227"/>
      <c r="OA1723" s="227"/>
      <c r="OB1723" s="227"/>
      <c r="OC1723" s="227"/>
      <c r="OD1723" s="227"/>
      <c r="OE1723" s="227"/>
      <c r="OF1723" s="227"/>
      <c r="OG1723" s="227"/>
      <c r="OH1723" s="227"/>
      <c r="OI1723" s="227"/>
      <c r="OJ1723" s="227"/>
      <c r="OK1723" s="227"/>
      <c r="OL1723" s="227"/>
      <c r="OM1723" s="227"/>
      <c r="ON1723" s="227"/>
      <c r="OO1723" s="227"/>
      <c r="OP1723" s="227"/>
      <c r="OQ1723" s="227"/>
      <c r="OR1723" s="227"/>
      <c r="OS1723" s="227"/>
      <c r="OT1723" s="227"/>
      <c r="OU1723" s="227"/>
      <c r="OV1723" s="227"/>
      <c r="OW1723" s="227"/>
      <c r="OX1723" s="227"/>
      <c r="OY1723" s="227"/>
      <c r="OZ1723" s="227"/>
      <c r="PA1723" s="227"/>
      <c r="PB1723" s="227"/>
      <c r="PC1723" s="227"/>
      <c r="PD1723" s="227"/>
      <c r="PE1723" s="227"/>
      <c r="PF1723" s="227"/>
      <c r="PG1723" s="227"/>
      <c r="PH1723" s="227"/>
      <c r="PI1723" s="227"/>
      <c r="PJ1723" s="227"/>
      <c r="PK1723" s="227"/>
      <c r="PL1723" s="227"/>
      <c r="PM1723" s="227"/>
      <c r="PN1723" s="227"/>
      <c r="PO1723" s="227"/>
      <c r="PP1723" s="227"/>
      <c r="PQ1723" s="227"/>
      <c r="PR1723" s="227"/>
      <c r="PS1723" s="227"/>
      <c r="PT1723" s="227"/>
      <c r="PU1723" s="227"/>
      <c r="PV1723" s="227"/>
      <c r="PW1723" s="227"/>
      <c r="PX1723" s="227"/>
      <c r="PY1723" s="227"/>
      <c r="PZ1723" s="227"/>
      <c r="QA1723" s="227"/>
      <c r="QB1723" s="227"/>
      <c r="QC1723" s="227"/>
      <c r="QD1723" s="227"/>
      <c r="QE1723" s="227"/>
      <c r="QF1723" s="227"/>
      <c r="QG1723" s="227"/>
      <c r="QH1723" s="227"/>
      <c r="QI1723" s="227"/>
      <c r="QJ1723" s="227"/>
      <c r="QK1723" s="227"/>
      <c r="QL1723" s="227"/>
      <c r="QM1723" s="227"/>
      <c r="QN1723" s="227"/>
      <c r="QO1723" s="227"/>
      <c r="QP1723" s="227"/>
      <c r="QQ1723" s="227"/>
      <c r="QR1723" s="227"/>
      <c r="QS1723" s="227"/>
      <c r="QT1723" s="227"/>
      <c r="QU1723" s="227"/>
      <c r="QV1723" s="227"/>
      <c r="QW1723" s="227"/>
      <c r="QX1723" s="227"/>
      <c r="QY1723" s="227"/>
      <c r="QZ1723" s="227"/>
      <c r="RA1723" s="227"/>
      <c r="RB1723" s="227"/>
      <c r="RC1723" s="227"/>
      <c r="RD1723" s="227"/>
      <c r="RE1723" s="227"/>
      <c r="RF1723" s="227"/>
      <c r="RG1723" s="227"/>
      <c r="RH1723" s="227"/>
      <c r="RI1723" s="227"/>
      <c r="RJ1723" s="227"/>
      <c r="RK1723" s="227"/>
      <c r="RL1723" s="227"/>
      <c r="RM1723" s="227"/>
      <c r="RN1723" s="227"/>
      <c r="RO1723" s="227"/>
      <c r="RP1723" s="227"/>
      <c r="RQ1723" s="227"/>
      <c r="RR1723" s="227"/>
      <c r="RS1723" s="227"/>
      <c r="RT1723" s="227"/>
      <c r="RU1723" s="227"/>
      <c r="RV1723" s="227"/>
      <c r="RW1723" s="227"/>
      <c r="RX1723" s="227"/>
      <c r="RY1723" s="227"/>
      <c r="RZ1723" s="227"/>
      <c r="SA1723" s="227"/>
      <c r="SB1723" s="227"/>
      <c r="SC1723" s="227"/>
      <c r="SD1723" s="227"/>
      <c r="SE1723" s="227"/>
      <c r="SF1723" s="227"/>
      <c r="SG1723" s="227"/>
      <c r="SH1723" s="227"/>
      <c r="SI1723" s="227"/>
      <c r="SJ1723" s="227"/>
      <c r="SK1723" s="227"/>
      <c r="SL1723" s="227"/>
      <c r="SM1723" s="227"/>
      <c r="SN1723" s="227"/>
      <c r="SO1723" s="227"/>
      <c r="SP1723" s="227"/>
      <c r="SQ1723" s="227"/>
      <c r="SR1723" s="227"/>
      <c r="SS1723" s="227"/>
      <c r="ST1723" s="227"/>
      <c r="SU1723" s="227"/>
      <c r="SV1723" s="227"/>
      <c r="SW1723" s="227"/>
      <c r="SX1723" s="227"/>
      <c r="SY1723" s="227"/>
      <c r="SZ1723" s="227"/>
      <c r="TA1723" s="227"/>
      <c r="TB1723" s="227"/>
      <c r="TC1723" s="227"/>
      <c r="TD1723" s="227"/>
      <c r="TE1723" s="227"/>
      <c r="TF1723" s="227"/>
      <c r="TG1723" s="227"/>
      <c r="TH1723" s="227"/>
      <c r="TI1723" s="227"/>
      <c r="TJ1723" s="227"/>
      <c r="TK1723" s="227"/>
      <c r="TL1723" s="227"/>
      <c r="TM1723" s="227"/>
      <c r="TN1723" s="227"/>
      <c r="TO1723" s="227"/>
      <c r="TP1723" s="227"/>
      <c r="TQ1723" s="227"/>
      <c r="TR1723" s="227"/>
      <c r="TS1723" s="227"/>
      <c r="TT1723" s="227"/>
      <c r="TU1723" s="227"/>
      <c r="TV1723" s="227"/>
      <c r="TW1723" s="227"/>
      <c r="TX1723" s="227"/>
      <c r="TY1723" s="227"/>
      <c r="TZ1723" s="227"/>
      <c r="UA1723" s="227"/>
      <c r="UB1723" s="227"/>
      <c r="UC1723" s="227"/>
      <c r="UD1723" s="227"/>
      <c r="UE1723" s="227"/>
      <c r="UF1723" s="227"/>
      <c r="UG1723" s="227"/>
      <c r="UH1723" s="227"/>
      <c r="UI1723" s="227"/>
      <c r="UJ1723" s="227"/>
      <c r="UK1723" s="227"/>
      <c r="UL1723" s="227"/>
      <c r="UM1723" s="227"/>
      <c r="UN1723" s="227"/>
      <c r="UO1723" s="227"/>
      <c r="UP1723" s="227"/>
      <c r="UQ1723" s="227"/>
      <c r="UR1723" s="227"/>
      <c r="US1723" s="227"/>
      <c r="UT1723" s="227"/>
      <c r="UU1723" s="227"/>
      <c r="UV1723" s="227"/>
      <c r="UW1723" s="227"/>
      <c r="UX1723" s="227"/>
      <c r="UY1723" s="227"/>
      <c r="UZ1723" s="227"/>
      <c r="VA1723" s="227"/>
      <c r="VB1723" s="227"/>
      <c r="VC1723" s="227"/>
      <c r="VD1723" s="227"/>
      <c r="VE1723" s="227"/>
      <c r="VF1723" s="227"/>
      <c r="VG1723" s="227"/>
      <c r="VH1723" s="227"/>
      <c r="VI1723" s="227"/>
      <c r="VJ1723" s="227"/>
      <c r="VK1723" s="227"/>
      <c r="VL1723" s="227"/>
      <c r="VM1723" s="227"/>
      <c r="VN1723" s="227"/>
      <c r="VO1723" s="227"/>
      <c r="VP1723" s="227"/>
      <c r="VQ1723" s="227"/>
      <c r="VR1723" s="227"/>
      <c r="VS1723" s="227"/>
      <c r="VT1723" s="227"/>
      <c r="VU1723" s="227"/>
      <c r="VV1723" s="227"/>
      <c r="VW1723" s="227"/>
      <c r="VX1723" s="227"/>
      <c r="VY1723" s="227"/>
      <c r="VZ1723" s="227"/>
      <c r="WA1723" s="227"/>
      <c r="WB1723" s="227"/>
      <c r="WC1723" s="227"/>
      <c r="WD1723" s="227"/>
      <c r="WE1723" s="227"/>
      <c r="WF1723" s="227"/>
      <c r="WG1723" s="227"/>
      <c r="WH1723" s="227"/>
      <c r="WI1723" s="227"/>
      <c r="WJ1723" s="227"/>
      <c r="WK1723" s="227"/>
      <c r="WL1723" s="227"/>
      <c r="WM1723" s="227"/>
      <c r="WN1723" s="227"/>
      <c r="WO1723" s="227"/>
      <c r="WP1723" s="227"/>
      <c r="WQ1723" s="227"/>
      <c r="WR1723" s="227"/>
      <c r="WS1723" s="227"/>
      <c r="WT1723" s="227"/>
      <c r="WU1723" s="227"/>
      <c r="WV1723" s="227"/>
      <c r="WW1723" s="227"/>
      <c r="WX1723" s="227"/>
      <c r="WY1723" s="227"/>
      <c r="WZ1723" s="227"/>
      <c r="XA1723" s="227"/>
      <c r="XB1723" s="227"/>
      <c r="XC1723" s="227"/>
      <c r="XD1723" s="227"/>
      <c r="XE1723" s="227"/>
      <c r="XF1723" s="227"/>
      <c r="XG1723" s="227"/>
      <c r="XH1723" s="227"/>
      <c r="XI1723" s="227"/>
      <c r="XJ1723" s="227"/>
      <c r="XK1723" s="227"/>
      <c r="XL1723" s="227"/>
      <c r="XM1723" s="227"/>
      <c r="XN1723" s="227"/>
      <c r="XO1723" s="227"/>
      <c r="XP1723" s="227"/>
      <c r="XQ1723" s="227"/>
      <c r="XR1723" s="227"/>
      <c r="XS1723" s="227"/>
      <c r="XT1723" s="227"/>
      <c r="XU1723" s="227"/>
      <c r="XV1723" s="227"/>
      <c r="XW1723" s="227"/>
      <c r="XX1723" s="227"/>
      <c r="XY1723" s="227"/>
      <c r="XZ1723" s="227"/>
      <c r="YA1723" s="227"/>
      <c r="YB1723" s="227"/>
      <c r="YC1723" s="227"/>
      <c r="YD1723" s="227"/>
      <c r="YE1723" s="227"/>
      <c r="YF1723" s="227"/>
      <c r="YG1723" s="227"/>
      <c r="YH1723" s="227"/>
      <c r="YI1723" s="227"/>
      <c r="YJ1723" s="227"/>
      <c r="YK1723" s="227"/>
      <c r="YL1723" s="227"/>
      <c r="YM1723" s="227"/>
      <c r="YN1723" s="227"/>
      <c r="YO1723" s="227"/>
      <c r="YP1723" s="227"/>
      <c r="YQ1723" s="227"/>
      <c r="YR1723" s="227"/>
      <c r="YS1723" s="227"/>
      <c r="YT1723" s="227"/>
      <c r="YU1723" s="227"/>
      <c r="YV1723" s="227"/>
      <c r="YW1723" s="227"/>
      <c r="YX1723" s="227"/>
      <c r="YY1723" s="227"/>
      <c r="YZ1723" s="227"/>
      <c r="ZA1723" s="227"/>
      <c r="ZB1723" s="227"/>
      <c r="ZC1723" s="227"/>
      <c r="ZD1723" s="227"/>
      <c r="ZE1723" s="227"/>
      <c r="ZF1723" s="227"/>
      <c r="ZG1723" s="227"/>
      <c r="ZH1723" s="227"/>
      <c r="ZI1723" s="227"/>
      <c r="ZJ1723" s="227"/>
      <c r="ZK1723" s="227"/>
      <c r="ZL1723" s="227"/>
      <c r="ZM1723" s="227"/>
      <c r="ZN1723" s="227"/>
      <c r="ZO1723" s="227"/>
      <c r="ZP1723" s="227"/>
      <c r="ZQ1723" s="227"/>
      <c r="ZR1723" s="227"/>
      <c r="ZS1723" s="227"/>
      <c r="ZT1723" s="227"/>
      <c r="ZU1723" s="227"/>
      <c r="ZV1723" s="227"/>
      <c r="ZW1723" s="227"/>
      <c r="ZX1723" s="227"/>
      <c r="ZY1723" s="227"/>
      <c r="ZZ1723" s="227"/>
      <c r="AAA1723" s="227"/>
      <c r="AAB1723" s="227"/>
      <c r="AAC1723" s="227"/>
      <c r="AAD1723" s="227"/>
      <c r="AAE1723" s="227"/>
      <c r="AAF1723" s="227"/>
      <c r="AAG1723" s="227"/>
      <c r="AAH1723" s="227"/>
      <c r="AAI1723" s="227"/>
      <c r="AAJ1723" s="227"/>
      <c r="AAK1723" s="227"/>
      <c r="AAL1723" s="227"/>
      <c r="AAM1723" s="227"/>
      <c r="AAN1723" s="227"/>
      <c r="AAO1723" s="227"/>
      <c r="AAP1723" s="227"/>
      <c r="AAQ1723" s="227"/>
      <c r="AAR1723" s="227"/>
      <c r="AAS1723" s="227"/>
      <c r="AAT1723" s="227"/>
      <c r="AAU1723" s="227"/>
      <c r="AAV1723" s="227"/>
      <c r="AAW1723" s="227"/>
      <c r="AAX1723" s="227"/>
      <c r="AAY1723" s="227"/>
      <c r="AAZ1723" s="227"/>
      <c r="ABA1723" s="227"/>
      <c r="ABB1723" s="227"/>
      <c r="ABC1723" s="227"/>
      <c r="ABD1723" s="227"/>
      <c r="ABE1723" s="227"/>
      <c r="ABF1723" s="227"/>
      <c r="ABG1723" s="227"/>
      <c r="ABH1723" s="227"/>
      <c r="ABI1723" s="227"/>
      <c r="ABJ1723" s="227"/>
      <c r="ABK1723" s="227"/>
      <c r="ABL1723" s="227"/>
      <c r="ABM1723" s="227"/>
      <c r="ABN1723" s="227"/>
      <c r="ABO1723" s="227"/>
      <c r="ABP1723" s="227"/>
      <c r="ABQ1723" s="227"/>
      <c r="ABR1723" s="227"/>
      <c r="ABS1723" s="227"/>
      <c r="ABT1723" s="227"/>
      <c r="ABU1723" s="227"/>
      <c r="ABV1723" s="227"/>
      <c r="ABW1723" s="227"/>
      <c r="ABX1723" s="227"/>
      <c r="ABY1723" s="227"/>
      <c r="ABZ1723" s="227"/>
      <c r="ACA1723" s="227"/>
      <c r="ACB1723" s="227"/>
      <c r="ACC1723" s="227"/>
      <c r="ACD1723" s="227"/>
      <c r="ACE1723" s="227"/>
      <c r="ACF1723" s="227"/>
      <c r="ACG1723" s="227"/>
      <c r="ACH1723" s="227"/>
      <c r="ACI1723" s="227"/>
      <c r="ACJ1723" s="227"/>
      <c r="ACK1723" s="227"/>
      <c r="ACL1723" s="227"/>
      <c r="ACM1723" s="227"/>
      <c r="ACN1723" s="227"/>
      <c r="ACO1723" s="227"/>
      <c r="ACP1723" s="227"/>
      <c r="ACQ1723" s="227"/>
      <c r="ACR1723" s="227"/>
      <c r="ACS1723" s="227"/>
      <c r="ACT1723" s="227"/>
      <c r="ACU1723" s="227"/>
      <c r="ACV1723" s="227"/>
      <c r="ACW1723" s="227"/>
      <c r="ACX1723" s="227"/>
      <c r="ACY1723" s="227"/>
      <c r="ACZ1723" s="227"/>
      <c r="ADA1723" s="227"/>
      <c r="ADB1723" s="227"/>
      <c r="ADC1723" s="227"/>
      <c r="ADD1723" s="227"/>
      <c r="ADE1723" s="227"/>
      <c r="ADF1723" s="227"/>
      <c r="ADG1723" s="227"/>
      <c r="ADH1723" s="227"/>
      <c r="ADI1723" s="227"/>
      <c r="ADJ1723" s="227"/>
      <c r="ADK1723" s="227"/>
      <c r="ADL1723" s="227"/>
      <c r="ADM1723" s="227"/>
      <c r="ADN1723" s="227"/>
      <c r="ADO1723" s="227"/>
      <c r="ADP1723" s="227"/>
      <c r="ADQ1723" s="227"/>
      <c r="ADR1723" s="227"/>
      <c r="ADS1723" s="227"/>
      <c r="ADT1723" s="227"/>
      <c r="ADU1723" s="227"/>
      <c r="ADV1723" s="227"/>
      <c r="ADW1723" s="227"/>
      <c r="ADX1723" s="227"/>
      <c r="ADY1723" s="227"/>
      <c r="ADZ1723" s="227"/>
      <c r="AEA1723" s="227"/>
      <c r="AEB1723" s="227"/>
      <c r="AEC1723" s="227"/>
      <c r="AED1723" s="227"/>
      <c r="AEE1723" s="227"/>
      <c r="AEF1723" s="227"/>
      <c r="AEG1723" s="227"/>
      <c r="AEH1723" s="227"/>
      <c r="AEI1723" s="227"/>
      <c r="AEJ1723" s="227"/>
      <c r="AEK1723" s="227"/>
      <c r="AEL1723" s="227"/>
      <c r="AEM1723" s="227"/>
      <c r="AEN1723" s="227"/>
      <c r="AEO1723" s="227"/>
      <c r="AEP1723" s="227"/>
      <c r="AEQ1723" s="227"/>
      <c r="AER1723" s="227"/>
      <c r="AES1723" s="227"/>
      <c r="AET1723" s="227"/>
      <c r="AEU1723" s="227"/>
      <c r="AEV1723" s="227"/>
      <c r="AEW1723" s="227"/>
      <c r="AEX1723" s="227"/>
      <c r="AEY1723" s="227"/>
      <c r="AEZ1723" s="227"/>
      <c r="AFA1723" s="227"/>
      <c r="AFB1723" s="227"/>
      <c r="AFC1723" s="227"/>
      <c r="AFD1723" s="227"/>
      <c r="AFE1723" s="227"/>
      <c r="AFF1723" s="227"/>
      <c r="AFG1723" s="227"/>
      <c r="AFH1723" s="227"/>
      <c r="AFI1723" s="227"/>
      <c r="AFJ1723" s="227"/>
      <c r="AFK1723" s="227"/>
      <c r="AFL1723" s="227"/>
      <c r="AFM1723" s="227"/>
      <c r="AFN1723" s="227"/>
      <c r="AFO1723" s="227"/>
      <c r="AFP1723" s="227"/>
      <c r="AFQ1723" s="227"/>
      <c r="AFR1723" s="227"/>
      <c r="AFS1723" s="227"/>
      <c r="AFT1723" s="227"/>
      <c r="AFU1723" s="227"/>
      <c r="AFV1723" s="227"/>
      <c r="AFW1723" s="227"/>
      <c r="AFX1723" s="227"/>
      <c r="AFY1723" s="227"/>
      <c r="AFZ1723" s="227"/>
      <c r="AGA1723" s="227"/>
      <c r="AGB1723" s="227"/>
      <c r="AGC1723" s="227"/>
      <c r="AGD1723" s="227"/>
      <c r="AGE1723" s="227"/>
      <c r="AGF1723" s="227"/>
      <c r="AGG1723" s="227"/>
      <c r="AGH1723" s="227"/>
      <c r="AGI1723" s="227"/>
      <c r="AGJ1723" s="227"/>
      <c r="AGK1723" s="227"/>
      <c r="AGL1723" s="227"/>
      <c r="AGM1723" s="227"/>
      <c r="AGN1723" s="227"/>
      <c r="AGO1723" s="227"/>
      <c r="AGP1723" s="227"/>
      <c r="AGQ1723" s="227"/>
      <c r="AGR1723" s="227"/>
      <c r="AGS1723" s="227"/>
      <c r="AGT1723" s="227"/>
      <c r="AGU1723" s="227"/>
      <c r="AGV1723" s="227"/>
      <c r="AGW1723" s="227"/>
      <c r="AGX1723" s="227"/>
      <c r="AGY1723" s="227"/>
      <c r="AGZ1723" s="227"/>
      <c r="AHA1723" s="227"/>
      <c r="AHB1723" s="227"/>
      <c r="AHC1723" s="227"/>
      <c r="AHD1723" s="227"/>
      <c r="AHE1723" s="227"/>
      <c r="AHF1723" s="227"/>
      <c r="AHG1723" s="227"/>
      <c r="AHH1723" s="227"/>
      <c r="AHI1723" s="227"/>
      <c r="AHJ1723" s="227"/>
      <c r="AHK1723" s="227"/>
      <c r="AHL1723" s="227"/>
      <c r="AHM1723" s="227"/>
      <c r="AHN1723" s="227"/>
      <c r="AHO1723" s="227"/>
      <c r="AHP1723" s="227"/>
      <c r="AHQ1723" s="227"/>
      <c r="AHR1723" s="227"/>
      <c r="AHS1723" s="227"/>
      <c r="AHT1723" s="227"/>
      <c r="AHU1723" s="227"/>
      <c r="AHV1723" s="227"/>
      <c r="AHW1723" s="227"/>
      <c r="AHX1723" s="227"/>
      <c r="AHY1723" s="227"/>
      <c r="AHZ1723" s="227"/>
      <c r="AIA1723" s="227"/>
      <c r="AIB1723" s="227"/>
      <c r="AIC1723" s="227"/>
      <c r="AID1723" s="227"/>
      <c r="AIE1723" s="227"/>
      <c r="AIF1723" s="227"/>
      <c r="AIG1723" s="227"/>
      <c r="AIH1723" s="227"/>
      <c r="AII1723" s="227"/>
      <c r="AIJ1723" s="227"/>
      <c r="AIK1723" s="227"/>
      <c r="AIL1723" s="227"/>
      <c r="AIM1723" s="227"/>
      <c r="AIN1723" s="227"/>
      <c r="AIO1723" s="227"/>
      <c r="AIP1723" s="227"/>
      <c r="AIQ1723" s="227"/>
      <c r="AIR1723" s="227"/>
      <c r="AIS1723" s="227"/>
      <c r="AIT1723" s="227"/>
      <c r="AIU1723" s="227"/>
      <c r="AIV1723" s="227"/>
      <c r="AIW1723" s="227"/>
      <c r="AIX1723" s="227"/>
      <c r="AIY1723" s="227"/>
      <c r="AIZ1723" s="227"/>
      <c r="AJA1723" s="227"/>
      <c r="AJB1723" s="227"/>
      <c r="AJC1723" s="227"/>
      <c r="AJD1723" s="227"/>
      <c r="AJE1723" s="227"/>
      <c r="AJF1723" s="227"/>
      <c r="AJG1723" s="227"/>
      <c r="AJH1723" s="227"/>
      <c r="AJI1723" s="227"/>
      <c r="AJJ1723" s="227"/>
      <c r="AJK1723" s="227"/>
      <c r="AJL1723" s="227"/>
      <c r="AJM1723" s="227"/>
      <c r="AJN1723" s="227"/>
      <c r="AJO1723" s="227"/>
      <c r="AJP1723" s="227"/>
      <c r="AJQ1723" s="227"/>
      <c r="AJR1723" s="227"/>
      <c r="AJS1723" s="227"/>
      <c r="AJT1723" s="227"/>
      <c r="AJU1723" s="227"/>
      <c r="AJV1723" s="227"/>
      <c r="AJW1723" s="227"/>
      <c r="AJX1723" s="227"/>
      <c r="AJY1723" s="227"/>
      <c r="AJZ1723" s="227"/>
      <c r="AKA1723" s="227"/>
      <c r="AKB1723" s="227"/>
      <c r="AKC1723" s="227"/>
      <c r="AKD1723" s="227"/>
      <c r="AKE1723" s="227"/>
      <c r="AKF1723" s="227"/>
      <c r="AKG1723" s="227"/>
      <c r="AKH1723" s="227"/>
      <c r="AKI1723" s="227"/>
      <c r="AKJ1723" s="227"/>
      <c r="AKK1723" s="227"/>
      <c r="AKL1723" s="227"/>
      <c r="AKM1723" s="227"/>
      <c r="AKN1723" s="227"/>
      <c r="AKO1723" s="227"/>
      <c r="AKP1723" s="227"/>
      <c r="AKQ1723" s="227"/>
      <c r="AKR1723" s="227"/>
      <c r="AKS1723" s="227"/>
      <c r="AKT1723" s="227"/>
      <c r="AKU1723" s="227"/>
      <c r="AKV1723" s="227"/>
      <c r="AKW1723" s="227"/>
      <c r="AKX1723" s="227"/>
      <c r="AKY1723" s="227"/>
      <c r="AKZ1723" s="227"/>
      <c r="ALA1723" s="227"/>
      <c r="ALB1723" s="227"/>
      <c r="ALC1723" s="227"/>
      <c r="ALD1723" s="227"/>
      <c r="ALE1723" s="227"/>
      <c r="ALF1723" s="227"/>
      <c r="ALG1723" s="227"/>
      <c r="ALH1723" s="227"/>
      <c r="ALI1723" s="227"/>
      <c r="ALJ1723" s="227"/>
      <c r="ALK1723" s="227"/>
      <c r="ALL1723" s="227"/>
      <c r="ALM1723" s="227"/>
      <c r="ALN1723" s="227"/>
      <c r="ALO1723" s="227"/>
      <c r="ALP1723" s="227"/>
      <c r="ALQ1723" s="227"/>
      <c r="ALR1723" s="227"/>
      <c r="ALS1723" s="227"/>
      <c r="ALT1723" s="227"/>
      <c r="ALU1723" s="227"/>
      <c r="ALV1723" s="227"/>
      <c r="ALW1723" s="227"/>
      <c r="ALX1723" s="227"/>
      <c r="ALY1723" s="227"/>
      <c r="ALZ1723" s="227"/>
      <c r="AMA1723" s="227"/>
      <c r="AMB1723" s="227"/>
      <c r="AMC1723" s="227"/>
      <c r="AMD1723" s="227"/>
      <c r="AME1723" s="227"/>
      <c r="AMF1723" s="227"/>
      <c r="AMG1723" s="227"/>
      <c r="AMH1723" s="227"/>
      <c r="AMI1723" s="227"/>
      <c r="AMJ1723" s="227"/>
      <c r="AMK1723" s="227"/>
      <c r="AML1723" s="227"/>
      <c r="AMM1723" s="227"/>
      <c r="AMN1723" s="227"/>
      <c r="AMO1723" s="227"/>
      <c r="AMP1723" s="227"/>
      <c r="AMQ1723" s="227"/>
      <c r="AMR1723" s="227"/>
      <c r="AMS1723" s="227"/>
      <c r="AMT1723" s="227"/>
      <c r="AMU1723" s="227"/>
      <c r="AMV1723" s="227"/>
      <c r="AMW1723" s="227"/>
      <c r="AMX1723" s="227"/>
      <c r="AMY1723" s="227"/>
      <c r="AMZ1723" s="227"/>
      <c r="ANA1723" s="227"/>
      <c r="ANB1723" s="227"/>
      <c r="ANC1723" s="227"/>
      <c r="AND1723" s="227"/>
      <c r="ANE1723" s="227"/>
      <c r="ANF1723" s="227"/>
      <c r="ANG1723" s="227"/>
      <c r="ANH1723" s="227"/>
      <c r="ANI1723" s="227"/>
      <c r="ANJ1723" s="227"/>
      <c r="ANK1723" s="227"/>
      <c r="ANL1723" s="227"/>
      <c r="ANM1723" s="227"/>
      <c r="ANN1723" s="227"/>
      <c r="ANO1723" s="227"/>
      <c r="ANP1723" s="227"/>
      <c r="ANQ1723" s="227"/>
      <c r="ANR1723" s="227"/>
      <c r="ANS1723" s="227"/>
      <c r="ANT1723" s="227"/>
      <c r="ANU1723" s="227"/>
      <c r="ANV1723" s="227"/>
      <c r="ANW1723" s="227"/>
      <c r="ANX1723" s="227"/>
      <c r="ANY1723" s="227"/>
      <c r="ANZ1723" s="227"/>
      <c r="AOA1723" s="227"/>
      <c r="AOB1723" s="227"/>
      <c r="AOC1723" s="227"/>
      <c r="AOD1723" s="227"/>
      <c r="AOE1723" s="227"/>
      <c r="AOF1723" s="227"/>
      <c r="AOG1723" s="227"/>
      <c r="AOH1723" s="227"/>
      <c r="AOI1723" s="227"/>
      <c r="AOJ1723" s="227"/>
      <c r="AOK1723" s="227"/>
      <c r="AOL1723" s="227"/>
      <c r="AOM1723" s="227"/>
      <c r="AON1723" s="227"/>
      <c r="AOO1723" s="227"/>
      <c r="AOP1723" s="227"/>
      <c r="AOQ1723" s="227"/>
      <c r="AOR1723" s="227"/>
      <c r="AOS1723" s="227"/>
      <c r="AOT1723" s="227"/>
      <c r="AOU1723" s="227"/>
      <c r="AOV1723" s="227"/>
      <c r="AOW1723" s="227"/>
      <c r="AOX1723" s="227"/>
      <c r="AOY1723" s="227"/>
      <c r="AOZ1723" s="227"/>
      <c r="APA1723" s="227"/>
      <c r="APB1723" s="227"/>
      <c r="APC1723" s="227"/>
      <c r="APD1723" s="227"/>
      <c r="APE1723" s="227"/>
      <c r="APF1723" s="227"/>
      <c r="APG1723" s="227"/>
      <c r="APH1723" s="227"/>
      <c r="API1723" s="227"/>
      <c r="APJ1723" s="227"/>
      <c r="APK1723" s="227"/>
      <c r="APL1723" s="227"/>
      <c r="APM1723" s="227"/>
      <c r="APN1723" s="227"/>
      <c r="APO1723" s="227"/>
      <c r="APP1723" s="227"/>
      <c r="APQ1723" s="227"/>
      <c r="APR1723" s="227"/>
      <c r="APS1723" s="227"/>
      <c r="APT1723" s="227"/>
      <c r="APU1723" s="227"/>
      <c r="APV1723" s="227"/>
      <c r="APW1723" s="227"/>
      <c r="APX1723" s="227"/>
      <c r="APY1723" s="227"/>
      <c r="APZ1723" s="227"/>
      <c r="AQA1723" s="227"/>
      <c r="AQB1723" s="227"/>
      <c r="AQC1723" s="227"/>
      <c r="AQD1723" s="227"/>
      <c r="AQE1723" s="227"/>
      <c r="AQF1723" s="227"/>
      <c r="AQG1723" s="227"/>
      <c r="AQH1723" s="227"/>
      <c r="AQI1723" s="227"/>
      <c r="AQJ1723" s="227"/>
      <c r="AQK1723" s="227"/>
      <c r="AQL1723" s="227"/>
      <c r="AQM1723" s="227"/>
      <c r="AQN1723" s="227"/>
      <c r="AQO1723" s="227"/>
      <c r="AQP1723" s="227"/>
      <c r="AQQ1723" s="227"/>
      <c r="AQR1723" s="227"/>
      <c r="AQS1723" s="227"/>
      <c r="AQT1723" s="227"/>
      <c r="AQU1723" s="227"/>
      <c r="AQV1723" s="227"/>
      <c r="AQW1723" s="227"/>
      <c r="AQX1723" s="227"/>
      <c r="AQY1723" s="227"/>
      <c r="AQZ1723" s="227"/>
      <c r="ARA1723" s="227"/>
      <c r="ARB1723" s="227"/>
      <c r="ARC1723" s="227"/>
      <c r="ARD1723" s="227"/>
      <c r="ARE1723" s="227"/>
      <c r="ARF1723" s="227"/>
      <c r="ARG1723" s="227"/>
      <c r="ARH1723" s="227"/>
      <c r="ARI1723" s="227"/>
      <c r="ARJ1723" s="227"/>
      <c r="ARK1723" s="227"/>
      <c r="ARL1723" s="227"/>
      <c r="ARM1723" s="227"/>
      <c r="ARN1723" s="227"/>
      <c r="ARO1723" s="227"/>
      <c r="ARP1723" s="227"/>
      <c r="ARQ1723" s="227"/>
      <c r="ARR1723" s="227"/>
      <c r="ARS1723" s="227"/>
      <c r="ART1723" s="227"/>
      <c r="ARU1723" s="227"/>
      <c r="ARV1723" s="227"/>
      <c r="ARW1723" s="227"/>
      <c r="ARX1723" s="227"/>
      <c r="ARY1723" s="227"/>
      <c r="ARZ1723" s="227"/>
      <c r="ASA1723" s="227"/>
      <c r="ASB1723" s="227"/>
      <c r="ASC1723" s="227"/>
      <c r="ASD1723" s="227"/>
      <c r="ASE1723" s="227"/>
      <c r="ASF1723" s="227"/>
      <c r="ASG1723" s="227"/>
      <c r="ASH1723" s="227"/>
      <c r="ASI1723" s="227"/>
      <c r="ASJ1723" s="227"/>
      <c r="ASK1723" s="227"/>
      <c r="ASL1723" s="227"/>
      <c r="ASM1723" s="227"/>
      <c r="ASN1723" s="227"/>
      <c r="ASO1723" s="227"/>
      <c r="ASP1723" s="227"/>
      <c r="ASQ1723" s="227"/>
      <c r="ASR1723" s="227"/>
      <c r="ASS1723" s="227"/>
      <c r="AST1723" s="227"/>
      <c r="ASU1723" s="227"/>
      <c r="ASV1723" s="227"/>
      <c r="ASW1723" s="227"/>
      <c r="ASX1723" s="227"/>
      <c r="ASY1723" s="227"/>
      <c r="ASZ1723" s="227"/>
      <c r="ATA1723" s="227"/>
      <c r="ATB1723" s="227"/>
      <c r="ATC1723" s="227"/>
      <c r="ATD1723" s="227"/>
      <c r="ATE1723" s="227"/>
      <c r="ATF1723" s="227"/>
      <c r="ATG1723" s="227"/>
      <c r="ATH1723" s="227"/>
      <c r="ATI1723" s="227"/>
      <c r="ATJ1723" s="227"/>
      <c r="ATK1723" s="227"/>
      <c r="ATL1723" s="227"/>
      <c r="ATM1723" s="227"/>
      <c r="ATN1723" s="227"/>
      <c r="ATO1723" s="227"/>
      <c r="ATP1723" s="227"/>
      <c r="ATQ1723" s="227"/>
      <c r="ATR1723" s="227"/>
      <c r="ATS1723" s="227"/>
      <c r="ATT1723" s="227"/>
      <c r="ATU1723" s="227"/>
      <c r="ATV1723" s="227"/>
      <c r="ATW1723" s="227"/>
      <c r="ATX1723" s="227"/>
      <c r="ATY1723" s="227"/>
      <c r="ATZ1723" s="227"/>
      <c r="AUA1723" s="227"/>
      <c r="AUB1723" s="227"/>
      <c r="AUC1723" s="227"/>
      <c r="AUD1723" s="227"/>
      <c r="AUE1723" s="227"/>
      <c r="AUF1723" s="227"/>
      <c r="AUG1723" s="227"/>
      <c r="AUH1723" s="227"/>
      <c r="AUI1723" s="227"/>
      <c r="AUJ1723" s="227"/>
      <c r="AUK1723" s="227"/>
      <c r="AUL1723" s="227"/>
      <c r="AUM1723" s="227"/>
      <c r="AUN1723" s="227"/>
      <c r="AUO1723" s="227"/>
      <c r="AUP1723" s="227"/>
      <c r="AUQ1723" s="227"/>
      <c r="AUR1723" s="227"/>
      <c r="AUS1723" s="227"/>
      <c r="AUT1723" s="227"/>
      <c r="AUU1723" s="227"/>
      <c r="AUV1723" s="227"/>
      <c r="AUW1723" s="227"/>
      <c r="AUX1723" s="227"/>
      <c r="AUY1723" s="227"/>
      <c r="AUZ1723" s="227"/>
      <c r="AVA1723" s="227"/>
      <c r="AVB1723" s="227"/>
      <c r="AVC1723" s="227"/>
      <c r="AVD1723" s="227"/>
      <c r="AVE1723" s="227"/>
      <c r="AVF1723" s="227"/>
      <c r="AVG1723" s="227"/>
      <c r="AVH1723" s="227"/>
      <c r="AVI1723" s="227"/>
      <c r="AVJ1723" s="227"/>
      <c r="AVK1723" s="227"/>
      <c r="AVL1723" s="227"/>
      <c r="AVM1723" s="227"/>
      <c r="AVN1723" s="227"/>
      <c r="AVO1723" s="227"/>
      <c r="AVP1723" s="227"/>
      <c r="AVQ1723" s="227"/>
      <c r="AVR1723" s="227"/>
      <c r="AVS1723" s="227"/>
      <c r="AVT1723" s="227"/>
      <c r="AVU1723" s="227"/>
      <c r="AVV1723" s="227"/>
      <c r="AVW1723" s="227"/>
      <c r="AVX1723" s="227"/>
      <c r="AVY1723" s="227"/>
      <c r="AVZ1723" s="227"/>
      <c r="AWA1723" s="227"/>
      <c r="AWB1723" s="227"/>
      <c r="AWC1723" s="227"/>
      <c r="AWD1723" s="227"/>
      <c r="AWE1723" s="227"/>
      <c r="AWF1723" s="227"/>
      <c r="AWG1723" s="227"/>
      <c r="AWH1723" s="227"/>
      <c r="AWI1723" s="227"/>
      <c r="AWJ1723" s="227"/>
      <c r="AWK1723" s="227"/>
      <c r="AWL1723" s="227"/>
      <c r="AWM1723" s="227"/>
      <c r="AWN1723" s="227"/>
      <c r="AWO1723" s="227"/>
      <c r="AWP1723" s="227"/>
      <c r="AWQ1723" s="227"/>
      <c r="AWR1723" s="227"/>
      <c r="AWS1723" s="227"/>
      <c r="AWT1723" s="227"/>
      <c r="AWU1723" s="227"/>
      <c r="AWV1723" s="227"/>
      <c r="AWW1723" s="227"/>
      <c r="AWX1723" s="227"/>
      <c r="AWY1723" s="227"/>
      <c r="AWZ1723" s="227"/>
      <c r="AXA1723" s="227"/>
      <c r="AXB1723" s="227"/>
      <c r="AXC1723" s="227"/>
      <c r="AXD1723" s="227"/>
      <c r="AXE1723" s="227"/>
      <c r="AXF1723" s="227"/>
      <c r="AXG1723" s="227"/>
      <c r="AXH1723" s="227"/>
      <c r="AXI1723" s="227"/>
      <c r="AXJ1723" s="227"/>
      <c r="AXK1723" s="227"/>
      <c r="AXL1723" s="227"/>
      <c r="AXM1723" s="227"/>
      <c r="AXN1723" s="227"/>
      <c r="AXO1723" s="227"/>
      <c r="AXP1723" s="227"/>
      <c r="AXQ1723" s="227"/>
      <c r="AXR1723" s="227"/>
      <c r="AXS1723" s="227"/>
      <c r="AXT1723" s="227"/>
      <c r="AXU1723" s="227"/>
      <c r="AXV1723" s="227"/>
      <c r="AXW1723" s="227"/>
      <c r="AXX1723" s="227"/>
      <c r="AXY1723" s="227"/>
      <c r="AXZ1723" s="227"/>
      <c r="AYA1723" s="227"/>
      <c r="AYB1723" s="227"/>
      <c r="AYC1723" s="227"/>
      <c r="AYD1723" s="227"/>
      <c r="AYE1723" s="227"/>
      <c r="AYF1723" s="227"/>
      <c r="AYG1723" s="227"/>
      <c r="AYH1723" s="227"/>
      <c r="AYI1723" s="227"/>
      <c r="AYJ1723" s="227"/>
      <c r="AYK1723" s="227"/>
      <c r="AYL1723" s="227"/>
      <c r="AYM1723" s="227"/>
      <c r="AYN1723" s="227"/>
      <c r="AYO1723" s="227"/>
      <c r="AYP1723" s="227"/>
      <c r="AYQ1723" s="227"/>
      <c r="AYR1723" s="227"/>
      <c r="AYS1723" s="227"/>
      <c r="AYT1723" s="227"/>
      <c r="AYU1723" s="227"/>
      <c r="AYV1723" s="227"/>
      <c r="AYW1723" s="227"/>
      <c r="AYX1723" s="227"/>
      <c r="AYY1723" s="227"/>
      <c r="AYZ1723" s="227"/>
      <c r="AZA1723" s="227"/>
      <c r="AZB1723" s="227"/>
      <c r="AZC1723" s="227"/>
      <c r="AZD1723" s="227"/>
      <c r="AZE1723" s="227"/>
      <c r="AZF1723" s="227"/>
      <c r="AZG1723" s="227"/>
      <c r="AZH1723" s="227"/>
      <c r="AZI1723" s="227"/>
      <c r="AZJ1723" s="227"/>
      <c r="AZK1723" s="227"/>
      <c r="AZL1723" s="227"/>
      <c r="AZM1723" s="227"/>
      <c r="AZN1723" s="227"/>
      <c r="AZO1723" s="227"/>
      <c r="AZP1723" s="227"/>
      <c r="AZQ1723" s="227"/>
      <c r="AZR1723" s="227"/>
      <c r="AZS1723" s="227"/>
      <c r="AZT1723" s="227"/>
      <c r="AZU1723" s="227"/>
      <c r="AZV1723" s="227"/>
      <c r="AZW1723" s="227"/>
      <c r="AZX1723" s="227"/>
      <c r="AZY1723" s="227"/>
      <c r="AZZ1723" s="227"/>
      <c r="BAA1723" s="227"/>
      <c r="BAB1723" s="227"/>
      <c r="BAC1723" s="227"/>
      <c r="BAD1723" s="227"/>
      <c r="BAE1723" s="227"/>
      <c r="BAF1723" s="227"/>
      <c r="BAG1723" s="227"/>
      <c r="BAH1723" s="227"/>
      <c r="BAI1723" s="227"/>
      <c r="BAJ1723" s="227"/>
      <c r="BAK1723" s="227"/>
      <c r="BAL1723" s="227"/>
      <c r="BAM1723" s="227"/>
      <c r="BAN1723" s="227"/>
      <c r="BAO1723" s="227"/>
      <c r="BAP1723" s="227"/>
      <c r="BAQ1723" s="227"/>
      <c r="BAR1723" s="227"/>
      <c r="BAS1723" s="227"/>
      <c r="BAT1723" s="227"/>
      <c r="BAU1723" s="227"/>
      <c r="BAV1723" s="227"/>
      <c r="BAW1723" s="227"/>
      <c r="BAX1723" s="227"/>
      <c r="BAY1723" s="227"/>
      <c r="BAZ1723" s="227"/>
      <c r="BBA1723" s="227"/>
      <c r="BBB1723" s="227"/>
      <c r="BBC1723" s="227"/>
      <c r="BBD1723" s="227"/>
      <c r="BBE1723" s="227"/>
      <c r="BBF1723" s="227"/>
      <c r="BBG1723" s="227"/>
      <c r="BBH1723" s="227"/>
      <c r="BBI1723" s="227"/>
      <c r="BBJ1723" s="227"/>
      <c r="BBK1723" s="227"/>
      <c r="BBL1723" s="227"/>
      <c r="BBM1723" s="227"/>
      <c r="BBN1723" s="227"/>
      <c r="BBO1723" s="227"/>
      <c r="BBP1723" s="227"/>
      <c r="BBQ1723" s="227"/>
      <c r="BBR1723" s="227"/>
      <c r="BBS1723" s="227"/>
      <c r="BBT1723" s="227"/>
      <c r="BBU1723" s="227"/>
      <c r="BBV1723" s="227"/>
      <c r="BBW1723" s="227"/>
      <c r="BBX1723" s="227"/>
      <c r="BBY1723" s="227"/>
      <c r="BBZ1723" s="227"/>
      <c r="BCA1723" s="227"/>
      <c r="BCB1723" s="227"/>
      <c r="BCC1723" s="227"/>
      <c r="BCD1723" s="227"/>
      <c r="BCE1723" s="227"/>
      <c r="BCF1723" s="227"/>
      <c r="BCG1723" s="227"/>
      <c r="BCH1723" s="227"/>
      <c r="BCI1723" s="227"/>
      <c r="BCJ1723" s="227"/>
      <c r="BCK1723" s="227"/>
      <c r="BCL1723" s="227"/>
      <c r="BCM1723" s="227"/>
      <c r="BCN1723" s="227"/>
      <c r="BCO1723" s="227"/>
      <c r="BCP1723" s="227"/>
      <c r="BCQ1723" s="227"/>
      <c r="BCR1723" s="227"/>
      <c r="BCS1723" s="227"/>
      <c r="BCT1723" s="227"/>
      <c r="BCU1723" s="227"/>
      <c r="BCV1723" s="227"/>
      <c r="BCW1723" s="227"/>
      <c r="BCX1723" s="227"/>
      <c r="BCY1723" s="227"/>
      <c r="BCZ1723" s="227"/>
      <c r="BDA1723" s="227"/>
      <c r="BDB1723" s="227"/>
      <c r="BDC1723" s="227"/>
      <c r="BDD1723" s="227"/>
      <c r="BDE1723" s="227"/>
      <c r="BDF1723" s="227"/>
      <c r="BDG1723" s="227"/>
      <c r="BDH1723" s="227"/>
      <c r="BDI1723" s="227"/>
      <c r="BDJ1723" s="227"/>
      <c r="BDK1723" s="227"/>
      <c r="BDL1723" s="227"/>
      <c r="BDM1723" s="227"/>
      <c r="BDN1723" s="227"/>
      <c r="BDO1723" s="227"/>
      <c r="BDP1723" s="227"/>
      <c r="BDQ1723" s="227"/>
      <c r="BDR1723" s="227"/>
      <c r="BDS1723" s="227"/>
      <c r="BDT1723" s="227"/>
      <c r="BDU1723" s="227"/>
      <c r="BDV1723" s="227"/>
      <c r="BDW1723" s="227"/>
      <c r="BDX1723" s="227"/>
      <c r="BDY1723" s="227"/>
      <c r="BDZ1723" s="227"/>
      <c r="BEA1723" s="227"/>
      <c r="BEB1723" s="227"/>
      <c r="BEC1723" s="227"/>
      <c r="BED1723" s="227"/>
      <c r="BEE1723" s="227"/>
      <c r="BEF1723" s="227"/>
      <c r="BEG1723" s="227"/>
      <c r="BEH1723" s="227"/>
      <c r="BEI1723" s="227"/>
      <c r="BEJ1723" s="227"/>
      <c r="BEK1723" s="227"/>
      <c r="BEL1723" s="227"/>
      <c r="BEM1723" s="227"/>
      <c r="BEN1723" s="227"/>
      <c r="BEO1723" s="227"/>
      <c r="BEP1723" s="227"/>
      <c r="BEQ1723" s="227"/>
      <c r="BER1723" s="227"/>
      <c r="BES1723" s="227"/>
      <c r="BET1723" s="227"/>
      <c r="BEU1723" s="227"/>
      <c r="BEV1723" s="227"/>
      <c r="BEW1723" s="227"/>
      <c r="BEX1723" s="227"/>
      <c r="BEY1723" s="227"/>
      <c r="BEZ1723" s="227"/>
      <c r="BFA1723" s="227"/>
      <c r="BFB1723" s="227"/>
      <c r="BFC1723" s="227"/>
      <c r="BFD1723" s="227"/>
      <c r="BFE1723" s="227"/>
      <c r="BFF1723" s="227"/>
      <c r="BFG1723" s="227"/>
      <c r="BFH1723" s="227"/>
      <c r="BFI1723" s="227"/>
      <c r="BFJ1723" s="227"/>
      <c r="BFK1723" s="227"/>
      <c r="BFL1723" s="227"/>
      <c r="BFM1723" s="227"/>
      <c r="BFN1723" s="227"/>
      <c r="BFO1723" s="227"/>
      <c r="BFP1723" s="227"/>
      <c r="BFQ1723" s="227"/>
      <c r="BFR1723" s="227"/>
      <c r="BFS1723" s="227"/>
      <c r="BFT1723" s="227"/>
      <c r="BFU1723" s="227"/>
      <c r="BFV1723" s="227"/>
      <c r="BFW1723" s="227"/>
      <c r="BFX1723" s="227"/>
      <c r="BFY1723" s="227"/>
      <c r="BFZ1723" s="227"/>
      <c r="BGA1723" s="227"/>
      <c r="BGB1723" s="227"/>
      <c r="BGC1723" s="227"/>
      <c r="BGD1723" s="227"/>
      <c r="BGE1723" s="227"/>
      <c r="BGF1723" s="227"/>
      <c r="BGG1723" s="227"/>
      <c r="BGH1723" s="227"/>
      <c r="BGI1723" s="227"/>
      <c r="BGJ1723" s="227"/>
      <c r="BGK1723" s="227"/>
      <c r="BGL1723" s="227"/>
      <c r="BGM1723" s="227"/>
      <c r="BGN1723" s="227"/>
      <c r="BGO1723" s="227"/>
      <c r="BGP1723" s="227"/>
      <c r="BGQ1723" s="227"/>
      <c r="BGR1723" s="227"/>
      <c r="BGS1723" s="227"/>
      <c r="BGT1723" s="227"/>
      <c r="BGU1723" s="227"/>
      <c r="BGV1723" s="227"/>
      <c r="BGW1723" s="227"/>
      <c r="BGX1723" s="227"/>
      <c r="BGY1723" s="227"/>
      <c r="BGZ1723" s="227"/>
      <c r="BHA1723" s="227"/>
      <c r="BHB1723" s="227"/>
      <c r="BHC1723" s="227"/>
      <c r="BHD1723" s="227"/>
      <c r="BHE1723" s="227"/>
      <c r="BHF1723" s="227"/>
      <c r="BHG1723" s="227"/>
      <c r="BHH1723" s="227"/>
      <c r="BHI1723" s="227"/>
      <c r="BHJ1723" s="227"/>
      <c r="BHK1723" s="227"/>
      <c r="BHL1723" s="227"/>
      <c r="BHM1723" s="227"/>
      <c r="BHN1723" s="227"/>
      <c r="BHO1723" s="227"/>
      <c r="BHP1723" s="227"/>
      <c r="BHQ1723" s="227"/>
      <c r="BHR1723" s="227"/>
      <c r="BHS1723" s="227"/>
      <c r="BHT1723" s="227"/>
      <c r="BHU1723" s="227"/>
      <c r="BHV1723" s="227"/>
      <c r="BHW1723" s="227"/>
      <c r="BHX1723" s="227"/>
      <c r="BHY1723" s="227"/>
      <c r="BHZ1723" s="227"/>
      <c r="BIA1723" s="227"/>
      <c r="BIB1723" s="227"/>
      <c r="BIC1723" s="227"/>
      <c r="BID1723" s="227"/>
      <c r="BIE1723" s="227"/>
      <c r="BIF1723" s="227"/>
      <c r="BIG1723" s="227"/>
      <c r="BIH1723" s="227"/>
      <c r="BII1723" s="227"/>
      <c r="BIJ1723" s="227"/>
      <c r="BIK1723" s="227"/>
      <c r="BIL1723" s="227"/>
      <c r="BIM1723" s="227"/>
      <c r="BIN1723" s="227"/>
      <c r="BIO1723" s="227"/>
      <c r="BIP1723" s="227"/>
      <c r="BIQ1723" s="227"/>
      <c r="BIR1723" s="227"/>
      <c r="BIS1723" s="227"/>
      <c r="BIT1723" s="227"/>
      <c r="BIU1723" s="227"/>
      <c r="BIV1723" s="227"/>
      <c r="BIW1723" s="227"/>
      <c r="BIX1723" s="227"/>
      <c r="BIY1723" s="227"/>
      <c r="BIZ1723" s="227"/>
      <c r="BJA1723" s="227"/>
      <c r="BJB1723" s="227"/>
      <c r="BJC1723" s="227"/>
      <c r="BJD1723" s="227"/>
      <c r="BJE1723" s="227"/>
      <c r="BJF1723" s="227"/>
      <c r="BJG1723" s="227"/>
      <c r="BJH1723" s="227"/>
      <c r="BJI1723" s="227"/>
      <c r="BJJ1723" s="227"/>
      <c r="BJK1723" s="227"/>
      <c r="BJL1723" s="227"/>
      <c r="BJM1723" s="227"/>
      <c r="BJN1723" s="227"/>
      <c r="BJO1723" s="227"/>
      <c r="BJP1723" s="227"/>
      <c r="BJQ1723" s="227"/>
      <c r="BJR1723" s="227"/>
      <c r="BJS1723" s="227"/>
      <c r="BJT1723" s="227"/>
      <c r="BJU1723" s="227"/>
      <c r="BJV1723" s="227"/>
      <c r="BJW1723" s="227"/>
      <c r="BJX1723" s="227"/>
      <c r="BJY1723" s="227"/>
      <c r="BJZ1723" s="227"/>
      <c r="BKA1723" s="227"/>
      <c r="BKB1723" s="227"/>
      <c r="BKC1723" s="227"/>
      <c r="BKD1723" s="227"/>
      <c r="BKE1723" s="227"/>
      <c r="BKF1723" s="227"/>
      <c r="BKG1723" s="227"/>
      <c r="BKH1723" s="227"/>
      <c r="BKI1723" s="227"/>
      <c r="BKJ1723" s="227"/>
      <c r="BKK1723" s="227"/>
      <c r="BKL1723" s="227"/>
      <c r="BKM1723" s="227"/>
      <c r="BKN1723" s="227"/>
      <c r="BKO1723" s="227"/>
      <c r="BKP1723" s="227"/>
      <c r="BKQ1723" s="227"/>
      <c r="BKR1723" s="227"/>
      <c r="BKS1723" s="227"/>
      <c r="BKT1723" s="227"/>
      <c r="BKU1723" s="227"/>
      <c r="BKV1723" s="227"/>
      <c r="BKW1723" s="227"/>
      <c r="BKX1723" s="227"/>
      <c r="BKY1723" s="227"/>
      <c r="BKZ1723" s="227"/>
      <c r="BLA1723" s="227"/>
      <c r="BLB1723" s="227"/>
      <c r="BLC1723" s="227"/>
      <c r="BLD1723" s="227"/>
      <c r="BLE1723" s="227"/>
      <c r="BLF1723" s="227"/>
      <c r="BLG1723" s="227"/>
      <c r="BLH1723" s="227"/>
      <c r="BLI1723" s="227"/>
      <c r="BLJ1723" s="227"/>
      <c r="BLK1723" s="227"/>
      <c r="BLL1723" s="227"/>
      <c r="BLM1723" s="227"/>
      <c r="BLN1723" s="227"/>
      <c r="BLO1723" s="227"/>
      <c r="BLP1723" s="227"/>
      <c r="BLQ1723" s="227"/>
      <c r="BLR1723" s="227"/>
      <c r="BLS1723" s="227"/>
      <c r="BLT1723" s="227"/>
      <c r="BLU1723" s="227"/>
      <c r="BLV1723" s="227"/>
      <c r="BLW1723" s="227"/>
      <c r="BLX1723" s="227"/>
      <c r="BLY1723" s="227"/>
      <c r="BLZ1723" s="227"/>
      <c r="BMA1723" s="227"/>
      <c r="BMB1723" s="227"/>
      <c r="BMC1723" s="227"/>
      <c r="BMD1723" s="227"/>
      <c r="BME1723" s="227"/>
      <c r="BMF1723" s="227"/>
      <c r="BMG1723" s="227"/>
      <c r="BMH1723" s="227"/>
      <c r="BMI1723" s="227"/>
      <c r="BMJ1723" s="227"/>
      <c r="BMK1723" s="227"/>
      <c r="BML1723" s="227"/>
      <c r="BMM1723" s="227"/>
      <c r="BMN1723" s="227"/>
      <c r="BMO1723" s="227"/>
      <c r="BMP1723" s="227"/>
      <c r="BMQ1723" s="227"/>
      <c r="BMR1723" s="227"/>
      <c r="BMS1723" s="227"/>
      <c r="BMT1723" s="227"/>
      <c r="BMU1723" s="227"/>
      <c r="BMV1723" s="227"/>
      <c r="BMW1723" s="227"/>
      <c r="BMX1723" s="227"/>
      <c r="BMY1723" s="227"/>
      <c r="BMZ1723" s="227"/>
      <c r="BNA1723" s="227"/>
      <c r="BNB1723" s="227"/>
      <c r="BNC1723" s="227"/>
      <c r="BND1723" s="227"/>
      <c r="BNE1723" s="227"/>
      <c r="BNF1723" s="227"/>
      <c r="BNG1723" s="227"/>
      <c r="BNH1723" s="227"/>
      <c r="BNI1723" s="227"/>
      <c r="BNJ1723" s="227"/>
      <c r="BNK1723" s="227"/>
      <c r="BNL1723" s="227"/>
      <c r="BNM1723" s="227"/>
      <c r="BNN1723" s="227"/>
      <c r="BNO1723" s="227"/>
      <c r="BNP1723" s="227"/>
      <c r="BNQ1723" s="227"/>
      <c r="BNR1723" s="227"/>
      <c r="BNS1723" s="227"/>
      <c r="BNT1723" s="227"/>
      <c r="BNU1723" s="227"/>
      <c r="BNV1723" s="227"/>
      <c r="BNW1723" s="227"/>
      <c r="BNX1723" s="227"/>
      <c r="BNY1723" s="227"/>
      <c r="BNZ1723" s="227"/>
      <c r="BOA1723" s="227"/>
      <c r="BOB1723" s="227"/>
      <c r="BOC1723" s="227"/>
      <c r="BOD1723" s="227"/>
      <c r="BOE1723" s="227"/>
      <c r="BOF1723" s="227"/>
      <c r="BOG1723" s="227"/>
      <c r="BOH1723" s="227"/>
      <c r="BOI1723" s="227"/>
      <c r="BOJ1723" s="227"/>
      <c r="BOK1723" s="227"/>
      <c r="BOL1723" s="227"/>
      <c r="BOM1723" s="227"/>
      <c r="BON1723" s="227"/>
      <c r="BOO1723" s="227"/>
      <c r="BOP1723" s="227"/>
      <c r="BOQ1723" s="227"/>
      <c r="BOR1723" s="227"/>
      <c r="BOS1723" s="227"/>
      <c r="BOT1723" s="227"/>
      <c r="BOU1723" s="227"/>
      <c r="BOV1723" s="227"/>
      <c r="BOW1723" s="227"/>
      <c r="BOX1723" s="227"/>
      <c r="BOY1723" s="227"/>
      <c r="BOZ1723" s="227"/>
      <c r="BPA1723" s="227"/>
      <c r="BPB1723" s="227"/>
      <c r="BPC1723" s="227"/>
      <c r="BPD1723" s="227"/>
      <c r="BPE1723" s="227"/>
      <c r="BPF1723" s="227"/>
      <c r="BPG1723" s="227"/>
      <c r="BPH1723" s="227"/>
      <c r="BPI1723" s="227"/>
      <c r="BPJ1723" s="227"/>
      <c r="BPK1723" s="227"/>
      <c r="BPL1723" s="227"/>
      <c r="BPM1723" s="227"/>
      <c r="BPN1723" s="227"/>
      <c r="BPO1723" s="227"/>
      <c r="BPP1723" s="227"/>
      <c r="BPQ1723" s="227"/>
      <c r="BPR1723" s="227"/>
      <c r="BPS1723" s="227"/>
      <c r="BPT1723" s="227"/>
      <c r="BPU1723" s="227"/>
      <c r="BPV1723" s="227"/>
      <c r="BPW1723" s="227"/>
      <c r="BPX1723" s="227"/>
      <c r="BPY1723" s="227"/>
      <c r="BPZ1723" s="227"/>
      <c r="BQA1723" s="227"/>
      <c r="BQB1723" s="227"/>
      <c r="BQC1723" s="227"/>
      <c r="BQD1723" s="227"/>
      <c r="BQE1723" s="227"/>
      <c r="BQF1723" s="227"/>
      <c r="BQG1723" s="227"/>
      <c r="BQH1723" s="227"/>
      <c r="BQI1723" s="227"/>
      <c r="BQJ1723" s="227"/>
      <c r="BQK1723" s="227"/>
      <c r="BQL1723" s="227"/>
      <c r="BQM1723" s="227"/>
      <c r="BQN1723" s="227"/>
      <c r="BQO1723" s="227"/>
      <c r="BQP1723" s="227"/>
      <c r="BQQ1723" s="227"/>
      <c r="BQR1723" s="227"/>
      <c r="BQS1723" s="227"/>
      <c r="BQT1723" s="227"/>
      <c r="BQU1723" s="227"/>
      <c r="BQV1723" s="227"/>
      <c r="BQW1723" s="227"/>
      <c r="BQX1723" s="227"/>
      <c r="BQY1723" s="227"/>
      <c r="BQZ1723" s="227"/>
      <c r="BRA1723" s="227"/>
      <c r="BRB1723" s="227"/>
      <c r="BRC1723" s="227"/>
      <c r="BRD1723" s="227"/>
      <c r="BRE1723" s="227"/>
      <c r="BRF1723" s="227"/>
      <c r="BRG1723" s="227"/>
      <c r="BRH1723" s="227"/>
      <c r="BRI1723" s="227"/>
      <c r="BRJ1723" s="227"/>
      <c r="BRK1723" s="227"/>
      <c r="BRL1723" s="227"/>
      <c r="BRM1723" s="227"/>
      <c r="BRN1723" s="227"/>
      <c r="BRO1723" s="227"/>
      <c r="BRP1723" s="227"/>
      <c r="BRQ1723" s="227"/>
      <c r="BRR1723" s="227"/>
      <c r="BRS1723" s="227"/>
      <c r="BRT1723" s="227"/>
      <c r="BRU1723" s="227"/>
      <c r="BRV1723" s="227"/>
      <c r="BRW1723" s="227"/>
      <c r="BRX1723" s="227"/>
      <c r="BRY1723" s="227"/>
      <c r="BRZ1723" s="227"/>
      <c r="BSA1723" s="227"/>
      <c r="BSB1723" s="227"/>
      <c r="BSC1723" s="227"/>
      <c r="BSD1723" s="227"/>
      <c r="BSE1723" s="227"/>
      <c r="BSF1723" s="227"/>
      <c r="BSG1723" s="227"/>
      <c r="BSH1723" s="227"/>
      <c r="BSI1723" s="227"/>
      <c r="BSJ1723" s="227"/>
      <c r="BSK1723" s="227"/>
      <c r="BSL1723" s="227"/>
      <c r="BSM1723" s="227"/>
      <c r="BSN1723" s="227"/>
      <c r="BSO1723" s="227"/>
      <c r="BSP1723" s="227"/>
      <c r="BSQ1723" s="227"/>
      <c r="BSR1723" s="227"/>
      <c r="BSS1723" s="227"/>
      <c r="BST1723" s="227"/>
      <c r="BSU1723" s="227"/>
      <c r="BSV1723" s="227"/>
      <c r="BSW1723" s="227"/>
      <c r="BSX1723" s="227"/>
      <c r="BSY1723" s="227"/>
      <c r="BSZ1723" s="227"/>
      <c r="BTA1723" s="227"/>
      <c r="BTB1723" s="227"/>
      <c r="BTC1723" s="227"/>
      <c r="BTD1723" s="227"/>
      <c r="BTE1723" s="227"/>
      <c r="BTF1723" s="227"/>
      <c r="BTG1723" s="227"/>
      <c r="BTH1723" s="227"/>
      <c r="BTI1723" s="227"/>
      <c r="BTJ1723" s="227"/>
      <c r="BTK1723" s="227"/>
      <c r="BTL1723" s="227"/>
      <c r="BTM1723" s="227"/>
      <c r="BTN1723" s="227"/>
      <c r="BTO1723" s="227"/>
      <c r="BTP1723" s="227"/>
      <c r="BTQ1723" s="227"/>
      <c r="BTR1723" s="227"/>
      <c r="BTS1723" s="227"/>
      <c r="BTT1723" s="227"/>
      <c r="BTU1723" s="227"/>
      <c r="BTV1723" s="227"/>
      <c r="BTW1723" s="227"/>
      <c r="BTX1723" s="227"/>
      <c r="BTY1723" s="227"/>
      <c r="BTZ1723" s="227"/>
      <c r="BUA1723" s="227"/>
      <c r="BUB1723" s="227"/>
      <c r="BUC1723" s="227"/>
      <c r="BUD1723" s="227"/>
      <c r="BUE1723" s="227"/>
      <c r="BUF1723" s="227"/>
      <c r="BUG1723" s="227"/>
      <c r="BUH1723" s="227"/>
      <c r="BUI1723" s="227"/>
      <c r="BUJ1723" s="227"/>
      <c r="BUK1723" s="227"/>
      <c r="BUL1723" s="227"/>
      <c r="BUM1723" s="227"/>
      <c r="BUN1723" s="227"/>
      <c r="BUO1723" s="227"/>
      <c r="BUP1723" s="227"/>
      <c r="BUQ1723" s="227"/>
      <c r="BUR1723" s="227"/>
      <c r="BUS1723" s="227"/>
      <c r="BUT1723" s="227"/>
      <c r="BUU1723" s="227"/>
      <c r="BUV1723" s="227"/>
      <c r="BUW1723" s="227"/>
      <c r="BUX1723" s="227"/>
      <c r="BUY1723" s="227"/>
      <c r="BUZ1723" s="227"/>
      <c r="BVA1723" s="227"/>
      <c r="BVB1723" s="227"/>
      <c r="BVC1723" s="227"/>
      <c r="BVD1723" s="227"/>
      <c r="BVE1723" s="227"/>
      <c r="BVF1723" s="227"/>
      <c r="BVG1723" s="227"/>
      <c r="BVH1723" s="227"/>
      <c r="BVI1723" s="227"/>
      <c r="BVJ1723" s="227"/>
      <c r="BVK1723" s="227"/>
      <c r="BVL1723" s="227"/>
      <c r="BVM1723" s="227"/>
      <c r="BVN1723" s="227"/>
      <c r="BVO1723" s="227"/>
      <c r="BVP1723" s="227"/>
      <c r="BVQ1723" s="227"/>
      <c r="BVR1723" s="227"/>
      <c r="BVS1723" s="227"/>
      <c r="BVT1723" s="227"/>
      <c r="BVU1723" s="227"/>
      <c r="BVV1723" s="227"/>
      <c r="BVW1723" s="227"/>
      <c r="BVX1723" s="227"/>
      <c r="BVY1723" s="227"/>
      <c r="BVZ1723" s="227"/>
      <c r="BWA1723" s="227"/>
      <c r="BWB1723" s="227"/>
      <c r="BWC1723" s="227"/>
      <c r="BWD1723" s="227"/>
      <c r="BWE1723" s="227"/>
      <c r="BWF1723" s="227"/>
      <c r="BWG1723" s="227"/>
      <c r="BWH1723" s="227"/>
      <c r="BWI1723" s="227"/>
      <c r="BWJ1723" s="227"/>
      <c r="BWK1723" s="227"/>
      <c r="BWL1723" s="227"/>
      <c r="BWM1723" s="227"/>
      <c r="BWN1723" s="227"/>
      <c r="BWO1723" s="227"/>
      <c r="BWP1723" s="227"/>
      <c r="BWQ1723" s="227"/>
      <c r="BWR1723" s="227"/>
      <c r="BWS1723" s="227"/>
      <c r="BWT1723" s="227"/>
      <c r="BWU1723" s="227"/>
      <c r="BWV1723" s="227"/>
      <c r="BWW1723" s="227"/>
      <c r="BWX1723" s="227"/>
      <c r="BWY1723" s="227"/>
      <c r="BWZ1723" s="227"/>
      <c r="BXA1723" s="227"/>
      <c r="BXB1723" s="227"/>
      <c r="BXC1723" s="227"/>
      <c r="BXD1723" s="227"/>
      <c r="BXE1723" s="227"/>
      <c r="BXF1723" s="227"/>
      <c r="BXG1723" s="227"/>
      <c r="BXH1723" s="227"/>
      <c r="BXI1723" s="227"/>
      <c r="BXJ1723" s="227"/>
      <c r="BXK1723" s="227"/>
      <c r="BXL1723" s="227"/>
      <c r="BXM1723" s="227"/>
      <c r="BXN1723" s="227"/>
      <c r="BXO1723" s="227"/>
      <c r="BXP1723" s="227"/>
      <c r="BXQ1723" s="227"/>
      <c r="BXR1723" s="227"/>
      <c r="BXS1723" s="227"/>
      <c r="BXT1723" s="227"/>
      <c r="BXU1723" s="227"/>
      <c r="BXV1723" s="227"/>
      <c r="BXW1723" s="227"/>
      <c r="BXX1723" s="227"/>
      <c r="BXY1723" s="227"/>
      <c r="BXZ1723" s="227"/>
      <c r="BYA1723" s="227"/>
      <c r="BYB1723" s="227"/>
      <c r="BYC1723" s="227"/>
      <c r="BYD1723" s="227"/>
      <c r="BYE1723" s="227"/>
      <c r="BYF1723" s="227"/>
      <c r="BYG1723" s="227"/>
      <c r="BYH1723" s="227"/>
      <c r="BYI1723" s="227"/>
      <c r="BYJ1723" s="227"/>
      <c r="BYK1723" s="227"/>
      <c r="BYL1723" s="227"/>
      <c r="BYM1723" s="227"/>
      <c r="BYN1723" s="227"/>
      <c r="BYO1723" s="227"/>
      <c r="BYP1723" s="227"/>
      <c r="BYQ1723" s="227"/>
      <c r="BYR1723" s="227"/>
      <c r="BYS1723" s="227"/>
      <c r="BYT1723" s="227"/>
      <c r="BYU1723" s="227"/>
      <c r="BYV1723" s="227"/>
      <c r="BYW1723" s="227"/>
      <c r="BYX1723" s="227"/>
      <c r="BYY1723" s="227"/>
      <c r="BYZ1723" s="227"/>
      <c r="BZA1723" s="227"/>
      <c r="BZB1723" s="227"/>
      <c r="BZC1723" s="227"/>
      <c r="BZD1723" s="227"/>
      <c r="BZE1723" s="227"/>
      <c r="BZF1723" s="227"/>
      <c r="BZG1723" s="227"/>
      <c r="BZH1723" s="227"/>
      <c r="BZI1723" s="227"/>
      <c r="BZJ1723" s="227"/>
      <c r="BZK1723" s="227"/>
      <c r="BZL1723" s="227"/>
      <c r="BZM1723" s="227"/>
      <c r="BZN1723" s="227"/>
      <c r="BZO1723" s="227"/>
      <c r="BZP1723" s="227"/>
      <c r="BZQ1723" s="227"/>
      <c r="BZR1723" s="227"/>
      <c r="BZS1723" s="227"/>
      <c r="BZT1723" s="227"/>
      <c r="BZU1723" s="227"/>
      <c r="BZV1723" s="227"/>
      <c r="BZW1723" s="227"/>
      <c r="BZX1723" s="227"/>
      <c r="BZY1723" s="227"/>
      <c r="BZZ1723" s="227"/>
      <c r="CAA1723" s="227"/>
      <c r="CAB1723" s="227"/>
      <c r="CAC1723" s="227"/>
      <c r="CAD1723" s="227"/>
      <c r="CAE1723" s="227"/>
      <c r="CAF1723" s="227"/>
      <c r="CAG1723" s="227"/>
      <c r="CAH1723" s="227"/>
      <c r="CAI1723" s="227"/>
      <c r="CAJ1723" s="227"/>
      <c r="CAK1723" s="227"/>
      <c r="CAL1723" s="227"/>
      <c r="CAM1723" s="227"/>
      <c r="CAN1723" s="227"/>
      <c r="CAO1723" s="227"/>
      <c r="CAP1723" s="227"/>
      <c r="CAQ1723" s="227"/>
      <c r="CAR1723" s="227"/>
      <c r="CAS1723" s="227"/>
      <c r="CAT1723" s="227"/>
      <c r="CAU1723" s="227"/>
      <c r="CAV1723" s="227"/>
      <c r="CAW1723" s="227"/>
      <c r="CAX1723" s="227"/>
      <c r="CAY1723" s="227"/>
      <c r="CAZ1723" s="227"/>
      <c r="CBA1723" s="227"/>
      <c r="CBB1723" s="227"/>
      <c r="CBC1723" s="227"/>
      <c r="CBD1723" s="227"/>
      <c r="CBE1723" s="227"/>
      <c r="CBF1723" s="227"/>
      <c r="CBG1723" s="227"/>
      <c r="CBH1723" s="227"/>
      <c r="CBI1723" s="227"/>
      <c r="CBJ1723" s="227"/>
      <c r="CBK1723" s="227"/>
      <c r="CBL1723" s="227"/>
      <c r="CBM1723" s="227"/>
      <c r="CBN1723" s="227"/>
      <c r="CBO1723" s="227"/>
      <c r="CBP1723" s="227"/>
      <c r="CBQ1723" s="227"/>
      <c r="CBR1723" s="227"/>
      <c r="CBS1723" s="227"/>
      <c r="CBT1723" s="227"/>
      <c r="CBU1723" s="227"/>
      <c r="CBV1723" s="227"/>
      <c r="CBW1723" s="227"/>
      <c r="CBX1723" s="227"/>
      <c r="CBY1723" s="227"/>
      <c r="CBZ1723" s="227"/>
      <c r="CCA1723" s="227"/>
      <c r="CCB1723" s="227"/>
      <c r="CCC1723" s="227"/>
      <c r="CCD1723" s="227"/>
      <c r="CCE1723" s="227"/>
      <c r="CCF1723" s="227"/>
      <c r="CCG1723" s="227"/>
      <c r="CCH1723" s="227"/>
      <c r="CCI1723" s="227"/>
      <c r="CCJ1723" s="227"/>
      <c r="CCK1723" s="227"/>
      <c r="CCL1723" s="227"/>
      <c r="CCM1723" s="227"/>
      <c r="CCN1723" s="227"/>
      <c r="CCO1723" s="227"/>
      <c r="CCP1723" s="227"/>
      <c r="CCQ1723" s="227"/>
      <c r="CCR1723" s="227"/>
      <c r="CCS1723" s="227"/>
      <c r="CCT1723" s="227"/>
      <c r="CCU1723" s="227"/>
      <c r="CCV1723" s="227"/>
      <c r="CCW1723" s="227"/>
      <c r="CCX1723" s="227"/>
      <c r="CCY1723" s="227"/>
      <c r="CCZ1723" s="227"/>
      <c r="CDA1723" s="227"/>
      <c r="CDB1723" s="227"/>
      <c r="CDC1723" s="227"/>
      <c r="CDD1723" s="227"/>
      <c r="CDE1723" s="227"/>
      <c r="CDF1723" s="227"/>
      <c r="CDG1723" s="227"/>
      <c r="CDH1723" s="227"/>
      <c r="CDI1723" s="227"/>
      <c r="CDJ1723" s="227"/>
      <c r="CDK1723" s="227"/>
      <c r="CDL1723" s="227"/>
      <c r="CDM1723" s="227"/>
      <c r="CDN1723" s="227"/>
      <c r="CDO1723" s="227"/>
      <c r="CDP1723" s="227"/>
      <c r="CDQ1723" s="227"/>
      <c r="CDR1723" s="227"/>
      <c r="CDS1723" s="227"/>
      <c r="CDT1723" s="227"/>
      <c r="CDU1723" s="227"/>
      <c r="CDV1723" s="227"/>
      <c r="CDW1723" s="227"/>
      <c r="CDX1723" s="227"/>
      <c r="CDY1723" s="227"/>
      <c r="CDZ1723" s="227"/>
      <c r="CEA1723" s="227"/>
      <c r="CEB1723" s="227"/>
      <c r="CEC1723" s="227"/>
      <c r="CED1723" s="227"/>
      <c r="CEE1723" s="227"/>
      <c r="CEF1723" s="227"/>
      <c r="CEG1723" s="227"/>
      <c r="CEH1723" s="227"/>
      <c r="CEI1723" s="227"/>
      <c r="CEJ1723" s="227"/>
      <c r="CEK1723" s="227"/>
      <c r="CEL1723" s="227"/>
      <c r="CEM1723" s="227"/>
      <c r="CEN1723" s="227"/>
      <c r="CEO1723" s="227"/>
      <c r="CEP1723" s="227"/>
      <c r="CEQ1723" s="227"/>
      <c r="CER1723" s="227"/>
      <c r="CES1723" s="227"/>
      <c r="CET1723" s="227"/>
      <c r="CEU1723" s="227"/>
      <c r="CEV1723" s="227"/>
      <c r="CEW1723" s="227"/>
      <c r="CEX1723" s="227"/>
      <c r="CEY1723" s="227"/>
      <c r="CEZ1723" s="227"/>
      <c r="CFA1723" s="227"/>
      <c r="CFB1723" s="227"/>
      <c r="CFC1723" s="227"/>
      <c r="CFD1723" s="227"/>
      <c r="CFE1723" s="227"/>
      <c r="CFF1723" s="227"/>
      <c r="CFG1723" s="227"/>
      <c r="CFH1723" s="227"/>
      <c r="CFI1723" s="227"/>
      <c r="CFJ1723" s="227"/>
      <c r="CFK1723" s="227"/>
      <c r="CFL1723" s="227"/>
      <c r="CFM1723" s="227"/>
      <c r="CFN1723" s="227"/>
      <c r="CFO1723" s="227"/>
      <c r="CFP1723" s="227"/>
      <c r="CFQ1723" s="227"/>
      <c r="CFR1723" s="227"/>
      <c r="CFS1723" s="227"/>
      <c r="CFT1723" s="227"/>
      <c r="CFU1723" s="227"/>
      <c r="CFV1723" s="227"/>
      <c r="CFW1723" s="227"/>
      <c r="CFX1723" s="227"/>
      <c r="CFY1723" s="227"/>
      <c r="CFZ1723" s="227"/>
      <c r="CGA1723" s="227"/>
      <c r="CGB1723" s="227"/>
      <c r="CGC1723" s="227"/>
      <c r="CGD1723" s="227"/>
      <c r="CGE1723" s="227"/>
      <c r="CGF1723" s="227"/>
      <c r="CGG1723" s="227"/>
      <c r="CGH1723" s="227"/>
      <c r="CGI1723" s="227"/>
      <c r="CGJ1723" s="227"/>
      <c r="CGK1723" s="227"/>
      <c r="CGL1723" s="227"/>
      <c r="CGM1723" s="227"/>
      <c r="CGN1723" s="227"/>
      <c r="CGO1723" s="227"/>
      <c r="CGP1723" s="227"/>
      <c r="CGQ1723" s="227"/>
      <c r="CGR1723" s="227"/>
      <c r="CGS1723" s="227"/>
      <c r="CGT1723" s="227"/>
      <c r="CGU1723" s="227"/>
      <c r="CGV1723" s="227"/>
      <c r="CGW1723" s="227"/>
      <c r="CGX1723" s="227"/>
      <c r="CGY1723" s="227"/>
      <c r="CGZ1723" s="227"/>
      <c r="CHA1723" s="227"/>
      <c r="CHB1723" s="227"/>
      <c r="CHC1723" s="227"/>
      <c r="CHD1723" s="227"/>
      <c r="CHE1723" s="227"/>
      <c r="CHF1723" s="227"/>
      <c r="CHG1723" s="227"/>
      <c r="CHH1723" s="227"/>
      <c r="CHI1723" s="227"/>
      <c r="CHJ1723" s="227"/>
      <c r="CHK1723" s="227"/>
      <c r="CHL1723" s="227"/>
      <c r="CHM1723" s="227"/>
      <c r="CHN1723" s="227"/>
      <c r="CHO1723" s="227"/>
      <c r="CHP1723" s="227"/>
      <c r="CHQ1723" s="227"/>
      <c r="CHR1723" s="227"/>
      <c r="CHS1723" s="227"/>
      <c r="CHT1723" s="227"/>
      <c r="CHU1723" s="227"/>
      <c r="CHV1723" s="227"/>
      <c r="CHW1723" s="227"/>
      <c r="CHX1723" s="227"/>
      <c r="CHY1723" s="227"/>
      <c r="CHZ1723" s="227"/>
      <c r="CIA1723" s="227"/>
      <c r="CIB1723" s="227"/>
      <c r="CIC1723" s="227"/>
      <c r="CID1723" s="227"/>
      <c r="CIE1723" s="227"/>
      <c r="CIF1723" s="227"/>
      <c r="CIG1723" s="227"/>
      <c r="CIH1723" s="227"/>
      <c r="CII1723" s="227"/>
      <c r="CIJ1723" s="227"/>
      <c r="CIK1723" s="227"/>
      <c r="CIL1723" s="227"/>
      <c r="CIM1723" s="227"/>
      <c r="CIN1723" s="227"/>
      <c r="CIO1723" s="227"/>
      <c r="CIP1723" s="227"/>
      <c r="CIQ1723" s="227"/>
      <c r="CIR1723" s="227"/>
      <c r="CIS1723" s="227"/>
      <c r="CIT1723" s="227"/>
      <c r="CIU1723" s="227"/>
      <c r="CIV1723" s="227"/>
      <c r="CIW1723" s="227"/>
      <c r="CIX1723" s="227"/>
      <c r="CIY1723" s="227"/>
      <c r="CIZ1723" s="227"/>
      <c r="CJA1723" s="227"/>
      <c r="CJB1723" s="227"/>
      <c r="CJC1723" s="227"/>
      <c r="CJD1723" s="227"/>
      <c r="CJE1723" s="227"/>
      <c r="CJF1723" s="227"/>
      <c r="CJG1723" s="227"/>
      <c r="CJH1723" s="227"/>
      <c r="CJI1723" s="227"/>
      <c r="CJJ1723" s="227"/>
      <c r="CJK1723" s="227"/>
      <c r="CJL1723" s="227"/>
      <c r="CJM1723" s="227"/>
      <c r="CJN1723" s="227"/>
      <c r="CJO1723" s="227"/>
      <c r="CJP1723" s="227"/>
      <c r="CJQ1723" s="227"/>
      <c r="CJR1723" s="227"/>
      <c r="CJS1723" s="227"/>
      <c r="CJT1723" s="227"/>
      <c r="CJU1723" s="227"/>
      <c r="CJV1723" s="227"/>
      <c r="CJW1723" s="227"/>
      <c r="CJX1723" s="227"/>
      <c r="CJY1723" s="227"/>
      <c r="CJZ1723" s="227"/>
      <c r="CKA1723" s="227"/>
      <c r="CKB1723" s="227"/>
      <c r="CKC1723" s="227"/>
      <c r="CKD1723" s="227"/>
      <c r="CKE1723" s="227"/>
      <c r="CKF1723" s="227"/>
      <c r="CKG1723" s="227"/>
      <c r="CKH1723" s="227"/>
      <c r="CKI1723" s="227"/>
      <c r="CKJ1723" s="227"/>
      <c r="CKK1723" s="227"/>
      <c r="CKL1723" s="227"/>
      <c r="CKM1723" s="227"/>
      <c r="CKN1723" s="227"/>
      <c r="CKO1723" s="227"/>
      <c r="CKP1723" s="227"/>
      <c r="CKQ1723" s="227"/>
      <c r="CKR1723" s="227"/>
      <c r="CKS1723" s="227"/>
      <c r="CKT1723" s="227"/>
      <c r="CKU1723" s="227"/>
      <c r="CKV1723" s="227"/>
      <c r="CKW1723" s="227"/>
      <c r="CKX1723" s="227"/>
      <c r="CKY1723" s="227"/>
      <c r="CKZ1723" s="227"/>
      <c r="CLA1723" s="227"/>
      <c r="CLB1723" s="227"/>
      <c r="CLC1723" s="227"/>
      <c r="CLD1723" s="227"/>
      <c r="CLE1723" s="227"/>
      <c r="CLF1723" s="227"/>
      <c r="CLG1723" s="227"/>
      <c r="CLH1723" s="227"/>
      <c r="CLI1723" s="227"/>
      <c r="CLJ1723" s="227"/>
      <c r="CLK1723" s="227"/>
      <c r="CLL1723" s="227"/>
      <c r="CLM1723" s="227"/>
      <c r="CLN1723" s="227"/>
      <c r="CLO1723" s="227"/>
      <c r="CLP1723" s="227"/>
      <c r="CLQ1723" s="227"/>
      <c r="CLR1723" s="227"/>
      <c r="CLS1723" s="227"/>
      <c r="CLT1723" s="227"/>
      <c r="CLU1723" s="227"/>
      <c r="CLV1723" s="227"/>
      <c r="CLW1723" s="227"/>
      <c r="CLX1723" s="227"/>
      <c r="CLY1723" s="227"/>
      <c r="CLZ1723" s="227"/>
      <c r="CMA1723" s="227"/>
      <c r="CMB1723" s="227"/>
      <c r="CMC1723" s="227"/>
      <c r="CMD1723" s="227"/>
      <c r="CME1723" s="227"/>
      <c r="CMF1723" s="227"/>
      <c r="CMG1723" s="227"/>
      <c r="CMH1723" s="227"/>
      <c r="CMI1723" s="227"/>
      <c r="CMJ1723" s="227"/>
      <c r="CMK1723" s="227"/>
      <c r="CML1723" s="227"/>
      <c r="CMM1723" s="227"/>
      <c r="CMN1723" s="227"/>
      <c r="CMO1723" s="227"/>
      <c r="CMP1723" s="227"/>
      <c r="CMQ1723" s="227"/>
      <c r="CMR1723" s="227"/>
      <c r="CMS1723" s="227"/>
      <c r="CMT1723" s="227"/>
      <c r="CMU1723" s="227"/>
      <c r="CMV1723" s="227"/>
      <c r="CMW1723" s="227"/>
      <c r="CMX1723" s="227"/>
      <c r="CMY1723" s="227"/>
      <c r="CMZ1723" s="227"/>
      <c r="CNA1723" s="227"/>
      <c r="CNB1723" s="227"/>
      <c r="CNC1723" s="227"/>
      <c r="CND1723" s="227"/>
      <c r="CNE1723" s="227"/>
      <c r="CNF1723" s="227"/>
      <c r="CNG1723" s="227"/>
      <c r="CNH1723" s="227"/>
      <c r="CNI1723" s="227"/>
      <c r="CNJ1723" s="227"/>
      <c r="CNK1723" s="227"/>
      <c r="CNL1723" s="227"/>
      <c r="CNM1723" s="227"/>
      <c r="CNN1723" s="227"/>
      <c r="CNO1723" s="227"/>
      <c r="CNP1723" s="227"/>
      <c r="CNQ1723" s="227"/>
      <c r="CNR1723" s="227"/>
      <c r="CNS1723" s="227"/>
      <c r="CNT1723" s="227"/>
      <c r="CNU1723" s="227"/>
      <c r="CNV1723" s="227"/>
      <c r="CNW1723" s="227"/>
      <c r="CNX1723" s="227"/>
      <c r="CNY1723" s="227"/>
      <c r="CNZ1723" s="227"/>
      <c r="COA1723" s="227"/>
      <c r="COB1723" s="227"/>
      <c r="COC1723" s="227"/>
      <c r="COD1723" s="227"/>
      <c r="COE1723" s="227"/>
      <c r="COF1723" s="227"/>
      <c r="COG1723" s="227"/>
      <c r="COH1723" s="227"/>
      <c r="COI1723" s="227"/>
      <c r="COJ1723" s="227"/>
      <c r="COK1723" s="227"/>
      <c r="COL1723" s="227"/>
      <c r="COM1723" s="227"/>
      <c r="CON1723" s="227"/>
      <c r="COO1723" s="227"/>
      <c r="COP1723" s="227"/>
      <c r="COQ1723" s="227"/>
      <c r="COR1723" s="227"/>
      <c r="COS1723" s="227"/>
      <c r="COT1723" s="227"/>
      <c r="COU1723" s="227"/>
      <c r="COV1723" s="227"/>
      <c r="COW1723" s="227"/>
      <c r="COX1723" s="227"/>
      <c r="COY1723" s="227"/>
      <c r="COZ1723" s="227"/>
      <c r="CPA1723" s="227"/>
      <c r="CPB1723" s="227"/>
      <c r="CPC1723" s="227"/>
      <c r="CPD1723" s="227"/>
      <c r="CPE1723" s="227"/>
      <c r="CPF1723" s="227"/>
      <c r="CPG1723" s="227"/>
      <c r="CPH1723" s="227"/>
      <c r="CPI1723" s="227"/>
      <c r="CPJ1723" s="227"/>
      <c r="CPK1723" s="227"/>
      <c r="CPL1723" s="227"/>
      <c r="CPM1723" s="227"/>
      <c r="CPN1723" s="227"/>
      <c r="CPO1723" s="227"/>
      <c r="CPP1723" s="227"/>
      <c r="CPQ1723" s="227"/>
      <c r="CPR1723" s="227"/>
      <c r="CPS1723" s="227"/>
      <c r="CPT1723" s="227"/>
      <c r="CPU1723" s="227"/>
      <c r="CPV1723" s="227"/>
      <c r="CPW1723" s="227"/>
      <c r="CPX1723" s="227"/>
      <c r="CPY1723" s="227"/>
      <c r="CPZ1723" s="227"/>
      <c r="CQA1723" s="227"/>
      <c r="CQB1723" s="227"/>
      <c r="CQC1723" s="227"/>
      <c r="CQD1723" s="227"/>
      <c r="CQE1723" s="227"/>
      <c r="CQF1723" s="227"/>
      <c r="CQG1723" s="227"/>
      <c r="CQH1723" s="227"/>
      <c r="CQI1723" s="227"/>
      <c r="CQJ1723" s="227"/>
      <c r="CQK1723" s="227"/>
      <c r="CQL1723" s="227"/>
      <c r="CQM1723" s="227"/>
      <c r="CQN1723" s="227"/>
      <c r="CQO1723" s="227"/>
      <c r="CQP1723" s="227"/>
      <c r="CQQ1723" s="227"/>
      <c r="CQR1723" s="227"/>
      <c r="CQS1723" s="227"/>
      <c r="CQT1723" s="227"/>
      <c r="CQU1723" s="227"/>
      <c r="CQV1723" s="227"/>
      <c r="CQW1723" s="227"/>
      <c r="CQX1723" s="227"/>
      <c r="CQY1723" s="227"/>
      <c r="CQZ1723" s="227"/>
      <c r="CRA1723" s="227"/>
      <c r="CRB1723" s="227"/>
      <c r="CRC1723" s="227"/>
      <c r="CRD1723" s="227"/>
      <c r="CRE1723" s="227"/>
      <c r="CRF1723" s="227"/>
      <c r="CRG1723" s="227"/>
      <c r="CRH1723" s="227"/>
      <c r="CRI1723" s="227"/>
      <c r="CRJ1723" s="227"/>
      <c r="CRK1723" s="227"/>
      <c r="CRL1723" s="227"/>
      <c r="CRM1723" s="227"/>
      <c r="CRN1723" s="227"/>
      <c r="CRO1723" s="227"/>
      <c r="CRP1723" s="227"/>
      <c r="CRQ1723" s="227"/>
      <c r="CRR1723" s="227"/>
      <c r="CRS1723" s="227"/>
      <c r="CRT1723" s="227"/>
      <c r="CRU1723" s="227"/>
      <c r="CRV1723" s="227"/>
      <c r="CRW1723" s="227"/>
      <c r="CRX1723" s="227"/>
      <c r="CRY1723" s="227"/>
      <c r="CRZ1723" s="227"/>
      <c r="CSA1723" s="227"/>
      <c r="CSB1723" s="227"/>
      <c r="CSC1723" s="227"/>
      <c r="CSD1723" s="227"/>
      <c r="CSE1723" s="227"/>
      <c r="CSF1723" s="227"/>
      <c r="CSG1723" s="227"/>
      <c r="CSH1723" s="227"/>
      <c r="CSI1723" s="227"/>
      <c r="CSJ1723" s="227"/>
      <c r="CSK1723" s="227"/>
      <c r="CSL1723" s="227"/>
      <c r="CSM1723" s="227"/>
      <c r="CSN1723" s="227"/>
      <c r="CSO1723" s="227"/>
      <c r="CSP1723" s="227"/>
      <c r="CSQ1723" s="227"/>
      <c r="CSR1723" s="227"/>
      <c r="CSS1723" s="227"/>
      <c r="CST1723" s="227"/>
      <c r="CSU1723" s="227"/>
      <c r="CSV1723" s="227"/>
      <c r="CSW1723" s="227"/>
      <c r="CSX1723" s="227"/>
      <c r="CSY1723" s="227"/>
      <c r="CSZ1723" s="227"/>
      <c r="CTA1723" s="227"/>
      <c r="CTB1723" s="227"/>
      <c r="CTC1723" s="227"/>
      <c r="CTD1723" s="227"/>
      <c r="CTE1723" s="227"/>
      <c r="CTF1723" s="227"/>
      <c r="CTG1723" s="227"/>
      <c r="CTH1723" s="227"/>
      <c r="CTI1723" s="227"/>
      <c r="CTJ1723" s="227"/>
      <c r="CTK1723" s="227"/>
      <c r="CTL1723" s="227"/>
      <c r="CTM1723" s="227"/>
      <c r="CTN1723" s="227"/>
      <c r="CTO1723" s="227"/>
      <c r="CTP1723" s="227"/>
      <c r="CTQ1723" s="227"/>
      <c r="CTR1723" s="227"/>
      <c r="CTS1723" s="227"/>
      <c r="CTT1723" s="227"/>
      <c r="CTU1723" s="227"/>
      <c r="CTV1723" s="227"/>
      <c r="CTW1723" s="227"/>
      <c r="CTX1723" s="227"/>
      <c r="CTY1723" s="227"/>
      <c r="CTZ1723" s="227"/>
      <c r="CUA1723" s="227"/>
      <c r="CUB1723" s="227"/>
      <c r="CUC1723" s="227"/>
      <c r="CUD1723" s="227"/>
      <c r="CUE1723" s="227"/>
      <c r="CUF1723" s="227"/>
      <c r="CUG1723" s="227"/>
      <c r="CUH1723" s="227"/>
      <c r="CUI1723" s="227"/>
      <c r="CUJ1723" s="227"/>
      <c r="CUK1723" s="227"/>
      <c r="CUL1723" s="227"/>
      <c r="CUM1723" s="227"/>
      <c r="CUN1723" s="227"/>
      <c r="CUO1723" s="227"/>
      <c r="CUP1723" s="227"/>
      <c r="CUQ1723" s="227"/>
      <c r="CUR1723" s="227"/>
      <c r="CUS1723" s="227"/>
      <c r="CUT1723" s="227"/>
      <c r="CUU1723" s="227"/>
      <c r="CUV1723" s="227"/>
      <c r="CUW1723" s="227"/>
      <c r="CUX1723" s="227"/>
      <c r="CUY1723" s="227"/>
      <c r="CUZ1723" s="227"/>
      <c r="CVA1723" s="227"/>
      <c r="CVB1723" s="227"/>
      <c r="CVC1723" s="227"/>
      <c r="CVD1723" s="227"/>
      <c r="CVE1723" s="227"/>
      <c r="CVF1723" s="227"/>
      <c r="CVG1723" s="227"/>
      <c r="CVH1723" s="227"/>
      <c r="CVI1723" s="227"/>
      <c r="CVJ1723" s="227"/>
      <c r="CVK1723" s="227"/>
      <c r="CVL1723" s="227"/>
      <c r="CVM1723" s="227"/>
      <c r="CVN1723" s="227"/>
      <c r="CVO1723" s="227"/>
      <c r="CVP1723" s="227"/>
      <c r="CVQ1723" s="227"/>
      <c r="CVR1723" s="227"/>
      <c r="CVS1723" s="227"/>
      <c r="CVT1723" s="227"/>
      <c r="CVU1723" s="227"/>
      <c r="CVV1723" s="227"/>
      <c r="CVW1723" s="227"/>
      <c r="CVX1723" s="227"/>
      <c r="CVY1723" s="227"/>
      <c r="CVZ1723" s="227"/>
      <c r="CWA1723" s="227"/>
      <c r="CWB1723" s="227"/>
      <c r="CWC1723" s="227"/>
      <c r="CWD1723" s="227"/>
      <c r="CWE1723" s="227"/>
      <c r="CWF1723" s="227"/>
      <c r="CWG1723" s="227"/>
      <c r="CWH1723" s="227"/>
      <c r="CWI1723" s="227"/>
      <c r="CWJ1723" s="227"/>
      <c r="CWK1723" s="227"/>
      <c r="CWL1723" s="227"/>
      <c r="CWM1723" s="227"/>
      <c r="CWN1723" s="227"/>
      <c r="CWO1723" s="227"/>
      <c r="CWP1723" s="227"/>
      <c r="CWQ1723" s="227"/>
      <c r="CWR1723" s="227"/>
      <c r="CWS1723" s="227"/>
      <c r="CWT1723" s="227"/>
      <c r="CWU1723" s="227"/>
      <c r="CWV1723" s="227"/>
      <c r="CWW1723" s="227"/>
      <c r="CWX1723" s="227"/>
      <c r="CWY1723" s="227"/>
      <c r="CWZ1723" s="227"/>
      <c r="CXA1723" s="227"/>
      <c r="CXB1723" s="227"/>
      <c r="CXC1723" s="227"/>
      <c r="CXD1723" s="227"/>
      <c r="CXE1723" s="227"/>
      <c r="CXF1723" s="227"/>
      <c r="CXG1723" s="227"/>
      <c r="CXH1723" s="227"/>
      <c r="CXI1723" s="227"/>
      <c r="CXJ1723" s="227"/>
      <c r="CXK1723" s="227"/>
      <c r="CXL1723" s="227"/>
      <c r="CXM1723" s="227"/>
      <c r="CXN1723" s="227"/>
      <c r="CXO1723" s="227"/>
      <c r="CXP1723" s="227"/>
      <c r="CXQ1723" s="227"/>
      <c r="CXR1723" s="227"/>
      <c r="CXS1723" s="227"/>
      <c r="CXT1723" s="227"/>
      <c r="CXU1723" s="227"/>
      <c r="CXV1723" s="227"/>
      <c r="CXW1723" s="227"/>
      <c r="CXX1723" s="227"/>
      <c r="CXY1723" s="227"/>
      <c r="CXZ1723" s="227"/>
      <c r="CYA1723" s="227"/>
      <c r="CYB1723" s="227"/>
      <c r="CYC1723" s="227"/>
      <c r="CYD1723" s="227"/>
      <c r="CYE1723" s="227"/>
      <c r="CYF1723" s="227"/>
      <c r="CYG1723" s="227"/>
      <c r="CYH1723" s="227"/>
      <c r="CYI1723" s="227"/>
      <c r="CYJ1723" s="227"/>
      <c r="CYK1723" s="227"/>
      <c r="CYL1723" s="227"/>
      <c r="CYM1723" s="227"/>
      <c r="CYN1723" s="227"/>
      <c r="CYO1723" s="227"/>
      <c r="CYP1723" s="227"/>
      <c r="CYQ1723" s="227"/>
      <c r="CYR1723" s="227"/>
      <c r="CYS1723" s="227"/>
      <c r="CYT1723" s="227"/>
      <c r="CYU1723" s="227"/>
      <c r="CYV1723" s="227"/>
      <c r="CYW1723" s="227"/>
      <c r="CYX1723" s="227"/>
      <c r="CYY1723" s="227"/>
      <c r="CYZ1723" s="227"/>
      <c r="CZA1723" s="227"/>
      <c r="CZB1723" s="227"/>
      <c r="CZC1723" s="227"/>
      <c r="CZD1723" s="227"/>
      <c r="CZE1723" s="227"/>
      <c r="CZF1723" s="227"/>
      <c r="CZG1723" s="227"/>
      <c r="CZH1723" s="227"/>
      <c r="CZI1723" s="227"/>
      <c r="CZJ1723" s="227"/>
      <c r="CZK1723" s="227"/>
      <c r="CZL1723" s="227"/>
      <c r="CZM1723" s="227"/>
      <c r="CZN1723" s="227"/>
      <c r="CZO1723" s="227"/>
      <c r="CZP1723" s="227"/>
      <c r="CZQ1723" s="227"/>
      <c r="CZR1723" s="227"/>
      <c r="CZS1723" s="227"/>
      <c r="CZT1723" s="227"/>
      <c r="CZU1723" s="227"/>
      <c r="CZV1723" s="227"/>
      <c r="CZW1723" s="227"/>
      <c r="CZX1723" s="227"/>
      <c r="CZY1723" s="227"/>
      <c r="CZZ1723" s="227"/>
      <c r="DAA1723" s="227"/>
      <c r="DAB1723" s="227"/>
      <c r="DAC1723" s="227"/>
      <c r="DAD1723" s="227"/>
      <c r="DAE1723" s="227"/>
      <c r="DAF1723" s="227"/>
      <c r="DAG1723" s="227"/>
      <c r="DAH1723" s="227"/>
      <c r="DAI1723" s="227"/>
      <c r="DAJ1723" s="227"/>
      <c r="DAK1723" s="227"/>
      <c r="DAL1723" s="227"/>
      <c r="DAM1723" s="227"/>
      <c r="DAN1723" s="227"/>
      <c r="DAO1723" s="227"/>
      <c r="DAP1723" s="227"/>
      <c r="DAQ1723" s="227"/>
      <c r="DAR1723" s="227"/>
      <c r="DAS1723" s="227"/>
      <c r="DAT1723" s="227"/>
      <c r="DAU1723" s="227"/>
      <c r="DAV1723" s="227"/>
      <c r="DAW1723" s="227"/>
      <c r="DAX1723" s="227"/>
      <c r="DAY1723" s="227"/>
      <c r="DAZ1723" s="227"/>
      <c r="DBA1723" s="227"/>
      <c r="DBB1723" s="227"/>
      <c r="DBC1723" s="227"/>
      <c r="DBD1723" s="227"/>
      <c r="DBE1723" s="227"/>
      <c r="DBF1723" s="227"/>
      <c r="DBG1723" s="227"/>
      <c r="DBH1723" s="227"/>
      <c r="DBI1723" s="227"/>
      <c r="DBJ1723" s="227"/>
      <c r="DBK1723" s="227"/>
      <c r="DBL1723" s="227"/>
      <c r="DBM1723" s="227"/>
      <c r="DBN1723" s="227"/>
      <c r="DBO1723" s="227"/>
      <c r="DBP1723" s="227"/>
      <c r="DBQ1723" s="227"/>
      <c r="DBR1723" s="227"/>
      <c r="DBS1723" s="227"/>
      <c r="DBT1723" s="227"/>
      <c r="DBU1723" s="227"/>
      <c r="DBV1723" s="227"/>
      <c r="DBW1723" s="227"/>
      <c r="DBX1723" s="227"/>
      <c r="DBY1723" s="227"/>
      <c r="DBZ1723" s="227"/>
      <c r="DCA1723" s="227"/>
      <c r="DCB1723" s="227"/>
      <c r="DCC1723" s="227"/>
      <c r="DCD1723" s="227"/>
      <c r="DCE1723" s="227"/>
      <c r="DCF1723" s="227"/>
      <c r="DCG1723" s="227"/>
      <c r="DCH1723" s="227"/>
      <c r="DCI1723" s="227"/>
      <c r="DCJ1723" s="227"/>
      <c r="DCK1723" s="227"/>
      <c r="DCL1723" s="227"/>
      <c r="DCM1723" s="227"/>
      <c r="DCN1723" s="227"/>
      <c r="DCO1723" s="227"/>
      <c r="DCP1723" s="227"/>
      <c r="DCQ1723" s="227"/>
      <c r="DCR1723" s="227"/>
      <c r="DCS1723" s="227"/>
      <c r="DCT1723" s="227"/>
      <c r="DCU1723" s="227"/>
      <c r="DCV1723" s="227"/>
      <c r="DCW1723" s="227"/>
      <c r="DCX1723" s="227"/>
      <c r="DCY1723" s="227"/>
      <c r="DCZ1723" s="227"/>
      <c r="DDA1723" s="227"/>
      <c r="DDB1723" s="227"/>
      <c r="DDC1723" s="227"/>
      <c r="DDD1723" s="227"/>
      <c r="DDE1723" s="227"/>
      <c r="DDF1723" s="227"/>
      <c r="DDG1723" s="227"/>
      <c r="DDH1723" s="227"/>
      <c r="DDI1723" s="227"/>
      <c r="DDJ1723" s="227"/>
      <c r="DDK1723" s="227"/>
      <c r="DDL1723" s="227"/>
      <c r="DDM1723" s="227"/>
      <c r="DDN1723" s="227"/>
      <c r="DDO1723" s="227"/>
      <c r="DDP1723" s="227"/>
      <c r="DDQ1723" s="227"/>
      <c r="DDR1723" s="227"/>
      <c r="DDS1723" s="227"/>
      <c r="DDT1723" s="227"/>
      <c r="DDU1723" s="227"/>
      <c r="DDV1723" s="227"/>
      <c r="DDW1723" s="227"/>
      <c r="DDX1723" s="227"/>
      <c r="DDY1723" s="227"/>
      <c r="DDZ1723" s="227"/>
      <c r="DEA1723" s="227"/>
      <c r="DEB1723" s="227"/>
      <c r="DEC1723" s="227"/>
      <c r="DED1723" s="227"/>
      <c r="DEE1723" s="227"/>
      <c r="DEF1723" s="227"/>
      <c r="DEG1723" s="227"/>
      <c r="DEH1723" s="227"/>
      <c r="DEI1723" s="227"/>
      <c r="DEJ1723" s="227"/>
      <c r="DEK1723" s="227"/>
      <c r="DEL1723" s="227"/>
      <c r="DEM1723" s="227"/>
      <c r="DEN1723" s="227"/>
      <c r="DEO1723" s="227"/>
      <c r="DEP1723" s="227"/>
      <c r="DEQ1723" s="227"/>
      <c r="DER1723" s="227"/>
      <c r="DES1723" s="227"/>
      <c r="DET1723" s="227"/>
      <c r="DEU1723" s="227"/>
      <c r="DEV1723" s="227"/>
      <c r="DEW1723" s="227"/>
      <c r="DEX1723" s="227"/>
      <c r="DEY1723" s="227"/>
      <c r="DEZ1723" s="227"/>
      <c r="DFA1723" s="227"/>
      <c r="DFB1723" s="227"/>
      <c r="DFC1723" s="227"/>
      <c r="DFD1723" s="227"/>
      <c r="DFE1723" s="227"/>
      <c r="DFF1723" s="227"/>
      <c r="DFG1723" s="227"/>
      <c r="DFH1723" s="227"/>
      <c r="DFI1723" s="227"/>
      <c r="DFJ1723" s="227"/>
      <c r="DFK1723" s="227"/>
      <c r="DFL1723" s="227"/>
      <c r="DFM1723" s="227"/>
      <c r="DFN1723" s="227"/>
      <c r="DFO1723" s="227"/>
      <c r="DFP1723" s="227"/>
      <c r="DFQ1723" s="227"/>
      <c r="DFR1723" s="227"/>
      <c r="DFS1723" s="227"/>
      <c r="DFT1723" s="227"/>
      <c r="DFU1723" s="227"/>
      <c r="DFV1723" s="227"/>
      <c r="DFW1723" s="227"/>
      <c r="DFX1723" s="227"/>
      <c r="DFY1723" s="227"/>
      <c r="DFZ1723" s="227"/>
      <c r="DGA1723" s="227"/>
      <c r="DGB1723" s="227"/>
      <c r="DGC1723" s="227"/>
      <c r="DGD1723" s="227"/>
      <c r="DGE1723" s="227"/>
      <c r="DGF1723" s="227"/>
      <c r="DGG1723" s="227"/>
      <c r="DGH1723" s="227"/>
      <c r="DGI1723" s="227"/>
      <c r="DGJ1723" s="227"/>
      <c r="DGK1723" s="227"/>
      <c r="DGL1723" s="227"/>
      <c r="DGM1723" s="227"/>
      <c r="DGN1723" s="227"/>
      <c r="DGO1723" s="227"/>
      <c r="DGP1723" s="227"/>
      <c r="DGQ1723" s="227"/>
      <c r="DGR1723" s="227"/>
      <c r="DGS1723" s="227"/>
      <c r="DGT1723" s="227"/>
      <c r="DGU1723" s="227"/>
      <c r="DGV1723" s="227"/>
      <c r="DGW1723" s="227"/>
      <c r="DGX1723" s="227"/>
      <c r="DGY1723" s="227"/>
      <c r="DGZ1723" s="227"/>
      <c r="DHA1723" s="227"/>
      <c r="DHB1723" s="227"/>
      <c r="DHC1723" s="227"/>
      <c r="DHD1723" s="227"/>
      <c r="DHE1723" s="227"/>
      <c r="DHF1723" s="227"/>
      <c r="DHG1723" s="227"/>
      <c r="DHH1723" s="227"/>
      <c r="DHI1723" s="227"/>
      <c r="DHJ1723" s="227"/>
      <c r="DHK1723" s="227"/>
      <c r="DHL1723" s="227"/>
      <c r="DHM1723" s="227"/>
      <c r="DHN1723" s="227"/>
      <c r="DHO1723" s="227"/>
      <c r="DHP1723" s="227"/>
      <c r="DHQ1723" s="227"/>
      <c r="DHR1723" s="227"/>
      <c r="DHS1723" s="227"/>
      <c r="DHT1723" s="227"/>
      <c r="DHU1723" s="227"/>
      <c r="DHV1723" s="227"/>
      <c r="DHW1723" s="227"/>
      <c r="DHX1723" s="227"/>
      <c r="DHY1723" s="227"/>
      <c r="DHZ1723" s="227"/>
      <c r="DIA1723" s="227"/>
      <c r="DIB1723" s="227"/>
      <c r="DIC1723" s="227"/>
      <c r="DID1723" s="227"/>
      <c r="DIE1723" s="227"/>
      <c r="DIF1723" s="227"/>
      <c r="DIG1723" s="227"/>
      <c r="DIH1723" s="227"/>
      <c r="DII1723" s="227"/>
      <c r="DIJ1723" s="227"/>
      <c r="DIK1723" s="227"/>
      <c r="DIL1723" s="227"/>
      <c r="DIM1723" s="227"/>
      <c r="DIN1723" s="227"/>
      <c r="DIO1723" s="227"/>
      <c r="DIP1723" s="227"/>
      <c r="DIQ1723" s="227"/>
      <c r="DIR1723" s="227"/>
      <c r="DIS1723" s="227"/>
      <c r="DIT1723" s="227"/>
      <c r="DIU1723" s="227"/>
      <c r="DIV1723" s="227"/>
      <c r="DIW1723" s="227"/>
      <c r="DIX1723" s="227"/>
      <c r="DIY1723" s="227"/>
      <c r="DIZ1723" s="227"/>
      <c r="DJA1723" s="227"/>
      <c r="DJB1723" s="227"/>
      <c r="DJC1723" s="227"/>
      <c r="DJD1723" s="227"/>
      <c r="DJE1723" s="227"/>
      <c r="DJF1723" s="227"/>
      <c r="DJG1723" s="227"/>
      <c r="DJH1723" s="227"/>
      <c r="DJI1723" s="227"/>
      <c r="DJJ1723" s="227"/>
      <c r="DJK1723" s="227"/>
      <c r="DJL1723" s="227"/>
      <c r="DJM1723" s="227"/>
      <c r="DJN1723" s="227"/>
      <c r="DJO1723" s="227"/>
      <c r="DJP1723" s="227"/>
      <c r="DJQ1723" s="227"/>
      <c r="DJR1723" s="227"/>
      <c r="DJS1723" s="227"/>
      <c r="DJT1723" s="227"/>
      <c r="DJU1723" s="227"/>
      <c r="DJV1723" s="227"/>
      <c r="DJW1723" s="227"/>
      <c r="DJX1723" s="227"/>
      <c r="DJY1723" s="227"/>
      <c r="DJZ1723" s="227"/>
      <c r="DKA1723" s="227"/>
      <c r="DKB1723" s="227"/>
      <c r="DKC1723" s="227"/>
      <c r="DKD1723" s="227"/>
      <c r="DKE1723" s="227"/>
      <c r="DKF1723" s="227"/>
      <c r="DKG1723" s="227"/>
      <c r="DKH1723" s="227"/>
      <c r="DKI1723" s="227"/>
      <c r="DKJ1723" s="227"/>
      <c r="DKK1723" s="227"/>
      <c r="DKL1723" s="227"/>
      <c r="DKM1723" s="227"/>
      <c r="DKN1723" s="227"/>
      <c r="DKO1723" s="227"/>
      <c r="DKP1723" s="227"/>
      <c r="DKQ1723" s="227"/>
      <c r="DKR1723" s="227"/>
      <c r="DKS1723" s="227"/>
      <c r="DKT1723" s="227"/>
      <c r="DKU1723" s="227"/>
      <c r="DKV1723" s="227"/>
      <c r="DKW1723" s="227"/>
      <c r="DKX1723" s="227"/>
      <c r="DKY1723" s="227"/>
      <c r="DKZ1723" s="227"/>
      <c r="DLA1723" s="227"/>
      <c r="DLB1723" s="227"/>
      <c r="DLC1723" s="227"/>
      <c r="DLD1723" s="227"/>
      <c r="DLE1723" s="227"/>
      <c r="DLF1723" s="227"/>
      <c r="DLG1723" s="227"/>
      <c r="DLH1723" s="227"/>
      <c r="DLI1723" s="227"/>
      <c r="DLJ1723" s="227"/>
      <c r="DLK1723" s="227"/>
      <c r="DLL1723" s="227"/>
      <c r="DLM1723" s="227"/>
      <c r="DLN1723" s="227"/>
      <c r="DLO1723" s="227"/>
      <c r="DLP1723" s="227"/>
      <c r="DLQ1723" s="227"/>
      <c r="DLR1723" s="227"/>
      <c r="DLS1723" s="227"/>
      <c r="DLT1723" s="227"/>
      <c r="DLU1723" s="227"/>
      <c r="DLV1723" s="227"/>
      <c r="DLW1723" s="227"/>
      <c r="DLX1723" s="227"/>
      <c r="DLY1723" s="227"/>
      <c r="DLZ1723" s="227"/>
      <c r="DMA1723" s="227"/>
      <c r="DMB1723" s="227"/>
      <c r="DMC1723" s="227"/>
      <c r="DMD1723" s="227"/>
      <c r="DME1723" s="227"/>
      <c r="DMF1723" s="227"/>
      <c r="DMG1723" s="227"/>
      <c r="DMH1723" s="227"/>
      <c r="DMI1723" s="227"/>
      <c r="DMJ1723" s="227"/>
      <c r="DMK1723" s="227"/>
      <c r="DML1723" s="227"/>
      <c r="DMM1723" s="227"/>
      <c r="DMN1723" s="227"/>
      <c r="DMO1723" s="227"/>
      <c r="DMP1723" s="227"/>
      <c r="DMQ1723" s="227"/>
      <c r="DMR1723" s="227"/>
      <c r="DMS1723" s="227"/>
      <c r="DMT1723" s="227"/>
      <c r="DMU1723" s="227"/>
      <c r="DMV1723" s="227"/>
      <c r="DMW1723" s="227"/>
      <c r="DMX1723" s="227"/>
      <c r="DMY1723" s="227"/>
      <c r="DMZ1723" s="227"/>
      <c r="DNA1723" s="227"/>
      <c r="DNB1723" s="227"/>
      <c r="DNC1723" s="227"/>
      <c r="DND1723" s="227"/>
      <c r="DNE1723" s="227"/>
      <c r="DNF1723" s="227"/>
      <c r="DNG1723" s="227"/>
      <c r="DNH1723" s="227"/>
      <c r="DNI1723" s="227"/>
      <c r="DNJ1723" s="227"/>
      <c r="DNK1723" s="227"/>
      <c r="DNL1723" s="227"/>
      <c r="DNM1723" s="227"/>
      <c r="DNN1723" s="227"/>
      <c r="DNO1723" s="227"/>
      <c r="DNP1723" s="227"/>
      <c r="DNQ1723" s="227"/>
      <c r="DNR1723" s="227"/>
      <c r="DNS1723" s="227"/>
      <c r="DNT1723" s="227"/>
      <c r="DNU1723" s="227"/>
      <c r="DNV1723" s="227"/>
      <c r="DNW1723" s="227"/>
      <c r="DNX1723" s="227"/>
      <c r="DNY1723" s="227"/>
      <c r="DNZ1723" s="227"/>
      <c r="DOA1723" s="227"/>
      <c r="DOB1723" s="227"/>
      <c r="DOC1723" s="227"/>
      <c r="DOD1723" s="227"/>
      <c r="DOE1723" s="227"/>
      <c r="DOF1723" s="227"/>
      <c r="DOG1723" s="227"/>
      <c r="DOH1723" s="227"/>
      <c r="DOI1723" s="227"/>
      <c r="DOJ1723" s="227"/>
      <c r="DOK1723" s="227"/>
      <c r="DOL1723" s="227"/>
      <c r="DOM1723" s="227"/>
      <c r="DON1723" s="227"/>
      <c r="DOO1723" s="227"/>
      <c r="DOP1723" s="227"/>
      <c r="DOQ1723" s="227"/>
      <c r="DOR1723" s="227"/>
      <c r="DOS1723" s="227"/>
      <c r="DOT1723" s="227"/>
      <c r="DOU1723" s="227"/>
      <c r="DOV1723" s="227"/>
      <c r="DOW1723" s="227"/>
      <c r="DOX1723" s="227"/>
      <c r="DOY1723" s="227"/>
      <c r="DOZ1723" s="227"/>
      <c r="DPA1723" s="227"/>
      <c r="DPB1723" s="227"/>
      <c r="DPC1723" s="227"/>
      <c r="DPD1723" s="227"/>
      <c r="DPE1723" s="227"/>
      <c r="DPF1723" s="227"/>
      <c r="DPG1723" s="227"/>
      <c r="DPH1723" s="227"/>
      <c r="DPI1723" s="227"/>
      <c r="DPJ1723" s="227"/>
      <c r="DPK1723" s="227"/>
      <c r="DPL1723" s="227"/>
      <c r="DPM1723" s="227"/>
      <c r="DPN1723" s="227"/>
      <c r="DPO1723" s="227"/>
      <c r="DPP1723" s="227"/>
      <c r="DPQ1723" s="227"/>
      <c r="DPR1723" s="227"/>
      <c r="DPS1723" s="227"/>
      <c r="DPT1723" s="227"/>
      <c r="DPU1723" s="227"/>
      <c r="DPV1723" s="227"/>
      <c r="DPW1723" s="227"/>
      <c r="DPX1723" s="227"/>
      <c r="DPY1723" s="227"/>
      <c r="DPZ1723" s="227"/>
      <c r="DQA1723" s="227"/>
      <c r="DQB1723" s="227"/>
      <c r="DQC1723" s="227"/>
      <c r="DQD1723" s="227"/>
      <c r="DQE1723" s="227"/>
      <c r="DQF1723" s="227"/>
      <c r="DQG1723" s="227"/>
      <c r="DQH1723" s="227"/>
      <c r="DQI1723" s="227"/>
      <c r="DQJ1723" s="227"/>
      <c r="DQK1723" s="227"/>
      <c r="DQL1723" s="227"/>
      <c r="DQM1723" s="227"/>
      <c r="DQN1723" s="227"/>
      <c r="DQO1723" s="227"/>
      <c r="DQP1723" s="227"/>
      <c r="DQQ1723" s="227"/>
      <c r="DQR1723" s="227"/>
      <c r="DQS1723" s="227"/>
      <c r="DQT1723" s="227"/>
      <c r="DQU1723" s="227"/>
      <c r="DQV1723" s="227"/>
      <c r="DQW1723" s="227"/>
      <c r="DQX1723" s="227"/>
      <c r="DQY1723" s="227"/>
      <c r="DQZ1723" s="227"/>
      <c r="DRA1723" s="227"/>
      <c r="DRB1723" s="227"/>
      <c r="DRC1723" s="227"/>
      <c r="DRD1723" s="227"/>
      <c r="DRE1723" s="227"/>
      <c r="DRF1723" s="227"/>
      <c r="DRG1723" s="227"/>
      <c r="DRH1723" s="227"/>
      <c r="DRI1723" s="227"/>
      <c r="DRJ1723" s="227"/>
      <c r="DRK1723" s="227"/>
      <c r="DRL1723" s="227"/>
      <c r="DRM1723" s="227"/>
      <c r="DRN1723" s="227"/>
      <c r="DRO1723" s="227"/>
      <c r="DRP1723" s="227"/>
      <c r="DRQ1723" s="227"/>
      <c r="DRR1723" s="227"/>
      <c r="DRS1723" s="227"/>
      <c r="DRT1723" s="227"/>
      <c r="DRU1723" s="227"/>
      <c r="DRV1723" s="227"/>
      <c r="DRW1723" s="227"/>
      <c r="DRX1723" s="227"/>
      <c r="DRY1723" s="227"/>
      <c r="DRZ1723" s="227"/>
      <c r="DSA1723" s="227"/>
      <c r="DSB1723" s="227"/>
      <c r="DSC1723" s="227"/>
      <c r="DSD1723" s="227"/>
      <c r="DSE1723" s="227"/>
      <c r="DSF1723" s="227"/>
      <c r="DSG1723" s="227"/>
      <c r="DSH1723" s="227"/>
      <c r="DSI1723" s="227"/>
      <c r="DSJ1723" s="227"/>
      <c r="DSK1723" s="227"/>
      <c r="DSL1723" s="227"/>
      <c r="DSM1723" s="227"/>
      <c r="DSN1723" s="227"/>
      <c r="DSO1723" s="227"/>
      <c r="DSP1723" s="227"/>
      <c r="DSQ1723" s="227"/>
      <c r="DSR1723" s="227"/>
      <c r="DSS1723" s="227"/>
      <c r="DST1723" s="227"/>
      <c r="DSU1723" s="227"/>
      <c r="DSV1723" s="227"/>
      <c r="DSW1723" s="227"/>
      <c r="DSX1723" s="227"/>
      <c r="DSY1723" s="227"/>
      <c r="DSZ1723" s="227"/>
      <c r="DTA1723" s="227"/>
      <c r="DTB1723" s="227"/>
      <c r="DTC1723" s="227"/>
      <c r="DTD1723" s="227"/>
      <c r="DTE1723" s="227"/>
      <c r="DTF1723" s="227"/>
      <c r="DTG1723" s="227"/>
      <c r="DTH1723" s="227"/>
      <c r="DTI1723" s="227"/>
      <c r="DTJ1723" s="227"/>
      <c r="DTK1723" s="227"/>
      <c r="DTL1723" s="227"/>
      <c r="DTM1723" s="227"/>
      <c r="DTN1723" s="227"/>
      <c r="DTO1723" s="227"/>
      <c r="DTP1723" s="227"/>
      <c r="DTQ1723" s="227"/>
      <c r="DTR1723" s="227"/>
      <c r="DTS1723" s="227"/>
      <c r="DTT1723" s="227"/>
      <c r="DTU1723" s="227"/>
      <c r="DTV1723" s="227"/>
      <c r="DTW1723" s="227"/>
      <c r="DTX1723" s="227"/>
      <c r="DTY1723" s="227"/>
      <c r="DTZ1723" s="227"/>
      <c r="DUA1723" s="227"/>
      <c r="DUB1723" s="227"/>
      <c r="DUC1723" s="227"/>
      <c r="DUD1723" s="227"/>
      <c r="DUE1723" s="227"/>
      <c r="DUF1723" s="227"/>
      <c r="DUG1723" s="227"/>
      <c r="DUH1723" s="227"/>
      <c r="DUI1723" s="227"/>
      <c r="DUJ1723" s="227"/>
      <c r="DUK1723" s="227"/>
      <c r="DUL1723" s="227"/>
      <c r="DUM1723" s="227"/>
      <c r="DUN1723" s="227"/>
      <c r="DUO1723" s="227"/>
      <c r="DUP1723" s="227"/>
      <c r="DUQ1723" s="227"/>
      <c r="DUR1723" s="227"/>
      <c r="DUS1723" s="227"/>
      <c r="DUT1723" s="227"/>
      <c r="DUU1723" s="227"/>
      <c r="DUV1723" s="227"/>
      <c r="DUW1723" s="227"/>
      <c r="DUX1723" s="227"/>
      <c r="DUY1723" s="227"/>
      <c r="DUZ1723" s="227"/>
      <c r="DVA1723" s="227"/>
      <c r="DVB1723" s="227"/>
      <c r="DVC1723" s="227"/>
      <c r="DVD1723" s="227"/>
      <c r="DVE1723" s="227"/>
      <c r="DVF1723" s="227"/>
      <c r="DVG1723" s="227"/>
      <c r="DVH1723" s="227"/>
      <c r="DVI1723" s="227"/>
      <c r="DVJ1723" s="227"/>
      <c r="DVK1723" s="227"/>
      <c r="DVL1723" s="227"/>
      <c r="DVM1723" s="227"/>
      <c r="DVN1723" s="227"/>
      <c r="DVO1723" s="227"/>
      <c r="DVP1723" s="227"/>
      <c r="DVQ1723" s="227"/>
      <c r="DVR1723" s="227"/>
      <c r="DVS1723" s="227"/>
      <c r="DVT1723" s="227"/>
      <c r="DVU1723" s="227"/>
      <c r="DVV1723" s="227"/>
      <c r="DVW1723" s="227"/>
      <c r="DVX1723" s="227"/>
      <c r="DVY1723" s="227"/>
      <c r="DVZ1723" s="227"/>
      <c r="DWA1723" s="227"/>
      <c r="DWB1723" s="227"/>
      <c r="DWC1723" s="227"/>
      <c r="DWD1723" s="227"/>
      <c r="DWE1723" s="227"/>
      <c r="DWF1723" s="227"/>
      <c r="DWG1723" s="227"/>
      <c r="DWH1723" s="227"/>
      <c r="DWI1723" s="227"/>
      <c r="DWJ1723" s="227"/>
      <c r="DWK1723" s="227"/>
      <c r="DWL1723" s="227"/>
      <c r="DWM1723" s="227"/>
      <c r="DWN1723" s="227"/>
      <c r="DWO1723" s="227"/>
      <c r="DWP1723" s="227"/>
      <c r="DWQ1723" s="227"/>
      <c r="DWR1723" s="227"/>
      <c r="DWS1723" s="227"/>
      <c r="DWT1723" s="227"/>
      <c r="DWU1723" s="227"/>
      <c r="DWV1723" s="227"/>
      <c r="DWW1723" s="227"/>
      <c r="DWX1723" s="227"/>
      <c r="DWY1723" s="227"/>
      <c r="DWZ1723" s="227"/>
      <c r="DXA1723" s="227"/>
      <c r="DXB1723" s="227"/>
      <c r="DXC1723" s="227"/>
      <c r="DXD1723" s="227"/>
      <c r="DXE1723" s="227"/>
      <c r="DXF1723" s="227"/>
      <c r="DXG1723" s="227"/>
      <c r="DXH1723" s="227"/>
      <c r="DXI1723" s="227"/>
      <c r="DXJ1723" s="227"/>
      <c r="DXK1723" s="227"/>
      <c r="DXL1723" s="227"/>
      <c r="DXM1723" s="227"/>
      <c r="DXN1723" s="227"/>
      <c r="DXO1723" s="227"/>
      <c r="DXP1723" s="227"/>
      <c r="DXQ1723" s="227"/>
      <c r="DXR1723" s="227"/>
      <c r="DXS1723" s="227"/>
      <c r="DXT1723" s="227"/>
      <c r="DXU1723" s="227"/>
      <c r="DXV1723" s="227"/>
      <c r="DXW1723" s="227"/>
      <c r="DXX1723" s="227"/>
      <c r="DXY1723" s="227"/>
      <c r="DXZ1723" s="227"/>
      <c r="DYA1723" s="227"/>
      <c r="DYB1723" s="227"/>
      <c r="DYC1723" s="227"/>
      <c r="DYD1723" s="227"/>
      <c r="DYE1723" s="227"/>
      <c r="DYF1723" s="227"/>
      <c r="DYG1723" s="227"/>
      <c r="DYH1723" s="227"/>
      <c r="DYI1723" s="227"/>
      <c r="DYJ1723" s="227"/>
      <c r="DYK1723" s="227"/>
      <c r="DYL1723" s="227"/>
      <c r="DYM1723" s="227"/>
      <c r="DYN1723" s="227"/>
      <c r="DYO1723" s="227"/>
      <c r="DYP1723" s="227"/>
      <c r="DYQ1723" s="227"/>
      <c r="DYR1723" s="227"/>
      <c r="DYS1723" s="227"/>
      <c r="DYT1723" s="227"/>
      <c r="DYU1723" s="227"/>
      <c r="DYV1723" s="227"/>
      <c r="DYW1723" s="227"/>
      <c r="DYX1723" s="227"/>
      <c r="DYY1723" s="227"/>
      <c r="DYZ1723" s="227"/>
      <c r="DZA1723" s="227"/>
      <c r="DZB1723" s="227"/>
      <c r="DZC1723" s="227"/>
      <c r="DZD1723" s="227"/>
      <c r="DZE1723" s="227"/>
      <c r="DZF1723" s="227"/>
      <c r="DZG1723" s="227"/>
      <c r="DZH1723" s="227"/>
      <c r="DZI1723" s="227"/>
      <c r="DZJ1723" s="227"/>
      <c r="DZK1723" s="227"/>
      <c r="DZL1723" s="227"/>
      <c r="DZM1723" s="227"/>
      <c r="DZN1723" s="227"/>
      <c r="DZO1723" s="227"/>
      <c r="DZP1723" s="227"/>
      <c r="DZQ1723" s="227"/>
      <c r="DZR1723" s="227"/>
      <c r="DZS1723" s="227"/>
      <c r="DZT1723" s="227"/>
      <c r="DZU1723" s="227"/>
      <c r="DZV1723" s="227"/>
      <c r="DZW1723" s="227"/>
      <c r="DZX1723" s="227"/>
      <c r="DZY1723" s="227"/>
      <c r="DZZ1723" s="227"/>
      <c r="EAA1723" s="227"/>
      <c r="EAB1723" s="227"/>
      <c r="EAC1723" s="227"/>
      <c r="EAD1723" s="227"/>
      <c r="EAE1723" s="227"/>
      <c r="EAF1723" s="227"/>
      <c r="EAG1723" s="227"/>
      <c r="EAH1723" s="227"/>
      <c r="EAI1723" s="227"/>
      <c r="EAJ1723" s="227"/>
      <c r="EAK1723" s="227"/>
      <c r="EAL1723" s="227"/>
      <c r="EAM1723" s="227"/>
      <c r="EAN1723" s="227"/>
      <c r="EAO1723" s="227"/>
      <c r="EAP1723" s="227"/>
      <c r="EAQ1723" s="227"/>
      <c r="EAR1723" s="227"/>
      <c r="EAS1723" s="227"/>
      <c r="EAT1723" s="227"/>
      <c r="EAU1723" s="227"/>
      <c r="EAV1723" s="227"/>
      <c r="EAW1723" s="227"/>
      <c r="EAX1723" s="227"/>
      <c r="EAY1723" s="227"/>
      <c r="EAZ1723" s="227"/>
      <c r="EBA1723" s="227"/>
      <c r="EBB1723" s="227"/>
      <c r="EBC1723" s="227"/>
      <c r="EBD1723" s="227"/>
      <c r="EBE1723" s="227"/>
      <c r="EBF1723" s="227"/>
      <c r="EBG1723" s="227"/>
      <c r="EBH1723" s="227"/>
      <c r="EBI1723" s="227"/>
      <c r="EBJ1723" s="227"/>
      <c r="EBK1723" s="227"/>
      <c r="EBL1723" s="227"/>
      <c r="EBM1723" s="227"/>
      <c r="EBN1723" s="227"/>
      <c r="EBO1723" s="227"/>
      <c r="EBP1723" s="227"/>
      <c r="EBQ1723" s="227"/>
      <c r="EBR1723" s="227"/>
      <c r="EBS1723" s="227"/>
      <c r="EBT1723" s="227"/>
      <c r="EBU1723" s="227"/>
      <c r="EBV1723" s="227"/>
      <c r="EBW1723" s="227"/>
      <c r="EBX1723" s="227"/>
      <c r="EBY1723" s="227"/>
      <c r="EBZ1723" s="227"/>
      <c r="ECA1723" s="227"/>
      <c r="ECB1723" s="227"/>
      <c r="ECC1723" s="227"/>
      <c r="ECD1723" s="227"/>
      <c r="ECE1723" s="227"/>
      <c r="ECF1723" s="227"/>
      <c r="ECG1723" s="227"/>
      <c r="ECH1723" s="227"/>
      <c r="ECI1723" s="227"/>
      <c r="ECJ1723" s="227"/>
      <c r="ECK1723" s="227"/>
      <c r="ECL1723" s="227"/>
      <c r="ECM1723" s="227"/>
      <c r="ECN1723" s="227"/>
      <c r="ECO1723" s="227"/>
      <c r="ECP1723" s="227"/>
      <c r="ECQ1723" s="227"/>
      <c r="ECR1723" s="227"/>
      <c r="ECS1723" s="227"/>
      <c r="ECT1723" s="227"/>
      <c r="ECU1723" s="227"/>
      <c r="ECV1723" s="227"/>
      <c r="ECW1723" s="227"/>
      <c r="ECX1723" s="227"/>
      <c r="ECY1723" s="227"/>
      <c r="ECZ1723" s="227"/>
      <c r="EDA1723" s="227"/>
      <c r="EDB1723" s="227"/>
      <c r="EDC1723" s="227"/>
      <c r="EDD1723" s="227"/>
      <c r="EDE1723" s="227"/>
      <c r="EDF1723" s="227"/>
      <c r="EDG1723" s="227"/>
      <c r="EDH1723" s="227"/>
      <c r="EDI1723" s="227"/>
      <c r="EDJ1723" s="227"/>
      <c r="EDK1723" s="227"/>
      <c r="EDL1723" s="227"/>
      <c r="EDM1723" s="227"/>
      <c r="EDN1723" s="227"/>
      <c r="EDO1723" s="227"/>
      <c r="EDP1723" s="227"/>
      <c r="EDQ1723" s="227"/>
      <c r="EDR1723" s="227"/>
      <c r="EDS1723" s="227"/>
      <c r="EDT1723" s="227"/>
      <c r="EDU1723" s="227"/>
      <c r="EDV1723" s="227"/>
      <c r="EDW1723" s="227"/>
      <c r="EDX1723" s="227"/>
      <c r="EDY1723" s="227"/>
      <c r="EDZ1723" s="227"/>
      <c r="EEA1723" s="227"/>
      <c r="EEB1723" s="227"/>
      <c r="EEC1723" s="227"/>
      <c r="EED1723" s="227"/>
      <c r="EEE1723" s="227"/>
      <c r="EEF1723" s="227"/>
      <c r="EEG1723" s="227"/>
      <c r="EEH1723" s="227"/>
      <c r="EEI1723" s="227"/>
      <c r="EEJ1723" s="227"/>
      <c r="EEK1723" s="227"/>
      <c r="EEL1723" s="227"/>
      <c r="EEM1723" s="227"/>
      <c r="EEN1723" s="227"/>
      <c r="EEO1723" s="227"/>
      <c r="EEP1723" s="227"/>
      <c r="EEQ1723" s="227"/>
      <c r="EER1723" s="227"/>
      <c r="EES1723" s="227"/>
      <c r="EET1723" s="227"/>
      <c r="EEU1723" s="227"/>
      <c r="EEV1723" s="227"/>
      <c r="EEW1723" s="227"/>
      <c r="EEX1723" s="227"/>
      <c r="EEY1723" s="227"/>
      <c r="EEZ1723" s="227"/>
      <c r="EFA1723" s="227"/>
      <c r="EFB1723" s="227"/>
      <c r="EFC1723" s="227"/>
      <c r="EFD1723" s="227"/>
      <c r="EFE1723" s="227"/>
      <c r="EFF1723" s="227"/>
      <c r="EFG1723" s="227"/>
      <c r="EFH1723" s="227"/>
      <c r="EFI1723" s="227"/>
      <c r="EFJ1723" s="227"/>
      <c r="EFK1723" s="227"/>
      <c r="EFL1723" s="227"/>
      <c r="EFM1723" s="227"/>
      <c r="EFN1723" s="227"/>
      <c r="EFO1723" s="227"/>
      <c r="EFP1723" s="227"/>
      <c r="EFQ1723" s="227"/>
      <c r="EFR1723" s="227"/>
      <c r="EFS1723" s="227"/>
      <c r="EFT1723" s="227"/>
      <c r="EFU1723" s="227"/>
      <c r="EFV1723" s="227"/>
      <c r="EFW1723" s="227"/>
      <c r="EFX1723" s="227"/>
      <c r="EFY1723" s="227"/>
      <c r="EFZ1723" s="227"/>
      <c r="EGA1723" s="227"/>
      <c r="EGB1723" s="227"/>
      <c r="EGC1723" s="227"/>
      <c r="EGD1723" s="227"/>
      <c r="EGE1723" s="227"/>
      <c r="EGF1723" s="227"/>
      <c r="EGG1723" s="227"/>
      <c r="EGH1723" s="227"/>
      <c r="EGI1723" s="227"/>
      <c r="EGJ1723" s="227"/>
      <c r="EGK1723" s="227"/>
      <c r="EGL1723" s="227"/>
      <c r="EGM1723" s="227"/>
      <c r="EGN1723" s="227"/>
      <c r="EGO1723" s="227"/>
      <c r="EGP1723" s="227"/>
      <c r="EGQ1723" s="227"/>
      <c r="EGR1723" s="227"/>
      <c r="EGS1723" s="227"/>
      <c r="EGT1723" s="227"/>
      <c r="EGU1723" s="227"/>
      <c r="EGV1723" s="227"/>
      <c r="EGW1723" s="227"/>
      <c r="EGX1723" s="227"/>
      <c r="EGY1723" s="227"/>
      <c r="EGZ1723" s="227"/>
      <c r="EHA1723" s="227"/>
      <c r="EHB1723" s="227"/>
      <c r="EHC1723" s="227"/>
      <c r="EHD1723" s="227"/>
      <c r="EHE1723" s="227"/>
      <c r="EHF1723" s="227"/>
      <c r="EHG1723" s="227"/>
      <c r="EHH1723" s="227"/>
      <c r="EHI1723" s="227"/>
      <c r="EHJ1723" s="227"/>
      <c r="EHK1723" s="227"/>
      <c r="EHL1723" s="227"/>
      <c r="EHM1723" s="227"/>
      <c r="EHN1723" s="227"/>
      <c r="EHO1723" s="227"/>
      <c r="EHP1723" s="227"/>
      <c r="EHQ1723" s="227"/>
      <c r="EHR1723" s="227"/>
      <c r="EHS1723" s="227"/>
      <c r="EHT1723" s="227"/>
      <c r="EHU1723" s="227"/>
      <c r="EHV1723" s="227"/>
      <c r="EHW1723" s="227"/>
      <c r="EHX1723" s="227"/>
      <c r="EHY1723" s="227"/>
      <c r="EHZ1723" s="227"/>
      <c r="EIA1723" s="227"/>
      <c r="EIB1723" s="227"/>
      <c r="EIC1723" s="227"/>
      <c r="EID1723" s="227"/>
      <c r="EIE1723" s="227"/>
      <c r="EIF1723" s="227"/>
      <c r="EIG1723" s="227"/>
      <c r="EIH1723" s="227"/>
      <c r="EII1723" s="227"/>
      <c r="EIJ1723" s="227"/>
      <c r="EIK1723" s="227"/>
      <c r="EIL1723" s="227"/>
      <c r="EIM1723" s="227"/>
      <c r="EIN1723" s="227"/>
      <c r="EIO1723" s="227"/>
      <c r="EIP1723" s="227"/>
      <c r="EIQ1723" s="227"/>
      <c r="EIR1723" s="227"/>
      <c r="EIS1723" s="227"/>
      <c r="EIT1723" s="227"/>
      <c r="EIU1723" s="227"/>
      <c r="EIV1723" s="227"/>
      <c r="EIW1723" s="227"/>
      <c r="EIX1723" s="227"/>
      <c r="EIY1723" s="227"/>
      <c r="EIZ1723" s="227"/>
      <c r="EJA1723" s="227"/>
      <c r="EJB1723" s="227"/>
      <c r="EJC1723" s="227"/>
      <c r="EJD1723" s="227"/>
      <c r="EJE1723" s="227"/>
      <c r="EJF1723" s="227"/>
      <c r="EJG1723" s="227"/>
      <c r="EJH1723" s="227"/>
      <c r="EJI1723" s="227"/>
      <c r="EJJ1723" s="227"/>
      <c r="EJK1723" s="227"/>
      <c r="EJL1723" s="227"/>
      <c r="EJM1723" s="227"/>
      <c r="EJN1723" s="227"/>
      <c r="EJO1723" s="227"/>
      <c r="EJP1723" s="227"/>
      <c r="EJQ1723" s="227"/>
      <c r="EJR1723" s="227"/>
      <c r="EJS1723" s="227"/>
      <c r="EJT1723" s="227"/>
      <c r="EJU1723" s="227"/>
      <c r="EJV1723" s="227"/>
      <c r="EJW1723" s="227"/>
      <c r="EJX1723" s="227"/>
      <c r="EJY1723" s="227"/>
      <c r="EJZ1723" s="227"/>
      <c r="EKA1723" s="227"/>
      <c r="EKB1723" s="227"/>
      <c r="EKC1723" s="227"/>
      <c r="EKD1723" s="227"/>
      <c r="EKE1723" s="227"/>
      <c r="EKF1723" s="227"/>
      <c r="EKG1723" s="227"/>
      <c r="EKH1723" s="227"/>
      <c r="EKI1723" s="227"/>
      <c r="EKJ1723" s="227"/>
      <c r="EKK1723" s="227"/>
      <c r="EKL1723" s="227"/>
      <c r="EKM1723" s="227"/>
      <c r="EKN1723" s="227"/>
      <c r="EKO1723" s="227"/>
      <c r="EKP1723" s="227"/>
      <c r="EKQ1723" s="227"/>
      <c r="EKR1723" s="227"/>
      <c r="EKS1723" s="227"/>
      <c r="EKT1723" s="227"/>
      <c r="EKU1723" s="227"/>
      <c r="EKV1723" s="227"/>
      <c r="EKW1723" s="227"/>
      <c r="EKX1723" s="227"/>
      <c r="EKY1723" s="227"/>
      <c r="EKZ1723" s="227"/>
      <c r="ELA1723" s="227"/>
      <c r="ELB1723" s="227"/>
      <c r="ELC1723" s="227"/>
      <c r="ELD1723" s="227"/>
      <c r="ELE1723" s="227"/>
      <c r="ELF1723" s="227"/>
      <c r="ELG1723" s="227"/>
      <c r="ELH1723" s="227"/>
      <c r="ELI1723" s="227"/>
      <c r="ELJ1723" s="227"/>
      <c r="ELK1723" s="227"/>
      <c r="ELL1723" s="227"/>
      <c r="ELM1723" s="227"/>
      <c r="ELN1723" s="227"/>
      <c r="ELO1723" s="227"/>
      <c r="ELP1723" s="227"/>
      <c r="ELQ1723" s="227"/>
      <c r="ELR1723" s="227"/>
      <c r="ELS1723" s="227"/>
      <c r="ELT1723" s="227"/>
      <c r="ELU1723" s="227"/>
      <c r="ELV1723" s="227"/>
      <c r="ELW1723" s="227"/>
      <c r="ELX1723" s="227"/>
      <c r="ELY1723" s="227"/>
      <c r="ELZ1723" s="227"/>
      <c r="EMA1723" s="227"/>
      <c r="EMB1723" s="227"/>
      <c r="EMC1723" s="227"/>
      <c r="EMD1723" s="227"/>
      <c r="EME1723" s="227"/>
      <c r="EMF1723" s="227"/>
      <c r="EMG1723" s="227"/>
      <c r="EMH1723" s="227"/>
      <c r="EMI1723" s="227"/>
      <c r="EMJ1723" s="227"/>
      <c r="EMK1723" s="227"/>
      <c r="EML1723" s="227"/>
      <c r="EMM1723" s="227"/>
      <c r="EMN1723" s="227"/>
      <c r="EMO1723" s="227"/>
      <c r="EMP1723" s="227"/>
      <c r="EMQ1723" s="227"/>
      <c r="EMR1723" s="227"/>
      <c r="EMS1723" s="227"/>
      <c r="EMT1723" s="227"/>
      <c r="EMU1723" s="227"/>
      <c r="EMV1723" s="227"/>
      <c r="EMW1723" s="227"/>
      <c r="EMX1723" s="227"/>
      <c r="EMY1723" s="227"/>
      <c r="EMZ1723" s="227"/>
      <c r="ENA1723" s="227"/>
      <c r="ENB1723" s="227"/>
      <c r="ENC1723" s="227"/>
      <c r="END1723" s="227"/>
      <c r="ENE1723" s="227"/>
      <c r="ENF1723" s="227"/>
      <c r="ENG1723" s="227"/>
      <c r="ENH1723" s="227"/>
      <c r="ENI1723" s="227"/>
      <c r="ENJ1723" s="227"/>
      <c r="ENK1723" s="227"/>
      <c r="ENL1723" s="227"/>
      <c r="ENM1723" s="227"/>
      <c r="ENN1723" s="227"/>
      <c r="ENO1723" s="227"/>
      <c r="ENP1723" s="227"/>
      <c r="ENQ1723" s="227"/>
      <c r="ENR1723" s="227"/>
      <c r="ENS1723" s="227"/>
      <c r="ENT1723" s="227"/>
      <c r="ENU1723" s="227"/>
      <c r="ENV1723" s="227"/>
      <c r="ENW1723" s="227"/>
      <c r="ENX1723" s="227"/>
      <c r="ENY1723" s="227"/>
      <c r="ENZ1723" s="227"/>
      <c r="EOA1723" s="227"/>
      <c r="EOB1723" s="227"/>
      <c r="EOC1723" s="227"/>
      <c r="EOD1723" s="227"/>
      <c r="EOE1723" s="227"/>
      <c r="EOF1723" s="227"/>
      <c r="EOG1723" s="227"/>
      <c r="EOH1723" s="227"/>
      <c r="EOI1723" s="227"/>
      <c r="EOJ1723" s="227"/>
      <c r="EOK1723" s="227"/>
      <c r="EOL1723" s="227"/>
      <c r="EOM1723" s="227"/>
      <c r="EON1723" s="227"/>
      <c r="EOO1723" s="227"/>
      <c r="EOP1723" s="227"/>
      <c r="EOQ1723" s="227"/>
      <c r="EOR1723" s="227"/>
      <c r="EOS1723" s="227"/>
      <c r="EOT1723" s="227"/>
      <c r="EOU1723" s="227"/>
      <c r="EOV1723" s="227"/>
      <c r="EOW1723" s="227"/>
      <c r="EOX1723" s="227"/>
      <c r="EOY1723" s="227"/>
      <c r="EOZ1723" s="227"/>
      <c r="EPA1723" s="227"/>
      <c r="EPB1723" s="227"/>
      <c r="EPC1723" s="227"/>
      <c r="EPD1723" s="227"/>
      <c r="EPE1723" s="227"/>
      <c r="EPF1723" s="227"/>
      <c r="EPG1723" s="227"/>
      <c r="EPH1723" s="227"/>
      <c r="EPI1723" s="227"/>
      <c r="EPJ1723" s="227"/>
      <c r="EPK1723" s="227"/>
      <c r="EPL1723" s="227"/>
      <c r="EPM1723" s="227"/>
      <c r="EPN1723" s="227"/>
      <c r="EPO1723" s="227"/>
      <c r="EPP1723" s="227"/>
      <c r="EPQ1723" s="227"/>
      <c r="EPR1723" s="227"/>
      <c r="EPS1723" s="227"/>
      <c r="EPT1723" s="227"/>
      <c r="EPU1723" s="227"/>
      <c r="EPV1723" s="227"/>
      <c r="EPW1723" s="227"/>
      <c r="EPX1723" s="227"/>
      <c r="EPY1723" s="227"/>
      <c r="EPZ1723" s="227"/>
      <c r="EQA1723" s="227"/>
      <c r="EQB1723" s="227"/>
      <c r="EQC1723" s="227"/>
      <c r="EQD1723" s="227"/>
      <c r="EQE1723" s="227"/>
      <c r="EQF1723" s="227"/>
      <c r="EQG1723" s="227"/>
      <c r="EQH1723" s="227"/>
      <c r="EQI1723" s="227"/>
      <c r="EQJ1723" s="227"/>
      <c r="EQK1723" s="227"/>
      <c r="EQL1723" s="227"/>
      <c r="EQM1723" s="227"/>
      <c r="EQN1723" s="227"/>
      <c r="EQO1723" s="227"/>
      <c r="EQP1723" s="227"/>
      <c r="EQQ1723" s="227"/>
      <c r="EQR1723" s="227"/>
      <c r="EQS1723" s="227"/>
      <c r="EQT1723" s="227"/>
      <c r="EQU1723" s="227"/>
      <c r="EQV1723" s="227"/>
      <c r="EQW1723" s="227"/>
      <c r="EQX1723" s="227"/>
      <c r="EQY1723" s="227"/>
      <c r="EQZ1723" s="227"/>
      <c r="ERA1723" s="227"/>
      <c r="ERB1723" s="227"/>
      <c r="ERC1723" s="227"/>
      <c r="ERD1723" s="227"/>
      <c r="ERE1723" s="227"/>
      <c r="ERF1723" s="227"/>
      <c r="ERG1723" s="227"/>
      <c r="ERH1723" s="227"/>
      <c r="ERI1723" s="227"/>
      <c r="ERJ1723" s="227"/>
      <c r="ERK1723" s="227"/>
      <c r="ERL1723" s="227"/>
      <c r="ERM1723" s="227"/>
      <c r="ERN1723" s="227"/>
      <c r="ERO1723" s="227"/>
      <c r="ERP1723" s="227"/>
      <c r="ERQ1723" s="227"/>
      <c r="ERR1723" s="227"/>
      <c r="ERS1723" s="227"/>
      <c r="ERT1723" s="227"/>
      <c r="ERU1723" s="227"/>
      <c r="ERV1723" s="227"/>
      <c r="ERW1723" s="227"/>
      <c r="ERX1723" s="227"/>
      <c r="ERY1723" s="227"/>
      <c r="ERZ1723" s="227"/>
      <c r="ESA1723" s="227"/>
      <c r="ESB1723" s="227"/>
      <c r="ESC1723" s="227"/>
      <c r="ESD1723" s="227"/>
      <c r="ESE1723" s="227"/>
      <c r="ESF1723" s="227"/>
      <c r="ESG1723" s="227"/>
      <c r="ESH1723" s="227"/>
      <c r="ESI1723" s="227"/>
      <c r="ESJ1723" s="227"/>
      <c r="ESK1723" s="227"/>
      <c r="ESL1723" s="227"/>
      <c r="ESM1723" s="227"/>
      <c r="ESN1723" s="227"/>
      <c r="ESO1723" s="227"/>
      <c r="ESP1723" s="227"/>
      <c r="ESQ1723" s="227"/>
      <c r="ESR1723" s="227"/>
      <c r="ESS1723" s="227"/>
      <c r="EST1723" s="227"/>
      <c r="ESU1723" s="227"/>
      <c r="ESV1723" s="227"/>
      <c r="ESW1723" s="227"/>
      <c r="ESX1723" s="227"/>
      <c r="ESY1723" s="227"/>
      <c r="ESZ1723" s="227"/>
      <c r="ETA1723" s="227"/>
      <c r="ETB1723" s="227"/>
      <c r="ETC1723" s="227"/>
      <c r="ETD1723" s="227"/>
      <c r="ETE1723" s="227"/>
      <c r="ETF1723" s="227"/>
      <c r="ETG1723" s="227"/>
      <c r="ETH1723" s="227"/>
      <c r="ETI1723" s="227"/>
      <c r="ETJ1723" s="227"/>
      <c r="ETK1723" s="227"/>
      <c r="ETL1723" s="227"/>
      <c r="ETM1723" s="227"/>
      <c r="ETN1723" s="227"/>
      <c r="ETO1723" s="227"/>
      <c r="ETP1723" s="227"/>
      <c r="ETQ1723" s="227"/>
      <c r="ETR1723" s="227"/>
      <c r="ETS1723" s="227"/>
      <c r="ETT1723" s="227"/>
      <c r="ETU1723" s="227"/>
      <c r="ETV1723" s="227"/>
      <c r="ETW1723" s="227"/>
      <c r="ETX1723" s="227"/>
      <c r="ETY1723" s="227"/>
      <c r="ETZ1723" s="227"/>
      <c r="EUA1723" s="227"/>
      <c r="EUB1723" s="227"/>
      <c r="EUC1723" s="227"/>
      <c r="EUD1723" s="227"/>
      <c r="EUE1723" s="227"/>
      <c r="EUF1723" s="227"/>
      <c r="EUG1723" s="227"/>
      <c r="EUH1723" s="227"/>
      <c r="EUI1723" s="227"/>
      <c r="EUJ1723" s="227"/>
      <c r="EUK1723" s="227"/>
      <c r="EUL1723" s="227"/>
      <c r="EUM1723" s="227"/>
      <c r="EUN1723" s="227"/>
      <c r="EUO1723" s="227"/>
      <c r="EUP1723" s="227"/>
      <c r="EUQ1723" s="227"/>
      <c r="EUR1723" s="227"/>
      <c r="EUS1723" s="227"/>
      <c r="EUT1723" s="227"/>
      <c r="EUU1723" s="227"/>
      <c r="EUV1723" s="227"/>
      <c r="EUW1723" s="227"/>
      <c r="EUX1723" s="227"/>
      <c r="EUY1723" s="227"/>
      <c r="EUZ1723" s="227"/>
      <c r="EVA1723" s="227"/>
      <c r="EVB1723" s="227"/>
      <c r="EVC1723" s="227"/>
      <c r="EVD1723" s="227"/>
      <c r="EVE1723" s="227"/>
      <c r="EVF1723" s="227"/>
      <c r="EVG1723" s="227"/>
      <c r="EVH1723" s="227"/>
      <c r="EVI1723" s="227"/>
      <c r="EVJ1723" s="227"/>
      <c r="EVK1723" s="227"/>
      <c r="EVL1723" s="227"/>
      <c r="EVM1723" s="227"/>
      <c r="EVN1723" s="227"/>
      <c r="EVO1723" s="227"/>
      <c r="EVP1723" s="227"/>
      <c r="EVQ1723" s="227"/>
      <c r="EVR1723" s="227"/>
      <c r="EVS1723" s="227"/>
      <c r="EVT1723" s="227"/>
      <c r="EVU1723" s="227"/>
      <c r="EVV1723" s="227"/>
      <c r="EVW1723" s="227"/>
      <c r="EVX1723" s="227"/>
      <c r="EVY1723" s="227"/>
      <c r="EVZ1723" s="227"/>
      <c r="EWA1723" s="227"/>
      <c r="EWB1723" s="227"/>
      <c r="EWC1723" s="227"/>
      <c r="EWD1723" s="227"/>
      <c r="EWE1723" s="227"/>
      <c r="EWF1723" s="227"/>
      <c r="EWG1723" s="227"/>
      <c r="EWH1723" s="227"/>
      <c r="EWI1723" s="227"/>
      <c r="EWJ1723" s="227"/>
      <c r="EWK1723" s="227"/>
      <c r="EWL1723" s="227"/>
      <c r="EWM1723" s="227"/>
      <c r="EWN1723" s="227"/>
      <c r="EWO1723" s="227"/>
      <c r="EWP1723" s="227"/>
      <c r="EWQ1723" s="227"/>
      <c r="EWR1723" s="227"/>
      <c r="EWS1723" s="227"/>
      <c r="EWT1723" s="227"/>
      <c r="EWU1723" s="227"/>
      <c r="EWV1723" s="227"/>
      <c r="EWW1723" s="227"/>
      <c r="EWX1723" s="227"/>
      <c r="EWY1723" s="227"/>
      <c r="EWZ1723" s="227"/>
      <c r="EXA1723" s="227"/>
      <c r="EXB1723" s="227"/>
      <c r="EXC1723" s="227"/>
      <c r="EXD1723" s="227"/>
      <c r="EXE1723" s="227"/>
      <c r="EXF1723" s="227"/>
      <c r="EXG1723" s="227"/>
      <c r="EXH1723" s="227"/>
      <c r="EXI1723" s="227"/>
      <c r="EXJ1723" s="227"/>
      <c r="EXK1723" s="227"/>
      <c r="EXL1723" s="227"/>
      <c r="EXM1723" s="227"/>
      <c r="EXN1723" s="227"/>
      <c r="EXO1723" s="227"/>
      <c r="EXP1723" s="227"/>
      <c r="EXQ1723" s="227"/>
      <c r="EXR1723" s="227"/>
      <c r="EXS1723" s="227"/>
      <c r="EXT1723" s="227"/>
      <c r="EXU1723" s="227"/>
      <c r="EXV1723" s="227"/>
      <c r="EXW1723" s="227"/>
      <c r="EXX1723" s="227"/>
      <c r="EXY1723" s="227"/>
      <c r="EXZ1723" s="227"/>
      <c r="EYA1723" s="227"/>
      <c r="EYB1723" s="227"/>
      <c r="EYC1723" s="227"/>
      <c r="EYD1723" s="227"/>
      <c r="EYE1723" s="227"/>
      <c r="EYF1723" s="227"/>
      <c r="EYG1723" s="227"/>
      <c r="EYH1723" s="227"/>
      <c r="EYI1723" s="227"/>
      <c r="EYJ1723" s="227"/>
      <c r="EYK1723" s="227"/>
      <c r="EYL1723" s="227"/>
      <c r="EYM1723" s="227"/>
      <c r="EYN1723" s="227"/>
      <c r="EYO1723" s="227"/>
      <c r="EYP1723" s="227"/>
      <c r="EYQ1723" s="227"/>
      <c r="EYR1723" s="227"/>
      <c r="EYS1723" s="227"/>
      <c r="EYT1723" s="227"/>
      <c r="EYU1723" s="227"/>
      <c r="EYV1723" s="227"/>
      <c r="EYW1723" s="227"/>
      <c r="EYX1723" s="227"/>
      <c r="EYY1723" s="227"/>
      <c r="EYZ1723" s="227"/>
      <c r="EZA1723" s="227"/>
      <c r="EZB1723" s="227"/>
      <c r="EZC1723" s="227"/>
      <c r="EZD1723" s="227"/>
      <c r="EZE1723" s="227"/>
      <c r="EZF1723" s="227"/>
      <c r="EZG1723" s="227"/>
      <c r="EZH1723" s="227"/>
      <c r="EZI1723" s="227"/>
      <c r="EZJ1723" s="227"/>
      <c r="EZK1723" s="227"/>
      <c r="EZL1723" s="227"/>
      <c r="EZM1723" s="227"/>
      <c r="EZN1723" s="227"/>
      <c r="EZO1723" s="227"/>
      <c r="EZP1723" s="227"/>
      <c r="EZQ1723" s="227"/>
      <c r="EZR1723" s="227"/>
      <c r="EZS1723" s="227"/>
      <c r="EZT1723" s="227"/>
      <c r="EZU1723" s="227"/>
      <c r="EZV1723" s="227"/>
      <c r="EZW1723" s="227"/>
      <c r="EZX1723" s="227"/>
      <c r="EZY1723" s="227"/>
      <c r="EZZ1723" s="227"/>
      <c r="FAA1723" s="227"/>
      <c r="FAB1723" s="227"/>
      <c r="FAC1723" s="227"/>
      <c r="FAD1723" s="227"/>
      <c r="FAE1723" s="227"/>
      <c r="FAF1723" s="227"/>
      <c r="FAG1723" s="227"/>
      <c r="FAH1723" s="227"/>
      <c r="FAI1723" s="227"/>
      <c r="FAJ1723" s="227"/>
      <c r="FAK1723" s="227"/>
      <c r="FAL1723" s="227"/>
      <c r="FAM1723" s="227"/>
      <c r="FAN1723" s="227"/>
      <c r="FAO1723" s="227"/>
      <c r="FAP1723" s="227"/>
      <c r="FAQ1723" s="227"/>
      <c r="FAR1723" s="227"/>
      <c r="FAS1723" s="227"/>
      <c r="FAT1723" s="227"/>
      <c r="FAU1723" s="227"/>
      <c r="FAV1723" s="227"/>
      <c r="FAW1723" s="227"/>
      <c r="FAX1723" s="227"/>
      <c r="FAY1723" s="227"/>
      <c r="FAZ1723" s="227"/>
      <c r="FBA1723" s="227"/>
      <c r="FBB1723" s="227"/>
      <c r="FBC1723" s="227"/>
      <c r="FBD1723" s="227"/>
      <c r="FBE1723" s="227"/>
      <c r="FBF1723" s="227"/>
      <c r="FBG1723" s="227"/>
      <c r="FBH1723" s="227"/>
      <c r="FBI1723" s="227"/>
      <c r="FBJ1723" s="227"/>
      <c r="FBK1723" s="227"/>
      <c r="FBL1723" s="227"/>
      <c r="FBM1723" s="227"/>
      <c r="FBN1723" s="227"/>
      <c r="FBO1723" s="227"/>
      <c r="FBP1723" s="227"/>
      <c r="FBQ1723" s="227"/>
      <c r="FBR1723" s="227"/>
      <c r="FBS1723" s="227"/>
      <c r="FBT1723" s="227"/>
      <c r="FBU1723" s="227"/>
      <c r="FBV1723" s="227"/>
      <c r="FBW1723" s="227"/>
      <c r="FBX1723" s="227"/>
      <c r="FBY1723" s="227"/>
      <c r="FBZ1723" s="227"/>
      <c r="FCA1723" s="227"/>
      <c r="FCB1723" s="227"/>
      <c r="FCC1723" s="227"/>
      <c r="FCD1723" s="227"/>
      <c r="FCE1723" s="227"/>
      <c r="FCF1723" s="227"/>
      <c r="FCG1723" s="227"/>
      <c r="FCH1723" s="227"/>
      <c r="FCI1723" s="227"/>
      <c r="FCJ1723" s="227"/>
      <c r="FCK1723" s="227"/>
      <c r="FCL1723" s="227"/>
      <c r="FCM1723" s="227"/>
      <c r="FCN1723" s="227"/>
      <c r="FCO1723" s="227"/>
      <c r="FCP1723" s="227"/>
      <c r="FCQ1723" s="227"/>
      <c r="FCR1723" s="227"/>
      <c r="FCS1723" s="227"/>
      <c r="FCT1723" s="227"/>
      <c r="FCU1723" s="227"/>
      <c r="FCV1723" s="227"/>
      <c r="FCW1723" s="227"/>
      <c r="FCX1723" s="227"/>
      <c r="FCY1723" s="227"/>
      <c r="FCZ1723" s="227"/>
      <c r="FDA1723" s="227"/>
      <c r="FDB1723" s="227"/>
      <c r="FDC1723" s="227"/>
      <c r="FDD1723" s="227"/>
      <c r="FDE1723" s="227"/>
      <c r="FDF1723" s="227"/>
      <c r="FDG1723" s="227"/>
      <c r="FDH1723" s="227"/>
      <c r="FDI1723" s="227"/>
      <c r="FDJ1723" s="227"/>
      <c r="FDK1723" s="227"/>
      <c r="FDL1723" s="227"/>
      <c r="FDM1723" s="227"/>
      <c r="FDN1723" s="227"/>
      <c r="FDO1723" s="227"/>
      <c r="FDP1723" s="227"/>
      <c r="FDQ1723" s="227"/>
      <c r="FDR1723" s="227"/>
      <c r="FDS1723" s="227"/>
      <c r="FDT1723" s="227"/>
      <c r="FDU1723" s="227"/>
      <c r="FDV1723" s="227"/>
      <c r="FDW1723" s="227"/>
      <c r="FDX1723" s="227"/>
      <c r="FDY1723" s="227"/>
      <c r="FDZ1723" s="227"/>
      <c r="FEA1723" s="227"/>
      <c r="FEB1723" s="227"/>
      <c r="FEC1723" s="227"/>
      <c r="FED1723" s="227"/>
      <c r="FEE1723" s="227"/>
      <c r="FEF1723" s="227"/>
      <c r="FEG1723" s="227"/>
      <c r="FEH1723" s="227"/>
      <c r="FEI1723" s="227"/>
      <c r="FEJ1723" s="227"/>
      <c r="FEK1723" s="227"/>
      <c r="FEL1723" s="227"/>
      <c r="FEM1723" s="227"/>
      <c r="FEN1723" s="227"/>
      <c r="FEO1723" s="227"/>
      <c r="FEP1723" s="227"/>
      <c r="FEQ1723" s="227"/>
      <c r="FER1723" s="227"/>
      <c r="FES1723" s="227"/>
      <c r="FET1723" s="227"/>
      <c r="FEU1723" s="227"/>
      <c r="FEV1723" s="227"/>
      <c r="FEW1723" s="227"/>
      <c r="FEX1723" s="227"/>
      <c r="FEY1723" s="227"/>
      <c r="FEZ1723" s="227"/>
      <c r="FFA1723" s="227"/>
      <c r="FFB1723" s="227"/>
      <c r="FFC1723" s="227"/>
      <c r="FFD1723" s="227"/>
      <c r="FFE1723" s="227"/>
      <c r="FFF1723" s="227"/>
      <c r="FFG1723" s="227"/>
      <c r="FFH1723" s="227"/>
      <c r="FFI1723" s="227"/>
      <c r="FFJ1723" s="227"/>
      <c r="FFK1723" s="227"/>
      <c r="FFL1723" s="227"/>
      <c r="FFM1723" s="227"/>
      <c r="FFN1723" s="227"/>
      <c r="FFO1723" s="227"/>
      <c r="FFP1723" s="227"/>
      <c r="FFQ1723" s="227"/>
      <c r="FFR1723" s="227"/>
      <c r="FFS1723" s="227"/>
      <c r="FFT1723" s="227"/>
      <c r="FFU1723" s="227"/>
      <c r="FFV1723" s="227"/>
      <c r="FFW1723" s="227"/>
      <c r="FFX1723" s="227"/>
      <c r="FFY1723" s="227"/>
      <c r="FFZ1723" s="227"/>
      <c r="FGA1723" s="227"/>
      <c r="FGB1723" s="227"/>
      <c r="FGC1723" s="227"/>
      <c r="FGD1723" s="227"/>
      <c r="FGE1723" s="227"/>
      <c r="FGF1723" s="227"/>
      <c r="FGG1723" s="227"/>
      <c r="FGH1723" s="227"/>
      <c r="FGI1723" s="227"/>
      <c r="FGJ1723" s="227"/>
      <c r="FGK1723" s="227"/>
      <c r="FGL1723" s="227"/>
      <c r="FGM1723" s="227"/>
      <c r="FGN1723" s="227"/>
      <c r="FGO1723" s="227"/>
      <c r="FGP1723" s="227"/>
      <c r="FGQ1723" s="227"/>
      <c r="FGR1723" s="227"/>
      <c r="FGS1723" s="227"/>
      <c r="FGT1723" s="227"/>
      <c r="FGU1723" s="227"/>
      <c r="FGV1723" s="227"/>
      <c r="FGW1723" s="227"/>
      <c r="FGX1723" s="227"/>
      <c r="FGY1723" s="227"/>
      <c r="FGZ1723" s="227"/>
      <c r="FHA1723" s="227"/>
      <c r="FHB1723" s="227"/>
      <c r="FHC1723" s="227"/>
      <c r="FHD1723" s="227"/>
      <c r="FHE1723" s="227"/>
      <c r="FHF1723" s="227"/>
      <c r="FHG1723" s="227"/>
      <c r="FHH1723" s="227"/>
      <c r="FHI1723" s="227"/>
      <c r="FHJ1723" s="227"/>
      <c r="FHK1723" s="227"/>
      <c r="FHL1723" s="227"/>
      <c r="FHM1723" s="227"/>
      <c r="FHN1723" s="227"/>
      <c r="FHO1723" s="227"/>
      <c r="FHP1723" s="227"/>
      <c r="FHQ1723" s="227"/>
      <c r="FHR1723" s="227"/>
      <c r="FHS1723" s="227"/>
      <c r="FHT1723" s="227"/>
      <c r="FHU1723" s="227"/>
      <c r="FHV1723" s="227"/>
      <c r="FHW1723" s="227"/>
      <c r="FHX1723" s="227"/>
      <c r="FHY1723" s="227"/>
      <c r="FHZ1723" s="227"/>
      <c r="FIA1723" s="227"/>
      <c r="FIB1723" s="227"/>
      <c r="FIC1723" s="227"/>
      <c r="FID1723" s="227"/>
      <c r="FIE1723" s="227"/>
      <c r="FIF1723" s="227"/>
      <c r="FIG1723" s="227"/>
      <c r="FIH1723" s="227"/>
      <c r="FII1723" s="227"/>
      <c r="FIJ1723" s="227"/>
      <c r="FIK1723" s="227"/>
      <c r="FIL1723" s="227"/>
      <c r="FIM1723" s="227"/>
      <c r="FIN1723" s="227"/>
      <c r="FIO1723" s="227"/>
      <c r="FIP1723" s="227"/>
      <c r="FIQ1723" s="227"/>
      <c r="FIR1723" s="227"/>
      <c r="FIS1723" s="227"/>
      <c r="FIT1723" s="227"/>
      <c r="FIU1723" s="227"/>
      <c r="FIV1723" s="227"/>
      <c r="FIW1723" s="227"/>
      <c r="FIX1723" s="227"/>
      <c r="FIY1723" s="227"/>
      <c r="FIZ1723" s="227"/>
      <c r="FJA1723" s="227"/>
      <c r="FJB1723" s="227"/>
      <c r="FJC1723" s="227"/>
      <c r="FJD1723" s="227"/>
      <c r="FJE1723" s="227"/>
      <c r="FJF1723" s="227"/>
      <c r="FJG1723" s="227"/>
      <c r="FJH1723" s="227"/>
      <c r="FJI1723" s="227"/>
      <c r="FJJ1723" s="227"/>
      <c r="FJK1723" s="227"/>
      <c r="FJL1723" s="227"/>
      <c r="FJM1723" s="227"/>
      <c r="FJN1723" s="227"/>
      <c r="FJO1723" s="227"/>
      <c r="FJP1723" s="227"/>
      <c r="FJQ1723" s="227"/>
      <c r="FJR1723" s="227"/>
      <c r="FJS1723" s="227"/>
      <c r="FJT1723" s="227"/>
      <c r="FJU1723" s="227"/>
      <c r="FJV1723" s="227"/>
      <c r="FJW1723" s="227"/>
      <c r="FJX1723" s="227"/>
      <c r="FJY1723" s="227"/>
      <c r="FJZ1723" s="227"/>
      <c r="FKA1723" s="227"/>
      <c r="FKB1723" s="227"/>
      <c r="FKC1723" s="227"/>
      <c r="FKD1723" s="227"/>
      <c r="FKE1723" s="227"/>
      <c r="FKF1723" s="227"/>
      <c r="FKG1723" s="227"/>
      <c r="FKH1723" s="227"/>
      <c r="FKI1723" s="227"/>
      <c r="FKJ1723" s="227"/>
      <c r="FKK1723" s="227"/>
      <c r="FKL1723" s="227"/>
      <c r="FKM1723" s="227"/>
      <c r="FKN1723" s="227"/>
      <c r="FKO1723" s="227"/>
      <c r="FKP1723" s="227"/>
      <c r="FKQ1723" s="227"/>
      <c r="FKR1723" s="227"/>
      <c r="FKS1723" s="227"/>
      <c r="FKT1723" s="227"/>
      <c r="FKU1723" s="227"/>
      <c r="FKV1723" s="227"/>
      <c r="FKW1723" s="227"/>
      <c r="FKX1723" s="227"/>
      <c r="FKY1723" s="227"/>
      <c r="FKZ1723" s="227"/>
      <c r="FLA1723" s="227"/>
      <c r="FLB1723" s="227"/>
      <c r="FLC1723" s="227"/>
      <c r="FLD1723" s="227"/>
      <c r="FLE1723" s="227"/>
      <c r="FLF1723" s="227"/>
      <c r="FLG1723" s="227"/>
      <c r="FLH1723" s="227"/>
      <c r="FLI1723" s="227"/>
      <c r="FLJ1723" s="227"/>
      <c r="FLK1723" s="227"/>
      <c r="FLL1723" s="227"/>
      <c r="FLM1723" s="227"/>
      <c r="FLN1723" s="227"/>
      <c r="FLO1723" s="227"/>
      <c r="FLP1723" s="227"/>
      <c r="FLQ1723" s="227"/>
      <c r="FLR1723" s="227"/>
      <c r="FLS1723" s="227"/>
      <c r="FLT1723" s="227"/>
      <c r="FLU1723" s="227"/>
      <c r="FLV1723" s="227"/>
      <c r="FLW1723" s="227"/>
      <c r="FLX1723" s="227"/>
      <c r="FLY1723" s="227"/>
      <c r="FLZ1723" s="227"/>
      <c r="FMA1723" s="227"/>
      <c r="FMB1723" s="227"/>
      <c r="FMC1723" s="227"/>
      <c r="FMD1723" s="227"/>
      <c r="FME1723" s="227"/>
      <c r="FMF1723" s="227"/>
      <c r="FMG1723" s="227"/>
      <c r="FMH1723" s="227"/>
      <c r="FMI1723" s="227"/>
      <c r="FMJ1723" s="227"/>
      <c r="FMK1723" s="227"/>
      <c r="FML1723" s="227"/>
      <c r="FMM1723" s="227"/>
      <c r="FMN1723" s="227"/>
      <c r="FMO1723" s="227"/>
      <c r="FMP1723" s="227"/>
      <c r="FMQ1723" s="227"/>
      <c r="FMR1723" s="227"/>
      <c r="FMS1723" s="227"/>
      <c r="FMT1723" s="227"/>
      <c r="FMU1723" s="227"/>
      <c r="FMV1723" s="227"/>
      <c r="FMW1723" s="227"/>
      <c r="FMX1723" s="227"/>
      <c r="FMY1723" s="227"/>
      <c r="FMZ1723" s="227"/>
      <c r="FNA1723" s="227"/>
      <c r="FNB1723" s="227"/>
      <c r="FNC1723" s="227"/>
      <c r="FND1723" s="227"/>
      <c r="FNE1723" s="227"/>
      <c r="FNF1723" s="227"/>
      <c r="FNG1723" s="227"/>
      <c r="FNH1723" s="227"/>
      <c r="FNI1723" s="227"/>
      <c r="FNJ1723" s="227"/>
      <c r="FNK1723" s="227"/>
      <c r="FNL1723" s="227"/>
      <c r="FNM1723" s="227"/>
      <c r="FNN1723" s="227"/>
      <c r="FNO1723" s="227"/>
      <c r="FNP1723" s="227"/>
      <c r="FNQ1723" s="227"/>
      <c r="FNR1723" s="227"/>
      <c r="FNS1723" s="227"/>
      <c r="FNT1723" s="227"/>
      <c r="FNU1723" s="227"/>
      <c r="FNV1723" s="227"/>
      <c r="FNW1723" s="227"/>
      <c r="FNX1723" s="227"/>
      <c r="FNY1723" s="227"/>
      <c r="FNZ1723" s="227"/>
      <c r="FOA1723" s="227"/>
      <c r="FOB1723" s="227"/>
      <c r="FOC1723" s="227"/>
      <c r="FOD1723" s="227"/>
      <c r="FOE1723" s="227"/>
      <c r="FOF1723" s="227"/>
      <c r="FOG1723" s="227"/>
      <c r="FOH1723" s="227"/>
      <c r="FOI1723" s="227"/>
      <c r="FOJ1723" s="227"/>
      <c r="FOK1723" s="227"/>
      <c r="FOL1723" s="227"/>
      <c r="FOM1723" s="227"/>
      <c r="FON1723" s="227"/>
      <c r="FOO1723" s="227"/>
      <c r="FOP1723" s="227"/>
      <c r="FOQ1723" s="227"/>
      <c r="FOR1723" s="227"/>
      <c r="FOS1723" s="227"/>
      <c r="FOT1723" s="227"/>
      <c r="FOU1723" s="227"/>
      <c r="FOV1723" s="227"/>
      <c r="FOW1723" s="227"/>
      <c r="FOX1723" s="227"/>
      <c r="FOY1723" s="227"/>
      <c r="FOZ1723" s="227"/>
      <c r="FPA1723" s="227"/>
      <c r="FPB1723" s="227"/>
      <c r="FPC1723" s="227"/>
      <c r="FPD1723" s="227"/>
      <c r="FPE1723" s="227"/>
      <c r="FPF1723" s="227"/>
      <c r="FPG1723" s="227"/>
      <c r="FPH1723" s="227"/>
      <c r="FPI1723" s="227"/>
      <c r="FPJ1723" s="227"/>
      <c r="FPK1723" s="227"/>
      <c r="FPL1723" s="227"/>
      <c r="FPM1723" s="227"/>
      <c r="FPN1723" s="227"/>
      <c r="FPO1723" s="227"/>
      <c r="FPP1723" s="227"/>
      <c r="FPQ1723" s="227"/>
      <c r="FPR1723" s="227"/>
      <c r="FPS1723" s="227"/>
      <c r="FPT1723" s="227"/>
      <c r="FPU1723" s="227"/>
      <c r="FPV1723" s="227"/>
      <c r="FPW1723" s="227"/>
      <c r="FPX1723" s="227"/>
      <c r="FPY1723" s="227"/>
      <c r="FPZ1723" s="227"/>
      <c r="FQA1723" s="227"/>
      <c r="FQB1723" s="227"/>
      <c r="FQC1723" s="227"/>
      <c r="FQD1723" s="227"/>
      <c r="FQE1723" s="227"/>
      <c r="FQF1723" s="227"/>
      <c r="FQG1723" s="227"/>
      <c r="FQH1723" s="227"/>
      <c r="FQI1723" s="227"/>
      <c r="FQJ1723" s="227"/>
      <c r="FQK1723" s="227"/>
      <c r="FQL1723" s="227"/>
      <c r="FQM1723" s="227"/>
      <c r="FQN1723" s="227"/>
      <c r="FQO1723" s="227"/>
      <c r="FQP1723" s="227"/>
      <c r="FQQ1723" s="227"/>
      <c r="FQR1723" s="227"/>
      <c r="FQS1723" s="227"/>
      <c r="FQT1723" s="227"/>
      <c r="FQU1723" s="227"/>
      <c r="FQV1723" s="227"/>
      <c r="FQW1723" s="227"/>
      <c r="FQX1723" s="227"/>
      <c r="FQY1723" s="227"/>
      <c r="FQZ1723" s="227"/>
      <c r="FRA1723" s="227"/>
      <c r="FRB1723" s="227"/>
      <c r="FRC1723" s="227"/>
      <c r="FRD1723" s="227"/>
      <c r="FRE1723" s="227"/>
      <c r="FRF1723" s="227"/>
      <c r="FRG1723" s="227"/>
      <c r="FRH1723" s="227"/>
      <c r="FRI1723" s="227"/>
      <c r="FRJ1723" s="227"/>
      <c r="FRK1723" s="227"/>
      <c r="FRL1723" s="227"/>
      <c r="FRM1723" s="227"/>
      <c r="FRN1723" s="227"/>
      <c r="FRO1723" s="227"/>
      <c r="FRP1723" s="227"/>
      <c r="FRQ1723" s="227"/>
      <c r="FRR1723" s="227"/>
      <c r="FRS1723" s="227"/>
      <c r="FRT1723" s="227"/>
      <c r="FRU1723" s="227"/>
      <c r="FRV1723" s="227"/>
      <c r="FRW1723" s="227"/>
      <c r="FRX1723" s="227"/>
      <c r="FRY1723" s="227"/>
      <c r="FRZ1723" s="227"/>
      <c r="FSA1723" s="227"/>
      <c r="FSB1723" s="227"/>
      <c r="FSC1723" s="227"/>
      <c r="FSD1723" s="227"/>
      <c r="FSE1723" s="227"/>
      <c r="FSF1723" s="227"/>
      <c r="FSG1723" s="227"/>
      <c r="FSH1723" s="227"/>
      <c r="FSI1723" s="227"/>
      <c r="FSJ1723" s="227"/>
      <c r="FSK1723" s="227"/>
      <c r="FSL1723" s="227"/>
      <c r="FSM1723" s="227"/>
      <c r="FSN1723" s="227"/>
      <c r="FSO1723" s="227"/>
      <c r="FSP1723" s="227"/>
      <c r="FSQ1723" s="227"/>
      <c r="FSR1723" s="227"/>
      <c r="FSS1723" s="227"/>
      <c r="FST1723" s="227"/>
      <c r="FSU1723" s="227"/>
      <c r="FSV1723" s="227"/>
      <c r="FSW1723" s="227"/>
      <c r="FSX1723" s="227"/>
      <c r="FSY1723" s="227"/>
      <c r="FSZ1723" s="227"/>
      <c r="FTA1723" s="227"/>
      <c r="FTB1723" s="227"/>
      <c r="FTC1723" s="227"/>
      <c r="FTD1723" s="227"/>
      <c r="FTE1723" s="227"/>
      <c r="FTF1723" s="227"/>
      <c r="FTG1723" s="227"/>
      <c r="FTH1723" s="227"/>
      <c r="FTI1723" s="227"/>
      <c r="FTJ1723" s="227"/>
      <c r="FTK1723" s="227"/>
      <c r="FTL1723" s="227"/>
      <c r="FTM1723" s="227"/>
      <c r="FTN1723" s="227"/>
      <c r="FTO1723" s="227"/>
      <c r="FTP1723" s="227"/>
      <c r="FTQ1723" s="227"/>
      <c r="FTR1723" s="227"/>
      <c r="FTS1723" s="227"/>
      <c r="FTT1723" s="227"/>
      <c r="FTU1723" s="227"/>
      <c r="FTV1723" s="227"/>
      <c r="FTW1723" s="227"/>
      <c r="FTX1723" s="227"/>
      <c r="FTY1723" s="227"/>
      <c r="FTZ1723" s="227"/>
      <c r="FUA1723" s="227"/>
      <c r="FUB1723" s="227"/>
      <c r="FUC1723" s="227"/>
      <c r="FUD1723" s="227"/>
      <c r="FUE1723" s="227"/>
      <c r="FUF1723" s="227"/>
      <c r="FUG1723" s="227"/>
      <c r="FUH1723" s="227"/>
      <c r="FUI1723" s="227"/>
      <c r="FUJ1723" s="227"/>
      <c r="FUK1723" s="227"/>
      <c r="FUL1723" s="227"/>
      <c r="FUM1723" s="227"/>
      <c r="FUN1723" s="227"/>
      <c r="FUO1723" s="227"/>
      <c r="FUP1723" s="227"/>
      <c r="FUQ1723" s="227"/>
      <c r="FUR1723" s="227"/>
      <c r="FUS1723" s="227"/>
      <c r="FUT1723" s="227"/>
      <c r="FUU1723" s="227"/>
      <c r="FUV1723" s="227"/>
      <c r="FUW1723" s="227"/>
      <c r="FUX1723" s="227"/>
      <c r="FUY1723" s="227"/>
      <c r="FUZ1723" s="227"/>
      <c r="FVA1723" s="227"/>
      <c r="FVB1723" s="227"/>
      <c r="FVC1723" s="227"/>
      <c r="FVD1723" s="227"/>
      <c r="FVE1723" s="227"/>
      <c r="FVF1723" s="227"/>
      <c r="FVG1723" s="227"/>
      <c r="FVH1723" s="227"/>
      <c r="FVI1723" s="227"/>
      <c r="FVJ1723" s="227"/>
      <c r="FVK1723" s="227"/>
      <c r="FVL1723" s="227"/>
      <c r="FVM1723" s="227"/>
      <c r="FVN1723" s="227"/>
      <c r="FVO1723" s="227"/>
      <c r="FVP1723" s="227"/>
      <c r="FVQ1723" s="227"/>
      <c r="FVR1723" s="227"/>
      <c r="FVS1723" s="227"/>
      <c r="FVT1723" s="227"/>
      <c r="FVU1723" s="227"/>
      <c r="FVV1723" s="227"/>
      <c r="FVW1723" s="227"/>
      <c r="FVX1723" s="227"/>
      <c r="FVY1723" s="227"/>
      <c r="FVZ1723" s="227"/>
      <c r="FWA1723" s="227"/>
      <c r="FWB1723" s="227"/>
      <c r="FWC1723" s="227"/>
      <c r="FWD1723" s="227"/>
      <c r="FWE1723" s="227"/>
      <c r="FWF1723" s="227"/>
      <c r="FWG1723" s="227"/>
      <c r="FWH1723" s="227"/>
      <c r="FWI1723" s="227"/>
      <c r="FWJ1723" s="227"/>
      <c r="FWK1723" s="227"/>
      <c r="FWL1723" s="227"/>
      <c r="FWM1723" s="227"/>
      <c r="FWN1723" s="227"/>
      <c r="FWO1723" s="227"/>
      <c r="FWP1723" s="227"/>
      <c r="FWQ1723" s="227"/>
      <c r="FWR1723" s="227"/>
      <c r="FWS1723" s="227"/>
      <c r="FWT1723" s="227"/>
      <c r="FWU1723" s="227"/>
      <c r="FWV1723" s="227"/>
      <c r="FWW1723" s="227"/>
      <c r="FWX1723" s="227"/>
      <c r="FWY1723" s="227"/>
      <c r="FWZ1723" s="227"/>
      <c r="FXA1723" s="227"/>
      <c r="FXB1723" s="227"/>
      <c r="FXC1723" s="227"/>
      <c r="FXD1723" s="227"/>
      <c r="FXE1723" s="227"/>
      <c r="FXF1723" s="227"/>
      <c r="FXG1723" s="227"/>
      <c r="FXH1723" s="227"/>
      <c r="FXI1723" s="227"/>
      <c r="FXJ1723" s="227"/>
      <c r="FXK1723" s="227"/>
      <c r="FXL1723" s="227"/>
      <c r="FXM1723" s="227"/>
      <c r="FXN1723" s="227"/>
      <c r="FXO1723" s="227"/>
      <c r="FXP1723" s="227"/>
      <c r="FXQ1723" s="227"/>
      <c r="FXR1723" s="227"/>
      <c r="FXS1723" s="227"/>
      <c r="FXT1723" s="227"/>
      <c r="FXU1723" s="227"/>
      <c r="FXV1723" s="227"/>
      <c r="FXW1723" s="227"/>
      <c r="FXX1723" s="227"/>
      <c r="FXY1723" s="227"/>
      <c r="FXZ1723" s="227"/>
      <c r="FYA1723" s="227"/>
      <c r="FYB1723" s="227"/>
      <c r="FYC1723" s="227"/>
      <c r="FYD1723" s="227"/>
      <c r="FYE1723" s="227"/>
      <c r="FYF1723" s="227"/>
      <c r="FYG1723" s="227"/>
      <c r="FYH1723" s="227"/>
      <c r="FYI1723" s="227"/>
      <c r="FYJ1723" s="227"/>
      <c r="FYK1723" s="227"/>
      <c r="FYL1723" s="227"/>
      <c r="FYM1723" s="227"/>
      <c r="FYN1723" s="227"/>
      <c r="FYO1723" s="227"/>
      <c r="FYP1723" s="227"/>
      <c r="FYQ1723" s="227"/>
      <c r="FYR1723" s="227"/>
      <c r="FYS1723" s="227"/>
      <c r="FYT1723" s="227"/>
      <c r="FYU1723" s="227"/>
      <c r="FYV1723" s="227"/>
      <c r="FYW1723" s="227"/>
      <c r="FYX1723" s="227"/>
      <c r="FYY1723" s="227"/>
      <c r="FYZ1723" s="227"/>
      <c r="FZA1723" s="227"/>
      <c r="FZB1723" s="227"/>
      <c r="FZC1723" s="227"/>
      <c r="FZD1723" s="227"/>
      <c r="FZE1723" s="227"/>
      <c r="FZF1723" s="227"/>
      <c r="FZG1723" s="227"/>
      <c r="FZH1723" s="227"/>
      <c r="FZI1723" s="227"/>
      <c r="FZJ1723" s="227"/>
      <c r="FZK1723" s="227"/>
      <c r="FZL1723" s="227"/>
      <c r="FZM1723" s="227"/>
      <c r="FZN1723" s="227"/>
      <c r="FZO1723" s="227"/>
      <c r="FZP1723" s="227"/>
      <c r="FZQ1723" s="227"/>
      <c r="FZR1723" s="227"/>
      <c r="FZS1723" s="227"/>
      <c r="FZT1723" s="227"/>
      <c r="FZU1723" s="227"/>
      <c r="FZV1723" s="227"/>
      <c r="FZW1723" s="227"/>
      <c r="FZX1723" s="227"/>
      <c r="FZY1723" s="227"/>
      <c r="FZZ1723" s="227"/>
      <c r="GAA1723" s="227"/>
      <c r="GAB1723" s="227"/>
      <c r="GAC1723" s="227"/>
      <c r="GAD1723" s="227"/>
      <c r="GAE1723" s="227"/>
      <c r="GAF1723" s="227"/>
      <c r="GAG1723" s="227"/>
      <c r="GAH1723" s="227"/>
      <c r="GAI1723" s="227"/>
      <c r="GAJ1723" s="227"/>
      <c r="GAK1723" s="227"/>
      <c r="GAL1723" s="227"/>
      <c r="GAM1723" s="227"/>
      <c r="GAN1723" s="227"/>
      <c r="GAO1723" s="227"/>
      <c r="GAP1723" s="227"/>
      <c r="GAQ1723" s="227"/>
      <c r="GAR1723" s="227"/>
      <c r="GAS1723" s="227"/>
      <c r="GAT1723" s="227"/>
      <c r="GAU1723" s="227"/>
      <c r="GAV1723" s="227"/>
      <c r="GAW1723" s="227"/>
      <c r="GAX1723" s="227"/>
      <c r="GAY1723" s="227"/>
      <c r="GAZ1723" s="227"/>
      <c r="GBA1723" s="227"/>
      <c r="GBB1723" s="227"/>
      <c r="GBC1723" s="227"/>
      <c r="GBD1723" s="227"/>
      <c r="GBE1723" s="227"/>
      <c r="GBF1723" s="227"/>
      <c r="GBG1723" s="227"/>
      <c r="GBH1723" s="227"/>
      <c r="GBI1723" s="227"/>
      <c r="GBJ1723" s="227"/>
      <c r="GBK1723" s="227"/>
      <c r="GBL1723" s="227"/>
      <c r="GBM1723" s="227"/>
      <c r="GBN1723" s="227"/>
      <c r="GBO1723" s="227"/>
      <c r="GBP1723" s="227"/>
      <c r="GBQ1723" s="227"/>
      <c r="GBR1723" s="227"/>
      <c r="GBS1723" s="227"/>
      <c r="GBT1723" s="227"/>
      <c r="GBU1723" s="227"/>
      <c r="GBV1723" s="227"/>
      <c r="GBW1723" s="227"/>
      <c r="GBX1723" s="227"/>
      <c r="GBY1723" s="227"/>
      <c r="GBZ1723" s="227"/>
      <c r="GCA1723" s="227"/>
      <c r="GCB1723" s="227"/>
      <c r="GCC1723" s="227"/>
      <c r="GCD1723" s="227"/>
      <c r="GCE1723" s="227"/>
      <c r="GCF1723" s="227"/>
      <c r="GCG1723" s="227"/>
      <c r="GCH1723" s="227"/>
      <c r="GCI1723" s="227"/>
      <c r="GCJ1723" s="227"/>
      <c r="GCK1723" s="227"/>
      <c r="GCL1723" s="227"/>
      <c r="GCM1723" s="227"/>
      <c r="GCN1723" s="227"/>
      <c r="GCO1723" s="227"/>
      <c r="GCP1723" s="227"/>
      <c r="GCQ1723" s="227"/>
      <c r="GCR1723" s="227"/>
      <c r="GCS1723" s="227"/>
      <c r="GCT1723" s="227"/>
      <c r="GCU1723" s="227"/>
      <c r="GCV1723" s="227"/>
      <c r="GCW1723" s="227"/>
      <c r="GCX1723" s="227"/>
      <c r="GCY1723" s="227"/>
      <c r="GCZ1723" s="227"/>
      <c r="GDA1723" s="227"/>
      <c r="GDB1723" s="227"/>
      <c r="GDC1723" s="227"/>
      <c r="GDD1723" s="227"/>
      <c r="GDE1723" s="227"/>
      <c r="GDF1723" s="227"/>
      <c r="GDG1723" s="227"/>
      <c r="GDH1723" s="227"/>
      <c r="GDI1723" s="227"/>
      <c r="GDJ1723" s="227"/>
      <c r="GDK1723" s="227"/>
      <c r="GDL1723" s="227"/>
      <c r="GDM1723" s="227"/>
      <c r="GDN1723" s="227"/>
      <c r="GDO1723" s="227"/>
      <c r="GDP1723" s="227"/>
      <c r="GDQ1723" s="227"/>
      <c r="GDR1723" s="227"/>
      <c r="GDS1723" s="227"/>
      <c r="GDT1723" s="227"/>
      <c r="GDU1723" s="227"/>
      <c r="GDV1723" s="227"/>
      <c r="GDW1723" s="227"/>
      <c r="GDX1723" s="227"/>
      <c r="GDY1723" s="227"/>
      <c r="GDZ1723" s="227"/>
      <c r="GEA1723" s="227"/>
      <c r="GEB1723" s="227"/>
      <c r="GEC1723" s="227"/>
      <c r="GED1723" s="227"/>
      <c r="GEE1723" s="227"/>
      <c r="GEF1723" s="227"/>
      <c r="GEG1723" s="227"/>
      <c r="GEH1723" s="227"/>
      <c r="GEI1723" s="227"/>
      <c r="GEJ1723" s="227"/>
      <c r="GEK1723" s="227"/>
      <c r="GEL1723" s="227"/>
      <c r="GEM1723" s="227"/>
      <c r="GEN1723" s="227"/>
      <c r="GEO1723" s="227"/>
      <c r="GEP1723" s="227"/>
      <c r="GEQ1723" s="227"/>
      <c r="GER1723" s="227"/>
      <c r="GES1723" s="227"/>
      <c r="GET1723" s="227"/>
      <c r="GEU1723" s="227"/>
      <c r="GEV1723" s="227"/>
      <c r="GEW1723" s="227"/>
      <c r="GEX1723" s="227"/>
      <c r="GEY1723" s="227"/>
      <c r="GEZ1723" s="227"/>
      <c r="GFA1723" s="227"/>
      <c r="GFB1723" s="227"/>
      <c r="GFC1723" s="227"/>
      <c r="GFD1723" s="227"/>
      <c r="GFE1723" s="227"/>
      <c r="GFF1723" s="227"/>
      <c r="GFG1723" s="227"/>
      <c r="GFH1723" s="227"/>
      <c r="GFI1723" s="227"/>
      <c r="GFJ1723" s="227"/>
      <c r="GFK1723" s="227"/>
      <c r="GFL1723" s="227"/>
      <c r="GFM1723" s="227"/>
      <c r="GFN1723" s="227"/>
      <c r="GFO1723" s="227"/>
      <c r="GFP1723" s="227"/>
      <c r="GFQ1723" s="227"/>
      <c r="GFR1723" s="227"/>
      <c r="GFS1723" s="227"/>
      <c r="GFT1723" s="227"/>
      <c r="GFU1723" s="227"/>
      <c r="GFV1723" s="227"/>
      <c r="GFW1723" s="227"/>
      <c r="GFX1723" s="227"/>
      <c r="GFY1723" s="227"/>
      <c r="GFZ1723" s="227"/>
      <c r="GGA1723" s="227"/>
      <c r="GGB1723" s="227"/>
      <c r="GGC1723" s="227"/>
      <c r="GGD1723" s="227"/>
      <c r="GGE1723" s="227"/>
      <c r="GGF1723" s="227"/>
      <c r="GGG1723" s="227"/>
      <c r="GGH1723" s="227"/>
      <c r="GGI1723" s="227"/>
      <c r="GGJ1723" s="227"/>
      <c r="GGK1723" s="227"/>
      <c r="GGL1723" s="227"/>
      <c r="GGM1723" s="227"/>
      <c r="GGN1723" s="227"/>
      <c r="GGO1723" s="227"/>
      <c r="GGP1723" s="227"/>
      <c r="GGQ1723" s="227"/>
      <c r="GGR1723" s="227"/>
      <c r="GGS1723" s="227"/>
      <c r="GGT1723" s="227"/>
      <c r="GGU1723" s="227"/>
      <c r="GGV1723" s="227"/>
      <c r="GGW1723" s="227"/>
      <c r="GGX1723" s="227"/>
      <c r="GGY1723" s="227"/>
      <c r="GGZ1723" s="227"/>
      <c r="GHA1723" s="227"/>
      <c r="GHB1723" s="227"/>
      <c r="GHC1723" s="227"/>
      <c r="GHD1723" s="227"/>
      <c r="GHE1723" s="227"/>
      <c r="GHF1723" s="227"/>
      <c r="GHG1723" s="227"/>
      <c r="GHH1723" s="227"/>
      <c r="GHI1723" s="227"/>
      <c r="GHJ1723" s="227"/>
      <c r="GHK1723" s="227"/>
      <c r="GHL1723" s="227"/>
      <c r="GHM1723" s="227"/>
      <c r="GHN1723" s="227"/>
      <c r="GHO1723" s="227"/>
      <c r="GHP1723" s="227"/>
      <c r="GHQ1723" s="227"/>
      <c r="GHR1723" s="227"/>
      <c r="GHS1723" s="227"/>
      <c r="GHT1723" s="227"/>
      <c r="GHU1723" s="227"/>
      <c r="GHV1723" s="227"/>
      <c r="GHW1723" s="227"/>
      <c r="GHX1723" s="227"/>
      <c r="GHY1723" s="227"/>
      <c r="GHZ1723" s="227"/>
      <c r="GIA1723" s="227"/>
      <c r="GIB1723" s="227"/>
      <c r="GIC1723" s="227"/>
      <c r="GID1723" s="227"/>
      <c r="GIE1723" s="227"/>
      <c r="GIF1723" s="227"/>
      <c r="GIG1723" s="227"/>
      <c r="GIH1723" s="227"/>
      <c r="GII1723" s="227"/>
      <c r="GIJ1723" s="227"/>
      <c r="GIK1723" s="227"/>
      <c r="GIL1723" s="227"/>
      <c r="GIM1723" s="227"/>
      <c r="GIN1723" s="227"/>
      <c r="GIO1723" s="227"/>
      <c r="GIP1723" s="227"/>
      <c r="GIQ1723" s="227"/>
      <c r="GIR1723" s="227"/>
      <c r="GIS1723" s="227"/>
      <c r="GIT1723" s="227"/>
      <c r="GIU1723" s="227"/>
      <c r="GIV1723" s="227"/>
      <c r="GIW1723" s="227"/>
      <c r="GIX1723" s="227"/>
      <c r="GIY1723" s="227"/>
      <c r="GIZ1723" s="227"/>
      <c r="GJA1723" s="227"/>
      <c r="GJB1723" s="227"/>
      <c r="GJC1723" s="227"/>
      <c r="GJD1723" s="227"/>
      <c r="GJE1723" s="227"/>
      <c r="GJF1723" s="227"/>
      <c r="GJG1723" s="227"/>
      <c r="GJH1723" s="227"/>
      <c r="GJI1723" s="227"/>
      <c r="GJJ1723" s="227"/>
      <c r="GJK1723" s="227"/>
      <c r="GJL1723" s="227"/>
      <c r="GJM1723" s="227"/>
      <c r="GJN1723" s="227"/>
      <c r="GJO1723" s="227"/>
      <c r="GJP1723" s="227"/>
      <c r="GJQ1723" s="227"/>
      <c r="GJR1723" s="227"/>
      <c r="GJS1723" s="227"/>
      <c r="GJT1723" s="227"/>
      <c r="GJU1723" s="227"/>
      <c r="GJV1723" s="227"/>
      <c r="GJW1723" s="227"/>
      <c r="GJX1723" s="227"/>
      <c r="GJY1723" s="227"/>
      <c r="GJZ1723" s="227"/>
      <c r="GKA1723" s="227"/>
      <c r="GKB1723" s="227"/>
      <c r="GKC1723" s="227"/>
      <c r="GKD1723" s="227"/>
      <c r="GKE1723" s="227"/>
      <c r="GKF1723" s="227"/>
      <c r="GKG1723" s="227"/>
      <c r="GKH1723" s="227"/>
      <c r="GKI1723" s="227"/>
      <c r="GKJ1723" s="227"/>
      <c r="GKK1723" s="227"/>
      <c r="GKL1723" s="227"/>
      <c r="GKM1723" s="227"/>
      <c r="GKN1723" s="227"/>
      <c r="GKO1723" s="227"/>
      <c r="GKP1723" s="227"/>
      <c r="GKQ1723" s="227"/>
      <c r="GKR1723" s="227"/>
      <c r="GKS1723" s="227"/>
      <c r="GKT1723" s="227"/>
      <c r="GKU1723" s="227"/>
      <c r="GKV1723" s="227"/>
      <c r="GKW1723" s="227"/>
      <c r="GKX1723" s="227"/>
      <c r="GKY1723" s="227"/>
      <c r="GKZ1723" s="227"/>
      <c r="GLA1723" s="227"/>
      <c r="GLB1723" s="227"/>
      <c r="GLC1723" s="227"/>
      <c r="GLD1723" s="227"/>
      <c r="GLE1723" s="227"/>
      <c r="GLF1723" s="227"/>
      <c r="GLG1723" s="227"/>
      <c r="GLH1723" s="227"/>
      <c r="GLI1723" s="227"/>
      <c r="GLJ1723" s="227"/>
      <c r="GLK1723" s="227"/>
      <c r="GLL1723" s="227"/>
      <c r="GLM1723" s="227"/>
      <c r="GLN1723" s="227"/>
      <c r="GLO1723" s="227"/>
      <c r="GLP1723" s="227"/>
      <c r="GLQ1723" s="227"/>
      <c r="GLR1723" s="227"/>
      <c r="GLS1723" s="227"/>
      <c r="GLT1723" s="227"/>
      <c r="GLU1723" s="227"/>
      <c r="GLV1723" s="227"/>
      <c r="GLW1723" s="227"/>
      <c r="GLX1723" s="227"/>
      <c r="GLY1723" s="227"/>
      <c r="GLZ1723" s="227"/>
      <c r="GMA1723" s="227"/>
      <c r="GMB1723" s="227"/>
      <c r="GMC1723" s="227"/>
      <c r="GMD1723" s="227"/>
      <c r="GME1723" s="227"/>
      <c r="GMF1723" s="227"/>
      <c r="GMG1723" s="227"/>
      <c r="GMH1723" s="227"/>
      <c r="GMI1723" s="227"/>
      <c r="GMJ1723" s="227"/>
      <c r="GMK1723" s="227"/>
      <c r="GML1723" s="227"/>
      <c r="GMM1723" s="227"/>
      <c r="GMN1723" s="227"/>
      <c r="GMO1723" s="227"/>
      <c r="GMP1723" s="227"/>
      <c r="GMQ1723" s="227"/>
      <c r="GMR1723" s="227"/>
      <c r="GMS1723" s="227"/>
      <c r="GMT1723" s="227"/>
      <c r="GMU1723" s="227"/>
      <c r="GMV1723" s="227"/>
      <c r="GMW1723" s="227"/>
      <c r="GMX1723" s="227"/>
      <c r="GMY1723" s="227"/>
      <c r="GMZ1723" s="227"/>
      <c r="GNA1723" s="227"/>
      <c r="GNB1723" s="227"/>
      <c r="GNC1723" s="227"/>
      <c r="GND1723" s="227"/>
      <c r="GNE1723" s="227"/>
      <c r="GNF1723" s="227"/>
      <c r="GNG1723" s="227"/>
      <c r="GNH1723" s="227"/>
      <c r="GNI1723" s="227"/>
      <c r="GNJ1723" s="227"/>
      <c r="GNK1723" s="227"/>
      <c r="GNL1723" s="227"/>
      <c r="GNM1723" s="227"/>
      <c r="GNN1723" s="227"/>
      <c r="GNO1723" s="227"/>
      <c r="GNP1723" s="227"/>
      <c r="GNQ1723" s="227"/>
      <c r="GNR1723" s="227"/>
      <c r="GNS1723" s="227"/>
      <c r="GNT1723" s="227"/>
      <c r="GNU1723" s="227"/>
      <c r="GNV1723" s="227"/>
      <c r="GNW1723" s="227"/>
      <c r="GNX1723" s="227"/>
      <c r="GNY1723" s="227"/>
      <c r="GNZ1723" s="227"/>
      <c r="GOA1723" s="227"/>
      <c r="GOB1723" s="227"/>
      <c r="GOC1723" s="227"/>
      <c r="GOD1723" s="227"/>
      <c r="GOE1723" s="227"/>
      <c r="GOF1723" s="227"/>
      <c r="GOG1723" s="227"/>
      <c r="GOH1723" s="227"/>
      <c r="GOI1723" s="227"/>
      <c r="GOJ1723" s="227"/>
      <c r="GOK1723" s="227"/>
      <c r="GOL1723" s="227"/>
      <c r="GOM1723" s="227"/>
      <c r="GON1723" s="227"/>
      <c r="GOO1723" s="227"/>
      <c r="GOP1723" s="227"/>
      <c r="GOQ1723" s="227"/>
      <c r="GOR1723" s="227"/>
      <c r="GOS1723" s="227"/>
      <c r="GOT1723" s="227"/>
      <c r="GOU1723" s="227"/>
      <c r="GOV1723" s="227"/>
      <c r="GOW1723" s="227"/>
      <c r="GOX1723" s="227"/>
      <c r="GOY1723" s="227"/>
      <c r="GOZ1723" s="227"/>
      <c r="GPA1723" s="227"/>
      <c r="GPB1723" s="227"/>
      <c r="GPC1723" s="227"/>
      <c r="GPD1723" s="227"/>
      <c r="GPE1723" s="227"/>
      <c r="GPF1723" s="227"/>
      <c r="GPG1723" s="227"/>
      <c r="GPH1723" s="227"/>
      <c r="GPI1723" s="227"/>
      <c r="GPJ1723" s="227"/>
      <c r="GPK1723" s="227"/>
      <c r="GPL1723" s="227"/>
      <c r="GPM1723" s="227"/>
      <c r="GPN1723" s="227"/>
      <c r="GPO1723" s="227"/>
      <c r="GPP1723" s="227"/>
      <c r="GPQ1723" s="227"/>
      <c r="GPR1723" s="227"/>
      <c r="GPS1723" s="227"/>
      <c r="GPT1723" s="227"/>
      <c r="GPU1723" s="227"/>
      <c r="GPV1723" s="227"/>
      <c r="GPW1723" s="227"/>
      <c r="GPX1723" s="227"/>
      <c r="GPY1723" s="227"/>
      <c r="GPZ1723" s="227"/>
      <c r="GQA1723" s="227"/>
      <c r="GQB1723" s="227"/>
      <c r="GQC1723" s="227"/>
      <c r="GQD1723" s="227"/>
      <c r="GQE1723" s="227"/>
      <c r="GQF1723" s="227"/>
      <c r="GQG1723" s="227"/>
      <c r="GQH1723" s="227"/>
      <c r="GQI1723" s="227"/>
      <c r="GQJ1723" s="227"/>
      <c r="GQK1723" s="227"/>
      <c r="GQL1723" s="227"/>
      <c r="GQM1723" s="227"/>
      <c r="GQN1723" s="227"/>
      <c r="GQO1723" s="227"/>
      <c r="GQP1723" s="227"/>
      <c r="GQQ1723" s="227"/>
      <c r="GQR1723" s="227"/>
      <c r="GQS1723" s="227"/>
      <c r="GQT1723" s="227"/>
      <c r="GQU1723" s="227"/>
      <c r="GQV1723" s="227"/>
      <c r="GQW1723" s="227"/>
      <c r="GQX1723" s="227"/>
      <c r="GQY1723" s="227"/>
      <c r="GQZ1723" s="227"/>
      <c r="GRA1723" s="227"/>
      <c r="GRB1723" s="227"/>
      <c r="GRC1723" s="227"/>
      <c r="GRD1723" s="227"/>
      <c r="GRE1723" s="227"/>
      <c r="GRF1723" s="227"/>
      <c r="GRG1723" s="227"/>
      <c r="GRH1723" s="227"/>
      <c r="GRI1723" s="227"/>
      <c r="GRJ1723" s="227"/>
      <c r="GRK1723" s="227"/>
      <c r="GRL1723" s="227"/>
      <c r="GRM1723" s="227"/>
      <c r="GRN1723" s="227"/>
      <c r="GRO1723" s="227"/>
      <c r="GRP1723" s="227"/>
      <c r="GRQ1723" s="227"/>
      <c r="GRR1723" s="227"/>
      <c r="GRS1723" s="227"/>
      <c r="GRT1723" s="227"/>
      <c r="GRU1723" s="227"/>
      <c r="GRV1723" s="227"/>
      <c r="GRW1723" s="227"/>
      <c r="GRX1723" s="227"/>
      <c r="GRY1723" s="227"/>
      <c r="GRZ1723" s="227"/>
      <c r="GSA1723" s="227"/>
      <c r="GSB1723" s="227"/>
      <c r="GSC1723" s="227"/>
      <c r="GSD1723" s="227"/>
      <c r="GSE1723" s="227"/>
      <c r="GSF1723" s="227"/>
      <c r="GSG1723" s="227"/>
      <c r="GSH1723" s="227"/>
      <c r="GSI1723" s="227"/>
      <c r="GSJ1723" s="227"/>
      <c r="GSK1723" s="227"/>
      <c r="GSL1723" s="227"/>
      <c r="GSM1723" s="227"/>
      <c r="GSN1723" s="227"/>
      <c r="GSO1723" s="227"/>
      <c r="GSP1723" s="227"/>
      <c r="GSQ1723" s="227"/>
      <c r="GSR1723" s="227"/>
      <c r="GSS1723" s="227"/>
      <c r="GST1723" s="227"/>
      <c r="GSU1723" s="227"/>
      <c r="GSV1723" s="227"/>
      <c r="GSW1723" s="227"/>
      <c r="GSX1723" s="227"/>
      <c r="GSY1723" s="227"/>
      <c r="GSZ1723" s="227"/>
      <c r="GTA1723" s="227"/>
      <c r="GTB1723" s="227"/>
      <c r="GTC1723" s="227"/>
      <c r="GTD1723" s="227"/>
      <c r="GTE1723" s="227"/>
      <c r="GTF1723" s="227"/>
      <c r="GTG1723" s="227"/>
      <c r="GTH1723" s="227"/>
      <c r="GTI1723" s="227"/>
      <c r="GTJ1723" s="227"/>
      <c r="GTK1723" s="227"/>
      <c r="GTL1723" s="227"/>
      <c r="GTM1723" s="227"/>
      <c r="GTN1723" s="227"/>
      <c r="GTO1723" s="227"/>
      <c r="GTP1723" s="227"/>
      <c r="GTQ1723" s="227"/>
      <c r="GTR1723" s="227"/>
      <c r="GTS1723" s="227"/>
      <c r="GTT1723" s="227"/>
      <c r="GTU1723" s="227"/>
      <c r="GTV1723" s="227"/>
      <c r="GTW1723" s="227"/>
      <c r="GTX1723" s="227"/>
      <c r="GTY1723" s="227"/>
      <c r="GTZ1723" s="227"/>
      <c r="GUA1723" s="227"/>
      <c r="GUB1723" s="227"/>
      <c r="GUC1723" s="227"/>
      <c r="GUD1723" s="227"/>
      <c r="GUE1723" s="227"/>
      <c r="GUF1723" s="227"/>
      <c r="GUG1723" s="227"/>
      <c r="GUH1723" s="227"/>
      <c r="GUI1723" s="227"/>
      <c r="GUJ1723" s="227"/>
      <c r="GUK1723" s="227"/>
      <c r="GUL1723" s="227"/>
      <c r="GUM1723" s="227"/>
      <c r="GUN1723" s="227"/>
      <c r="GUO1723" s="227"/>
      <c r="GUP1723" s="227"/>
      <c r="GUQ1723" s="227"/>
      <c r="GUR1723" s="227"/>
      <c r="GUS1723" s="227"/>
      <c r="GUT1723" s="227"/>
      <c r="GUU1723" s="227"/>
      <c r="GUV1723" s="227"/>
      <c r="GUW1723" s="227"/>
      <c r="GUX1723" s="227"/>
      <c r="GUY1723" s="227"/>
      <c r="GUZ1723" s="227"/>
      <c r="GVA1723" s="227"/>
      <c r="GVB1723" s="227"/>
      <c r="GVC1723" s="227"/>
      <c r="GVD1723" s="227"/>
      <c r="GVE1723" s="227"/>
      <c r="GVF1723" s="227"/>
      <c r="GVG1723" s="227"/>
      <c r="GVH1723" s="227"/>
      <c r="GVI1723" s="227"/>
      <c r="GVJ1723" s="227"/>
      <c r="GVK1723" s="227"/>
      <c r="GVL1723" s="227"/>
      <c r="GVM1723" s="227"/>
      <c r="GVN1723" s="227"/>
      <c r="GVO1723" s="227"/>
      <c r="GVP1723" s="227"/>
      <c r="GVQ1723" s="227"/>
      <c r="GVR1723" s="227"/>
      <c r="GVS1723" s="227"/>
      <c r="GVT1723" s="227"/>
      <c r="GVU1723" s="227"/>
      <c r="GVV1723" s="227"/>
      <c r="GVW1723" s="227"/>
      <c r="GVX1723" s="227"/>
      <c r="GVY1723" s="227"/>
      <c r="GVZ1723" s="227"/>
      <c r="GWA1723" s="227"/>
      <c r="GWB1723" s="227"/>
      <c r="GWC1723" s="227"/>
      <c r="GWD1723" s="227"/>
      <c r="GWE1723" s="227"/>
      <c r="GWF1723" s="227"/>
      <c r="GWG1723" s="227"/>
      <c r="GWH1723" s="227"/>
      <c r="GWI1723" s="227"/>
      <c r="GWJ1723" s="227"/>
      <c r="GWK1723" s="227"/>
      <c r="GWL1723" s="227"/>
      <c r="GWM1723" s="227"/>
      <c r="GWN1723" s="227"/>
      <c r="GWO1723" s="227"/>
      <c r="GWP1723" s="227"/>
      <c r="GWQ1723" s="227"/>
      <c r="GWR1723" s="227"/>
      <c r="GWS1723" s="227"/>
      <c r="GWT1723" s="227"/>
      <c r="GWU1723" s="227"/>
      <c r="GWV1723" s="227"/>
      <c r="GWW1723" s="227"/>
      <c r="GWX1723" s="227"/>
      <c r="GWY1723" s="227"/>
      <c r="GWZ1723" s="227"/>
      <c r="GXA1723" s="227"/>
      <c r="GXB1723" s="227"/>
      <c r="GXC1723" s="227"/>
      <c r="GXD1723" s="227"/>
      <c r="GXE1723" s="227"/>
      <c r="GXF1723" s="227"/>
      <c r="GXG1723" s="227"/>
      <c r="GXH1723" s="227"/>
      <c r="GXI1723" s="227"/>
      <c r="GXJ1723" s="227"/>
      <c r="GXK1723" s="227"/>
      <c r="GXL1723" s="227"/>
      <c r="GXM1723" s="227"/>
      <c r="GXN1723" s="227"/>
      <c r="GXO1723" s="227"/>
      <c r="GXP1723" s="227"/>
      <c r="GXQ1723" s="227"/>
      <c r="GXR1723" s="227"/>
      <c r="GXS1723" s="227"/>
      <c r="GXT1723" s="227"/>
      <c r="GXU1723" s="227"/>
      <c r="GXV1723" s="227"/>
      <c r="GXW1723" s="227"/>
      <c r="GXX1723" s="227"/>
      <c r="GXY1723" s="227"/>
      <c r="GXZ1723" s="227"/>
      <c r="GYA1723" s="227"/>
      <c r="GYB1723" s="227"/>
      <c r="GYC1723" s="227"/>
      <c r="GYD1723" s="227"/>
      <c r="GYE1723" s="227"/>
      <c r="GYF1723" s="227"/>
      <c r="GYG1723" s="227"/>
      <c r="GYH1723" s="227"/>
      <c r="GYI1723" s="227"/>
      <c r="GYJ1723" s="227"/>
      <c r="GYK1723" s="227"/>
      <c r="GYL1723" s="227"/>
      <c r="GYM1723" s="227"/>
      <c r="GYN1723" s="227"/>
      <c r="GYO1723" s="227"/>
      <c r="GYP1723" s="227"/>
      <c r="GYQ1723" s="227"/>
      <c r="GYR1723" s="227"/>
      <c r="GYS1723" s="227"/>
      <c r="GYT1723" s="227"/>
      <c r="GYU1723" s="227"/>
      <c r="GYV1723" s="227"/>
      <c r="GYW1723" s="227"/>
      <c r="GYX1723" s="227"/>
      <c r="GYY1723" s="227"/>
      <c r="GYZ1723" s="227"/>
      <c r="GZA1723" s="227"/>
      <c r="GZB1723" s="227"/>
      <c r="GZC1723" s="227"/>
      <c r="GZD1723" s="227"/>
      <c r="GZE1723" s="227"/>
      <c r="GZF1723" s="227"/>
      <c r="GZG1723" s="227"/>
      <c r="GZH1723" s="227"/>
      <c r="GZI1723" s="227"/>
      <c r="GZJ1723" s="227"/>
      <c r="GZK1723" s="227"/>
      <c r="GZL1723" s="227"/>
      <c r="GZM1723" s="227"/>
      <c r="GZN1723" s="227"/>
      <c r="GZO1723" s="227"/>
      <c r="GZP1723" s="227"/>
      <c r="GZQ1723" s="227"/>
      <c r="GZR1723" s="227"/>
      <c r="GZS1723" s="227"/>
      <c r="GZT1723" s="227"/>
      <c r="GZU1723" s="227"/>
      <c r="GZV1723" s="227"/>
      <c r="GZW1723" s="227"/>
      <c r="GZX1723" s="227"/>
      <c r="GZY1723" s="227"/>
      <c r="GZZ1723" s="227"/>
      <c r="HAA1723" s="227"/>
      <c r="HAB1723" s="227"/>
      <c r="HAC1723" s="227"/>
      <c r="HAD1723" s="227"/>
      <c r="HAE1723" s="227"/>
      <c r="HAF1723" s="227"/>
      <c r="HAG1723" s="227"/>
      <c r="HAH1723" s="227"/>
      <c r="HAI1723" s="227"/>
      <c r="HAJ1723" s="227"/>
      <c r="HAK1723" s="227"/>
      <c r="HAL1723" s="227"/>
      <c r="HAM1723" s="227"/>
      <c r="HAN1723" s="227"/>
      <c r="HAO1723" s="227"/>
      <c r="HAP1723" s="227"/>
      <c r="HAQ1723" s="227"/>
      <c r="HAR1723" s="227"/>
      <c r="HAS1723" s="227"/>
      <c r="HAT1723" s="227"/>
      <c r="HAU1723" s="227"/>
      <c r="HAV1723" s="227"/>
      <c r="HAW1723" s="227"/>
      <c r="HAX1723" s="227"/>
      <c r="HAY1723" s="227"/>
      <c r="HAZ1723" s="227"/>
      <c r="HBA1723" s="227"/>
      <c r="HBB1723" s="227"/>
      <c r="HBC1723" s="227"/>
      <c r="HBD1723" s="227"/>
      <c r="HBE1723" s="227"/>
      <c r="HBF1723" s="227"/>
      <c r="HBG1723" s="227"/>
      <c r="HBH1723" s="227"/>
      <c r="HBI1723" s="227"/>
      <c r="HBJ1723" s="227"/>
      <c r="HBK1723" s="227"/>
      <c r="HBL1723" s="227"/>
      <c r="HBM1723" s="227"/>
      <c r="HBN1723" s="227"/>
      <c r="HBO1723" s="227"/>
      <c r="HBP1723" s="227"/>
      <c r="HBQ1723" s="227"/>
      <c r="HBR1723" s="227"/>
      <c r="HBS1723" s="227"/>
      <c r="HBT1723" s="227"/>
      <c r="HBU1723" s="227"/>
      <c r="HBV1723" s="227"/>
      <c r="HBW1723" s="227"/>
      <c r="HBX1723" s="227"/>
      <c r="HBY1723" s="227"/>
      <c r="HBZ1723" s="227"/>
      <c r="HCA1723" s="227"/>
      <c r="HCB1723" s="227"/>
      <c r="HCC1723" s="227"/>
      <c r="HCD1723" s="227"/>
      <c r="HCE1723" s="227"/>
      <c r="HCF1723" s="227"/>
      <c r="HCG1723" s="227"/>
      <c r="HCH1723" s="227"/>
      <c r="HCI1723" s="227"/>
      <c r="HCJ1723" s="227"/>
      <c r="HCK1723" s="227"/>
      <c r="HCL1723" s="227"/>
      <c r="HCM1723" s="227"/>
      <c r="HCN1723" s="227"/>
      <c r="HCO1723" s="227"/>
      <c r="HCP1723" s="227"/>
      <c r="HCQ1723" s="227"/>
      <c r="HCR1723" s="227"/>
      <c r="HCS1723" s="227"/>
      <c r="HCT1723" s="227"/>
      <c r="HCU1723" s="227"/>
      <c r="HCV1723" s="227"/>
      <c r="HCW1723" s="227"/>
      <c r="HCX1723" s="227"/>
      <c r="HCY1723" s="227"/>
      <c r="HCZ1723" s="227"/>
      <c r="HDA1723" s="227"/>
      <c r="HDB1723" s="227"/>
      <c r="HDC1723" s="227"/>
      <c r="HDD1723" s="227"/>
      <c r="HDE1723" s="227"/>
      <c r="HDF1723" s="227"/>
      <c r="HDG1723" s="227"/>
      <c r="HDH1723" s="227"/>
      <c r="HDI1723" s="227"/>
      <c r="HDJ1723" s="227"/>
      <c r="HDK1723" s="227"/>
      <c r="HDL1723" s="227"/>
      <c r="HDM1723" s="227"/>
      <c r="HDN1723" s="227"/>
      <c r="HDO1723" s="227"/>
      <c r="HDP1723" s="227"/>
      <c r="HDQ1723" s="227"/>
      <c r="HDR1723" s="227"/>
      <c r="HDS1723" s="227"/>
      <c r="HDT1723" s="227"/>
      <c r="HDU1723" s="227"/>
      <c r="HDV1723" s="227"/>
      <c r="HDW1723" s="227"/>
      <c r="HDX1723" s="227"/>
      <c r="HDY1723" s="227"/>
      <c r="HDZ1723" s="227"/>
      <c r="HEA1723" s="227"/>
      <c r="HEB1723" s="227"/>
      <c r="HEC1723" s="227"/>
      <c r="HED1723" s="227"/>
      <c r="HEE1723" s="227"/>
      <c r="HEF1723" s="227"/>
      <c r="HEG1723" s="227"/>
      <c r="HEH1723" s="227"/>
      <c r="HEI1723" s="227"/>
      <c r="HEJ1723" s="227"/>
      <c r="HEK1723" s="227"/>
      <c r="HEL1723" s="227"/>
      <c r="HEM1723" s="227"/>
      <c r="HEN1723" s="227"/>
      <c r="HEO1723" s="227"/>
      <c r="HEP1723" s="227"/>
      <c r="HEQ1723" s="227"/>
      <c r="HER1723" s="227"/>
      <c r="HES1723" s="227"/>
      <c r="HET1723" s="227"/>
      <c r="HEU1723" s="227"/>
      <c r="HEV1723" s="227"/>
      <c r="HEW1723" s="227"/>
      <c r="HEX1723" s="227"/>
      <c r="HEY1723" s="227"/>
      <c r="HEZ1723" s="227"/>
      <c r="HFA1723" s="227"/>
      <c r="HFB1723" s="227"/>
      <c r="HFC1723" s="227"/>
      <c r="HFD1723" s="227"/>
      <c r="HFE1723" s="227"/>
      <c r="HFF1723" s="227"/>
      <c r="HFG1723" s="227"/>
      <c r="HFH1723" s="227"/>
      <c r="HFI1723" s="227"/>
      <c r="HFJ1723" s="227"/>
      <c r="HFK1723" s="227"/>
      <c r="HFL1723" s="227"/>
      <c r="HFM1723" s="227"/>
      <c r="HFN1723" s="227"/>
      <c r="HFO1723" s="227"/>
      <c r="HFP1723" s="227"/>
      <c r="HFQ1723" s="227"/>
      <c r="HFR1723" s="227"/>
      <c r="HFS1723" s="227"/>
      <c r="HFT1723" s="227"/>
      <c r="HFU1723" s="227"/>
      <c r="HFV1723" s="227"/>
      <c r="HFW1723" s="227"/>
      <c r="HFX1723" s="227"/>
      <c r="HFY1723" s="227"/>
      <c r="HFZ1723" s="227"/>
      <c r="HGA1723" s="227"/>
      <c r="HGB1723" s="227"/>
      <c r="HGC1723" s="227"/>
      <c r="HGD1723" s="227"/>
      <c r="HGE1723" s="227"/>
      <c r="HGF1723" s="227"/>
      <c r="HGG1723" s="227"/>
      <c r="HGH1723" s="227"/>
      <c r="HGI1723" s="227"/>
      <c r="HGJ1723" s="227"/>
      <c r="HGK1723" s="227"/>
      <c r="HGL1723" s="227"/>
      <c r="HGM1723" s="227"/>
      <c r="HGN1723" s="227"/>
      <c r="HGO1723" s="227"/>
      <c r="HGP1723" s="227"/>
      <c r="HGQ1723" s="227"/>
      <c r="HGR1723" s="227"/>
      <c r="HGS1723" s="227"/>
      <c r="HGT1723" s="227"/>
      <c r="HGU1723" s="227"/>
      <c r="HGV1723" s="227"/>
      <c r="HGW1723" s="227"/>
      <c r="HGX1723" s="227"/>
      <c r="HGY1723" s="227"/>
      <c r="HGZ1723" s="227"/>
      <c r="HHA1723" s="227"/>
      <c r="HHB1723" s="227"/>
      <c r="HHC1723" s="227"/>
      <c r="HHD1723" s="227"/>
      <c r="HHE1723" s="227"/>
      <c r="HHF1723" s="227"/>
      <c r="HHG1723" s="227"/>
      <c r="HHH1723" s="227"/>
      <c r="HHI1723" s="227"/>
      <c r="HHJ1723" s="227"/>
      <c r="HHK1723" s="227"/>
      <c r="HHL1723" s="227"/>
      <c r="HHM1723" s="227"/>
      <c r="HHN1723" s="227"/>
      <c r="HHO1723" s="227"/>
      <c r="HHP1723" s="227"/>
      <c r="HHQ1723" s="227"/>
      <c r="HHR1723" s="227"/>
      <c r="HHS1723" s="227"/>
      <c r="HHT1723" s="227"/>
      <c r="HHU1723" s="227"/>
      <c r="HHV1723" s="227"/>
      <c r="HHW1723" s="227"/>
      <c r="HHX1723" s="227"/>
      <c r="HHY1723" s="227"/>
      <c r="HHZ1723" s="227"/>
      <c r="HIA1723" s="227"/>
      <c r="HIB1723" s="227"/>
      <c r="HIC1723" s="227"/>
      <c r="HID1723" s="227"/>
      <c r="HIE1723" s="227"/>
      <c r="HIF1723" s="227"/>
      <c r="HIG1723" s="227"/>
      <c r="HIH1723" s="227"/>
      <c r="HII1723" s="227"/>
      <c r="HIJ1723" s="227"/>
      <c r="HIK1723" s="227"/>
      <c r="HIL1723" s="227"/>
      <c r="HIM1723" s="227"/>
      <c r="HIN1723" s="227"/>
      <c r="HIO1723" s="227"/>
      <c r="HIP1723" s="227"/>
      <c r="HIQ1723" s="227"/>
      <c r="HIR1723" s="227"/>
      <c r="HIS1723" s="227"/>
      <c r="HIT1723" s="227"/>
      <c r="HIU1723" s="227"/>
      <c r="HIV1723" s="227"/>
      <c r="HIW1723" s="227"/>
      <c r="HIX1723" s="227"/>
      <c r="HIY1723" s="227"/>
      <c r="HIZ1723" s="227"/>
      <c r="HJA1723" s="227"/>
      <c r="HJB1723" s="227"/>
      <c r="HJC1723" s="227"/>
      <c r="HJD1723" s="227"/>
      <c r="HJE1723" s="227"/>
      <c r="HJF1723" s="227"/>
      <c r="HJG1723" s="227"/>
      <c r="HJH1723" s="227"/>
      <c r="HJI1723" s="227"/>
      <c r="HJJ1723" s="227"/>
      <c r="HJK1723" s="227"/>
      <c r="HJL1723" s="227"/>
      <c r="HJM1723" s="227"/>
      <c r="HJN1723" s="227"/>
      <c r="HJO1723" s="227"/>
      <c r="HJP1723" s="227"/>
      <c r="HJQ1723" s="227"/>
      <c r="HJR1723" s="227"/>
      <c r="HJS1723" s="227"/>
      <c r="HJT1723" s="227"/>
      <c r="HJU1723" s="227"/>
      <c r="HJV1723" s="227"/>
      <c r="HJW1723" s="227"/>
      <c r="HJX1723" s="227"/>
      <c r="HJY1723" s="227"/>
      <c r="HJZ1723" s="227"/>
      <c r="HKA1723" s="227"/>
      <c r="HKB1723" s="227"/>
      <c r="HKC1723" s="227"/>
      <c r="HKD1723" s="227"/>
      <c r="HKE1723" s="227"/>
      <c r="HKF1723" s="227"/>
      <c r="HKG1723" s="227"/>
      <c r="HKH1723" s="227"/>
      <c r="HKI1723" s="227"/>
      <c r="HKJ1723" s="227"/>
      <c r="HKK1723" s="227"/>
      <c r="HKL1723" s="227"/>
      <c r="HKM1723" s="227"/>
      <c r="HKN1723" s="227"/>
      <c r="HKO1723" s="227"/>
      <c r="HKP1723" s="227"/>
      <c r="HKQ1723" s="227"/>
      <c r="HKR1723" s="227"/>
      <c r="HKS1723" s="227"/>
      <c r="HKT1723" s="227"/>
      <c r="HKU1723" s="227"/>
      <c r="HKV1723" s="227"/>
      <c r="HKW1723" s="227"/>
      <c r="HKX1723" s="227"/>
      <c r="HKY1723" s="227"/>
      <c r="HKZ1723" s="227"/>
      <c r="HLA1723" s="227"/>
      <c r="HLB1723" s="227"/>
      <c r="HLC1723" s="227"/>
      <c r="HLD1723" s="227"/>
      <c r="HLE1723" s="227"/>
      <c r="HLF1723" s="227"/>
      <c r="HLG1723" s="227"/>
      <c r="HLH1723" s="227"/>
      <c r="HLI1723" s="227"/>
      <c r="HLJ1723" s="227"/>
      <c r="HLK1723" s="227"/>
      <c r="HLL1723" s="227"/>
      <c r="HLM1723" s="227"/>
      <c r="HLN1723" s="227"/>
      <c r="HLO1723" s="227"/>
      <c r="HLP1723" s="227"/>
      <c r="HLQ1723" s="227"/>
      <c r="HLR1723" s="227"/>
      <c r="HLS1723" s="227"/>
      <c r="HLT1723" s="227"/>
      <c r="HLU1723" s="227"/>
      <c r="HLV1723" s="227"/>
      <c r="HLW1723" s="227"/>
      <c r="HLX1723" s="227"/>
      <c r="HLY1723" s="227"/>
      <c r="HLZ1723" s="227"/>
      <c r="HMA1723" s="227"/>
      <c r="HMB1723" s="227"/>
      <c r="HMC1723" s="227"/>
      <c r="HMD1723" s="227"/>
      <c r="HME1723" s="227"/>
      <c r="HMF1723" s="227"/>
      <c r="HMG1723" s="227"/>
      <c r="HMH1723" s="227"/>
      <c r="HMI1723" s="227"/>
      <c r="HMJ1723" s="227"/>
      <c r="HMK1723" s="227"/>
      <c r="HML1723" s="227"/>
      <c r="HMM1723" s="227"/>
      <c r="HMN1723" s="227"/>
      <c r="HMO1723" s="227"/>
      <c r="HMP1723" s="227"/>
      <c r="HMQ1723" s="227"/>
      <c r="HMR1723" s="227"/>
      <c r="HMS1723" s="227"/>
      <c r="HMT1723" s="227"/>
      <c r="HMU1723" s="227"/>
      <c r="HMV1723" s="227"/>
      <c r="HMW1723" s="227"/>
      <c r="HMX1723" s="227"/>
      <c r="HMY1723" s="227"/>
      <c r="HMZ1723" s="227"/>
      <c r="HNA1723" s="227"/>
      <c r="HNB1723" s="227"/>
      <c r="HNC1723" s="227"/>
      <c r="HND1723" s="227"/>
      <c r="HNE1723" s="227"/>
      <c r="HNF1723" s="227"/>
      <c r="HNG1723" s="227"/>
      <c r="HNH1723" s="227"/>
      <c r="HNI1723" s="227"/>
      <c r="HNJ1723" s="227"/>
      <c r="HNK1723" s="227"/>
      <c r="HNL1723" s="227"/>
      <c r="HNM1723" s="227"/>
      <c r="HNN1723" s="227"/>
      <c r="HNO1723" s="227"/>
      <c r="HNP1723" s="227"/>
      <c r="HNQ1723" s="227"/>
      <c r="HNR1723" s="227"/>
      <c r="HNS1723" s="227"/>
      <c r="HNT1723" s="227"/>
      <c r="HNU1723" s="227"/>
      <c r="HNV1723" s="227"/>
      <c r="HNW1723" s="227"/>
      <c r="HNX1723" s="227"/>
      <c r="HNY1723" s="227"/>
      <c r="HNZ1723" s="227"/>
      <c r="HOA1723" s="227"/>
      <c r="HOB1723" s="227"/>
      <c r="HOC1723" s="227"/>
      <c r="HOD1723" s="227"/>
      <c r="HOE1723" s="227"/>
      <c r="HOF1723" s="227"/>
      <c r="HOG1723" s="227"/>
      <c r="HOH1723" s="227"/>
      <c r="HOI1723" s="227"/>
      <c r="HOJ1723" s="227"/>
      <c r="HOK1723" s="227"/>
      <c r="HOL1723" s="227"/>
      <c r="HOM1723" s="227"/>
      <c r="HON1723" s="227"/>
      <c r="HOO1723" s="227"/>
      <c r="HOP1723" s="227"/>
      <c r="HOQ1723" s="227"/>
      <c r="HOR1723" s="227"/>
      <c r="HOS1723" s="227"/>
      <c r="HOT1723" s="227"/>
      <c r="HOU1723" s="227"/>
      <c r="HOV1723" s="227"/>
      <c r="HOW1723" s="227"/>
      <c r="HOX1723" s="227"/>
      <c r="HOY1723" s="227"/>
      <c r="HOZ1723" s="227"/>
      <c r="HPA1723" s="227"/>
      <c r="HPB1723" s="227"/>
      <c r="HPC1723" s="227"/>
      <c r="HPD1723" s="227"/>
      <c r="HPE1723" s="227"/>
      <c r="HPF1723" s="227"/>
      <c r="HPG1723" s="227"/>
      <c r="HPH1723" s="227"/>
      <c r="HPI1723" s="227"/>
      <c r="HPJ1723" s="227"/>
      <c r="HPK1723" s="227"/>
      <c r="HPL1723" s="227"/>
      <c r="HPM1723" s="227"/>
      <c r="HPN1723" s="227"/>
      <c r="HPO1723" s="227"/>
      <c r="HPP1723" s="227"/>
      <c r="HPQ1723" s="227"/>
      <c r="HPR1723" s="227"/>
      <c r="HPS1723" s="227"/>
      <c r="HPT1723" s="227"/>
      <c r="HPU1723" s="227"/>
      <c r="HPV1723" s="227"/>
      <c r="HPW1723" s="227"/>
      <c r="HPX1723" s="227"/>
      <c r="HPY1723" s="227"/>
      <c r="HPZ1723" s="227"/>
      <c r="HQA1723" s="227"/>
      <c r="HQB1723" s="227"/>
      <c r="HQC1723" s="227"/>
      <c r="HQD1723" s="227"/>
      <c r="HQE1723" s="227"/>
      <c r="HQF1723" s="227"/>
      <c r="HQG1723" s="227"/>
      <c r="HQH1723" s="227"/>
      <c r="HQI1723" s="227"/>
      <c r="HQJ1723" s="227"/>
      <c r="HQK1723" s="227"/>
      <c r="HQL1723" s="227"/>
      <c r="HQM1723" s="227"/>
      <c r="HQN1723" s="227"/>
      <c r="HQO1723" s="227"/>
      <c r="HQP1723" s="227"/>
      <c r="HQQ1723" s="227"/>
      <c r="HQR1723" s="227"/>
      <c r="HQS1723" s="227"/>
      <c r="HQT1723" s="227"/>
      <c r="HQU1723" s="227"/>
      <c r="HQV1723" s="227"/>
      <c r="HQW1723" s="227"/>
      <c r="HQX1723" s="227"/>
      <c r="HQY1723" s="227"/>
      <c r="HQZ1723" s="227"/>
      <c r="HRA1723" s="227"/>
      <c r="HRB1723" s="227"/>
      <c r="HRC1723" s="227"/>
      <c r="HRD1723" s="227"/>
      <c r="HRE1723" s="227"/>
      <c r="HRF1723" s="227"/>
      <c r="HRG1723" s="227"/>
      <c r="HRH1723" s="227"/>
      <c r="HRI1723" s="227"/>
      <c r="HRJ1723" s="227"/>
      <c r="HRK1723" s="227"/>
      <c r="HRL1723" s="227"/>
      <c r="HRM1723" s="227"/>
      <c r="HRN1723" s="227"/>
      <c r="HRO1723" s="227"/>
      <c r="HRP1723" s="227"/>
      <c r="HRQ1723" s="227"/>
      <c r="HRR1723" s="227"/>
      <c r="HRS1723" s="227"/>
      <c r="HRT1723" s="227"/>
      <c r="HRU1723" s="227"/>
      <c r="HRV1723" s="227"/>
      <c r="HRW1723" s="227"/>
      <c r="HRX1723" s="227"/>
      <c r="HRY1723" s="227"/>
      <c r="HRZ1723" s="227"/>
      <c r="HSA1723" s="227"/>
      <c r="HSB1723" s="227"/>
      <c r="HSC1723" s="227"/>
      <c r="HSD1723" s="227"/>
      <c r="HSE1723" s="227"/>
      <c r="HSF1723" s="227"/>
      <c r="HSG1723" s="227"/>
      <c r="HSH1723" s="227"/>
      <c r="HSI1723" s="227"/>
      <c r="HSJ1723" s="227"/>
      <c r="HSK1723" s="227"/>
      <c r="HSL1723" s="227"/>
      <c r="HSM1723" s="227"/>
      <c r="HSN1723" s="227"/>
      <c r="HSO1723" s="227"/>
      <c r="HSP1723" s="227"/>
      <c r="HSQ1723" s="227"/>
      <c r="HSR1723" s="227"/>
      <c r="HSS1723" s="227"/>
      <c r="HST1723" s="227"/>
      <c r="HSU1723" s="227"/>
      <c r="HSV1723" s="227"/>
      <c r="HSW1723" s="227"/>
      <c r="HSX1723" s="227"/>
      <c r="HSY1723" s="227"/>
      <c r="HSZ1723" s="227"/>
      <c r="HTA1723" s="227"/>
      <c r="HTB1723" s="227"/>
      <c r="HTC1723" s="227"/>
      <c r="HTD1723" s="227"/>
      <c r="HTE1723" s="227"/>
      <c r="HTF1723" s="227"/>
      <c r="HTG1723" s="227"/>
      <c r="HTH1723" s="227"/>
      <c r="HTI1723" s="227"/>
      <c r="HTJ1723" s="227"/>
      <c r="HTK1723" s="227"/>
      <c r="HTL1723" s="227"/>
      <c r="HTM1723" s="227"/>
      <c r="HTN1723" s="227"/>
      <c r="HTO1723" s="227"/>
      <c r="HTP1723" s="227"/>
      <c r="HTQ1723" s="227"/>
      <c r="HTR1723" s="227"/>
      <c r="HTS1723" s="227"/>
      <c r="HTT1723" s="227"/>
      <c r="HTU1723" s="227"/>
      <c r="HTV1723" s="227"/>
      <c r="HTW1723" s="227"/>
      <c r="HTX1723" s="227"/>
      <c r="HTY1723" s="227"/>
      <c r="HTZ1723" s="227"/>
      <c r="HUA1723" s="227"/>
      <c r="HUB1723" s="227"/>
      <c r="HUC1723" s="227"/>
      <c r="HUD1723" s="227"/>
      <c r="HUE1723" s="227"/>
      <c r="HUF1723" s="227"/>
      <c r="HUG1723" s="227"/>
      <c r="HUH1723" s="227"/>
      <c r="HUI1723" s="227"/>
      <c r="HUJ1723" s="227"/>
      <c r="HUK1723" s="227"/>
      <c r="HUL1723" s="227"/>
      <c r="HUM1723" s="227"/>
      <c r="HUN1723" s="227"/>
      <c r="HUO1723" s="227"/>
      <c r="HUP1723" s="227"/>
      <c r="HUQ1723" s="227"/>
      <c r="HUR1723" s="227"/>
      <c r="HUS1723" s="227"/>
      <c r="HUT1723" s="227"/>
      <c r="HUU1723" s="227"/>
      <c r="HUV1723" s="227"/>
      <c r="HUW1723" s="227"/>
      <c r="HUX1723" s="227"/>
      <c r="HUY1723" s="227"/>
      <c r="HUZ1723" s="227"/>
      <c r="HVA1723" s="227"/>
      <c r="HVB1723" s="227"/>
      <c r="HVC1723" s="227"/>
      <c r="HVD1723" s="227"/>
      <c r="HVE1723" s="227"/>
      <c r="HVF1723" s="227"/>
      <c r="HVG1723" s="227"/>
      <c r="HVH1723" s="227"/>
      <c r="HVI1723" s="227"/>
      <c r="HVJ1723" s="227"/>
      <c r="HVK1723" s="227"/>
      <c r="HVL1723" s="227"/>
      <c r="HVM1723" s="227"/>
      <c r="HVN1723" s="227"/>
      <c r="HVO1723" s="227"/>
      <c r="HVP1723" s="227"/>
      <c r="HVQ1723" s="227"/>
      <c r="HVR1723" s="227"/>
      <c r="HVS1723" s="227"/>
      <c r="HVT1723" s="227"/>
      <c r="HVU1723" s="227"/>
      <c r="HVV1723" s="227"/>
      <c r="HVW1723" s="227"/>
      <c r="HVX1723" s="227"/>
      <c r="HVY1723" s="227"/>
      <c r="HVZ1723" s="227"/>
      <c r="HWA1723" s="227"/>
      <c r="HWB1723" s="227"/>
      <c r="HWC1723" s="227"/>
      <c r="HWD1723" s="227"/>
      <c r="HWE1723" s="227"/>
      <c r="HWF1723" s="227"/>
      <c r="HWG1723" s="227"/>
      <c r="HWH1723" s="227"/>
      <c r="HWI1723" s="227"/>
      <c r="HWJ1723" s="227"/>
      <c r="HWK1723" s="227"/>
      <c r="HWL1723" s="227"/>
      <c r="HWM1723" s="227"/>
      <c r="HWN1723" s="227"/>
      <c r="HWO1723" s="227"/>
      <c r="HWP1723" s="227"/>
      <c r="HWQ1723" s="227"/>
      <c r="HWR1723" s="227"/>
      <c r="HWS1723" s="227"/>
      <c r="HWT1723" s="227"/>
      <c r="HWU1723" s="227"/>
      <c r="HWV1723" s="227"/>
      <c r="HWW1723" s="227"/>
      <c r="HWX1723" s="227"/>
      <c r="HWY1723" s="227"/>
      <c r="HWZ1723" s="227"/>
      <c r="HXA1723" s="227"/>
      <c r="HXB1723" s="227"/>
      <c r="HXC1723" s="227"/>
      <c r="HXD1723" s="227"/>
      <c r="HXE1723" s="227"/>
      <c r="HXF1723" s="227"/>
      <c r="HXG1723" s="227"/>
      <c r="HXH1723" s="227"/>
      <c r="HXI1723" s="227"/>
      <c r="HXJ1723" s="227"/>
      <c r="HXK1723" s="227"/>
      <c r="HXL1723" s="227"/>
      <c r="HXM1723" s="227"/>
      <c r="HXN1723" s="227"/>
      <c r="HXO1723" s="227"/>
      <c r="HXP1723" s="227"/>
      <c r="HXQ1723" s="227"/>
      <c r="HXR1723" s="227"/>
      <c r="HXS1723" s="227"/>
      <c r="HXT1723" s="227"/>
      <c r="HXU1723" s="227"/>
      <c r="HXV1723" s="227"/>
      <c r="HXW1723" s="227"/>
      <c r="HXX1723" s="227"/>
      <c r="HXY1723" s="227"/>
      <c r="HXZ1723" s="227"/>
      <c r="HYA1723" s="227"/>
      <c r="HYB1723" s="227"/>
      <c r="HYC1723" s="227"/>
      <c r="HYD1723" s="227"/>
      <c r="HYE1723" s="227"/>
      <c r="HYF1723" s="227"/>
      <c r="HYG1723" s="227"/>
      <c r="HYH1723" s="227"/>
      <c r="HYI1723" s="227"/>
      <c r="HYJ1723" s="227"/>
      <c r="HYK1723" s="227"/>
      <c r="HYL1723" s="227"/>
      <c r="HYM1723" s="227"/>
      <c r="HYN1723" s="227"/>
      <c r="HYO1723" s="227"/>
      <c r="HYP1723" s="227"/>
      <c r="HYQ1723" s="227"/>
      <c r="HYR1723" s="227"/>
      <c r="HYS1723" s="227"/>
      <c r="HYT1723" s="227"/>
      <c r="HYU1723" s="227"/>
      <c r="HYV1723" s="227"/>
      <c r="HYW1723" s="227"/>
      <c r="HYX1723" s="227"/>
      <c r="HYY1723" s="227"/>
      <c r="HYZ1723" s="227"/>
      <c r="HZA1723" s="227"/>
      <c r="HZB1723" s="227"/>
      <c r="HZC1723" s="227"/>
      <c r="HZD1723" s="227"/>
      <c r="HZE1723" s="227"/>
      <c r="HZF1723" s="227"/>
      <c r="HZG1723" s="227"/>
      <c r="HZH1723" s="227"/>
      <c r="HZI1723" s="227"/>
      <c r="HZJ1723" s="227"/>
      <c r="HZK1723" s="227"/>
      <c r="HZL1723" s="227"/>
      <c r="HZM1723" s="227"/>
      <c r="HZN1723" s="227"/>
      <c r="HZO1723" s="227"/>
      <c r="HZP1723" s="227"/>
      <c r="HZQ1723" s="227"/>
      <c r="HZR1723" s="227"/>
      <c r="HZS1723" s="227"/>
      <c r="HZT1723" s="227"/>
      <c r="HZU1723" s="227"/>
      <c r="HZV1723" s="227"/>
      <c r="HZW1723" s="227"/>
      <c r="HZX1723" s="227"/>
      <c r="HZY1723" s="227"/>
      <c r="HZZ1723" s="227"/>
      <c r="IAA1723" s="227"/>
      <c r="IAB1723" s="227"/>
      <c r="IAC1723" s="227"/>
      <c r="IAD1723" s="227"/>
      <c r="IAE1723" s="227"/>
      <c r="IAF1723" s="227"/>
      <c r="IAG1723" s="227"/>
      <c r="IAH1723" s="227"/>
      <c r="IAI1723" s="227"/>
      <c r="IAJ1723" s="227"/>
      <c r="IAK1723" s="227"/>
      <c r="IAL1723" s="227"/>
      <c r="IAM1723" s="227"/>
      <c r="IAN1723" s="227"/>
      <c r="IAO1723" s="227"/>
      <c r="IAP1723" s="227"/>
      <c r="IAQ1723" s="227"/>
      <c r="IAR1723" s="227"/>
      <c r="IAS1723" s="227"/>
      <c r="IAT1723" s="227"/>
      <c r="IAU1723" s="227"/>
      <c r="IAV1723" s="227"/>
      <c r="IAW1723" s="227"/>
      <c r="IAX1723" s="227"/>
      <c r="IAY1723" s="227"/>
      <c r="IAZ1723" s="227"/>
      <c r="IBA1723" s="227"/>
      <c r="IBB1723" s="227"/>
      <c r="IBC1723" s="227"/>
      <c r="IBD1723" s="227"/>
      <c r="IBE1723" s="227"/>
      <c r="IBF1723" s="227"/>
      <c r="IBG1723" s="227"/>
      <c r="IBH1723" s="227"/>
      <c r="IBI1723" s="227"/>
      <c r="IBJ1723" s="227"/>
      <c r="IBK1723" s="227"/>
      <c r="IBL1723" s="227"/>
      <c r="IBM1723" s="227"/>
      <c r="IBN1723" s="227"/>
      <c r="IBO1723" s="227"/>
      <c r="IBP1723" s="227"/>
      <c r="IBQ1723" s="227"/>
      <c r="IBR1723" s="227"/>
      <c r="IBS1723" s="227"/>
      <c r="IBT1723" s="227"/>
      <c r="IBU1723" s="227"/>
      <c r="IBV1723" s="227"/>
      <c r="IBW1723" s="227"/>
      <c r="IBX1723" s="227"/>
      <c r="IBY1723" s="227"/>
      <c r="IBZ1723" s="227"/>
      <c r="ICA1723" s="227"/>
      <c r="ICB1723" s="227"/>
      <c r="ICC1723" s="227"/>
      <c r="ICD1723" s="227"/>
      <c r="ICE1723" s="227"/>
      <c r="ICF1723" s="227"/>
      <c r="ICG1723" s="227"/>
      <c r="ICH1723" s="227"/>
      <c r="ICI1723" s="227"/>
      <c r="ICJ1723" s="227"/>
      <c r="ICK1723" s="227"/>
      <c r="ICL1723" s="227"/>
      <c r="ICM1723" s="227"/>
      <c r="ICN1723" s="227"/>
      <c r="ICO1723" s="227"/>
      <c r="ICP1723" s="227"/>
      <c r="ICQ1723" s="227"/>
      <c r="ICR1723" s="227"/>
      <c r="ICS1723" s="227"/>
      <c r="ICT1723" s="227"/>
      <c r="ICU1723" s="227"/>
      <c r="ICV1723" s="227"/>
      <c r="ICW1723" s="227"/>
      <c r="ICX1723" s="227"/>
      <c r="ICY1723" s="227"/>
      <c r="ICZ1723" s="227"/>
      <c r="IDA1723" s="227"/>
      <c r="IDB1723" s="227"/>
      <c r="IDC1723" s="227"/>
      <c r="IDD1723" s="227"/>
      <c r="IDE1723" s="227"/>
      <c r="IDF1723" s="227"/>
      <c r="IDG1723" s="227"/>
      <c r="IDH1723" s="227"/>
      <c r="IDI1723" s="227"/>
      <c r="IDJ1723" s="227"/>
      <c r="IDK1723" s="227"/>
      <c r="IDL1723" s="227"/>
      <c r="IDM1723" s="227"/>
      <c r="IDN1723" s="227"/>
      <c r="IDO1723" s="227"/>
      <c r="IDP1723" s="227"/>
      <c r="IDQ1723" s="227"/>
      <c r="IDR1723" s="227"/>
      <c r="IDS1723" s="227"/>
      <c r="IDT1723" s="227"/>
      <c r="IDU1723" s="227"/>
      <c r="IDV1723" s="227"/>
      <c r="IDW1723" s="227"/>
      <c r="IDX1723" s="227"/>
      <c r="IDY1723" s="227"/>
      <c r="IDZ1723" s="227"/>
      <c r="IEA1723" s="227"/>
      <c r="IEB1723" s="227"/>
      <c r="IEC1723" s="227"/>
      <c r="IED1723" s="227"/>
      <c r="IEE1723" s="227"/>
      <c r="IEF1723" s="227"/>
      <c r="IEG1723" s="227"/>
      <c r="IEH1723" s="227"/>
      <c r="IEI1723" s="227"/>
      <c r="IEJ1723" s="227"/>
      <c r="IEK1723" s="227"/>
      <c r="IEL1723" s="227"/>
      <c r="IEM1723" s="227"/>
      <c r="IEN1723" s="227"/>
      <c r="IEO1723" s="227"/>
      <c r="IEP1723" s="227"/>
      <c r="IEQ1723" s="227"/>
      <c r="IER1723" s="227"/>
      <c r="IES1723" s="227"/>
      <c r="IET1723" s="227"/>
      <c r="IEU1723" s="227"/>
      <c r="IEV1723" s="227"/>
      <c r="IEW1723" s="227"/>
      <c r="IEX1723" s="227"/>
      <c r="IEY1723" s="227"/>
      <c r="IEZ1723" s="227"/>
      <c r="IFA1723" s="227"/>
      <c r="IFB1723" s="227"/>
      <c r="IFC1723" s="227"/>
      <c r="IFD1723" s="227"/>
      <c r="IFE1723" s="227"/>
      <c r="IFF1723" s="227"/>
      <c r="IFG1723" s="227"/>
      <c r="IFH1723" s="227"/>
      <c r="IFI1723" s="227"/>
      <c r="IFJ1723" s="227"/>
      <c r="IFK1723" s="227"/>
      <c r="IFL1723" s="227"/>
      <c r="IFM1723" s="227"/>
      <c r="IFN1723" s="227"/>
      <c r="IFO1723" s="227"/>
      <c r="IFP1723" s="227"/>
      <c r="IFQ1723" s="227"/>
      <c r="IFR1723" s="227"/>
      <c r="IFS1723" s="227"/>
      <c r="IFT1723" s="227"/>
      <c r="IFU1723" s="227"/>
      <c r="IFV1723" s="227"/>
      <c r="IFW1723" s="227"/>
      <c r="IFX1723" s="227"/>
      <c r="IFY1723" s="227"/>
      <c r="IFZ1723" s="227"/>
      <c r="IGA1723" s="227"/>
      <c r="IGB1723" s="227"/>
      <c r="IGC1723" s="227"/>
      <c r="IGD1723" s="227"/>
      <c r="IGE1723" s="227"/>
      <c r="IGF1723" s="227"/>
      <c r="IGG1723" s="227"/>
      <c r="IGH1723" s="227"/>
      <c r="IGI1723" s="227"/>
      <c r="IGJ1723" s="227"/>
      <c r="IGK1723" s="227"/>
      <c r="IGL1723" s="227"/>
      <c r="IGM1723" s="227"/>
      <c r="IGN1723" s="227"/>
      <c r="IGO1723" s="227"/>
      <c r="IGP1723" s="227"/>
      <c r="IGQ1723" s="227"/>
      <c r="IGR1723" s="227"/>
      <c r="IGS1723" s="227"/>
      <c r="IGT1723" s="227"/>
      <c r="IGU1723" s="227"/>
      <c r="IGV1723" s="227"/>
      <c r="IGW1723" s="227"/>
      <c r="IGX1723" s="227"/>
      <c r="IGY1723" s="227"/>
      <c r="IGZ1723" s="227"/>
      <c r="IHA1723" s="227"/>
      <c r="IHB1723" s="227"/>
      <c r="IHC1723" s="227"/>
      <c r="IHD1723" s="227"/>
      <c r="IHE1723" s="227"/>
      <c r="IHF1723" s="227"/>
      <c r="IHG1723" s="227"/>
      <c r="IHH1723" s="227"/>
      <c r="IHI1723" s="227"/>
      <c r="IHJ1723" s="227"/>
      <c r="IHK1723" s="227"/>
      <c r="IHL1723" s="227"/>
      <c r="IHM1723" s="227"/>
      <c r="IHN1723" s="227"/>
      <c r="IHO1723" s="227"/>
      <c r="IHP1723" s="227"/>
      <c r="IHQ1723" s="227"/>
      <c r="IHR1723" s="227"/>
      <c r="IHS1723" s="227"/>
      <c r="IHT1723" s="227"/>
      <c r="IHU1723" s="227"/>
      <c r="IHV1723" s="227"/>
      <c r="IHW1723" s="227"/>
      <c r="IHX1723" s="227"/>
      <c r="IHY1723" s="227"/>
      <c r="IHZ1723" s="227"/>
      <c r="IIA1723" s="227"/>
      <c r="IIB1723" s="227"/>
      <c r="IIC1723" s="227"/>
      <c r="IID1723" s="227"/>
      <c r="IIE1723" s="227"/>
      <c r="IIF1723" s="227"/>
      <c r="IIG1723" s="227"/>
      <c r="IIH1723" s="227"/>
      <c r="III1723" s="227"/>
      <c r="IIJ1723" s="227"/>
      <c r="IIK1723" s="227"/>
      <c r="IIL1723" s="227"/>
      <c r="IIM1723" s="227"/>
      <c r="IIN1723" s="227"/>
      <c r="IIO1723" s="227"/>
      <c r="IIP1723" s="227"/>
      <c r="IIQ1723" s="227"/>
      <c r="IIR1723" s="227"/>
      <c r="IIS1723" s="227"/>
      <c r="IIT1723" s="227"/>
      <c r="IIU1723" s="227"/>
      <c r="IIV1723" s="227"/>
      <c r="IIW1723" s="227"/>
      <c r="IIX1723" s="227"/>
      <c r="IIY1723" s="227"/>
      <c r="IIZ1723" s="227"/>
      <c r="IJA1723" s="227"/>
      <c r="IJB1723" s="227"/>
      <c r="IJC1723" s="227"/>
      <c r="IJD1723" s="227"/>
      <c r="IJE1723" s="227"/>
      <c r="IJF1723" s="227"/>
      <c r="IJG1723" s="227"/>
      <c r="IJH1723" s="227"/>
      <c r="IJI1723" s="227"/>
      <c r="IJJ1723" s="227"/>
      <c r="IJK1723" s="227"/>
      <c r="IJL1723" s="227"/>
      <c r="IJM1723" s="227"/>
      <c r="IJN1723" s="227"/>
      <c r="IJO1723" s="227"/>
      <c r="IJP1723" s="227"/>
      <c r="IJQ1723" s="227"/>
      <c r="IJR1723" s="227"/>
      <c r="IJS1723" s="227"/>
      <c r="IJT1723" s="227"/>
      <c r="IJU1723" s="227"/>
      <c r="IJV1723" s="227"/>
      <c r="IJW1723" s="227"/>
      <c r="IJX1723" s="227"/>
      <c r="IJY1723" s="227"/>
      <c r="IJZ1723" s="227"/>
      <c r="IKA1723" s="227"/>
      <c r="IKB1723" s="227"/>
      <c r="IKC1723" s="227"/>
      <c r="IKD1723" s="227"/>
      <c r="IKE1723" s="227"/>
      <c r="IKF1723" s="227"/>
      <c r="IKG1723" s="227"/>
      <c r="IKH1723" s="227"/>
      <c r="IKI1723" s="227"/>
      <c r="IKJ1723" s="227"/>
      <c r="IKK1723" s="227"/>
      <c r="IKL1723" s="227"/>
      <c r="IKM1723" s="227"/>
      <c r="IKN1723" s="227"/>
      <c r="IKO1723" s="227"/>
      <c r="IKP1723" s="227"/>
      <c r="IKQ1723" s="227"/>
      <c r="IKR1723" s="227"/>
      <c r="IKS1723" s="227"/>
      <c r="IKT1723" s="227"/>
      <c r="IKU1723" s="227"/>
      <c r="IKV1723" s="227"/>
      <c r="IKW1723" s="227"/>
      <c r="IKX1723" s="227"/>
      <c r="IKY1723" s="227"/>
      <c r="IKZ1723" s="227"/>
      <c r="ILA1723" s="227"/>
      <c r="ILB1723" s="227"/>
      <c r="ILC1723" s="227"/>
      <c r="ILD1723" s="227"/>
      <c r="ILE1723" s="227"/>
      <c r="ILF1723" s="227"/>
      <c r="ILG1723" s="227"/>
      <c r="ILH1723" s="227"/>
      <c r="ILI1723" s="227"/>
      <c r="ILJ1723" s="227"/>
      <c r="ILK1723" s="227"/>
      <c r="ILL1723" s="227"/>
      <c r="ILM1723" s="227"/>
      <c r="ILN1723" s="227"/>
      <c r="ILO1723" s="227"/>
      <c r="ILP1723" s="227"/>
      <c r="ILQ1723" s="227"/>
      <c r="ILR1723" s="227"/>
      <c r="ILS1723" s="227"/>
      <c r="ILT1723" s="227"/>
      <c r="ILU1723" s="227"/>
      <c r="ILV1723" s="227"/>
      <c r="ILW1723" s="227"/>
      <c r="ILX1723" s="227"/>
      <c r="ILY1723" s="227"/>
      <c r="ILZ1723" s="227"/>
      <c r="IMA1723" s="227"/>
      <c r="IMB1723" s="227"/>
      <c r="IMC1723" s="227"/>
      <c r="IMD1723" s="227"/>
      <c r="IME1723" s="227"/>
      <c r="IMF1723" s="227"/>
      <c r="IMG1723" s="227"/>
      <c r="IMH1723" s="227"/>
      <c r="IMI1723" s="227"/>
      <c r="IMJ1723" s="227"/>
      <c r="IMK1723" s="227"/>
      <c r="IML1723" s="227"/>
      <c r="IMM1723" s="227"/>
      <c r="IMN1723" s="227"/>
      <c r="IMO1723" s="227"/>
      <c r="IMP1723" s="227"/>
      <c r="IMQ1723" s="227"/>
      <c r="IMR1723" s="227"/>
      <c r="IMS1723" s="227"/>
      <c r="IMT1723" s="227"/>
      <c r="IMU1723" s="227"/>
      <c r="IMV1723" s="227"/>
      <c r="IMW1723" s="227"/>
      <c r="IMX1723" s="227"/>
      <c r="IMY1723" s="227"/>
      <c r="IMZ1723" s="227"/>
      <c r="INA1723" s="227"/>
      <c r="INB1723" s="227"/>
      <c r="INC1723" s="227"/>
      <c r="IND1723" s="227"/>
      <c r="INE1723" s="227"/>
      <c r="INF1723" s="227"/>
      <c r="ING1723" s="227"/>
      <c r="INH1723" s="227"/>
      <c r="INI1723" s="227"/>
      <c r="INJ1723" s="227"/>
      <c r="INK1723" s="227"/>
      <c r="INL1723" s="227"/>
      <c r="INM1723" s="227"/>
      <c r="INN1723" s="227"/>
      <c r="INO1723" s="227"/>
      <c r="INP1723" s="227"/>
      <c r="INQ1723" s="227"/>
      <c r="INR1723" s="227"/>
      <c r="INS1723" s="227"/>
      <c r="INT1723" s="227"/>
      <c r="INU1723" s="227"/>
      <c r="INV1723" s="227"/>
      <c r="INW1723" s="227"/>
      <c r="INX1723" s="227"/>
      <c r="INY1723" s="227"/>
      <c r="INZ1723" s="227"/>
      <c r="IOA1723" s="227"/>
      <c r="IOB1723" s="227"/>
      <c r="IOC1723" s="227"/>
      <c r="IOD1723" s="227"/>
      <c r="IOE1723" s="227"/>
      <c r="IOF1723" s="227"/>
      <c r="IOG1723" s="227"/>
      <c r="IOH1723" s="227"/>
      <c r="IOI1723" s="227"/>
      <c r="IOJ1723" s="227"/>
      <c r="IOK1723" s="227"/>
      <c r="IOL1723" s="227"/>
      <c r="IOM1723" s="227"/>
      <c r="ION1723" s="227"/>
      <c r="IOO1723" s="227"/>
      <c r="IOP1723" s="227"/>
      <c r="IOQ1723" s="227"/>
      <c r="IOR1723" s="227"/>
      <c r="IOS1723" s="227"/>
      <c r="IOT1723" s="227"/>
      <c r="IOU1723" s="227"/>
      <c r="IOV1723" s="227"/>
      <c r="IOW1723" s="227"/>
      <c r="IOX1723" s="227"/>
      <c r="IOY1723" s="227"/>
      <c r="IOZ1723" s="227"/>
      <c r="IPA1723" s="227"/>
      <c r="IPB1723" s="227"/>
      <c r="IPC1723" s="227"/>
      <c r="IPD1723" s="227"/>
      <c r="IPE1723" s="227"/>
      <c r="IPF1723" s="227"/>
      <c r="IPG1723" s="227"/>
      <c r="IPH1723" s="227"/>
      <c r="IPI1723" s="227"/>
      <c r="IPJ1723" s="227"/>
      <c r="IPK1723" s="227"/>
      <c r="IPL1723" s="227"/>
      <c r="IPM1723" s="227"/>
      <c r="IPN1723" s="227"/>
      <c r="IPO1723" s="227"/>
      <c r="IPP1723" s="227"/>
      <c r="IPQ1723" s="227"/>
      <c r="IPR1723" s="227"/>
      <c r="IPS1723" s="227"/>
      <c r="IPT1723" s="227"/>
      <c r="IPU1723" s="227"/>
      <c r="IPV1723" s="227"/>
      <c r="IPW1723" s="227"/>
      <c r="IPX1723" s="227"/>
      <c r="IPY1723" s="227"/>
      <c r="IPZ1723" s="227"/>
      <c r="IQA1723" s="227"/>
      <c r="IQB1723" s="227"/>
      <c r="IQC1723" s="227"/>
      <c r="IQD1723" s="227"/>
      <c r="IQE1723" s="227"/>
      <c r="IQF1723" s="227"/>
      <c r="IQG1723" s="227"/>
      <c r="IQH1723" s="227"/>
      <c r="IQI1723" s="227"/>
      <c r="IQJ1723" s="227"/>
      <c r="IQK1723" s="227"/>
      <c r="IQL1723" s="227"/>
      <c r="IQM1723" s="227"/>
      <c r="IQN1723" s="227"/>
      <c r="IQO1723" s="227"/>
      <c r="IQP1723" s="227"/>
      <c r="IQQ1723" s="227"/>
      <c r="IQR1723" s="227"/>
      <c r="IQS1723" s="227"/>
      <c r="IQT1723" s="227"/>
      <c r="IQU1723" s="227"/>
      <c r="IQV1723" s="227"/>
      <c r="IQW1723" s="227"/>
      <c r="IQX1723" s="227"/>
      <c r="IQY1723" s="227"/>
      <c r="IQZ1723" s="227"/>
      <c r="IRA1723" s="227"/>
      <c r="IRB1723" s="227"/>
      <c r="IRC1723" s="227"/>
      <c r="IRD1723" s="227"/>
      <c r="IRE1723" s="227"/>
      <c r="IRF1723" s="227"/>
      <c r="IRG1723" s="227"/>
      <c r="IRH1723" s="227"/>
      <c r="IRI1723" s="227"/>
      <c r="IRJ1723" s="227"/>
      <c r="IRK1723" s="227"/>
      <c r="IRL1723" s="227"/>
      <c r="IRM1723" s="227"/>
      <c r="IRN1723" s="227"/>
      <c r="IRO1723" s="227"/>
      <c r="IRP1723" s="227"/>
      <c r="IRQ1723" s="227"/>
      <c r="IRR1723" s="227"/>
      <c r="IRS1723" s="227"/>
      <c r="IRT1723" s="227"/>
      <c r="IRU1723" s="227"/>
      <c r="IRV1723" s="227"/>
      <c r="IRW1723" s="227"/>
      <c r="IRX1723" s="227"/>
      <c r="IRY1723" s="227"/>
      <c r="IRZ1723" s="227"/>
      <c r="ISA1723" s="227"/>
      <c r="ISB1723" s="227"/>
      <c r="ISC1723" s="227"/>
      <c r="ISD1723" s="227"/>
      <c r="ISE1723" s="227"/>
      <c r="ISF1723" s="227"/>
      <c r="ISG1723" s="227"/>
      <c r="ISH1723" s="227"/>
      <c r="ISI1723" s="227"/>
      <c r="ISJ1723" s="227"/>
      <c r="ISK1723" s="227"/>
      <c r="ISL1723" s="227"/>
      <c r="ISM1723" s="227"/>
      <c r="ISN1723" s="227"/>
      <c r="ISO1723" s="227"/>
      <c r="ISP1723" s="227"/>
      <c r="ISQ1723" s="227"/>
      <c r="ISR1723" s="227"/>
      <c r="ISS1723" s="227"/>
      <c r="IST1723" s="227"/>
      <c r="ISU1723" s="227"/>
      <c r="ISV1723" s="227"/>
      <c r="ISW1723" s="227"/>
      <c r="ISX1723" s="227"/>
      <c r="ISY1723" s="227"/>
      <c r="ISZ1723" s="227"/>
      <c r="ITA1723" s="227"/>
      <c r="ITB1723" s="227"/>
      <c r="ITC1723" s="227"/>
      <c r="ITD1723" s="227"/>
      <c r="ITE1723" s="227"/>
      <c r="ITF1723" s="227"/>
      <c r="ITG1723" s="227"/>
      <c r="ITH1723" s="227"/>
      <c r="ITI1723" s="227"/>
      <c r="ITJ1723" s="227"/>
      <c r="ITK1723" s="227"/>
      <c r="ITL1723" s="227"/>
      <c r="ITM1723" s="227"/>
      <c r="ITN1723" s="227"/>
      <c r="ITO1723" s="227"/>
      <c r="ITP1723" s="227"/>
      <c r="ITQ1723" s="227"/>
      <c r="ITR1723" s="227"/>
      <c r="ITS1723" s="227"/>
      <c r="ITT1723" s="227"/>
      <c r="ITU1723" s="227"/>
      <c r="ITV1723" s="227"/>
      <c r="ITW1723" s="227"/>
      <c r="ITX1723" s="227"/>
      <c r="ITY1723" s="227"/>
      <c r="ITZ1723" s="227"/>
      <c r="IUA1723" s="227"/>
      <c r="IUB1723" s="227"/>
      <c r="IUC1723" s="227"/>
      <c r="IUD1723" s="227"/>
      <c r="IUE1723" s="227"/>
      <c r="IUF1723" s="227"/>
      <c r="IUG1723" s="227"/>
      <c r="IUH1723" s="227"/>
      <c r="IUI1723" s="227"/>
      <c r="IUJ1723" s="227"/>
      <c r="IUK1723" s="227"/>
      <c r="IUL1723" s="227"/>
      <c r="IUM1723" s="227"/>
      <c r="IUN1723" s="227"/>
      <c r="IUO1723" s="227"/>
      <c r="IUP1723" s="227"/>
      <c r="IUQ1723" s="227"/>
      <c r="IUR1723" s="227"/>
      <c r="IUS1723" s="227"/>
      <c r="IUT1723" s="227"/>
      <c r="IUU1723" s="227"/>
      <c r="IUV1723" s="227"/>
      <c r="IUW1723" s="227"/>
      <c r="IUX1723" s="227"/>
      <c r="IUY1723" s="227"/>
      <c r="IUZ1723" s="227"/>
      <c r="IVA1723" s="227"/>
      <c r="IVB1723" s="227"/>
      <c r="IVC1723" s="227"/>
      <c r="IVD1723" s="227"/>
      <c r="IVE1723" s="227"/>
      <c r="IVF1723" s="227"/>
      <c r="IVG1723" s="227"/>
      <c r="IVH1723" s="227"/>
      <c r="IVI1723" s="227"/>
      <c r="IVJ1723" s="227"/>
      <c r="IVK1723" s="227"/>
      <c r="IVL1723" s="227"/>
      <c r="IVM1723" s="227"/>
      <c r="IVN1723" s="227"/>
      <c r="IVO1723" s="227"/>
      <c r="IVP1723" s="227"/>
      <c r="IVQ1723" s="227"/>
      <c r="IVR1723" s="227"/>
      <c r="IVS1723" s="227"/>
      <c r="IVT1723" s="227"/>
      <c r="IVU1723" s="227"/>
      <c r="IVV1723" s="227"/>
      <c r="IVW1723" s="227"/>
      <c r="IVX1723" s="227"/>
      <c r="IVY1723" s="227"/>
      <c r="IVZ1723" s="227"/>
      <c r="IWA1723" s="227"/>
      <c r="IWB1723" s="227"/>
      <c r="IWC1723" s="227"/>
      <c r="IWD1723" s="227"/>
      <c r="IWE1723" s="227"/>
      <c r="IWF1723" s="227"/>
      <c r="IWG1723" s="227"/>
      <c r="IWH1723" s="227"/>
      <c r="IWI1723" s="227"/>
      <c r="IWJ1723" s="227"/>
      <c r="IWK1723" s="227"/>
      <c r="IWL1723" s="227"/>
      <c r="IWM1723" s="227"/>
      <c r="IWN1723" s="227"/>
      <c r="IWO1723" s="227"/>
      <c r="IWP1723" s="227"/>
      <c r="IWQ1723" s="227"/>
      <c r="IWR1723" s="227"/>
      <c r="IWS1723" s="227"/>
      <c r="IWT1723" s="227"/>
      <c r="IWU1723" s="227"/>
      <c r="IWV1723" s="227"/>
      <c r="IWW1723" s="227"/>
      <c r="IWX1723" s="227"/>
      <c r="IWY1723" s="227"/>
      <c r="IWZ1723" s="227"/>
      <c r="IXA1723" s="227"/>
      <c r="IXB1723" s="227"/>
      <c r="IXC1723" s="227"/>
      <c r="IXD1723" s="227"/>
      <c r="IXE1723" s="227"/>
      <c r="IXF1723" s="227"/>
      <c r="IXG1723" s="227"/>
      <c r="IXH1723" s="227"/>
      <c r="IXI1723" s="227"/>
      <c r="IXJ1723" s="227"/>
      <c r="IXK1723" s="227"/>
      <c r="IXL1723" s="227"/>
      <c r="IXM1723" s="227"/>
      <c r="IXN1723" s="227"/>
      <c r="IXO1723" s="227"/>
      <c r="IXP1723" s="227"/>
      <c r="IXQ1723" s="227"/>
      <c r="IXR1723" s="227"/>
      <c r="IXS1723" s="227"/>
      <c r="IXT1723" s="227"/>
      <c r="IXU1723" s="227"/>
      <c r="IXV1723" s="227"/>
      <c r="IXW1723" s="227"/>
      <c r="IXX1723" s="227"/>
      <c r="IXY1723" s="227"/>
      <c r="IXZ1723" s="227"/>
      <c r="IYA1723" s="227"/>
      <c r="IYB1723" s="227"/>
      <c r="IYC1723" s="227"/>
      <c r="IYD1723" s="227"/>
      <c r="IYE1723" s="227"/>
      <c r="IYF1723" s="227"/>
      <c r="IYG1723" s="227"/>
      <c r="IYH1723" s="227"/>
      <c r="IYI1723" s="227"/>
      <c r="IYJ1723" s="227"/>
      <c r="IYK1723" s="227"/>
      <c r="IYL1723" s="227"/>
      <c r="IYM1723" s="227"/>
      <c r="IYN1723" s="227"/>
      <c r="IYO1723" s="227"/>
      <c r="IYP1723" s="227"/>
      <c r="IYQ1723" s="227"/>
      <c r="IYR1723" s="227"/>
      <c r="IYS1723" s="227"/>
      <c r="IYT1723" s="227"/>
      <c r="IYU1723" s="227"/>
      <c r="IYV1723" s="227"/>
      <c r="IYW1723" s="227"/>
      <c r="IYX1723" s="227"/>
      <c r="IYY1723" s="227"/>
      <c r="IYZ1723" s="227"/>
      <c r="IZA1723" s="227"/>
      <c r="IZB1723" s="227"/>
      <c r="IZC1723" s="227"/>
      <c r="IZD1723" s="227"/>
      <c r="IZE1723" s="227"/>
      <c r="IZF1723" s="227"/>
      <c r="IZG1723" s="227"/>
      <c r="IZH1723" s="227"/>
      <c r="IZI1723" s="227"/>
      <c r="IZJ1723" s="227"/>
      <c r="IZK1723" s="227"/>
      <c r="IZL1723" s="227"/>
      <c r="IZM1723" s="227"/>
      <c r="IZN1723" s="227"/>
      <c r="IZO1723" s="227"/>
      <c r="IZP1723" s="227"/>
      <c r="IZQ1723" s="227"/>
      <c r="IZR1723" s="227"/>
      <c r="IZS1723" s="227"/>
      <c r="IZT1723" s="227"/>
      <c r="IZU1723" s="227"/>
      <c r="IZV1723" s="227"/>
      <c r="IZW1723" s="227"/>
      <c r="IZX1723" s="227"/>
      <c r="IZY1723" s="227"/>
      <c r="IZZ1723" s="227"/>
      <c r="JAA1723" s="227"/>
      <c r="JAB1723" s="227"/>
      <c r="JAC1723" s="227"/>
      <c r="JAD1723" s="227"/>
      <c r="JAE1723" s="227"/>
      <c r="JAF1723" s="227"/>
      <c r="JAG1723" s="227"/>
      <c r="JAH1723" s="227"/>
      <c r="JAI1723" s="227"/>
      <c r="JAJ1723" s="227"/>
      <c r="JAK1723" s="227"/>
      <c r="JAL1723" s="227"/>
      <c r="JAM1723" s="227"/>
      <c r="JAN1723" s="227"/>
      <c r="JAO1723" s="227"/>
      <c r="JAP1723" s="227"/>
      <c r="JAQ1723" s="227"/>
      <c r="JAR1723" s="227"/>
      <c r="JAS1723" s="227"/>
      <c r="JAT1723" s="227"/>
      <c r="JAU1723" s="227"/>
      <c r="JAV1723" s="227"/>
      <c r="JAW1723" s="227"/>
      <c r="JAX1723" s="227"/>
      <c r="JAY1723" s="227"/>
      <c r="JAZ1723" s="227"/>
      <c r="JBA1723" s="227"/>
      <c r="JBB1723" s="227"/>
      <c r="JBC1723" s="227"/>
      <c r="JBD1723" s="227"/>
      <c r="JBE1723" s="227"/>
      <c r="JBF1723" s="227"/>
      <c r="JBG1723" s="227"/>
      <c r="JBH1723" s="227"/>
      <c r="JBI1723" s="227"/>
      <c r="JBJ1723" s="227"/>
      <c r="JBK1723" s="227"/>
      <c r="JBL1723" s="227"/>
      <c r="JBM1723" s="227"/>
      <c r="JBN1723" s="227"/>
      <c r="JBO1723" s="227"/>
      <c r="JBP1723" s="227"/>
      <c r="JBQ1723" s="227"/>
      <c r="JBR1723" s="227"/>
      <c r="JBS1723" s="227"/>
      <c r="JBT1723" s="227"/>
      <c r="JBU1723" s="227"/>
      <c r="JBV1723" s="227"/>
      <c r="JBW1723" s="227"/>
      <c r="JBX1723" s="227"/>
      <c r="JBY1723" s="227"/>
      <c r="JBZ1723" s="227"/>
      <c r="JCA1723" s="227"/>
      <c r="JCB1723" s="227"/>
      <c r="JCC1723" s="227"/>
      <c r="JCD1723" s="227"/>
      <c r="JCE1723" s="227"/>
      <c r="JCF1723" s="227"/>
      <c r="JCG1723" s="227"/>
      <c r="JCH1723" s="227"/>
      <c r="JCI1723" s="227"/>
      <c r="JCJ1723" s="227"/>
      <c r="JCK1723" s="227"/>
      <c r="JCL1723" s="227"/>
      <c r="JCM1723" s="227"/>
      <c r="JCN1723" s="227"/>
      <c r="JCO1723" s="227"/>
      <c r="JCP1723" s="227"/>
      <c r="JCQ1723" s="227"/>
      <c r="JCR1723" s="227"/>
      <c r="JCS1723" s="227"/>
      <c r="JCT1723" s="227"/>
      <c r="JCU1723" s="227"/>
      <c r="JCV1723" s="227"/>
      <c r="JCW1723" s="227"/>
      <c r="JCX1723" s="227"/>
      <c r="JCY1723" s="227"/>
      <c r="JCZ1723" s="227"/>
      <c r="JDA1723" s="227"/>
      <c r="JDB1723" s="227"/>
      <c r="JDC1723" s="227"/>
      <c r="JDD1723" s="227"/>
      <c r="JDE1723" s="227"/>
      <c r="JDF1723" s="227"/>
      <c r="JDG1723" s="227"/>
      <c r="JDH1723" s="227"/>
      <c r="JDI1723" s="227"/>
      <c r="JDJ1723" s="227"/>
      <c r="JDK1723" s="227"/>
      <c r="JDL1723" s="227"/>
      <c r="JDM1723" s="227"/>
      <c r="JDN1723" s="227"/>
      <c r="JDO1723" s="227"/>
      <c r="JDP1723" s="227"/>
      <c r="JDQ1723" s="227"/>
      <c r="JDR1723" s="227"/>
      <c r="JDS1723" s="227"/>
      <c r="JDT1723" s="227"/>
      <c r="JDU1723" s="227"/>
      <c r="JDV1723" s="227"/>
      <c r="JDW1723" s="227"/>
      <c r="JDX1723" s="227"/>
      <c r="JDY1723" s="227"/>
      <c r="JDZ1723" s="227"/>
      <c r="JEA1723" s="227"/>
      <c r="JEB1723" s="227"/>
      <c r="JEC1723" s="227"/>
      <c r="JED1723" s="227"/>
      <c r="JEE1723" s="227"/>
      <c r="JEF1723" s="227"/>
      <c r="JEG1723" s="227"/>
      <c r="JEH1723" s="227"/>
      <c r="JEI1723" s="227"/>
      <c r="JEJ1723" s="227"/>
      <c r="JEK1723" s="227"/>
      <c r="JEL1723" s="227"/>
      <c r="JEM1723" s="227"/>
      <c r="JEN1723" s="227"/>
      <c r="JEO1723" s="227"/>
      <c r="JEP1723" s="227"/>
      <c r="JEQ1723" s="227"/>
      <c r="JER1723" s="227"/>
      <c r="JES1723" s="227"/>
      <c r="JET1723" s="227"/>
      <c r="JEU1723" s="227"/>
      <c r="JEV1723" s="227"/>
      <c r="JEW1723" s="227"/>
      <c r="JEX1723" s="227"/>
      <c r="JEY1723" s="227"/>
      <c r="JEZ1723" s="227"/>
      <c r="JFA1723" s="227"/>
      <c r="JFB1723" s="227"/>
      <c r="JFC1723" s="227"/>
      <c r="JFD1723" s="227"/>
      <c r="JFE1723" s="227"/>
      <c r="JFF1723" s="227"/>
      <c r="JFG1723" s="227"/>
      <c r="JFH1723" s="227"/>
      <c r="JFI1723" s="227"/>
      <c r="JFJ1723" s="227"/>
      <c r="JFK1723" s="227"/>
      <c r="JFL1723" s="227"/>
      <c r="JFM1723" s="227"/>
      <c r="JFN1723" s="227"/>
      <c r="JFO1723" s="227"/>
      <c r="JFP1723" s="227"/>
      <c r="JFQ1723" s="227"/>
      <c r="JFR1723" s="227"/>
      <c r="JFS1723" s="227"/>
      <c r="JFT1723" s="227"/>
      <c r="JFU1723" s="227"/>
      <c r="JFV1723" s="227"/>
      <c r="JFW1723" s="227"/>
      <c r="JFX1723" s="227"/>
      <c r="JFY1723" s="227"/>
      <c r="JFZ1723" s="227"/>
      <c r="JGA1723" s="227"/>
      <c r="JGB1723" s="227"/>
      <c r="JGC1723" s="227"/>
      <c r="JGD1723" s="227"/>
      <c r="JGE1723" s="227"/>
      <c r="JGF1723" s="227"/>
      <c r="JGG1723" s="227"/>
      <c r="JGH1723" s="227"/>
      <c r="JGI1723" s="227"/>
      <c r="JGJ1723" s="227"/>
      <c r="JGK1723" s="227"/>
      <c r="JGL1723" s="227"/>
      <c r="JGM1723" s="227"/>
      <c r="JGN1723" s="227"/>
      <c r="JGO1723" s="227"/>
      <c r="JGP1723" s="227"/>
      <c r="JGQ1723" s="227"/>
      <c r="JGR1723" s="227"/>
      <c r="JGS1723" s="227"/>
      <c r="JGT1723" s="227"/>
      <c r="JGU1723" s="227"/>
      <c r="JGV1723" s="227"/>
      <c r="JGW1723" s="227"/>
      <c r="JGX1723" s="227"/>
      <c r="JGY1723" s="227"/>
      <c r="JGZ1723" s="227"/>
      <c r="JHA1723" s="227"/>
      <c r="JHB1723" s="227"/>
      <c r="JHC1723" s="227"/>
      <c r="JHD1723" s="227"/>
      <c r="JHE1723" s="227"/>
      <c r="JHF1723" s="227"/>
      <c r="JHG1723" s="227"/>
      <c r="JHH1723" s="227"/>
      <c r="JHI1723" s="227"/>
      <c r="JHJ1723" s="227"/>
      <c r="JHK1723" s="227"/>
      <c r="JHL1723" s="227"/>
      <c r="JHM1723" s="227"/>
      <c r="JHN1723" s="227"/>
      <c r="JHO1723" s="227"/>
      <c r="JHP1723" s="227"/>
      <c r="JHQ1723" s="227"/>
      <c r="JHR1723" s="227"/>
      <c r="JHS1723" s="227"/>
      <c r="JHT1723" s="227"/>
      <c r="JHU1723" s="227"/>
      <c r="JHV1723" s="227"/>
      <c r="JHW1723" s="227"/>
      <c r="JHX1723" s="227"/>
      <c r="JHY1723" s="227"/>
      <c r="JHZ1723" s="227"/>
      <c r="JIA1723" s="227"/>
      <c r="JIB1723" s="227"/>
      <c r="JIC1723" s="227"/>
      <c r="JID1723" s="227"/>
      <c r="JIE1723" s="227"/>
      <c r="JIF1723" s="227"/>
      <c r="JIG1723" s="227"/>
      <c r="JIH1723" s="227"/>
      <c r="JII1723" s="227"/>
      <c r="JIJ1723" s="227"/>
      <c r="JIK1723" s="227"/>
      <c r="JIL1723" s="227"/>
      <c r="JIM1723" s="227"/>
      <c r="JIN1723" s="227"/>
      <c r="JIO1723" s="227"/>
      <c r="JIP1723" s="227"/>
      <c r="JIQ1723" s="227"/>
      <c r="JIR1723" s="227"/>
      <c r="JIS1723" s="227"/>
      <c r="JIT1723" s="227"/>
      <c r="JIU1723" s="227"/>
      <c r="JIV1723" s="227"/>
      <c r="JIW1723" s="227"/>
      <c r="JIX1723" s="227"/>
      <c r="JIY1723" s="227"/>
      <c r="JIZ1723" s="227"/>
      <c r="JJA1723" s="227"/>
      <c r="JJB1723" s="227"/>
      <c r="JJC1723" s="227"/>
      <c r="JJD1723" s="227"/>
      <c r="JJE1723" s="227"/>
      <c r="JJF1723" s="227"/>
      <c r="JJG1723" s="227"/>
      <c r="JJH1723" s="227"/>
      <c r="JJI1723" s="227"/>
      <c r="JJJ1723" s="227"/>
      <c r="JJK1723" s="227"/>
      <c r="JJL1723" s="227"/>
      <c r="JJM1723" s="227"/>
      <c r="JJN1723" s="227"/>
      <c r="JJO1723" s="227"/>
      <c r="JJP1723" s="227"/>
      <c r="JJQ1723" s="227"/>
      <c r="JJR1723" s="227"/>
      <c r="JJS1723" s="227"/>
      <c r="JJT1723" s="227"/>
      <c r="JJU1723" s="227"/>
      <c r="JJV1723" s="227"/>
      <c r="JJW1723" s="227"/>
      <c r="JJX1723" s="227"/>
      <c r="JJY1723" s="227"/>
      <c r="JJZ1723" s="227"/>
      <c r="JKA1723" s="227"/>
      <c r="JKB1723" s="227"/>
      <c r="JKC1723" s="227"/>
      <c r="JKD1723" s="227"/>
      <c r="JKE1723" s="227"/>
      <c r="JKF1723" s="227"/>
      <c r="JKG1723" s="227"/>
      <c r="JKH1723" s="227"/>
      <c r="JKI1723" s="227"/>
      <c r="JKJ1723" s="227"/>
      <c r="JKK1723" s="227"/>
      <c r="JKL1723" s="227"/>
      <c r="JKM1723" s="227"/>
      <c r="JKN1723" s="227"/>
      <c r="JKO1723" s="227"/>
      <c r="JKP1723" s="227"/>
      <c r="JKQ1723" s="227"/>
      <c r="JKR1723" s="227"/>
      <c r="JKS1723" s="227"/>
      <c r="JKT1723" s="227"/>
      <c r="JKU1723" s="227"/>
      <c r="JKV1723" s="227"/>
      <c r="JKW1723" s="227"/>
      <c r="JKX1723" s="227"/>
      <c r="JKY1723" s="227"/>
      <c r="JKZ1723" s="227"/>
      <c r="JLA1723" s="227"/>
      <c r="JLB1723" s="227"/>
      <c r="JLC1723" s="227"/>
      <c r="JLD1723" s="227"/>
      <c r="JLE1723" s="227"/>
      <c r="JLF1723" s="227"/>
      <c r="JLG1723" s="227"/>
      <c r="JLH1723" s="227"/>
      <c r="JLI1723" s="227"/>
      <c r="JLJ1723" s="227"/>
      <c r="JLK1723" s="227"/>
      <c r="JLL1723" s="227"/>
      <c r="JLM1723" s="227"/>
      <c r="JLN1723" s="227"/>
      <c r="JLO1723" s="227"/>
      <c r="JLP1723" s="227"/>
      <c r="JLQ1723" s="227"/>
      <c r="JLR1723" s="227"/>
      <c r="JLS1723" s="227"/>
      <c r="JLT1723" s="227"/>
      <c r="JLU1723" s="227"/>
      <c r="JLV1723" s="227"/>
      <c r="JLW1723" s="227"/>
      <c r="JLX1723" s="227"/>
      <c r="JLY1723" s="227"/>
      <c r="JLZ1723" s="227"/>
      <c r="JMA1723" s="227"/>
      <c r="JMB1723" s="227"/>
      <c r="JMC1723" s="227"/>
      <c r="JMD1723" s="227"/>
      <c r="JME1723" s="227"/>
      <c r="JMF1723" s="227"/>
      <c r="JMG1723" s="227"/>
      <c r="JMH1723" s="227"/>
      <c r="JMI1723" s="227"/>
      <c r="JMJ1723" s="227"/>
      <c r="JMK1723" s="227"/>
      <c r="JML1723" s="227"/>
      <c r="JMM1723" s="227"/>
      <c r="JMN1723" s="227"/>
      <c r="JMO1723" s="227"/>
      <c r="JMP1723" s="227"/>
      <c r="JMQ1723" s="227"/>
      <c r="JMR1723" s="227"/>
      <c r="JMS1723" s="227"/>
      <c r="JMT1723" s="227"/>
      <c r="JMU1723" s="227"/>
      <c r="JMV1723" s="227"/>
      <c r="JMW1723" s="227"/>
      <c r="JMX1723" s="227"/>
      <c r="JMY1723" s="227"/>
      <c r="JMZ1723" s="227"/>
      <c r="JNA1723" s="227"/>
      <c r="JNB1723" s="227"/>
      <c r="JNC1723" s="227"/>
      <c r="JND1723" s="227"/>
      <c r="JNE1723" s="227"/>
      <c r="JNF1723" s="227"/>
      <c r="JNG1723" s="227"/>
      <c r="JNH1723" s="227"/>
      <c r="JNI1723" s="227"/>
      <c r="JNJ1723" s="227"/>
      <c r="JNK1723" s="227"/>
      <c r="JNL1723" s="227"/>
      <c r="JNM1723" s="227"/>
      <c r="JNN1723" s="227"/>
      <c r="JNO1723" s="227"/>
      <c r="JNP1723" s="227"/>
      <c r="JNQ1723" s="227"/>
      <c r="JNR1723" s="227"/>
      <c r="JNS1723" s="227"/>
      <c r="JNT1723" s="227"/>
      <c r="JNU1723" s="227"/>
      <c r="JNV1723" s="227"/>
      <c r="JNW1723" s="227"/>
      <c r="JNX1723" s="227"/>
      <c r="JNY1723" s="227"/>
      <c r="JNZ1723" s="227"/>
      <c r="JOA1723" s="227"/>
      <c r="JOB1723" s="227"/>
      <c r="JOC1723" s="227"/>
      <c r="JOD1723" s="227"/>
      <c r="JOE1723" s="227"/>
      <c r="JOF1723" s="227"/>
      <c r="JOG1723" s="227"/>
      <c r="JOH1723" s="227"/>
      <c r="JOI1723" s="227"/>
      <c r="JOJ1723" s="227"/>
      <c r="JOK1723" s="227"/>
      <c r="JOL1723" s="227"/>
      <c r="JOM1723" s="227"/>
      <c r="JON1723" s="227"/>
      <c r="JOO1723" s="227"/>
      <c r="JOP1723" s="227"/>
      <c r="JOQ1723" s="227"/>
      <c r="JOR1723" s="227"/>
      <c r="JOS1723" s="227"/>
      <c r="JOT1723" s="227"/>
      <c r="JOU1723" s="227"/>
      <c r="JOV1723" s="227"/>
      <c r="JOW1723" s="227"/>
      <c r="JOX1723" s="227"/>
      <c r="JOY1723" s="227"/>
      <c r="JOZ1723" s="227"/>
      <c r="JPA1723" s="227"/>
      <c r="JPB1723" s="227"/>
      <c r="JPC1723" s="227"/>
      <c r="JPD1723" s="227"/>
      <c r="JPE1723" s="227"/>
      <c r="JPF1723" s="227"/>
      <c r="JPG1723" s="227"/>
      <c r="JPH1723" s="227"/>
      <c r="JPI1723" s="227"/>
      <c r="JPJ1723" s="227"/>
      <c r="JPK1723" s="227"/>
      <c r="JPL1723" s="227"/>
      <c r="JPM1723" s="227"/>
      <c r="JPN1723" s="227"/>
      <c r="JPO1723" s="227"/>
      <c r="JPP1723" s="227"/>
      <c r="JPQ1723" s="227"/>
      <c r="JPR1723" s="227"/>
      <c r="JPS1723" s="227"/>
      <c r="JPT1723" s="227"/>
      <c r="JPU1723" s="227"/>
      <c r="JPV1723" s="227"/>
      <c r="JPW1723" s="227"/>
      <c r="JPX1723" s="227"/>
      <c r="JPY1723" s="227"/>
      <c r="JPZ1723" s="227"/>
      <c r="JQA1723" s="227"/>
      <c r="JQB1723" s="227"/>
      <c r="JQC1723" s="227"/>
      <c r="JQD1723" s="227"/>
      <c r="JQE1723" s="227"/>
      <c r="JQF1723" s="227"/>
      <c r="JQG1723" s="227"/>
      <c r="JQH1723" s="227"/>
      <c r="JQI1723" s="227"/>
      <c r="JQJ1723" s="227"/>
      <c r="JQK1723" s="227"/>
      <c r="JQL1723" s="227"/>
      <c r="JQM1723" s="227"/>
      <c r="JQN1723" s="227"/>
      <c r="JQO1723" s="227"/>
      <c r="JQP1723" s="227"/>
      <c r="JQQ1723" s="227"/>
      <c r="JQR1723" s="227"/>
      <c r="JQS1723" s="227"/>
      <c r="JQT1723" s="227"/>
      <c r="JQU1723" s="227"/>
      <c r="JQV1723" s="227"/>
      <c r="JQW1723" s="227"/>
      <c r="JQX1723" s="227"/>
      <c r="JQY1723" s="227"/>
      <c r="JQZ1723" s="227"/>
      <c r="JRA1723" s="227"/>
      <c r="JRB1723" s="227"/>
      <c r="JRC1723" s="227"/>
      <c r="JRD1723" s="227"/>
      <c r="JRE1723" s="227"/>
      <c r="JRF1723" s="227"/>
      <c r="JRG1723" s="227"/>
      <c r="JRH1723" s="227"/>
      <c r="JRI1723" s="227"/>
      <c r="JRJ1723" s="227"/>
      <c r="JRK1723" s="227"/>
      <c r="JRL1723" s="227"/>
      <c r="JRM1723" s="227"/>
      <c r="JRN1723" s="227"/>
      <c r="JRO1723" s="227"/>
      <c r="JRP1723" s="227"/>
      <c r="JRQ1723" s="227"/>
      <c r="JRR1723" s="227"/>
      <c r="JRS1723" s="227"/>
      <c r="JRT1723" s="227"/>
      <c r="JRU1723" s="227"/>
      <c r="JRV1723" s="227"/>
      <c r="JRW1723" s="227"/>
      <c r="JRX1723" s="227"/>
      <c r="JRY1723" s="227"/>
      <c r="JRZ1723" s="227"/>
      <c r="JSA1723" s="227"/>
      <c r="JSB1723" s="227"/>
      <c r="JSC1723" s="227"/>
      <c r="JSD1723" s="227"/>
      <c r="JSE1723" s="227"/>
      <c r="JSF1723" s="227"/>
      <c r="JSG1723" s="227"/>
      <c r="JSH1723" s="227"/>
      <c r="JSI1723" s="227"/>
      <c r="JSJ1723" s="227"/>
      <c r="JSK1723" s="227"/>
      <c r="JSL1723" s="227"/>
      <c r="JSM1723" s="227"/>
      <c r="JSN1723" s="227"/>
      <c r="JSO1723" s="227"/>
      <c r="JSP1723" s="227"/>
      <c r="JSQ1723" s="227"/>
      <c r="JSR1723" s="227"/>
      <c r="JSS1723" s="227"/>
      <c r="JST1723" s="227"/>
      <c r="JSU1723" s="227"/>
      <c r="JSV1723" s="227"/>
      <c r="JSW1723" s="227"/>
      <c r="JSX1723" s="227"/>
      <c r="JSY1723" s="227"/>
      <c r="JSZ1723" s="227"/>
      <c r="JTA1723" s="227"/>
      <c r="JTB1723" s="227"/>
      <c r="JTC1723" s="227"/>
      <c r="JTD1723" s="227"/>
      <c r="JTE1723" s="227"/>
      <c r="JTF1723" s="227"/>
      <c r="JTG1723" s="227"/>
      <c r="JTH1723" s="227"/>
      <c r="JTI1723" s="227"/>
      <c r="JTJ1723" s="227"/>
      <c r="JTK1723" s="227"/>
      <c r="JTL1723" s="227"/>
      <c r="JTM1723" s="227"/>
      <c r="JTN1723" s="227"/>
      <c r="JTO1723" s="227"/>
      <c r="JTP1723" s="227"/>
      <c r="JTQ1723" s="227"/>
      <c r="JTR1723" s="227"/>
      <c r="JTS1723" s="227"/>
      <c r="JTT1723" s="227"/>
      <c r="JTU1723" s="227"/>
      <c r="JTV1723" s="227"/>
      <c r="JTW1723" s="227"/>
      <c r="JTX1723" s="227"/>
      <c r="JTY1723" s="227"/>
      <c r="JTZ1723" s="227"/>
      <c r="JUA1723" s="227"/>
      <c r="JUB1723" s="227"/>
      <c r="JUC1723" s="227"/>
      <c r="JUD1723" s="227"/>
      <c r="JUE1723" s="227"/>
      <c r="JUF1723" s="227"/>
      <c r="JUG1723" s="227"/>
      <c r="JUH1723" s="227"/>
      <c r="JUI1723" s="227"/>
      <c r="JUJ1723" s="227"/>
      <c r="JUK1723" s="227"/>
      <c r="JUL1723" s="227"/>
      <c r="JUM1723" s="227"/>
      <c r="JUN1723" s="227"/>
      <c r="JUO1723" s="227"/>
      <c r="JUP1723" s="227"/>
      <c r="JUQ1723" s="227"/>
      <c r="JUR1723" s="227"/>
      <c r="JUS1723" s="227"/>
      <c r="JUT1723" s="227"/>
      <c r="JUU1723" s="227"/>
      <c r="JUV1723" s="227"/>
      <c r="JUW1723" s="227"/>
      <c r="JUX1723" s="227"/>
      <c r="JUY1723" s="227"/>
      <c r="JUZ1723" s="227"/>
      <c r="JVA1723" s="227"/>
      <c r="JVB1723" s="227"/>
      <c r="JVC1723" s="227"/>
      <c r="JVD1723" s="227"/>
      <c r="JVE1723" s="227"/>
      <c r="JVF1723" s="227"/>
      <c r="JVG1723" s="227"/>
      <c r="JVH1723" s="227"/>
      <c r="JVI1723" s="227"/>
      <c r="JVJ1723" s="227"/>
      <c r="JVK1723" s="227"/>
      <c r="JVL1723" s="227"/>
      <c r="JVM1723" s="227"/>
      <c r="JVN1723" s="227"/>
      <c r="JVO1723" s="227"/>
      <c r="JVP1723" s="227"/>
      <c r="JVQ1723" s="227"/>
      <c r="JVR1723" s="227"/>
      <c r="JVS1723" s="227"/>
      <c r="JVT1723" s="227"/>
      <c r="JVU1723" s="227"/>
      <c r="JVV1723" s="227"/>
      <c r="JVW1723" s="227"/>
      <c r="JVX1723" s="227"/>
      <c r="JVY1723" s="227"/>
      <c r="JVZ1723" s="227"/>
      <c r="JWA1723" s="227"/>
      <c r="JWB1723" s="227"/>
      <c r="JWC1723" s="227"/>
      <c r="JWD1723" s="227"/>
      <c r="JWE1723" s="227"/>
      <c r="JWF1723" s="227"/>
      <c r="JWG1723" s="227"/>
      <c r="JWH1723" s="227"/>
      <c r="JWI1723" s="227"/>
      <c r="JWJ1723" s="227"/>
      <c r="JWK1723" s="227"/>
      <c r="JWL1723" s="227"/>
      <c r="JWM1723" s="227"/>
      <c r="JWN1723" s="227"/>
      <c r="JWO1723" s="227"/>
      <c r="JWP1723" s="227"/>
      <c r="JWQ1723" s="227"/>
      <c r="JWR1723" s="227"/>
      <c r="JWS1723" s="227"/>
      <c r="JWT1723" s="227"/>
      <c r="JWU1723" s="227"/>
      <c r="JWV1723" s="227"/>
      <c r="JWW1723" s="227"/>
      <c r="JWX1723" s="227"/>
      <c r="JWY1723" s="227"/>
      <c r="JWZ1723" s="227"/>
      <c r="JXA1723" s="227"/>
      <c r="JXB1723" s="227"/>
      <c r="JXC1723" s="227"/>
      <c r="JXD1723" s="227"/>
      <c r="JXE1723" s="227"/>
      <c r="JXF1723" s="227"/>
      <c r="JXG1723" s="227"/>
      <c r="JXH1723" s="227"/>
      <c r="JXI1723" s="227"/>
      <c r="JXJ1723" s="227"/>
      <c r="JXK1723" s="227"/>
      <c r="JXL1723" s="227"/>
      <c r="JXM1723" s="227"/>
      <c r="JXN1723" s="227"/>
      <c r="JXO1723" s="227"/>
      <c r="JXP1723" s="227"/>
      <c r="JXQ1723" s="227"/>
      <c r="JXR1723" s="227"/>
      <c r="JXS1723" s="227"/>
      <c r="JXT1723" s="227"/>
      <c r="JXU1723" s="227"/>
      <c r="JXV1723" s="227"/>
      <c r="JXW1723" s="227"/>
      <c r="JXX1723" s="227"/>
      <c r="JXY1723" s="227"/>
      <c r="JXZ1723" s="227"/>
      <c r="JYA1723" s="227"/>
      <c r="JYB1723" s="227"/>
      <c r="JYC1723" s="227"/>
      <c r="JYD1723" s="227"/>
      <c r="JYE1723" s="227"/>
      <c r="JYF1723" s="227"/>
      <c r="JYG1723" s="227"/>
      <c r="JYH1723" s="227"/>
      <c r="JYI1723" s="227"/>
      <c r="JYJ1723" s="227"/>
      <c r="JYK1723" s="227"/>
      <c r="JYL1723" s="227"/>
      <c r="JYM1723" s="227"/>
      <c r="JYN1723" s="227"/>
      <c r="JYO1723" s="227"/>
      <c r="JYP1723" s="227"/>
      <c r="JYQ1723" s="227"/>
      <c r="JYR1723" s="227"/>
      <c r="JYS1723" s="227"/>
      <c r="JYT1723" s="227"/>
      <c r="JYU1723" s="227"/>
      <c r="JYV1723" s="227"/>
      <c r="JYW1723" s="227"/>
      <c r="JYX1723" s="227"/>
      <c r="JYY1723" s="227"/>
      <c r="JYZ1723" s="227"/>
      <c r="JZA1723" s="227"/>
      <c r="JZB1723" s="227"/>
      <c r="JZC1723" s="227"/>
      <c r="JZD1723" s="227"/>
      <c r="JZE1723" s="227"/>
      <c r="JZF1723" s="227"/>
      <c r="JZG1723" s="227"/>
      <c r="JZH1723" s="227"/>
      <c r="JZI1723" s="227"/>
      <c r="JZJ1723" s="227"/>
      <c r="JZK1723" s="227"/>
      <c r="JZL1723" s="227"/>
      <c r="JZM1723" s="227"/>
      <c r="JZN1723" s="227"/>
      <c r="JZO1723" s="227"/>
      <c r="JZP1723" s="227"/>
      <c r="JZQ1723" s="227"/>
      <c r="JZR1723" s="227"/>
      <c r="JZS1723" s="227"/>
      <c r="JZT1723" s="227"/>
      <c r="JZU1723" s="227"/>
      <c r="JZV1723" s="227"/>
      <c r="JZW1723" s="227"/>
      <c r="JZX1723" s="227"/>
      <c r="JZY1723" s="227"/>
      <c r="JZZ1723" s="227"/>
      <c r="KAA1723" s="227"/>
      <c r="KAB1723" s="227"/>
      <c r="KAC1723" s="227"/>
      <c r="KAD1723" s="227"/>
      <c r="KAE1723" s="227"/>
      <c r="KAF1723" s="227"/>
      <c r="KAG1723" s="227"/>
      <c r="KAH1723" s="227"/>
      <c r="KAI1723" s="227"/>
      <c r="KAJ1723" s="227"/>
      <c r="KAK1723" s="227"/>
      <c r="KAL1723" s="227"/>
      <c r="KAM1723" s="227"/>
      <c r="KAN1723" s="227"/>
      <c r="KAO1723" s="227"/>
      <c r="KAP1723" s="227"/>
      <c r="KAQ1723" s="227"/>
      <c r="KAR1723" s="227"/>
      <c r="KAS1723" s="227"/>
      <c r="KAT1723" s="227"/>
      <c r="KAU1723" s="227"/>
      <c r="KAV1723" s="227"/>
      <c r="KAW1723" s="227"/>
      <c r="KAX1723" s="227"/>
      <c r="KAY1723" s="227"/>
      <c r="KAZ1723" s="227"/>
      <c r="KBA1723" s="227"/>
      <c r="KBB1723" s="227"/>
      <c r="KBC1723" s="227"/>
      <c r="KBD1723" s="227"/>
      <c r="KBE1723" s="227"/>
      <c r="KBF1723" s="227"/>
      <c r="KBG1723" s="227"/>
      <c r="KBH1723" s="227"/>
      <c r="KBI1723" s="227"/>
      <c r="KBJ1723" s="227"/>
      <c r="KBK1723" s="227"/>
      <c r="KBL1723" s="227"/>
      <c r="KBM1723" s="227"/>
      <c r="KBN1723" s="227"/>
      <c r="KBO1723" s="227"/>
      <c r="KBP1723" s="227"/>
      <c r="KBQ1723" s="227"/>
      <c r="KBR1723" s="227"/>
      <c r="KBS1723" s="227"/>
      <c r="KBT1723" s="227"/>
      <c r="KBU1723" s="227"/>
      <c r="KBV1723" s="227"/>
      <c r="KBW1723" s="227"/>
      <c r="KBX1723" s="227"/>
      <c r="KBY1723" s="227"/>
      <c r="KBZ1723" s="227"/>
      <c r="KCA1723" s="227"/>
      <c r="KCB1723" s="227"/>
      <c r="KCC1723" s="227"/>
      <c r="KCD1723" s="227"/>
      <c r="KCE1723" s="227"/>
      <c r="KCF1723" s="227"/>
      <c r="KCG1723" s="227"/>
      <c r="KCH1723" s="227"/>
      <c r="KCI1723" s="227"/>
      <c r="KCJ1723" s="227"/>
      <c r="KCK1723" s="227"/>
      <c r="KCL1723" s="227"/>
      <c r="KCM1723" s="227"/>
      <c r="KCN1723" s="227"/>
      <c r="KCO1723" s="227"/>
      <c r="KCP1723" s="227"/>
      <c r="KCQ1723" s="227"/>
      <c r="KCR1723" s="227"/>
      <c r="KCS1723" s="227"/>
      <c r="KCT1723" s="227"/>
      <c r="KCU1723" s="227"/>
      <c r="KCV1723" s="227"/>
      <c r="KCW1723" s="227"/>
      <c r="KCX1723" s="227"/>
      <c r="KCY1723" s="227"/>
      <c r="KCZ1723" s="227"/>
      <c r="KDA1723" s="227"/>
      <c r="KDB1723" s="227"/>
      <c r="KDC1723" s="227"/>
      <c r="KDD1723" s="227"/>
      <c r="KDE1723" s="227"/>
      <c r="KDF1723" s="227"/>
      <c r="KDG1723" s="227"/>
      <c r="KDH1723" s="227"/>
      <c r="KDI1723" s="227"/>
      <c r="KDJ1723" s="227"/>
      <c r="KDK1723" s="227"/>
      <c r="KDL1723" s="227"/>
      <c r="KDM1723" s="227"/>
      <c r="KDN1723" s="227"/>
      <c r="KDO1723" s="227"/>
      <c r="KDP1723" s="227"/>
      <c r="KDQ1723" s="227"/>
      <c r="KDR1723" s="227"/>
      <c r="KDS1723" s="227"/>
      <c r="KDT1723" s="227"/>
      <c r="KDU1723" s="227"/>
      <c r="KDV1723" s="227"/>
      <c r="KDW1723" s="227"/>
      <c r="KDX1723" s="227"/>
      <c r="KDY1723" s="227"/>
      <c r="KDZ1723" s="227"/>
      <c r="KEA1723" s="227"/>
      <c r="KEB1723" s="227"/>
      <c r="KEC1723" s="227"/>
      <c r="KED1723" s="227"/>
      <c r="KEE1723" s="227"/>
      <c r="KEF1723" s="227"/>
      <c r="KEG1723" s="227"/>
      <c r="KEH1723" s="227"/>
      <c r="KEI1723" s="227"/>
      <c r="KEJ1723" s="227"/>
      <c r="KEK1723" s="227"/>
      <c r="KEL1723" s="227"/>
      <c r="KEM1723" s="227"/>
      <c r="KEN1723" s="227"/>
      <c r="KEO1723" s="227"/>
      <c r="KEP1723" s="227"/>
      <c r="KEQ1723" s="227"/>
      <c r="KER1723" s="227"/>
      <c r="KES1723" s="227"/>
      <c r="KET1723" s="227"/>
      <c r="KEU1723" s="227"/>
      <c r="KEV1723" s="227"/>
      <c r="KEW1723" s="227"/>
      <c r="KEX1723" s="227"/>
      <c r="KEY1723" s="227"/>
      <c r="KEZ1723" s="227"/>
      <c r="KFA1723" s="227"/>
      <c r="KFB1723" s="227"/>
      <c r="KFC1723" s="227"/>
      <c r="KFD1723" s="227"/>
      <c r="KFE1723" s="227"/>
      <c r="KFF1723" s="227"/>
      <c r="KFG1723" s="227"/>
      <c r="KFH1723" s="227"/>
      <c r="KFI1723" s="227"/>
      <c r="KFJ1723" s="227"/>
      <c r="KFK1723" s="227"/>
      <c r="KFL1723" s="227"/>
      <c r="KFM1723" s="227"/>
      <c r="KFN1723" s="227"/>
      <c r="KFO1723" s="227"/>
      <c r="KFP1723" s="227"/>
      <c r="KFQ1723" s="227"/>
      <c r="KFR1723" s="227"/>
      <c r="KFS1723" s="227"/>
      <c r="KFT1723" s="227"/>
      <c r="KFU1723" s="227"/>
      <c r="KFV1723" s="227"/>
      <c r="KFW1723" s="227"/>
      <c r="KFX1723" s="227"/>
      <c r="KFY1723" s="227"/>
      <c r="KFZ1723" s="227"/>
      <c r="KGA1723" s="227"/>
      <c r="KGB1723" s="227"/>
      <c r="KGC1723" s="227"/>
      <c r="KGD1723" s="227"/>
      <c r="KGE1723" s="227"/>
      <c r="KGF1723" s="227"/>
      <c r="KGG1723" s="227"/>
      <c r="KGH1723" s="227"/>
      <c r="KGI1723" s="227"/>
      <c r="KGJ1723" s="227"/>
      <c r="KGK1723" s="227"/>
      <c r="KGL1723" s="227"/>
      <c r="KGM1723" s="227"/>
      <c r="KGN1723" s="227"/>
      <c r="KGO1723" s="227"/>
      <c r="KGP1723" s="227"/>
      <c r="KGQ1723" s="227"/>
      <c r="KGR1723" s="227"/>
      <c r="KGS1723" s="227"/>
      <c r="KGT1723" s="227"/>
      <c r="KGU1723" s="227"/>
      <c r="KGV1723" s="227"/>
      <c r="KGW1723" s="227"/>
      <c r="KGX1723" s="227"/>
      <c r="KGY1723" s="227"/>
      <c r="KGZ1723" s="227"/>
      <c r="KHA1723" s="227"/>
      <c r="KHB1723" s="227"/>
      <c r="KHC1723" s="227"/>
      <c r="KHD1723" s="227"/>
      <c r="KHE1723" s="227"/>
      <c r="KHF1723" s="227"/>
      <c r="KHG1723" s="227"/>
      <c r="KHH1723" s="227"/>
      <c r="KHI1723" s="227"/>
      <c r="KHJ1723" s="227"/>
      <c r="KHK1723" s="227"/>
      <c r="KHL1723" s="227"/>
      <c r="KHM1723" s="227"/>
      <c r="KHN1723" s="227"/>
      <c r="KHO1723" s="227"/>
      <c r="KHP1723" s="227"/>
      <c r="KHQ1723" s="227"/>
      <c r="KHR1723" s="227"/>
      <c r="KHS1723" s="227"/>
      <c r="KHT1723" s="227"/>
      <c r="KHU1723" s="227"/>
      <c r="KHV1723" s="227"/>
      <c r="KHW1723" s="227"/>
      <c r="KHX1723" s="227"/>
      <c r="KHY1723" s="227"/>
      <c r="KHZ1723" s="227"/>
      <c r="KIA1723" s="227"/>
      <c r="KIB1723" s="227"/>
      <c r="KIC1723" s="227"/>
      <c r="KID1723" s="227"/>
      <c r="KIE1723" s="227"/>
      <c r="KIF1723" s="227"/>
      <c r="KIG1723" s="227"/>
      <c r="KIH1723" s="227"/>
      <c r="KII1723" s="227"/>
      <c r="KIJ1723" s="227"/>
      <c r="KIK1723" s="227"/>
      <c r="KIL1723" s="227"/>
      <c r="KIM1723" s="227"/>
      <c r="KIN1723" s="227"/>
      <c r="KIO1723" s="227"/>
      <c r="KIP1723" s="227"/>
      <c r="KIQ1723" s="227"/>
      <c r="KIR1723" s="227"/>
      <c r="KIS1723" s="227"/>
      <c r="KIT1723" s="227"/>
      <c r="KIU1723" s="227"/>
      <c r="KIV1723" s="227"/>
      <c r="KIW1723" s="227"/>
      <c r="KIX1723" s="227"/>
      <c r="KIY1723" s="227"/>
      <c r="KIZ1723" s="227"/>
      <c r="KJA1723" s="227"/>
      <c r="KJB1723" s="227"/>
      <c r="KJC1723" s="227"/>
      <c r="KJD1723" s="227"/>
      <c r="KJE1723" s="227"/>
      <c r="KJF1723" s="227"/>
      <c r="KJG1723" s="227"/>
      <c r="KJH1723" s="227"/>
      <c r="KJI1723" s="227"/>
      <c r="KJJ1723" s="227"/>
      <c r="KJK1723" s="227"/>
      <c r="KJL1723" s="227"/>
      <c r="KJM1723" s="227"/>
      <c r="KJN1723" s="227"/>
      <c r="KJO1723" s="227"/>
      <c r="KJP1723" s="227"/>
      <c r="KJQ1723" s="227"/>
      <c r="KJR1723" s="227"/>
      <c r="KJS1723" s="227"/>
      <c r="KJT1723" s="227"/>
      <c r="KJU1723" s="227"/>
      <c r="KJV1723" s="227"/>
      <c r="KJW1723" s="227"/>
      <c r="KJX1723" s="227"/>
      <c r="KJY1723" s="227"/>
      <c r="KJZ1723" s="227"/>
      <c r="KKA1723" s="227"/>
      <c r="KKB1723" s="227"/>
      <c r="KKC1723" s="227"/>
      <c r="KKD1723" s="227"/>
      <c r="KKE1723" s="227"/>
      <c r="KKF1723" s="227"/>
      <c r="KKG1723" s="227"/>
      <c r="KKH1723" s="227"/>
      <c r="KKI1723" s="227"/>
      <c r="KKJ1723" s="227"/>
      <c r="KKK1723" s="227"/>
      <c r="KKL1723" s="227"/>
      <c r="KKM1723" s="227"/>
      <c r="KKN1723" s="227"/>
      <c r="KKO1723" s="227"/>
      <c r="KKP1723" s="227"/>
      <c r="KKQ1723" s="227"/>
      <c r="KKR1723" s="227"/>
      <c r="KKS1723" s="227"/>
      <c r="KKT1723" s="227"/>
      <c r="KKU1723" s="227"/>
      <c r="KKV1723" s="227"/>
      <c r="KKW1723" s="227"/>
      <c r="KKX1723" s="227"/>
      <c r="KKY1723" s="227"/>
      <c r="KKZ1723" s="227"/>
      <c r="KLA1723" s="227"/>
      <c r="KLB1723" s="227"/>
      <c r="KLC1723" s="227"/>
      <c r="KLD1723" s="227"/>
      <c r="KLE1723" s="227"/>
      <c r="KLF1723" s="227"/>
      <c r="KLG1723" s="227"/>
      <c r="KLH1723" s="227"/>
      <c r="KLI1723" s="227"/>
      <c r="KLJ1723" s="227"/>
      <c r="KLK1723" s="227"/>
      <c r="KLL1723" s="227"/>
      <c r="KLM1723" s="227"/>
      <c r="KLN1723" s="227"/>
      <c r="KLO1723" s="227"/>
      <c r="KLP1723" s="227"/>
      <c r="KLQ1723" s="227"/>
      <c r="KLR1723" s="227"/>
      <c r="KLS1723" s="227"/>
      <c r="KLT1723" s="227"/>
      <c r="KLU1723" s="227"/>
      <c r="KLV1723" s="227"/>
      <c r="KLW1723" s="227"/>
      <c r="KLX1723" s="227"/>
      <c r="KLY1723" s="227"/>
      <c r="KLZ1723" s="227"/>
      <c r="KMA1723" s="227"/>
      <c r="KMB1723" s="227"/>
      <c r="KMC1723" s="227"/>
      <c r="KMD1723" s="227"/>
      <c r="KME1723" s="227"/>
      <c r="KMF1723" s="227"/>
      <c r="KMG1723" s="227"/>
      <c r="KMH1723" s="227"/>
      <c r="KMI1723" s="227"/>
      <c r="KMJ1723" s="227"/>
      <c r="KMK1723" s="227"/>
      <c r="KML1723" s="227"/>
      <c r="KMM1723" s="227"/>
      <c r="KMN1723" s="227"/>
      <c r="KMO1723" s="227"/>
      <c r="KMP1723" s="227"/>
      <c r="KMQ1723" s="227"/>
      <c r="KMR1723" s="227"/>
      <c r="KMS1723" s="227"/>
      <c r="KMT1723" s="227"/>
      <c r="KMU1723" s="227"/>
      <c r="KMV1723" s="227"/>
      <c r="KMW1723" s="227"/>
      <c r="KMX1723" s="227"/>
      <c r="KMY1723" s="227"/>
      <c r="KMZ1723" s="227"/>
      <c r="KNA1723" s="227"/>
      <c r="KNB1723" s="227"/>
      <c r="KNC1723" s="227"/>
      <c r="KND1723" s="227"/>
      <c r="KNE1723" s="227"/>
      <c r="KNF1723" s="227"/>
      <c r="KNG1723" s="227"/>
      <c r="KNH1723" s="227"/>
      <c r="KNI1723" s="227"/>
      <c r="KNJ1723" s="227"/>
      <c r="KNK1723" s="227"/>
      <c r="KNL1723" s="227"/>
      <c r="KNM1723" s="227"/>
      <c r="KNN1723" s="227"/>
      <c r="KNO1723" s="227"/>
      <c r="KNP1723" s="227"/>
      <c r="KNQ1723" s="227"/>
      <c r="KNR1723" s="227"/>
      <c r="KNS1723" s="227"/>
      <c r="KNT1723" s="227"/>
      <c r="KNU1723" s="227"/>
      <c r="KNV1723" s="227"/>
      <c r="KNW1723" s="227"/>
      <c r="KNX1723" s="227"/>
      <c r="KNY1723" s="227"/>
      <c r="KNZ1723" s="227"/>
      <c r="KOA1723" s="227"/>
      <c r="KOB1723" s="227"/>
      <c r="KOC1723" s="227"/>
      <c r="KOD1723" s="227"/>
      <c r="KOE1723" s="227"/>
      <c r="KOF1723" s="227"/>
      <c r="KOG1723" s="227"/>
      <c r="KOH1723" s="227"/>
      <c r="KOI1723" s="227"/>
      <c r="KOJ1723" s="227"/>
      <c r="KOK1723" s="227"/>
      <c r="KOL1723" s="227"/>
      <c r="KOM1723" s="227"/>
      <c r="KON1723" s="227"/>
      <c r="KOO1723" s="227"/>
      <c r="KOP1723" s="227"/>
      <c r="KOQ1723" s="227"/>
      <c r="KOR1723" s="227"/>
      <c r="KOS1723" s="227"/>
      <c r="KOT1723" s="227"/>
      <c r="KOU1723" s="227"/>
      <c r="KOV1723" s="227"/>
      <c r="KOW1723" s="227"/>
      <c r="KOX1723" s="227"/>
      <c r="KOY1723" s="227"/>
      <c r="KOZ1723" s="227"/>
      <c r="KPA1723" s="227"/>
      <c r="KPB1723" s="227"/>
      <c r="KPC1723" s="227"/>
      <c r="KPD1723" s="227"/>
      <c r="KPE1723" s="227"/>
      <c r="KPF1723" s="227"/>
      <c r="KPG1723" s="227"/>
      <c r="KPH1723" s="227"/>
      <c r="KPI1723" s="227"/>
      <c r="KPJ1723" s="227"/>
      <c r="KPK1723" s="227"/>
      <c r="KPL1723" s="227"/>
      <c r="KPM1723" s="227"/>
      <c r="KPN1723" s="227"/>
      <c r="KPO1723" s="227"/>
      <c r="KPP1723" s="227"/>
      <c r="KPQ1723" s="227"/>
      <c r="KPR1723" s="227"/>
      <c r="KPS1723" s="227"/>
      <c r="KPT1723" s="227"/>
      <c r="KPU1723" s="227"/>
      <c r="KPV1723" s="227"/>
      <c r="KPW1723" s="227"/>
      <c r="KPX1723" s="227"/>
      <c r="KPY1723" s="227"/>
      <c r="KPZ1723" s="227"/>
      <c r="KQA1723" s="227"/>
      <c r="KQB1723" s="227"/>
      <c r="KQC1723" s="227"/>
      <c r="KQD1723" s="227"/>
      <c r="KQE1723" s="227"/>
      <c r="KQF1723" s="227"/>
      <c r="KQG1723" s="227"/>
      <c r="KQH1723" s="227"/>
      <c r="KQI1723" s="227"/>
      <c r="KQJ1723" s="227"/>
      <c r="KQK1723" s="227"/>
      <c r="KQL1723" s="227"/>
      <c r="KQM1723" s="227"/>
      <c r="KQN1723" s="227"/>
      <c r="KQO1723" s="227"/>
      <c r="KQP1723" s="227"/>
      <c r="KQQ1723" s="227"/>
      <c r="KQR1723" s="227"/>
      <c r="KQS1723" s="227"/>
      <c r="KQT1723" s="227"/>
      <c r="KQU1723" s="227"/>
      <c r="KQV1723" s="227"/>
      <c r="KQW1723" s="227"/>
      <c r="KQX1723" s="227"/>
      <c r="KQY1723" s="227"/>
      <c r="KQZ1723" s="227"/>
      <c r="KRA1723" s="227"/>
      <c r="KRB1723" s="227"/>
      <c r="KRC1723" s="227"/>
      <c r="KRD1723" s="227"/>
      <c r="KRE1723" s="227"/>
      <c r="KRF1723" s="227"/>
      <c r="KRG1723" s="227"/>
      <c r="KRH1723" s="227"/>
      <c r="KRI1723" s="227"/>
      <c r="KRJ1723" s="227"/>
      <c r="KRK1723" s="227"/>
      <c r="KRL1723" s="227"/>
      <c r="KRM1723" s="227"/>
      <c r="KRN1723" s="227"/>
      <c r="KRO1723" s="227"/>
      <c r="KRP1723" s="227"/>
      <c r="KRQ1723" s="227"/>
      <c r="KRR1723" s="227"/>
      <c r="KRS1723" s="227"/>
      <c r="KRT1723" s="227"/>
      <c r="KRU1723" s="227"/>
      <c r="KRV1723" s="227"/>
      <c r="KRW1723" s="227"/>
      <c r="KRX1723" s="227"/>
      <c r="KRY1723" s="227"/>
      <c r="KRZ1723" s="227"/>
      <c r="KSA1723" s="227"/>
      <c r="KSB1723" s="227"/>
      <c r="KSC1723" s="227"/>
      <c r="KSD1723" s="227"/>
      <c r="KSE1723" s="227"/>
      <c r="KSF1723" s="227"/>
      <c r="KSG1723" s="227"/>
      <c r="KSH1723" s="227"/>
      <c r="KSI1723" s="227"/>
      <c r="KSJ1723" s="227"/>
      <c r="KSK1723" s="227"/>
      <c r="KSL1723" s="227"/>
      <c r="KSM1723" s="227"/>
      <c r="KSN1723" s="227"/>
      <c r="KSO1723" s="227"/>
      <c r="KSP1723" s="227"/>
      <c r="KSQ1723" s="227"/>
      <c r="KSR1723" s="227"/>
      <c r="KSS1723" s="227"/>
      <c r="KST1723" s="227"/>
      <c r="KSU1723" s="227"/>
      <c r="KSV1723" s="227"/>
      <c r="KSW1723" s="227"/>
      <c r="KSX1723" s="227"/>
      <c r="KSY1723" s="227"/>
      <c r="KSZ1723" s="227"/>
      <c r="KTA1723" s="227"/>
      <c r="KTB1723" s="227"/>
      <c r="KTC1723" s="227"/>
      <c r="KTD1723" s="227"/>
      <c r="KTE1723" s="227"/>
      <c r="KTF1723" s="227"/>
      <c r="KTG1723" s="227"/>
      <c r="KTH1723" s="227"/>
      <c r="KTI1723" s="227"/>
      <c r="KTJ1723" s="227"/>
      <c r="KTK1723" s="227"/>
      <c r="KTL1723" s="227"/>
      <c r="KTM1723" s="227"/>
      <c r="KTN1723" s="227"/>
      <c r="KTO1723" s="227"/>
      <c r="KTP1723" s="227"/>
      <c r="KTQ1723" s="227"/>
      <c r="KTR1723" s="227"/>
      <c r="KTS1723" s="227"/>
      <c r="KTT1723" s="227"/>
      <c r="KTU1723" s="227"/>
      <c r="KTV1723" s="227"/>
      <c r="KTW1723" s="227"/>
      <c r="KTX1723" s="227"/>
      <c r="KTY1723" s="227"/>
      <c r="KTZ1723" s="227"/>
      <c r="KUA1723" s="227"/>
      <c r="KUB1723" s="227"/>
      <c r="KUC1723" s="227"/>
      <c r="KUD1723" s="227"/>
      <c r="KUE1723" s="227"/>
      <c r="KUF1723" s="227"/>
      <c r="KUG1723" s="227"/>
      <c r="KUH1723" s="227"/>
      <c r="KUI1723" s="227"/>
      <c r="KUJ1723" s="227"/>
      <c r="KUK1723" s="227"/>
      <c r="KUL1723" s="227"/>
      <c r="KUM1723" s="227"/>
      <c r="KUN1723" s="227"/>
      <c r="KUO1723" s="227"/>
      <c r="KUP1723" s="227"/>
      <c r="KUQ1723" s="227"/>
      <c r="KUR1723" s="227"/>
      <c r="KUS1723" s="227"/>
      <c r="KUT1723" s="227"/>
      <c r="KUU1723" s="227"/>
      <c r="KUV1723" s="227"/>
      <c r="KUW1723" s="227"/>
      <c r="KUX1723" s="227"/>
      <c r="KUY1723" s="227"/>
      <c r="KUZ1723" s="227"/>
      <c r="KVA1723" s="227"/>
      <c r="KVB1723" s="227"/>
      <c r="KVC1723" s="227"/>
      <c r="KVD1723" s="227"/>
      <c r="KVE1723" s="227"/>
      <c r="KVF1723" s="227"/>
      <c r="KVG1723" s="227"/>
      <c r="KVH1723" s="227"/>
      <c r="KVI1723" s="227"/>
      <c r="KVJ1723" s="227"/>
      <c r="KVK1723" s="227"/>
      <c r="KVL1723" s="227"/>
      <c r="KVM1723" s="227"/>
      <c r="KVN1723" s="227"/>
      <c r="KVO1723" s="227"/>
      <c r="KVP1723" s="227"/>
      <c r="KVQ1723" s="227"/>
      <c r="KVR1723" s="227"/>
      <c r="KVS1723" s="227"/>
      <c r="KVT1723" s="227"/>
      <c r="KVU1723" s="227"/>
      <c r="KVV1723" s="227"/>
      <c r="KVW1723" s="227"/>
      <c r="KVX1723" s="227"/>
      <c r="KVY1723" s="227"/>
      <c r="KVZ1723" s="227"/>
      <c r="KWA1723" s="227"/>
      <c r="KWB1723" s="227"/>
      <c r="KWC1723" s="227"/>
      <c r="KWD1723" s="227"/>
      <c r="KWE1723" s="227"/>
      <c r="KWF1723" s="227"/>
      <c r="KWG1723" s="227"/>
      <c r="KWH1723" s="227"/>
      <c r="KWI1723" s="227"/>
      <c r="KWJ1723" s="227"/>
      <c r="KWK1723" s="227"/>
      <c r="KWL1723" s="227"/>
      <c r="KWM1723" s="227"/>
      <c r="KWN1723" s="227"/>
      <c r="KWO1723" s="227"/>
      <c r="KWP1723" s="227"/>
      <c r="KWQ1723" s="227"/>
      <c r="KWR1723" s="227"/>
      <c r="KWS1723" s="227"/>
      <c r="KWT1723" s="227"/>
      <c r="KWU1723" s="227"/>
      <c r="KWV1723" s="227"/>
      <c r="KWW1723" s="227"/>
      <c r="KWX1723" s="227"/>
      <c r="KWY1723" s="227"/>
      <c r="KWZ1723" s="227"/>
      <c r="KXA1723" s="227"/>
      <c r="KXB1723" s="227"/>
      <c r="KXC1723" s="227"/>
      <c r="KXD1723" s="227"/>
      <c r="KXE1723" s="227"/>
      <c r="KXF1723" s="227"/>
      <c r="KXG1723" s="227"/>
      <c r="KXH1723" s="227"/>
      <c r="KXI1723" s="227"/>
      <c r="KXJ1723" s="227"/>
      <c r="KXK1723" s="227"/>
      <c r="KXL1723" s="227"/>
      <c r="KXM1723" s="227"/>
      <c r="KXN1723" s="227"/>
      <c r="KXO1723" s="227"/>
      <c r="KXP1723" s="227"/>
      <c r="KXQ1723" s="227"/>
      <c r="KXR1723" s="227"/>
      <c r="KXS1723" s="227"/>
      <c r="KXT1723" s="227"/>
      <c r="KXU1723" s="227"/>
      <c r="KXV1723" s="227"/>
      <c r="KXW1723" s="227"/>
      <c r="KXX1723" s="227"/>
      <c r="KXY1723" s="227"/>
      <c r="KXZ1723" s="227"/>
      <c r="KYA1723" s="227"/>
      <c r="KYB1723" s="227"/>
      <c r="KYC1723" s="227"/>
      <c r="KYD1723" s="227"/>
      <c r="KYE1723" s="227"/>
      <c r="KYF1723" s="227"/>
      <c r="KYG1723" s="227"/>
      <c r="KYH1723" s="227"/>
      <c r="KYI1723" s="227"/>
      <c r="KYJ1723" s="227"/>
      <c r="KYK1723" s="227"/>
      <c r="KYL1723" s="227"/>
      <c r="KYM1723" s="227"/>
      <c r="KYN1723" s="227"/>
      <c r="KYO1723" s="227"/>
      <c r="KYP1723" s="227"/>
      <c r="KYQ1723" s="227"/>
      <c r="KYR1723" s="227"/>
      <c r="KYS1723" s="227"/>
      <c r="KYT1723" s="227"/>
      <c r="KYU1723" s="227"/>
      <c r="KYV1723" s="227"/>
      <c r="KYW1723" s="227"/>
      <c r="KYX1723" s="227"/>
      <c r="KYY1723" s="227"/>
      <c r="KYZ1723" s="227"/>
      <c r="KZA1723" s="227"/>
      <c r="KZB1723" s="227"/>
      <c r="KZC1723" s="227"/>
      <c r="KZD1723" s="227"/>
      <c r="KZE1723" s="227"/>
      <c r="KZF1723" s="227"/>
      <c r="KZG1723" s="227"/>
      <c r="KZH1723" s="227"/>
      <c r="KZI1723" s="227"/>
      <c r="KZJ1723" s="227"/>
      <c r="KZK1723" s="227"/>
      <c r="KZL1723" s="227"/>
      <c r="KZM1723" s="227"/>
      <c r="KZN1723" s="227"/>
      <c r="KZO1723" s="227"/>
      <c r="KZP1723" s="227"/>
      <c r="KZQ1723" s="227"/>
      <c r="KZR1723" s="227"/>
      <c r="KZS1723" s="227"/>
      <c r="KZT1723" s="227"/>
      <c r="KZU1723" s="227"/>
      <c r="KZV1723" s="227"/>
      <c r="KZW1723" s="227"/>
      <c r="KZX1723" s="227"/>
      <c r="KZY1723" s="227"/>
      <c r="KZZ1723" s="227"/>
      <c r="LAA1723" s="227"/>
      <c r="LAB1723" s="227"/>
      <c r="LAC1723" s="227"/>
      <c r="LAD1723" s="227"/>
      <c r="LAE1723" s="227"/>
      <c r="LAF1723" s="227"/>
      <c r="LAG1723" s="227"/>
      <c r="LAH1723" s="227"/>
      <c r="LAI1723" s="227"/>
      <c r="LAJ1723" s="227"/>
      <c r="LAK1723" s="227"/>
      <c r="LAL1723" s="227"/>
      <c r="LAM1723" s="227"/>
      <c r="LAN1723" s="227"/>
      <c r="LAO1723" s="227"/>
      <c r="LAP1723" s="227"/>
      <c r="LAQ1723" s="227"/>
      <c r="LAR1723" s="227"/>
      <c r="LAS1723" s="227"/>
      <c r="LAT1723" s="227"/>
      <c r="LAU1723" s="227"/>
      <c r="LAV1723" s="227"/>
      <c r="LAW1723" s="227"/>
      <c r="LAX1723" s="227"/>
      <c r="LAY1723" s="227"/>
      <c r="LAZ1723" s="227"/>
      <c r="LBA1723" s="227"/>
      <c r="LBB1723" s="227"/>
      <c r="LBC1723" s="227"/>
      <c r="LBD1723" s="227"/>
      <c r="LBE1723" s="227"/>
      <c r="LBF1723" s="227"/>
      <c r="LBG1723" s="227"/>
      <c r="LBH1723" s="227"/>
      <c r="LBI1723" s="227"/>
      <c r="LBJ1723" s="227"/>
      <c r="LBK1723" s="227"/>
      <c r="LBL1723" s="227"/>
      <c r="LBM1723" s="227"/>
      <c r="LBN1723" s="227"/>
      <c r="LBO1723" s="227"/>
      <c r="LBP1723" s="227"/>
      <c r="LBQ1723" s="227"/>
      <c r="LBR1723" s="227"/>
      <c r="LBS1723" s="227"/>
      <c r="LBT1723" s="227"/>
      <c r="LBU1723" s="227"/>
      <c r="LBV1723" s="227"/>
      <c r="LBW1723" s="227"/>
      <c r="LBX1723" s="227"/>
      <c r="LBY1723" s="227"/>
      <c r="LBZ1723" s="227"/>
      <c r="LCA1723" s="227"/>
      <c r="LCB1723" s="227"/>
      <c r="LCC1723" s="227"/>
      <c r="LCD1723" s="227"/>
      <c r="LCE1723" s="227"/>
      <c r="LCF1723" s="227"/>
      <c r="LCG1723" s="227"/>
      <c r="LCH1723" s="227"/>
      <c r="LCI1723" s="227"/>
      <c r="LCJ1723" s="227"/>
      <c r="LCK1723" s="227"/>
      <c r="LCL1723" s="227"/>
      <c r="LCM1723" s="227"/>
      <c r="LCN1723" s="227"/>
      <c r="LCO1723" s="227"/>
      <c r="LCP1723" s="227"/>
      <c r="LCQ1723" s="227"/>
      <c r="LCR1723" s="227"/>
      <c r="LCS1723" s="227"/>
      <c r="LCT1723" s="227"/>
      <c r="LCU1723" s="227"/>
      <c r="LCV1723" s="227"/>
      <c r="LCW1723" s="227"/>
      <c r="LCX1723" s="227"/>
      <c r="LCY1723" s="227"/>
      <c r="LCZ1723" s="227"/>
      <c r="LDA1723" s="227"/>
      <c r="LDB1723" s="227"/>
      <c r="LDC1723" s="227"/>
      <c r="LDD1723" s="227"/>
      <c r="LDE1723" s="227"/>
      <c r="LDF1723" s="227"/>
      <c r="LDG1723" s="227"/>
      <c r="LDH1723" s="227"/>
      <c r="LDI1723" s="227"/>
      <c r="LDJ1723" s="227"/>
      <c r="LDK1723" s="227"/>
      <c r="LDL1723" s="227"/>
      <c r="LDM1723" s="227"/>
      <c r="LDN1723" s="227"/>
      <c r="LDO1723" s="227"/>
      <c r="LDP1723" s="227"/>
      <c r="LDQ1723" s="227"/>
      <c r="LDR1723" s="227"/>
      <c r="LDS1723" s="227"/>
      <c r="LDT1723" s="227"/>
      <c r="LDU1723" s="227"/>
      <c r="LDV1723" s="227"/>
      <c r="LDW1723" s="227"/>
      <c r="LDX1723" s="227"/>
      <c r="LDY1723" s="227"/>
      <c r="LDZ1723" s="227"/>
      <c r="LEA1723" s="227"/>
      <c r="LEB1723" s="227"/>
      <c r="LEC1723" s="227"/>
      <c r="LED1723" s="227"/>
      <c r="LEE1723" s="227"/>
      <c r="LEF1723" s="227"/>
      <c r="LEG1723" s="227"/>
      <c r="LEH1723" s="227"/>
      <c r="LEI1723" s="227"/>
      <c r="LEJ1723" s="227"/>
      <c r="LEK1723" s="227"/>
      <c r="LEL1723" s="227"/>
      <c r="LEM1723" s="227"/>
      <c r="LEN1723" s="227"/>
      <c r="LEO1723" s="227"/>
      <c r="LEP1723" s="227"/>
      <c r="LEQ1723" s="227"/>
      <c r="LER1723" s="227"/>
      <c r="LES1723" s="227"/>
      <c r="LET1723" s="227"/>
      <c r="LEU1723" s="227"/>
      <c r="LEV1723" s="227"/>
      <c r="LEW1723" s="227"/>
      <c r="LEX1723" s="227"/>
      <c r="LEY1723" s="227"/>
      <c r="LEZ1723" s="227"/>
      <c r="LFA1723" s="227"/>
      <c r="LFB1723" s="227"/>
      <c r="LFC1723" s="227"/>
      <c r="LFD1723" s="227"/>
      <c r="LFE1723" s="227"/>
      <c r="LFF1723" s="227"/>
      <c r="LFG1723" s="227"/>
      <c r="LFH1723" s="227"/>
      <c r="LFI1723" s="227"/>
      <c r="LFJ1723" s="227"/>
      <c r="LFK1723" s="227"/>
      <c r="LFL1723" s="227"/>
      <c r="LFM1723" s="227"/>
      <c r="LFN1723" s="227"/>
      <c r="LFO1723" s="227"/>
      <c r="LFP1723" s="227"/>
      <c r="LFQ1723" s="227"/>
      <c r="LFR1723" s="227"/>
      <c r="LFS1723" s="227"/>
      <c r="LFT1723" s="227"/>
      <c r="LFU1723" s="227"/>
      <c r="LFV1723" s="227"/>
      <c r="LFW1723" s="227"/>
      <c r="LFX1723" s="227"/>
      <c r="LFY1723" s="227"/>
      <c r="LFZ1723" s="227"/>
      <c r="LGA1723" s="227"/>
      <c r="LGB1723" s="227"/>
      <c r="LGC1723" s="227"/>
      <c r="LGD1723" s="227"/>
      <c r="LGE1723" s="227"/>
      <c r="LGF1723" s="227"/>
      <c r="LGG1723" s="227"/>
      <c r="LGH1723" s="227"/>
      <c r="LGI1723" s="227"/>
      <c r="LGJ1723" s="227"/>
      <c r="LGK1723" s="227"/>
      <c r="LGL1723" s="227"/>
      <c r="LGM1723" s="227"/>
      <c r="LGN1723" s="227"/>
      <c r="LGO1723" s="227"/>
      <c r="LGP1723" s="227"/>
      <c r="LGQ1723" s="227"/>
      <c r="LGR1723" s="227"/>
      <c r="LGS1723" s="227"/>
      <c r="LGT1723" s="227"/>
      <c r="LGU1723" s="227"/>
      <c r="LGV1723" s="227"/>
      <c r="LGW1723" s="227"/>
      <c r="LGX1723" s="227"/>
      <c r="LGY1723" s="227"/>
      <c r="LGZ1723" s="227"/>
      <c r="LHA1723" s="227"/>
      <c r="LHB1723" s="227"/>
      <c r="LHC1723" s="227"/>
      <c r="LHD1723" s="227"/>
      <c r="LHE1723" s="227"/>
      <c r="LHF1723" s="227"/>
      <c r="LHG1723" s="227"/>
      <c r="LHH1723" s="227"/>
      <c r="LHI1723" s="227"/>
      <c r="LHJ1723" s="227"/>
      <c r="LHK1723" s="227"/>
      <c r="LHL1723" s="227"/>
      <c r="LHM1723" s="227"/>
      <c r="LHN1723" s="227"/>
      <c r="LHO1723" s="227"/>
      <c r="LHP1723" s="227"/>
      <c r="LHQ1723" s="227"/>
      <c r="LHR1723" s="227"/>
      <c r="LHS1723" s="227"/>
      <c r="LHT1723" s="227"/>
      <c r="LHU1723" s="227"/>
      <c r="LHV1723" s="227"/>
      <c r="LHW1723" s="227"/>
      <c r="LHX1723" s="227"/>
      <c r="LHY1723" s="227"/>
      <c r="LHZ1723" s="227"/>
      <c r="LIA1723" s="227"/>
      <c r="LIB1723" s="227"/>
      <c r="LIC1723" s="227"/>
      <c r="LID1723" s="227"/>
      <c r="LIE1723" s="227"/>
      <c r="LIF1723" s="227"/>
      <c r="LIG1723" s="227"/>
      <c r="LIH1723" s="227"/>
      <c r="LII1723" s="227"/>
      <c r="LIJ1723" s="227"/>
      <c r="LIK1723" s="227"/>
      <c r="LIL1723" s="227"/>
      <c r="LIM1723" s="227"/>
      <c r="LIN1723" s="227"/>
      <c r="LIO1723" s="227"/>
      <c r="LIP1723" s="227"/>
      <c r="LIQ1723" s="227"/>
      <c r="LIR1723" s="227"/>
      <c r="LIS1723" s="227"/>
      <c r="LIT1723" s="227"/>
      <c r="LIU1723" s="227"/>
      <c r="LIV1723" s="227"/>
      <c r="LIW1723" s="227"/>
      <c r="LIX1723" s="227"/>
      <c r="LIY1723" s="227"/>
      <c r="LIZ1723" s="227"/>
      <c r="LJA1723" s="227"/>
      <c r="LJB1723" s="227"/>
      <c r="LJC1723" s="227"/>
      <c r="LJD1723" s="227"/>
      <c r="LJE1723" s="227"/>
      <c r="LJF1723" s="227"/>
      <c r="LJG1723" s="227"/>
      <c r="LJH1723" s="227"/>
      <c r="LJI1723" s="227"/>
      <c r="LJJ1723" s="227"/>
      <c r="LJK1723" s="227"/>
      <c r="LJL1723" s="227"/>
      <c r="LJM1723" s="227"/>
      <c r="LJN1723" s="227"/>
      <c r="LJO1723" s="227"/>
      <c r="LJP1723" s="227"/>
      <c r="LJQ1723" s="227"/>
      <c r="LJR1723" s="227"/>
      <c r="LJS1723" s="227"/>
      <c r="LJT1723" s="227"/>
      <c r="LJU1723" s="227"/>
      <c r="LJV1723" s="227"/>
      <c r="LJW1723" s="227"/>
      <c r="LJX1723" s="227"/>
      <c r="LJY1723" s="227"/>
      <c r="LJZ1723" s="227"/>
      <c r="LKA1723" s="227"/>
      <c r="LKB1723" s="227"/>
      <c r="LKC1723" s="227"/>
      <c r="LKD1723" s="227"/>
      <c r="LKE1723" s="227"/>
      <c r="LKF1723" s="227"/>
      <c r="LKG1723" s="227"/>
      <c r="LKH1723" s="227"/>
      <c r="LKI1723" s="227"/>
      <c r="LKJ1723" s="227"/>
      <c r="LKK1723" s="227"/>
      <c r="LKL1723" s="227"/>
      <c r="LKM1723" s="227"/>
      <c r="LKN1723" s="227"/>
      <c r="LKO1723" s="227"/>
      <c r="LKP1723" s="227"/>
      <c r="LKQ1723" s="227"/>
      <c r="LKR1723" s="227"/>
      <c r="LKS1723" s="227"/>
      <c r="LKT1723" s="227"/>
      <c r="LKU1723" s="227"/>
      <c r="LKV1723" s="227"/>
      <c r="LKW1723" s="227"/>
      <c r="LKX1723" s="227"/>
      <c r="LKY1723" s="227"/>
      <c r="LKZ1723" s="227"/>
      <c r="LLA1723" s="227"/>
      <c r="LLB1723" s="227"/>
      <c r="LLC1723" s="227"/>
      <c r="LLD1723" s="227"/>
      <c r="LLE1723" s="227"/>
      <c r="LLF1723" s="227"/>
      <c r="LLG1723" s="227"/>
      <c r="LLH1723" s="227"/>
      <c r="LLI1723" s="227"/>
      <c r="LLJ1723" s="227"/>
      <c r="LLK1723" s="227"/>
      <c r="LLL1723" s="227"/>
      <c r="LLM1723" s="227"/>
      <c r="LLN1723" s="227"/>
      <c r="LLO1723" s="227"/>
      <c r="LLP1723" s="227"/>
      <c r="LLQ1723" s="227"/>
      <c r="LLR1723" s="227"/>
      <c r="LLS1723" s="227"/>
      <c r="LLT1723" s="227"/>
      <c r="LLU1723" s="227"/>
      <c r="LLV1723" s="227"/>
      <c r="LLW1723" s="227"/>
      <c r="LLX1723" s="227"/>
      <c r="LLY1723" s="227"/>
      <c r="LLZ1723" s="227"/>
      <c r="LMA1723" s="227"/>
      <c r="LMB1723" s="227"/>
      <c r="LMC1723" s="227"/>
      <c r="LMD1723" s="227"/>
      <c r="LME1723" s="227"/>
      <c r="LMF1723" s="227"/>
      <c r="LMG1723" s="227"/>
      <c r="LMH1723" s="227"/>
      <c r="LMI1723" s="227"/>
      <c r="LMJ1723" s="227"/>
      <c r="LMK1723" s="227"/>
      <c r="LML1723" s="227"/>
      <c r="LMM1723" s="227"/>
      <c r="LMN1723" s="227"/>
      <c r="LMO1723" s="227"/>
      <c r="LMP1723" s="227"/>
      <c r="LMQ1723" s="227"/>
      <c r="LMR1723" s="227"/>
      <c r="LMS1723" s="227"/>
      <c r="LMT1723" s="227"/>
      <c r="LMU1723" s="227"/>
      <c r="LMV1723" s="227"/>
      <c r="LMW1723" s="227"/>
      <c r="LMX1723" s="227"/>
      <c r="LMY1723" s="227"/>
      <c r="LMZ1723" s="227"/>
      <c r="LNA1723" s="227"/>
      <c r="LNB1723" s="227"/>
      <c r="LNC1723" s="227"/>
      <c r="LND1723" s="227"/>
      <c r="LNE1723" s="227"/>
      <c r="LNF1723" s="227"/>
      <c r="LNG1723" s="227"/>
      <c r="LNH1723" s="227"/>
      <c r="LNI1723" s="227"/>
      <c r="LNJ1723" s="227"/>
      <c r="LNK1723" s="227"/>
      <c r="LNL1723" s="227"/>
      <c r="LNM1723" s="227"/>
      <c r="LNN1723" s="227"/>
      <c r="LNO1723" s="227"/>
      <c r="LNP1723" s="227"/>
      <c r="LNQ1723" s="227"/>
      <c r="LNR1723" s="227"/>
      <c r="LNS1723" s="227"/>
      <c r="LNT1723" s="227"/>
      <c r="LNU1723" s="227"/>
      <c r="LNV1723" s="227"/>
      <c r="LNW1723" s="227"/>
      <c r="LNX1723" s="227"/>
      <c r="LNY1723" s="227"/>
      <c r="LNZ1723" s="227"/>
      <c r="LOA1723" s="227"/>
      <c r="LOB1723" s="227"/>
      <c r="LOC1723" s="227"/>
      <c r="LOD1723" s="227"/>
      <c r="LOE1723" s="227"/>
      <c r="LOF1723" s="227"/>
      <c r="LOG1723" s="227"/>
      <c r="LOH1723" s="227"/>
      <c r="LOI1723" s="227"/>
      <c r="LOJ1723" s="227"/>
      <c r="LOK1723" s="227"/>
      <c r="LOL1723" s="227"/>
      <c r="LOM1723" s="227"/>
      <c r="LON1723" s="227"/>
      <c r="LOO1723" s="227"/>
      <c r="LOP1723" s="227"/>
      <c r="LOQ1723" s="227"/>
      <c r="LOR1723" s="227"/>
      <c r="LOS1723" s="227"/>
      <c r="LOT1723" s="227"/>
      <c r="LOU1723" s="227"/>
      <c r="LOV1723" s="227"/>
      <c r="LOW1723" s="227"/>
      <c r="LOX1723" s="227"/>
      <c r="LOY1723" s="227"/>
      <c r="LOZ1723" s="227"/>
      <c r="LPA1723" s="227"/>
      <c r="LPB1723" s="227"/>
      <c r="LPC1723" s="227"/>
      <c r="LPD1723" s="227"/>
      <c r="LPE1723" s="227"/>
      <c r="LPF1723" s="227"/>
      <c r="LPG1723" s="227"/>
      <c r="LPH1723" s="227"/>
      <c r="LPI1723" s="227"/>
      <c r="LPJ1723" s="227"/>
      <c r="LPK1723" s="227"/>
      <c r="LPL1723" s="227"/>
      <c r="LPM1723" s="227"/>
      <c r="LPN1723" s="227"/>
      <c r="LPO1723" s="227"/>
      <c r="LPP1723" s="227"/>
      <c r="LPQ1723" s="227"/>
      <c r="LPR1723" s="227"/>
      <c r="LPS1723" s="227"/>
      <c r="LPT1723" s="227"/>
      <c r="LPU1723" s="227"/>
      <c r="LPV1723" s="227"/>
      <c r="LPW1723" s="227"/>
      <c r="LPX1723" s="227"/>
      <c r="LPY1723" s="227"/>
      <c r="LPZ1723" s="227"/>
      <c r="LQA1723" s="227"/>
      <c r="LQB1723" s="227"/>
      <c r="LQC1723" s="227"/>
      <c r="LQD1723" s="227"/>
      <c r="LQE1723" s="227"/>
      <c r="LQF1723" s="227"/>
      <c r="LQG1723" s="227"/>
      <c r="LQH1723" s="227"/>
      <c r="LQI1723" s="227"/>
      <c r="LQJ1723" s="227"/>
      <c r="LQK1723" s="227"/>
      <c r="LQL1723" s="227"/>
      <c r="LQM1723" s="227"/>
      <c r="LQN1723" s="227"/>
      <c r="LQO1723" s="227"/>
      <c r="LQP1723" s="227"/>
      <c r="LQQ1723" s="227"/>
      <c r="LQR1723" s="227"/>
      <c r="LQS1723" s="227"/>
      <c r="LQT1723" s="227"/>
      <c r="LQU1723" s="227"/>
      <c r="LQV1723" s="227"/>
      <c r="LQW1723" s="227"/>
      <c r="LQX1723" s="227"/>
      <c r="LQY1723" s="227"/>
      <c r="LQZ1723" s="227"/>
      <c r="LRA1723" s="227"/>
      <c r="LRB1723" s="227"/>
      <c r="LRC1723" s="227"/>
      <c r="LRD1723" s="227"/>
      <c r="LRE1723" s="227"/>
      <c r="LRF1723" s="227"/>
      <c r="LRG1723" s="227"/>
      <c r="LRH1723" s="227"/>
      <c r="LRI1723" s="227"/>
      <c r="LRJ1723" s="227"/>
      <c r="LRK1723" s="227"/>
      <c r="LRL1723" s="227"/>
      <c r="LRM1723" s="227"/>
      <c r="LRN1723" s="227"/>
      <c r="LRO1723" s="227"/>
      <c r="LRP1723" s="227"/>
      <c r="LRQ1723" s="227"/>
      <c r="LRR1723" s="227"/>
      <c r="LRS1723" s="227"/>
      <c r="LRT1723" s="227"/>
      <c r="LRU1723" s="227"/>
      <c r="LRV1723" s="227"/>
      <c r="LRW1723" s="227"/>
      <c r="LRX1723" s="227"/>
      <c r="LRY1723" s="227"/>
      <c r="LRZ1723" s="227"/>
      <c r="LSA1723" s="227"/>
      <c r="LSB1723" s="227"/>
      <c r="LSC1723" s="227"/>
      <c r="LSD1723" s="227"/>
      <c r="LSE1723" s="227"/>
      <c r="LSF1723" s="227"/>
      <c r="LSG1723" s="227"/>
      <c r="LSH1723" s="227"/>
      <c r="LSI1723" s="227"/>
      <c r="LSJ1723" s="227"/>
      <c r="LSK1723" s="227"/>
      <c r="LSL1723" s="227"/>
      <c r="LSM1723" s="227"/>
      <c r="LSN1723" s="227"/>
      <c r="LSO1723" s="227"/>
      <c r="LSP1723" s="227"/>
      <c r="LSQ1723" s="227"/>
      <c r="LSR1723" s="227"/>
      <c r="LSS1723" s="227"/>
      <c r="LST1723" s="227"/>
      <c r="LSU1723" s="227"/>
      <c r="LSV1723" s="227"/>
      <c r="LSW1723" s="227"/>
      <c r="LSX1723" s="227"/>
      <c r="LSY1723" s="227"/>
      <c r="LSZ1723" s="227"/>
      <c r="LTA1723" s="227"/>
      <c r="LTB1723" s="227"/>
      <c r="LTC1723" s="227"/>
      <c r="LTD1723" s="227"/>
      <c r="LTE1723" s="227"/>
      <c r="LTF1723" s="227"/>
      <c r="LTG1723" s="227"/>
      <c r="LTH1723" s="227"/>
      <c r="LTI1723" s="227"/>
      <c r="LTJ1723" s="227"/>
      <c r="LTK1723" s="227"/>
      <c r="LTL1723" s="227"/>
      <c r="LTM1723" s="227"/>
      <c r="LTN1723" s="227"/>
      <c r="LTO1723" s="227"/>
      <c r="LTP1723" s="227"/>
      <c r="LTQ1723" s="227"/>
      <c r="LTR1723" s="227"/>
      <c r="LTS1723" s="227"/>
      <c r="LTT1723" s="227"/>
      <c r="LTU1723" s="227"/>
      <c r="LTV1723" s="227"/>
      <c r="LTW1723" s="227"/>
      <c r="LTX1723" s="227"/>
      <c r="LTY1723" s="227"/>
      <c r="LTZ1723" s="227"/>
      <c r="LUA1723" s="227"/>
      <c r="LUB1723" s="227"/>
      <c r="LUC1723" s="227"/>
      <c r="LUD1723" s="227"/>
      <c r="LUE1723" s="227"/>
      <c r="LUF1723" s="227"/>
      <c r="LUG1723" s="227"/>
      <c r="LUH1723" s="227"/>
      <c r="LUI1723" s="227"/>
      <c r="LUJ1723" s="227"/>
      <c r="LUK1723" s="227"/>
      <c r="LUL1723" s="227"/>
      <c r="LUM1723" s="227"/>
      <c r="LUN1723" s="227"/>
      <c r="LUO1723" s="227"/>
      <c r="LUP1723" s="227"/>
      <c r="LUQ1723" s="227"/>
      <c r="LUR1723" s="227"/>
      <c r="LUS1723" s="227"/>
      <c r="LUT1723" s="227"/>
      <c r="LUU1723" s="227"/>
      <c r="LUV1723" s="227"/>
      <c r="LUW1723" s="227"/>
      <c r="LUX1723" s="227"/>
      <c r="LUY1723" s="227"/>
      <c r="LUZ1723" s="227"/>
      <c r="LVA1723" s="227"/>
      <c r="LVB1723" s="227"/>
      <c r="LVC1723" s="227"/>
      <c r="LVD1723" s="227"/>
      <c r="LVE1723" s="227"/>
      <c r="LVF1723" s="227"/>
      <c r="LVG1723" s="227"/>
      <c r="LVH1723" s="227"/>
      <c r="LVI1723" s="227"/>
      <c r="LVJ1723" s="227"/>
      <c r="LVK1723" s="227"/>
      <c r="LVL1723" s="227"/>
      <c r="LVM1723" s="227"/>
      <c r="LVN1723" s="227"/>
      <c r="LVO1723" s="227"/>
      <c r="LVP1723" s="227"/>
      <c r="LVQ1723" s="227"/>
      <c r="LVR1723" s="227"/>
      <c r="LVS1723" s="227"/>
      <c r="LVT1723" s="227"/>
      <c r="LVU1723" s="227"/>
      <c r="LVV1723" s="227"/>
      <c r="LVW1723" s="227"/>
      <c r="LVX1723" s="227"/>
      <c r="LVY1723" s="227"/>
      <c r="LVZ1723" s="227"/>
      <c r="LWA1723" s="227"/>
      <c r="LWB1723" s="227"/>
      <c r="LWC1723" s="227"/>
      <c r="LWD1723" s="227"/>
      <c r="LWE1723" s="227"/>
      <c r="LWF1723" s="227"/>
      <c r="LWG1723" s="227"/>
      <c r="LWH1723" s="227"/>
      <c r="LWI1723" s="227"/>
      <c r="LWJ1723" s="227"/>
      <c r="LWK1723" s="227"/>
      <c r="LWL1723" s="227"/>
      <c r="LWM1723" s="227"/>
      <c r="LWN1723" s="227"/>
      <c r="LWO1723" s="227"/>
      <c r="LWP1723" s="227"/>
      <c r="LWQ1723" s="227"/>
      <c r="LWR1723" s="227"/>
      <c r="LWS1723" s="227"/>
      <c r="LWT1723" s="227"/>
      <c r="LWU1723" s="227"/>
      <c r="LWV1723" s="227"/>
      <c r="LWW1723" s="227"/>
      <c r="LWX1723" s="227"/>
      <c r="LWY1723" s="227"/>
      <c r="LWZ1723" s="227"/>
      <c r="LXA1723" s="227"/>
      <c r="LXB1723" s="227"/>
      <c r="LXC1723" s="227"/>
      <c r="LXD1723" s="227"/>
      <c r="LXE1723" s="227"/>
      <c r="LXF1723" s="227"/>
      <c r="LXG1723" s="227"/>
      <c r="LXH1723" s="227"/>
      <c r="LXI1723" s="227"/>
      <c r="LXJ1723" s="227"/>
      <c r="LXK1723" s="227"/>
      <c r="LXL1723" s="227"/>
      <c r="LXM1723" s="227"/>
      <c r="LXN1723" s="227"/>
      <c r="LXO1723" s="227"/>
      <c r="LXP1723" s="227"/>
      <c r="LXQ1723" s="227"/>
      <c r="LXR1723" s="227"/>
      <c r="LXS1723" s="227"/>
      <c r="LXT1723" s="227"/>
      <c r="LXU1723" s="227"/>
      <c r="LXV1723" s="227"/>
      <c r="LXW1723" s="227"/>
      <c r="LXX1723" s="227"/>
      <c r="LXY1723" s="227"/>
      <c r="LXZ1723" s="227"/>
      <c r="LYA1723" s="227"/>
      <c r="LYB1723" s="227"/>
      <c r="LYC1723" s="227"/>
      <c r="LYD1723" s="227"/>
      <c r="LYE1723" s="227"/>
      <c r="LYF1723" s="227"/>
      <c r="LYG1723" s="227"/>
      <c r="LYH1723" s="227"/>
      <c r="LYI1723" s="227"/>
      <c r="LYJ1723" s="227"/>
      <c r="LYK1723" s="227"/>
      <c r="LYL1723" s="227"/>
      <c r="LYM1723" s="227"/>
      <c r="LYN1723" s="227"/>
      <c r="LYO1723" s="227"/>
      <c r="LYP1723" s="227"/>
      <c r="LYQ1723" s="227"/>
      <c r="LYR1723" s="227"/>
      <c r="LYS1723" s="227"/>
      <c r="LYT1723" s="227"/>
      <c r="LYU1723" s="227"/>
      <c r="LYV1723" s="227"/>
      <c r="LYW1723" s="227"/>
      <c r="LYX1723" s="227"/>
      <c r="LYY1723" s="227"/>
      <c r="LYZ1723" s="227"/>
      <c r="LZA1723" s="227"/>
      <c r="LZB1723" s="227"/>
      <c r="LZC1723" s="227"/>
      <c r="LZD1723" s="227"/>
      <c r="LZE1723" s="227"/>
      <c r="LZF1723" s="227"/>
      <c r="LZG1723" s="227"/>
      <c r="LZH1723" s="227"/>
      <c r="LZI1723" s="227"/>
      <c r="LZJ1723" s="227"/>
      <c r="LZK1723" s="227"/>
      <c r="LZL1723" s="227"/>
      <c r="LZM1723" s="227"/>
      <c r="LZN1723" s="227"/>
      <c r="LZO1723" s="227"/>
      <c r="LZP1723" s="227"/>
      <c r="LZQ1723" s="227"/>
      <c r="LZR1723" s="227"/>
      <c r="LZS1723" s="227"/>
      <c r="LZT1723" s="227"/>
      <c r="LZU1723" s="227"/>
      <c r="LZV1723" s="227"/>
      <c r="LZW1723" s="227"/>
      <c r="LZX1723" s="227"/>
      <c r="LZY1723" s="227"/>
      <c r="LZZ1723" s="227"/>
      <c r="MAA1723" s="227"/>
      <c r="MAB1723" s="227"/>
      <c r="MAC1723" s="227"/>
      <c r="MAD1723" s="227"/>
      <c r="MAE1723" s="227"/>
      <c r="MAF1723" s="227"/>
      <c r="MAG1723" s="227"/>
      <c r="MAH1723" s="227"/>
      <c r="MAI1723" s="227"/>
      <c r="MAJ1723" s="227"/>
      <c r="MAK1723" s="227"/>
      <c r="MAL1723" s="227"/>
      <c r="MAM1723" s="227"/>
      <c r="MAN1723" s="227"/>
      <c r="MAO1723" s="227"/>
      <c r="MAP1723" s="227"/>
      <c r="MAQ1723" s="227"/>
      <c r="MAR1723" s="227"/>
      <c r="MAS1723" s="227"/>
      <c r="MAT1723" s="227"/>
      <c r="MAU1723" s="227"/>
      <c r="MAV1723" s="227"/>
      <c r="MAW1723" s="227"/>
      <c r="MAX1723" s="227"/>
      <c r="MAY1723" s="227"/>
      <c r="MAZ1723" s="227"/>
      <c r="MBA1723" s="227"/>
      <c r="MBB1723" s="227"/>
      <c r="MBC1723" s="227"/>
      <c r="MBD1723" s="227"/>
      <c r="MBE1723" s="227"/>
      <c r="MBF1723" s="227"/>
      <c r="MBG1723" s="227"/>
      <c r="MBH1723" s="227"/>
      <c r="MBI1723" s="227"/>
      <c r="MBJ1723" s="227"/>
      <c r="MBK1723" s="227"/>
      <c r="MBL1723" s="227"/>
      <c r="MBM1723" s="227"/>
      <c r="MBN1723" s="227"/>
      <c r="MBO1723" s="227"/>
      <c r="MBP1723" s="227"/>
      <c r="MBQ1723" s="227"/>
      <c r="MBR1723" s="227"/>
      <c r="MBS1723" s="227"/>
      <c r="MBT1723" s="227"/>
      <c r="MBU1723" s="227"/>
      <c r="MBV1723" s="227"/>
      <c r="MBW1723" s="227"/>
      <c r="MBX1723" s="227"/>
      <c r="MBY1723" s="227"/>
      <c r="MBZ1723" s="227"/>
      <c r="MCA1723" s="227"/>
      <c r="MCB1723" s="227"/>
      <c r="MCC1723" s="227"/>
      <c r="MCD1723" s="227"/>
      <c r="MCE1723" s="227"/>
      <c r="MCF1723" s="227"/>
      <c r="MCG1723" s="227"/>
      <c r="MCH1723" s="227"/>
      <c r="MCI1723" s="227"/>
      <c r="MCJ1723" s="227"/>
      <c r="MCK1723" s="227"/>
      <c r="MCL1723" s="227"/>
      <c r="MCM1723" s="227"/>
      <c r="MCN1723" s="227"/>
      <c r="MCO1723" s="227"/>
      <c r="MCP1723" s="227"/>
      <c r="MCQ1723" s="227"/>
      <c r="MCR1723" s="227"/>
      <c r="MCS1723" s="227"/>
      <c r="MCT1723" s="227"/>
      <c r="MCU1723" s="227"/>
      <c r="MCV1723" s="227"/>
      <c r="MCW1723" s="227"/>
      <c r="MCX1723" s="227"/>
      <c r="MCY1723" s="227"/>
      <c r="MCZ1723" s="227"/>
      <c r="MDA1723" s="227"/>
      <c r="MDB1723" s="227"/>
      <c r="MDC1723" s="227"/>
      <c r="MDD1723" s="227"/>
      <c r="MDE1723" s="227"/>
      <c r="MDF1723" s="227"/>
      <c r="MDG1723" s="227"/>
      <c r="MDH1723" s="227"/>
      <c r="MDI1723" s="227"/>
      <c r="MDJ1723" s="227"/>
      <c r="MDK1723" s="227"/>
      <c r="MDL1723" s="227"/>
      <c r="MDM1723" s="227"/>
      <c r="MDN1723" s="227"/>
      <c r="MDO1723" s="227"/>
      <c r="MDP1723" s="227"/>
      <c r="MDQ1723" s="227"/>
      <c r="MDR1723" s="227"/>
      <c r="MDS1723" s="227"/>
      <c r="MDT1723" s="227"/>
      <c r="MDU1723" s="227"/>
      <c r="MDV1723" s="227"/>
      <c r="MDW1723" s="227"/>
      <c r="MDX1723" s="227"/>
      <c r="MDY1723" s="227"/>
      <c r="MDZ1723" s="227"/>
      <c r="MEA1723" s="227"/>
      <c r="MEB1723" s="227"/>
      <c r="MEC1723" s="227"/>
      <c r="MED1723" s="227"/>
      <c r="MEE1723" s="227"/>
      <c r="MEF1723" s="227"/>
      <c r="MEG1723" s="227"/>
      <c r="MEH1723" s="227"/>
      <c r="MEI1723" s="227"/>
      <c r="MEJ1723" s="227"/>
      <c r="MEK1723" s="227"/>
      <c r="MEL1723" s="227"/>
      <c r="MEM1723" s="227"/>
      <c r="MEN1723" s="227"/>
      <c r="MEO1723" s="227"/>
      <c r="MEP1723" s="227"/>
      <c r="MEQ1723" s="227"/>
      <c r="MER1723" s="227"/>
      <c r="MES1723" s="227"/>
      <c r="MET1723" s="227"/>
      <c r="MEU1723" s="227"/>
      <c r="MEV1723" s="227"/>
      <c r="MEW1723" s="227"/>
      <c r="MEX1723" s="227"/>
      <c r="MEY1723" s="227"/>
      <c r="MEZ1723" s="227"/>
      <c r="MFA1723" s="227"/>
      <c r="MFB1723" s="227"/>
      <c r="MFC1723" s="227"/>
      <c r="MFD1723" s="227"/>
      <c r="MFE1723" s="227"/>
      <c r="MFF1723" s="227"/>
      <c r="MFG1723" s="227"/>
      <c r="MFH1723" s="227"/>
      <c r="MFI1723" s="227"/>
      <c r="MFJ1723" s="227"/>
      <c r="MFK1723" s="227"/>
      <c r="MFL1723" s="227"/>
      <c r="MFM1723" s="227"/>
      <c r="MFN1723" s="227"/>
      <c r="MFO1723" s="227"/>
      <c r="MFP1723" s="227"/>
      <c r="MFQ1723" s="227"/>
      <c r="MFR1723" s="227"/>
      <c r="MFS1723" s="227"/>
      <c r="MFT1723" s="227"/>
      <c r="MFU1723" s="227"/>
      <c r="MFV1723" s="227"/>
      <c r="MFW1723" s="227"/>
      <c r="MFX1723" s="227"/>
      <c r="MFY1723" s="227"/>
      <c r="MFZ1723" s="227"/>
      <c r="MGA1723" s="227"/>
      <c r="MGB1723" s="227"/>
      <c r="MGC1723" s="227"/>
      <c r="MGD1723" s="227"/>
      <c r="MGE1723" s="227"/>
      <c r="MGF1723" s="227"/>
      <c r="MGG1723" s="227"/>
      <c r="MGH1723" s="227"/>
      <c r="MGI1723" s="227"/>
      <c r="MGJ1723" s="227"/>
      <c r="MGK1723" s="227"/>
      <c r="MGL1723" s="227"/>
      <c r="MGM1723" s="227"/>
      <c r="MGN1723" s="227"/>
      <c r="MGO1723" s="227"/>
      <c r="MGP1723" s="227"/>
      <c r="MGQ1723" s="227"/>
      <c r="MGR1723" s="227"/>
      <c r="MGS1723" s="227"/>
      <c r="MGT1723" s="227"/>
      <c r="MGU1723" s="227"/>
      <c r="MGV1723" s="227"/>
      <c r="MGW1723" s="227"/>
      <c r="MGX1723" s="227"/>
      <c r="MGY1723" s="227"/>
      <c r="MGZ1723" s="227"/>
      <c r="MHA1723" s="227"/>
      <c r="MHB1723" s="227"/>
      <c r="MHC1723" s="227"/>
      <c r="MHD1723" s="227"/>
      <c r="MHE1723" s="227"/>
      <c r="MHF1723" s="227"/>
      <c r="MHG1723" s="227"/>
      <c r="MHH1723" s="227"/>
      <c r="MHI1723" s="227"/>
      <c r="MHJ1723" s="227"/>
      <c r="MHK1723" s="227"/>
      <c r="MHL1723" s="227"/>
      <c r="MHM1723" s="227"/>
      <c r="MHN1723" s="227"/>
      <c r="MHO1723" s="227"/>
      <c r="MHP1723" s="227"/>
      <c r="MHQ1723" s="227"/>
      <c r="MHR1723" s="227"/>
      <c r="MHS1723" s="227"/>
      <c r="MHT1723" s="227"/>
      <c r="MHU1723" s="227"/>
      <c r="MHV1723" s="227"/>
      <c r="MHW1723" s="227"/>
      <c r="MHX1723" s="227"/>
      <c r="MHY1723" s="227"/>
      <c r="MHZ1723" s="227"/>
      <c r="MIA1723" s="227"/>
      <c r="MIB1723" s="227"/>
      <c r="MIC1723" s="227"/>
      <c r="MID1723" s="227"/>
      <c r="MIE1723" s="227"/>
      <c r="MIF1723" s="227"/>
      <c r="MIG1723" s="227"/>
      <c r="MIH1723" s="227"/>
      <c r="MII1723" s="227"/>
      <c r="MIJ1723" s="227"/>
      <c r="MIK1723" s="227"/>
      <c r="MIL1723" s="227"/>
      <c r="MIM1723" s="227"/>
      <c r="MIN1723" s="227"/>
      <c r="MIO1723" s="227"/>
      <c r="MIP1723" s="227"/>
      <c r="MIQ1723" s="227"/>
      <c r="MIR1723" s="227"/>
      <c r="MIS1723" s="227"/>
      <c r="MIT1723" s="227"/>
      <c r="MIU1723" s="227"/>
      <c r="MIV1723" s="227"/>
      <c r="MIW1723" s="227"/>
      <c r="MIX1723" s="227"/>
      <c r="MIY1723" s="227"/>
      <c r="MIZ1723" s="227"/>
      <c r="MJA1723" s="227"/>
      <c r="MJB1723" s="227"/>
      <c r="MJC1723" s="227"/>
      <c r="MJD1723" s="227"/>
      <c r="MJE1723" s="227"/>
      <c r="MJF1723" s="227"/>
      <c r="MJG1723" s="227"/>
      <c r="MJH1723" s="227"/>
      <c r="MJI1723" s="227"/>
      <c r="MJJ1723" s="227"/>
      <c r="MJK1723" s="227"/>
      <c r="MJL1723" s="227"/>
      <c r="MJM1723" s="227"/>
      <c r="MJN1723" s="227"/>
      <c r="MJO1723" s="227"/>
      <c r="MJP1723" s="227"/>
      <c r="MJQ1723" s="227"/>
      <c r="MJR1723" s="227"/>
      <c r="MJS1723" s="227"/>
      <c r="MJT1723" s="227"/>
      <c r="MJU1723" s="227"/>
      <c r="MJV1723" s="227"/>
      <c r="MJW1723" s="227"/>
      <c r="MJX1723" s="227"/>
      <c r="MJY1723" s="227"/>
      <c r="MJZ1723" s="227"/>
      <c r="MKA1723" s="227"/>
      <c r="MKB1723" s="227"/>
      <c r="MKC1723" s="227"/>
      <c r="MKD1723" s="227"/>
      <c r="MKE1723" s="227"/>
      <c r="MKF1723" s="227"/>
      <c r="MKG1723" s="227"/>
      <c r="MKH1723" s="227"/>
      <c r="MKI1723" s="227"/>
      <c r="MKJ1723" s="227"/>
      <c r="MKK1723" s="227"/>
      <c r="MKL1723" s="227"/>
      <c r="MKM1723" s="227"/>
      <c r="MKN1723" s="227"/>
      <c r="MKO1723" s="227"/>
      <c r="MKP1723" s="227"/>
      <c r="MKQ1723" s="227"/>
      <c r="MKR1723" s="227"/>
      <c r="MKS1723" s="227"/>
      <c r="MKT1723" s="227"/>
      <c r="MKU1723" s="227"/>
      <c r="MKV1723" s="227"/>
      <c r="MKW1723" s="227"/>
      <c r="MKX1723" s="227"/>
      <c r="MKY1723" s="227"/>
      <c r="MKZ1723" s="227"/>
      <c r="MLA1723" s="227"/>
      <c r="MLB1723" s="227"/>
      <c r="MLC1723" s="227"/>
      <c r="MLD1723" s="227"/>
      <c r="MLE1723" s="227"/>
      <c r="MLF1723" s="227"/>
      <c r="MLG1723" s="227"/>
      <c r="MLH1723" s="227"/>
      <c r="MLI1723" s="227"/>
      <c r="MLJ1723" s="227"/>
      <c r="MLK1723" s="227"/>
      <c r="MLL1723" s="227"/>
      <c r="MLM1723" s="227"/>
      <c r="MLN1723" s="227"/>
      <c r="MLO1723" s="227"/>
      <c r="MLP1723" s="227"/>
      <c r="MLQ1723" s="227"/>
      <c r="MLR1723" s="227"/>
      <c r="MLS1723" s="227"/>
      <c r="MLT1723" s="227"/>
      <c r="MLU1723" s="227"/>
      <c r="MLV1723" s="227"/>
      <c r="MLW1723" s="227"/>
      <c r="MLX1723" s="227"/>
      <c r="MLY1723" s="227"/>
      <c r="MLZ1723" s="227"/>
      <c r="MMA1723" s="227"/>
      <c r="MMB1723" s="227"/>
      <c r="MMC1723" s="227"/>
      <c r="MMD1723" s="227"/>
      <c r="MME1723" s="227"/>
      <c r="MMF1723" s="227"/>
      <c r="MMG1723" s="227"/>
      <c r="MMH1723" s="227"/>
      <c r="MMI1723" s="227"/>
      <c r="MMJ1723" s="227"/>
      <c r="MMK1723" s="227"/>
      <c r="MML1723" s="227"/>
      <c r="MMM1723" s="227"/>
      <c r="MMN1723" s="227"/>
      <c r="MMO1723" s="227"/>
      <c r="MMP1723" s="227"/>
      <c r="MMQ1723" s="227"/>
      <c r="MMR1723" s="227"/>
      <c r="MMS1723" s="227"/>
      <c r="MMT1723" s="227"/>
      <c r="MMU1723" s="227"/>
      <c r="MMV1723" s="227"/>
      <c r="MMW1723" s="227"/>
      <c r="MMX1723" s="227"/>
      <c r="MMY1723" s="227"/>
      <c r="MMZ1723" s="227"/>
      <c r="MNA1723" s="227"/>
      <c r="MNB1723" s="227"/>
      <c r="MNC1723" s="227"/>
      <c r="MND1723" s="227"/>
      <c r="MNE1723" s="227"/>
      <c r="MNF1723" s="227"/>
      <c r="MNG1723" s="227"/>
      <c r="MNH1723" s="227"/>
      <c r="MNI1723" s="227"/>
      <c r="MNJ1723" s="227"/>
      <c r="MNK1723" s="227"/>
      <c r="MNL1723" s="227"/>
      <c r="MNM1723" s="227"/>
      <c r="MNN1723" s="227"/>
      <c r="MNO1723" s="227"/>
      <c r="MNP1723" s="227"/>
      <c r="MNQ1723" s="227"/>
      <c r="MNR1723" s="227"/>
      <c r="MNS1723" s="227"/>
      <c r="MNT1723" s="227"/>
      <c r="MNU1723" s="227"/>
      <c r="MNV1723" s="227"/>
      <c r="MNW1723" s="227"/>
      <c r="MNX1723" s="227"/>
      <c r="MNY1723" s="227"/>
      <c r="MNZ1723" s="227"/>
      <c r="MOA1723" s="227"/>
      <c r="MOB1723" s="227"/>
      <c r="MOC1723" s="227"/>
      <c r="MOD1723" s="227"/>
      <c r="MOE1723" s="227"/>
      <c r="MOF1723" s="227"/>
      <c r="MOG1723" s="227"/>
      <c r="MOH1723" s="227"/>
      <c r="MOI1723" s="227"/>
      <c r="MOJ1723" s="227"/>
      <c r="MOK1723" s="227"/>
      <c r="MOL1723" s="227"/>
      <c r="MOM1723" s="227"/>
      <c r="MON1723" s="227"/>
      <c r="MOO1723" s="227"/>
      <c r="MOP1723" s="227"/>
      <c r="MOQ1723" s="227"/>
      <c r="MOR1723" s="227"/>
      <c r="MOS1723" s="227"/>
      <c r="MOT1723" s="227"/>
      <c r="MOU1723" s="227"/>
      <c r="MOV1723" s="227"/>
      <c r="MOW1723" s="227"/>
      <c r="MOX1723" s="227"/>
      <c r="MOY1723" s="227"/>
      <c r="MOZ1723" s="227"/>
      <c r="MPA1723" s="227"/>
      <c r="MPB1723" s="227"/>
      <c r="MPC1723" s="227"/>
      <c r="MPD1723" s="227"/>
      <c r="MPE1723" s="227"/>
      <c r="MPF1723" s="227"/>
      <c r="MPG1723" s="227"/>
      <c r="MPH1723" s="227"/>
      <c r="MPI1723" s="227"/>
      <c r="MPJ1723" s="227"/>
      <c r="MPK1723" s="227"/>
      <c r="MPL1723" s="227"/>
      <c r="MPM1723" s="227"/>
      <c r="MPN1723" s="227"/>
      <c r="MPO1723" s="227"/>
      <c r="MPP1723" s="227"/>
      <c r="MPQ1723" s="227"/>
      <c r="MPR1723" s="227"/>
      <c r="MPS1723" s="227"/>
      <c r="MPT1723" s="227"/>
      <c r="MPU1723" s="227"/>
      <c r="MPV1723" s="227"/>
      <c r="MPW1723" s="227"/>
      <c r="MPX1723" s="227"/>
      <c r="MPY1723" s="227"/>
      <c r="MPZ1723" s="227"/>
      <c r="MQA1723" s="227"/>
      <c r="MQB1723" s="227"/>
      <c r="MQC1723" s="227"/>
      <c r="MQD1723" s="227"/>
      <c r="MQE1723" s="227"/>
      <c r="MQF1723" s="227"/>
      <c r="MQG1723" s="227"/>
      <c r="MQH1723" s="227"/>
      <c r="MQI1723" s="227"/>
      <c r="MQJ1723" s="227"/>
      <c r="MQK1723" s="227"/>
      <c r="MQL1723" s="227"/>
      <c r="MQM1723" s="227"/>
      <c r="MQN1723" s="227"/>
      <c r="MQO1723" s="227"/>
      <c r="MQP1723" s="227"/>
      <c r="MQQ1723" s="227"/>
      <c r="MQR1723" s="227"/>
      <c r="MQS1723" s="227"/>
      <c r="MQT1723" s="227"/>
      <c r="MQU1723" s="227"/>
      <c r="MQV1723" s="227"/>
      <c r="MQW1723" s="227"/>
      <c r="MQX1723" s="227"/>
      <c r="MQY1723" s="227"/>
      <c r="MQZ1723" s="227"/>
      <c r="MRA1723" s="227"/>
      <c r="MRB1723" s="227"/>
      <c r="MRC1723" s="227"/>
      <c r="MRD1723" s="227"/>
      <c r="MRE1723" s="227"/>
      <c r="MRF1723" s="227"/>
      <c r="MRG1723" s="227"/>
      <c r="MRH1723" s="227"/>
      <c r="MRI1723" s="227"/>
      <c r="MRJ1723" s="227"/>
      <c r="MRK1723" s="227"/>
      <c r="MRL1723" s="227"/>
      <c r="MRM1723" s="227"/>
      <c r="MRN1723" s="227"/>
      <c r="MRO1723" s="227"/>
      <c r="MRP1723" s="227"/>
      <c r="MRQ1723" s="227"/>
      <c r="MRR1723" s="227"/>
      <c r="MRS1723" s="227"/>
      <c r="MRT1723" s="227"/>
      <c r="MRU1723" s="227"/>
      <c r="MRV1723" s="227"/>
      <c r="MRW1723" s="227"/>
      <c r="MRX1723" s="227"/>
      <c r="MRY1723" s="227"/>
      <c r="MRZ1723" s="227"/>
      <c r="MSA1723" s="227"/>
      <c r="MSB1723" s="227"/>
      <c r="MSC1723" s="227"/>
      <c r="MSD1723" s="227"/>
      <c r="MSE1723" s="227"/>
      <c r="MSF1723" s="227"/>
      <c r="MSG1723" s="227"/>
      <c r="MSH1723" s="227"/>
      <c r="MSI1723" s="227"/>
      <c r="MSJ1723" s="227"/>
      <c r="MSK1723" s="227"/>
      <c r="MSL1723" s="227"/>
      <c r="MSM1723" s="227"/>
      <c r="MSN1723" s="227"/>
      <c r="MSO1723" s="227"/>
      <c r="MSP1723" s="227"/>
      <c r="MSQ1723" s="227"/>
      <c r="MSR1723" s="227"/>
      <c r="MSS1723" s="227"/>
      <c r="MST1723" s="227"/>
      <c r="MSU1723" s="227"/>
      <c r="MSV1723" s="227"/>
      <c r="MSW1723" s="227"/>
      <c r="MSX1723" s="227"/>
      <c r="MSY1723" s="227"/>
      <c r="MSZ1723" s="227"/>
      <c r="MTA1723" s="227"/>
      <c r="MTB1723" s="227"/>
      <c r="MTC1723" s="227"/>
      <c r="MTD1723" s="227"/>
      <c r="MTE1723" s="227"/>
      <c r="MTF1723" s="227"/>
      <c r="MTG1723" s="227"/>
      <c r="MTH1723" s="227"/>
      <c r="MTI1723" s="227"/>
      <c r="MTJ1723" s="227"/>
      <c r="MTK1723" s="227"/>
      <c r="MTL1723" s="227"/>
      <c r="MTM1723" s="227"/>
      <c r="MTN1723" s="227"/>
      <c r="MTO1723" s="227"/>
      <c r="MTP1723" s="227"/>
      <c r="MTQ1723" s="227"/>
      <c r="MTR1723" s="227"/>
      <c r="MTS1723" s="227"/>
      <c r="MTT1723" s="227"/>
      <c r="MTU1723" s="227"/>
      <c r="MTV1723" s="227"/>
      <c r="MTW1723" s="227"/>
      <c r="MTX1723" s="227"/>
      <c r="MTY1723" s="227"/>
      <c r="MTZ1723" s="227"/>
      <c r="MUA1723" s="227"/>
      <c r="MUB1723" s="227"/>
      <c r="MUC1723" s="227"/>
      <c r="MUD1723" s="227"/>
      <c r="MUE1723" s="227"/>
      <c r="MUF1723" s="227"/>
      <c r="MUG1723" s="227"/>
      <c r="MUH1723" s="227"/>
      <c r="MUI1723" s="227"/>
      <c r="MUJ1723" s="227"/>
      <c r="MUK1723" s="227"/>
      <c r="MUL1723" s="227"/>
      <c r="MUM1723" s="227"/>
      <c r="MUN1723" s="227"/>
      <c r="MUO1723" s="227"/>
      <c r="MUP1723" s="227"/>
      <c r="MUQ1723" s="227"/>
      <c r="MUR1723" s="227"/>
      <c r="MUS1723" s="227"/>
      <c r="MUT1723" s="227"/>
      <c r="MUU1723" s="227"/>
      <c r="MUV1723" s="227"/>
      <c r="MUW1723" s="227"/>
      <c r="MUX1723" s="227"/>
      <c r="MUY1723" s="227"/>
      <c r="MUZ1723" s="227"/>
      <c r="MVA1723" s="227"/>
      <c r="MVB1723" s="227"/>
      <c r="MVC1723" s="227"/>
      <c r="MVD1723" s="227"/>
      <c r="MVE1723" s="227"/>
      <c r="MVF1723" s="227"/>
      <c r="MVG1723" s="227"/>
      <c r="MVH1723" s="227"/>
      <c r="MVI1723" s="227"/>
      <c r="MVJ1723" s="227"/>
      <c r="MVK1723" s="227"/>
      <c r="MVL1723" s="227"/>
      <c r="MVM1723" s="227"/>
      <c r="MVN1723" s="227"/>
      <c r="MVO1723" s="227"/>
      <c r="MVP1723" s="227"/>
      <c r="MVQ1723" s="227"/>
      <c r="MVR1723" s="227"/>
      <c r="MVS1723" s="227"/>
      <c r="MVT1723" s="227"/>
      <c r="MVU1723" s="227"/>
      <c r="MVV1723" s="227"/>
      <c r="MVW1723" s="227"/>
      <c r="MVX1723" s="227"/>
      <c r="MVY1723" s="227"/>
      <c r="MVZ1723" s="227"/>
      <c r="MWA1723" s="227"/>
      <c r="MWB1723" s="227"/>
      <c r="MWC1723" s="227"/>
      <c r="MWD1723" s="227"/>
      <c r="MWE1723" s="227"/>
      <c r="MWF1723" s="227"/>
      <c r="MWG1723" s="227"/>
      <c r="MWH1723" s="227"/>
      <c r="MWI1723" s="227"/>
      <c r="MWJ1723" s="227"/>
      <c r="MWK1723" s="227"/>
      <c r="MWL1723" s="227"/>
      <c r="MWM1723" s="227"/>
      <c r="MWN1723" s="227"/>
      <c r="MWO1723" s="227"/>
      <c r="MWP1723" s="227"/>
      <c r="MWQ1723" s="227"/>
      <c r="MWR1723" s="227"/>
      <c r="MWS1723" s="227"/>
      <c r="MWT1723" s="227"/>
      <c r="MWU1723" s="227"/>
      <c r="MWV1723" s="227"/>
      <c r="MWW1723" s="227"/>
      <c r="MWX1723" s="227"/>
      <c r="MWY1723" s="227"/>
      <c r="MWZ1723" s="227"/>
      <c r="MXA1723" s="227"/>
      <c r="MXB1723" s="227"/>
      <c r="MXC1723" s="227"/>
      <c r="MXD1723" s="227"/>
      <c r="MXE1723" s="227"/>
      <c r="MXF1723" s="227"/>
      <c r="MXG1723" s="227"/>
      <c r="MXH1723" s="227"/>
      <c r="MXI1723" s="227"/>
      <c r="MXJ1723" s="227"/>
      <c r="MXK1723" s="227"/>
      <c r="MXL1723" s="227"/>
      <c r="MXM1723" s="227"/>
      <c r="MXN1723" s="227"/>
      <c r="MXO1723" s="227"/>
      <c r="MXP1723" s="227"/>
      <c r="MXQ1723" s="227"/>
      <c r="MXR1723" s="227"/>
      <c r="MXS1723" s="227"/>
      <c r="MXT1723" s="227"/>
      <c r="MXU1723" s="227"/>
      <c r="MXV1723" s="227"/>
      <c r="MXW1723" s="227"/>
      <c r="MXX1723" s="227"/>
      <c r="MXY1723" s="227"/>
      <c r="MXZ1723" s="227"/>
      <c r="MYA1723" s="227"/>
      <c r="MYB1723" s="227"/>
      <c r="MYC1723" s="227"/>
      <c r="MYD1723" s="227"/>
      <c r="MYE1723" s="227"/>
      <c r="MYF1723" s="227"/>
      <c r="MYG1723" s="227"/>
      <c r="MYH1723" s="227"/>
      <c r="MYI1723" s="227"/>
      <c r="MYJ1723" s="227"/>
      <c r="MYK1723" s="227"/>
      <c r="MYL1723" s="227"/>
      <c r="MYM1723" s="227"/>
      <c r="MYN1723" s="227"/>
      <c r="MYO1723" s="227"/>
      <c r="MYP1723" s="227"/>
      <c r="MYQ1723" s="227"/>
      <c r="MYR1723" s="227"/>
      <c r="MYS1723" s="227"/>
      <c r="MYT1723" s="227"/>
      <c r="MYU1723" s="227"/>
      <c r="MYV1723" s="227"/>
      <c r="MYW1723" s="227"/>
      <c r="MYX1723" s="227"/>
      <c r="MYY1723" s="227"/>
      <c r="MYZ1723" s="227"/>
      <c r="MZA1723" s="227"/>
      <c r="MZB1723" s="227"/>
      <c r="MZC1723" s="227"/>
      <c r="MZD1723" s="227"/>
      <c r="MZE1723" s="227"/>
      <c r="MZF1723" s="227"/>
      <c r="MZG1723" s="227"/>
      <c r="MZH1723" s="227"/>
      <c r="MZI1723" s="227"/>
      <c r="MZJ1723" s="227"/>
      <c r="MZK1723" s="227"/>
      <c r="MZL1723" s="227"/>
      <c r="MZM1723" s="227"/>
      <c r="MZN1723" s="227"/>
      <c r="MZO1723" s="227"/>
      <c r="MZP1723" s="227"/>
      <c r="MZQ1723" s="227"/>
      <c r="MZR1723" s="227"/>
      <c r="MZS1723" s="227"/>
      <c r="MZT1723" s="227"/>
      <c r="MZU1723" s="227"/>
      <c r="MZV1723" s="227"/>
      <c r="MZW1723" s="227"/>
      <c r="MZX1723" s="227"/>
      <c r="MZY1723" s="227"/>
      <c r="MZZ1723" s="227"/>
      <c r="NAA1723" s="227"/>
      <c r="NAB1723" s="227"/>
      <c r="NAC1723" s="227"/>
      <c r="NAD1723" s="227"/>
      <c r="NAE1723" s="227"/>
      <c r="NAF1723" s="227"/>
      <c r="NAG1723" s="227"/>
      <c r="NAH1723" s="227"/>
      <c r="NAI1723" s="227"/>
      <c r="NAJ1723" s="227"/>
      <c r="NAK1723" s="227"/>
      <c r="NAL1723" s="227"/>
      <c r="NAM1723" s="227"/>
      <c r="NAN1723" s="227"/>
      <c r="NAO1723" s="227"/>
      <c r="NAP1723" s="227"/>
      <c r="NAQ1723" s="227"/>
      <c r="NAR1723" s="227"/>
      <c r="NAS1723" s="227"/>
      <c r="NAT1723" s="227"/>
      <c r="NAU1723" s="227"/>
      <c r="NAV1723" s="227"/>
      <c r="NAW1723" s="227"/>
      <c r="NAX1723" s="227"/>
      <c r="NAY1723" s="227"/>
      <c r="NAZ1723" s="227"/>
      <c r="NBA1723" s="227"/>
      <c r="NBB1723" s="227"/>
      <c r="NBC1723" s="227"/>
      <c r="NBD1723" s="227"/>
      <c r="NBE1723" s="227"/>
      <c r="NBF1723" s="227"/>
      <c r="NBG1723" s="227"/>
      <c r="NBH1723" s="227"/>
      <c r="NBI1723" s="227"/>
      <c r="NBJ1723" s="227"/>
      <c r="NBK1723" s="227"/>
      <c r="NBL1723" s="227"/>
      <c r="NBM1723" s="227"/>
      <c r="NBN1723" s="227"/>
      <c r="NBO1723" s="227"/>
      <c r="NBP1723" s="227"/>
      <c r="NBQ1723" s="227"/>
      <c r="NBR1723" s="227"/>
      <c r="NBS1723" s="227"/>
      <c r="NBT1723" s="227"/>
      <c r="NBU1723" s="227"/>
      <c r="NBV1723" s="227"/>
      <c r="NBW1723" s="227"/>
      <c r="NBX1723" s="227"/>
      <c r="NBY1723" s="227"/>
      <c r="NBZ1723" s="227"/>
      <c r="NCA1723" s="227"/>
      <c r="NCB1723" s="227"/>
      <c r="NCC1723" s="227"/>
      <c r="NCD1723" s="227"/>
      <c r="NCE1723" s="227"/>
      <c r="NCF1723" s="227"/>
      <c r="NCG1723" s="227"/>
      <c r="NCH1723" s="227"/>
      <c r="NCI1723" s="227"/>
      <c r="NCJ1723" s="227"/>
      <c r="NCK1723" s="227"/>
      <c r="NCL1723" s="227"/>
      <c r="NCM1723" s="227"/>
      <c r="NCN1723" s="227"/>
      <c r="NCO1723" s="227"/>
      <c r="NCP1723" s="227"/>
      <c r="NCQ1723" s="227"/>
      <c r="NCR1723" s="227"/>
      <c r="NCS1723" s="227"/>
      <c r="NCT1723" s="227"/>
      <c r="NCU1723" s="227"/>
      <c r="NCV1723" s="227"/>
      <c r="NCW1723" s="227"/>
      <c r="NCX1723" s="227"/>
      <c r="NCY1723" s="227"/>
      <c r="NCZ1723" s="227"/>
      <c r="NDA1723" s="227"/>
      <c r="NDB1723" s="227"/>
      <c r="NDC1723" s="227"/>
      <c r="NDD1723" s="227"/>
      <c r="NDE1723" s="227"/>
      <c r="NDF1723" s="227"/>
      <c r="NDG1723" s="227"/>
      <c r="NDH1723" s="227"/>
      <c r="NDI1723" s="227"/>
      <c r="NDJ1723" s="227"/>
      <c r="NDK1723" s="227"/>
      <c r="NDL1723" s="227"/>
      <c r="NDM1723" s="227"/>
      <c r="NDN1723" s="227"/>
      <c r="NDO1723" s="227"/>
      <c r="NDP1723" s="227"/>
      <c r="NDQ1723" s="227"/>
      <c r="NDR1723" s="227"/>
      <c r="NDS1723" s="227"/>
      <c r="NDT1723" s="227"/>
      <c r="NDU1723" s="227"/>
      <c r="NDV1723" s="227"/>
      <c r="NDW1723" s="227"/>
      <c r="NDX1723" s="227"/>
      <c r="NDY1723" s="227"/>
      <c r="NDZ1723" s="227"/>
      <c r="NEA1723" s="227"/>
      <c r="NEB1723" s="227"/>
      <c r="NEC1723" s="227"/>
      <c r="NED1723" s="227"/>
      <c r="NEE1723" s="227"/>
      <c r="NEF1723" s="227"/>
      <c r="NEG1723" s="227"/>
      <c r="NEH1723" s="227"/>
      <c r="NEI1723" s="227"/>
      <c r="NEJ1723" s="227"/>
      <c r="NEK1723" s="227"/>
      <c r="NEL1723" s="227"/>
      <c r="NEM1723" s="227"/>
      <c r="NEN1723" s="227"/>
      <c r="NEO1723" s="227"/>
      <c r="NEP1723" s="227"/>
      <c r="NEQ1723" s="227"/>
      <c r="NER1723" s="227"/>
      <c r="NES1723" s="227"/>
      <c r="NET1723" s="227"/>
      <c r="NEU1723" s="227"/>
      <c r="NEV1723" s="227"/>
      <c r="NEW1723" s="227"/>
      <c r="NEX1723" s="227"/>
      <c r="NEY1723" s="227"/>
      <c r="NEZ1723" s="227"/>
      <c r="NFA1723" s="227"/>
      <c r="NFB1723" s="227"/>
      <c r="NFC1723" s="227"/>
      <c r="NFD1723" s="227"/>
      <c r="NFE1723" s="227"/>
      <c r="NFF1723" s="227"/>
      <c r="NFG1723" s="227"/>
      <c r="NFH1723" s="227"/>
      <c r="NFI1723" s="227"/>
      <c r="NFJ1723" s="227"/>
      <c r="NFK1723" s="227"/>
      <c r="NFL1723" s="227"/>
      <c r="NFM1723" s="227"/>
      <c r="NFN1723" s="227"/>
      <c r="NFO1723" s="227"/>
      <c r="NFP1723" s="227"/>
      <c r="NFQ1723" s="227"/>
      <c r="NFR1723" s="227"/>
      <c r="NFS1723" s="227"/>
      <c r="NFT1723" s="227"/>
      <c r="NFU1723" s="227"/>
      <c r="NFV1723" s="227"/>
      <c r="NFW1723" s="227"/>
      <c r="NFX1723" s="227"/>
      <c r="NFY1723" s="227"/>
      <c r="NFZ1723" s="227"/>
      <c r="NGA1723" s="227"/>
      <c r="NGB1723" s="227"/>
      <c r="NGC1723" s="227"/>
      <c r="NGD1723" s="227"/>
      <c r="NGE1723" s="227"/>
      <c r="NGF1723" s="227"/>
      <c r="NGG1723" s="227"/>
      <c r="NGH1723" s="227"/>
      <c r="NGI1723" s="227"/>
      <c r="NGJ1723" s="227"/>
      <c r="NGK1723" s="227"/>
      <c r="NGL1723" s="227"/>
      <c r="NGM1723" s="227"/>
      <c r="NGN1723" s="227"/>
      <c r="NGO1723" s="227"/>
      <c r="NGP1723" s="227"/>
      <c r="NGQ1723" s="227"/>
      <c r="NGR1723" s="227"/>
      <c r="NGS1723" s="227"/>
      <c r="NGT1723" s="227"/>
      <c r="NGU1723" s="227"/>
      <c r="NGV1723" s="227"/>
      <c r="NGW1723" s="227"/>
      <c r="NGX1723" s="227"/>
      <c r="NGY1723" s="227"/>
      <c r="NGZ1723" s="227"/>
      <c r="NHA1723" s="227"/>
      <c r="NHB1723" s="227"/>
      <c r="NHC1723" s="227"/>
      <c r="NHD1723" s="227"/>
      <c r="NHE1723" s="227"/>
      <c r="NHF1723" s="227"/>
      <c r="NHG1723" s="227"/>
      <c r="NHH1723" s="227"/>
      <c r="NHI1723" s="227"/>
      <c r="NHJ1723" s="227"/>
      <c r="NHK1723" s="227"/>
      <c r="NHL1723" s="227"/>
      <c r="NHM1723" s="227"/>
      <c r="NHN1723" s="227"/>
      <c r="NHO1723" s="227"/>
      <c r="NHP1723" s="227"/>
      <c r="NHQ1723" s="227"/>
      <c r="NHR1723" s="227"/>
      <c r="NHS1723" s="227"/>
      <c r="NHT1723" s="227"/>
      <c r="NHU1723" s="227"/>
      <c r="NHV1723" s="227"/>
      <c r="NHW1723" s="227"/>
      <c r="NHX1723" s="227"/>
      <c r="NHY1723" s="227"/>
      <c r="NHZ1723" s="227"/>
      <c r="NIA1723" s="227"/>
      <c r="NIB1723" s="227"/>
      <c r="NIC1723" s="227"/>
      <c r="NID1723" s="227"/>
      <c r="NIE1723" s="227"/>
      <c r="NIF1723" s="227"/>
      <c r="NIG1723" s="227"/>
      <c r="NIH1723" s="227"/>
      <c r="NII1723" s="227"/>
      <c r="NIJ1723" s="227"/>
      <c r="NIK1723" s="227"/>
      <c r="NIL1723" s="227"/>
      <c r="NIM1723" s="227"/>
      <c r="NIN1723" s="227"/>
      <c r="NIO1723" s="227"/>
      <c r="NIP1723" s="227"/>
      <c r="NIQ1723" s="227"/>
      <c r="NIR1723" s="227"/>
      <c r="NIS1723" s="227"/>
      <c r="NIT1723" s="227"/>
      <c r="NIU1723" s="227"/>
      <c r="NIV1723" s="227"/>
      <c r="NIW1723" s="227"/>
      <c r="NIX1723" s="227"/>
      <c r="NIY1723" s="227"/>
      <c r="NIZ1723" s="227"/>
      <c r="NJA1723" s="227"/>
      <c r="NJB1723" s="227"/>
      <c r="NJC1723" s="227"/>
      <c r="NJD1723" s="227"/>
      <c r="NJE1723" s="227"/>
      <c r="NJF1723" s="227"/>
      <c r="NJG1723" s="227"/>
      <c r="NJH1723" s="227"/>
      <c r="NJI1723" s="227"/>
      <c r="NJJ1723" s="227"/>
      <c r="NJK1723" s="227"/>
      <c r="NJL1723" s="227"/>
      <c r="NJM1723" s="227"/>
      <c r="NJN1723" s="227"/>
      <c r="NJO1723" s="227"/>
      <c r="NJP1723" s="227"/>
      <c r="NJQ1723" s="227"/>
      <c r="NJR1723" s="227"/>
      <c r="NJS1723" s="227"/>
      <c r="NJT1723" s="227"/>
      <c r="NJU1723" s="227"/>
      <c r="NJV1723" s="227"/>
      <c r="NJW1723" s="227"/>
      <c r="NJX1723" s="227"/>
      <c r="NJY1723" s="227"/>
      <c r="NJZ1723" s="227"/>
      <c r="NKA1723" s="227"/>
      <c r="NKB1723" s="227"/>
      <c r="NKC1723" s="227"/>
      <c r="NKD1723" s="227"/>
      <c r="NKE1723" s="227"/>
      <c r="NKF1723" s="227"/>
      <c r="NKG1723" s="227"/>
      <c r="NKH1723" s="227"/>
      <c r="NKI1723" s="227"/>
      <c r="NKJ1723" s="227"/>
      <c r="NKK1723" s="227"/>
      <c r="NKL1723" s="227"/>
      <c r="NKM1723" s="227"/>
      <c r="NKN1723" s="227"/>
      <c r="NKO1723" s="227"/>
      <c r="NKP1723" s="227"/>
      <c r="NKQ1723" s="227"/>
      <c r="NKR1723" s="227"/>
      <c r="NKS1723" s="227"/>
      <c r="NKT1723" s="227"/>
      <c r="NKU1723" s="227"/>
      <c r="NKV1723" s="227"/>
      <c r="NKW1723" s="227"/>
      <c r="NKX1723" s="227"/>
      <c r="NKY1723" s="227"/>
      <c r="NKZ1723" s="227"/>
      <c r="NLA1723" s="227"/>
      <c r="NLB1723" s="227"/>
      <c r="NLC1723" s="227"/>
      <c r="NLD1723" s="227"/>
      <c r="NLE1723" s="227"/>
      <c r="NLF1723" s="227"/>
      <c r="NLG1723" s="227"/>
      <c r="NLH1723" s="227"/>
      <c r="NLI1723" s="227"/>
      <c r="NLJ1723" s="227"/>
      <c r="NLK1723" s="227"/>
      <c r="NLL1723" s="227"/>
      <c r="NLM1723" s="227"/>
      <c r="NLN1723" s="227"/>
      <c r="NLO1723" s="227"/>
      <c r="NLP1723" s="227"/>
      <c r="NLQ1723" s="227"/>
      <c r="NLR1723" s="227"/>
      <c r="NLS1723" s="227"/>
      <c r="NLT1723" s="227"/>
      <c r="NLU1723" s="227"/>
      <c r="NLV1723" s="227"/>
      <c r="NLW1723" s="227"/>
      <c r="NLX1723" s="227"/>
      <c r="NLY1723" s="227"/>
      <c r="NLZ1723" s="227"/>
      <c r="NMA1723" s="227"/>
      <c r="NMB1723" s="227"/>
      <c r="NMC1723" s="227"/>
      <c r="NMD1723" s="227"/>
      <c r="NME1723" s="227"/>
      <c r="NMF1723" s="227"/>
      <c r="NMG1723" s="227"/>
      <c r="NMH1723" s="227"/>
      <c r="NMI1723" s="227"/>
      <c r="NMJ1723" s="227"/>
      <c r="NMK1723" s="227"/>
      <c r="NML1723" s="227"/>
      <c r="NMM1723" s="227"/>
      <c r="NMN1723" s="227"/>
      <c r="NMO1723" s="227"/>
      <c r="NMP1723" s="227"/>
      <c r="NMQ1723" s="227"/>
      <c r="NMR1723" s="227"/>
      <c r="NMS1723" s="227"/>
      <c r="NMT1723" s="227"/>
      <c r="NMU1723" s="227"/>
      <c r="NMV1723" s="227"/>
      <c r="NMW1723" s="227"/>
      <c r="NMX1723" s="227"/>
      <c r="NMY1723" s="227"/>
      <c r="NMZ1723" s="227"/>
      <c r="NNA1723" s="227"/>
      <c r="NNB1723" s="227"/>
      <c r="NNC1723" s="227"/>
      <c r="NND1723" s="227"/>
      <c r="NNE1723" s="227"/>
      <c r="NNF1723" s="227"/>
      <c r="NNG1723" s="227"/>
      <c r="NNH1723" s="227"/>
      <c r="NNI1723" s="227"/>
      <c r="NNJ1723" s="227"/>
      <c r="NNK1723" s="227"/>
      <c r="NNL1723" s="227"/>
      <c r="NNM1723" s="227"/>
      <c r="NNN1723" s="227"/>
      <c r="NNO1723" s="227"/>
      <c r="NNP1723" s="227"/>
      <c r="NNQ1723" s="227"/>
      <c r="NNR1723" s="227"/>
      <c r="NNS1723" s="227"/>
      <c r="NNT1723" s="227"/>
      <c r="NNU1723" s="227"/>
      <c r="NNV1723" s="227"/>
      <c r="NNW1723" s="227"/>
      <c r="NNX1723" s="227"/>
      <c r="NNY1723" s="227"/>
      <c r="NNZ1723" s="227"/>
      <c r="NOA1723" s="227"/>
      <c r="NOB1723" s="227"/>
      <c r="NOC1723" s="227"/>
      <c r="NOD1723" s="227"/>
      <c r="NOE1723" s="227"/>
      <c r="NOF1723" s="227"/>
      <c r="NOG1723" s="227"/>
      <c r="NOH1723" s="227"/>
      <c r="NOI1723" s="227"/>
      <c r="NOJ1723" s="227"/>
      <c r="NOK1723" s="227"/>
      <c r="NOL1723" s="227"/>
      <c r="NOM1723" s="227"/>
      <c r="NON1723" s="227"/>
      <c r="NOO1723" s="227"/>
      <c r="NOP1723" s="227"/>
      <c r="NOQ1723" s="227"/>
      <c r="NOR1723" s="227"/>
      <c r="NOS1723" s="227"/>
      <c r="NOT1723" s="227"/>
      <c r="NOU1723" s="227"/>
      <c r="NOV1723" s="227"/>
      <c r="NOW1723" s="227"/>
      <c r="NOX1723" s="227"/>
      <c r="NOY1723" s="227"/>
      <c r="NOZ1723" s="227"/>
      <c r="NPA1723" s="227"/>
      <c r="NPB1723" s="227"/>
      <c r="NPC1723" s="227"/>
      <c r="NPD1723" s="227"/>
      <c r="NPE1723" s="227"/>
      <c r="NPF1723" s="227"/>
      <c r="NPG1723" s="227"/>
      <c r="NPH1723" s="227"/>
      <c r="NPI1723" s="227"/>
      <c r="NPJ1723" s="227"/>
      <c r="NPK1723" s="227"/>
      <c r="NPL1723" s="227"/>
      <c r="NPM1723" s="227"/>
      <c r="NPN1723" s="227"/>
      <c r="NPO1723" s="227"/>
      <c r="NPP1723" s="227"/>
      <c r="NPQ1723" s="227"/>
      <c r="NPR1723" s="227"/>
      <c r="NPS1723" s="227"/>
      <c r="NPT1723" s="227"/>
      <c r="NPU1723" s="227"/>
      <c r="NPV1723" s="227"/>
      <c r="NPW1723" s="227"/>
      <c r="NPX1723" s="227"/>
      <c r="NPY1723" s="227"/>
      <c r="NPZ1723" s="227"/>
      <c r="NQA1723" s="227"/>
      <c r="NQB1723" s="227"/>
      <c r="NQC1723" s="227"/>
      <c r="NQD1723" s="227"/>
      <c r="NQE1723" s="227"/>
      <c r="NQF1723" s="227"/>
      <c r="NQG1723" s="227"/>
      <c r="NQH1723" s="227"/>
      <c r="NQI1723" s="227"/>
      <c r="NQJ1723" s="227"/>
      <c r="NQK1723" s="227"/>
      <c r="NQL1723" s="227"/>
      <c r="NQM1723" s="227"/>
      <c r="NQN1723" s="227"/>
      <c r="NQO1723" s="227"/>
      <c r="NQP1723" s="227"/>
      <c r="NQQ1723" s="227"/>
      <c r="NQR1723" s="227"/>
      <c r="NQS1723" s="227"/>
      <c r="NQT1723" s="227"/>
      <c r="NQU1723" s="227"/>
      <c r="NQV1723" s="227"/>
      <c r="NQW1723" s="227"/>
      <c r="NQX1723" s="227"/>
      <c r="NQY1723" s="227"/>
      <c r="NQZ1723" s="227"/>
      <c r="NRA1723" s="227"/>
      <c r="NRB1723" s="227"/>
      <c r="NRC1723" s="227"/>
      <c r="NRD1723" s="227"/>
      <c r="NRE1723" s="227"/>
      <c r="NRF1723" s="227"/>
      <c r="NRG1723" s="227"/>
      <c r="NRH1723" s="227"/>
      <c r="NRI1723" s="227"/>
      <c r="NRJ1723" s="227"/>
      <c r="NRK1723" s="227"/>
      <c r="NRL1723" s="227"/>
      <c r="NRM1723" s="227"/>
      <c r="NRN1723" s="227"/>
      <c r="NRO1723" s="227"/>
      <c r="NRP1723" s="227"/>
      <c r="NRQ1723" s="227"/>
      <c r="NRR1723" s="227"/>
      <c r="NRS1723" s="227"/>
      <c r="NRT1723" s="227"/>
      <c r="NRU1723" s="227"/>
      <c r="NRV1723" s="227"/>
      <c r="NRW1723" s="227"/>
      <c r="NRX1723" s="227"/>
      <c r="NRY1723" s="227"/>
      <c r="NRZ1723" s="227"/>
      <c r="NSA1723" s="227"/>
      <c r="NSB1723" s="227"/>
      <c r="NSC1723" s="227"/>
      <c r="NSD1723" s="227"/>
      <c r="NSE1723" s="227"/>
      <c r="NSF1723" s="227"/>
      <c r="NSG1723" s="227"/>
      <c r="NSH1723" s="227"/>
      <c r="NSI1723" s="227"/>
      <c r="NSJ1723" s="227"/>
      <c r="NSK1723" s="227"/>
      <c r="NSL1723" s="227"/>
      <c r="NSM1723" s="227"/>
      <c r="NSN1723" s="227"/>
      <c r="NSO1723" s="227"/>
      <c r="NSP1723" s="227"/>
      <c r="NSQ1723" s="227"/>
      <c r="NSR1723" s="227"/>
      <c r="NSS1723" s="227"/>
      <c r="NST1723" s="227"/>
      <c r="NSU1723" s="227"/>
      <c r="NSV1723" s="227"/>
      <c r="NSW1723" s="227"/>
      <c r="NSX1723" s="227"/>
      <c r="NSY1723" s="227"/>
      <c r="NSZ1723" s="227"/>
      <c r="NTA1723" s="227"/>
      <c r="NTB1723" s="227"/>
      <c r="NTC1723" s="227"/>
      <c r="NTD1723" s="227"/>
      <c r="NTE1723" s="227"/>
      <c r="NTF1723" s="227"/>
      <c r="NTG1723" s="227"/>
      <c r="NTH1723" s="227"/>
      <c r="NTI1723" s="227"/>
      <c r="NTJ1723" s="227"/>
      <c r="NTK1723" s="227"/>
      <c r="NTL1723" s="227"/>
      <c r="NTM1723" s="227"/>
      <c r="NTN1723" s="227"/>
      <c r="NTO1723" s="227"/>
      <c r="NTP1723" s="227"/>
      <c r="NTQ1723" s="227"/>
      <c r="NTR1723" s="227"/>
      <c r="NTS1723" s="227"/>
      <c r="NTT1723" s="227"/>
      <c r="NTU1723" s="227"/>
      <c r="NTV1723" s="227"/>
      <c r="NTW1723" s="227"/>
      <c r="NTX1723" s="227"/>
      <c r="NTY1723" s="227"/>
      <c r="NTZ1723" s="227"/>
      <c r="NUA1723" s="227"/>
      <c r="NUB1723" s="227"/>
      <c r="NUC1723" s="227"/>
      <c r="NUD1723" s="227"/>
      <c r="NUE1723" s="227"/>
      <c r="NUF1723" s="227"/>
      <c r="NUG1723" s="227"/>
      <c r="NUH1723" s="227"/>
      <c r="NUI1723" s="227"/>
      <c r="NUJ1723" s="227"/>
      <c r="NUK1723" s="227"/>
      <c r="NUL1723" s="227"/>
      <c r="NUM1723" s="227"/>
      <c r="NUN1723" s="227"/>
      <c r="NUO1723" s="227"/>
      <c r="NUP1723" s="227"/>
      <c r="NUQ1723" s="227"/>
      <c r="NUR1723" s="227"/>
      <c r="NUS1723" s="227"/>
      <c r="NUT1723" s="227"/>
      <c r="NUU1723" s="227"/>
      <c r="NUV1723" s="227"/>
      <c r="NUW1723" s="227"/>
      <c r="NUX1723" s="227"/>
      <c r="NUY1723" s="227"/>
      <c r="NUZ1723" s="227"/>
      <c r="NVA1723" s="227"/>
      <c r="NVB1723" s="227"/>
      <c r="NVC1723" s="227"/>
      <c r="NVD1723" s="227"/>
      <c r="NVE1723" s="227"/>
      <c r="NVF1723" s="227"/>
      <c r="NVG1723" s="227"/>
      <c r="NVH1723" s="227"/>
      <c r="NVI1723" s="227"/>
      <c r="NVJ1723" s="227"/>
      <c r="NVK1723" s="227"/>
      <c r="NVL1723" s="227"/>
      <c r="NVM1723" s="227"/>
      <c r="NVN1723" s="227"/>
      <c r="NVO1723" s="227"/>
      <c r="NVP1723" s="227"/>
      <c r="NVQ1723" s="227"/>
      <c r="NVR1723" s="227"/>
      <c r="NVS1723" s="227"/>
      <c r="NVT1723" s="227"/>
      <c r="NVU1723" s="227"/>
      <c r="NVV1723" s="227"/>
      <c r="NVW1723" s="227"/>
      <c r="NVX1723" s="227"/>
      <c r="NVY1723" s="227"/>
      <c r="NVZ1723" s="227"/>
      <c r="NWA1723" s="227"/>
      <c r="NWB1723" s="227"/>
      <c r="NWC1723" s="227"/>
      <c r="NWD1723" s="227"/>
      <c r="NWE1723" s="227"/>
      <c r="NWF1723" s="227"/>
      <c r="NWG1723" s="227"/>
      <c r="NWH1723" s="227"/>
      <c r="NWI1723" s="227"/>
      <c r="NWJ1723" s="227"/>
      <c r="NWK1723" s="227"/>
      <c r="NWL1723" s="227"/>
      <c r="NWM1723" s="227"/>
      <c r="NWN1723" s="227"/>
      <c r="NWO1723" s="227"/>
      <c r="NWP1723" s="227"/>
      <c r="NWQ1723" s="227"/>
      <c r="NWR1723" s="227"/>
      <c r="NWS1723" s="227"/>
      <c r="NWT1723" s="227"/>
      <c r="NWU1723" s="227"/>
      <c r="NWV1723" s="227"/>
      <c r="NWW1723" s="227"/>
      <c r="NWX1723" s="227"/>
      <c r="NWY1723" s="227"/>
      <c r="NWZ1723" s="227"/>
      <c r="NXA1723" s="227"/>
      <c r="NXB1723" s="227"/>
      <c r="NXC1723" s="227"/>
      <c r="NXD1723" s="227"/>
      <c r="NXE1723" s="227"/>
      <c r="NXF1723" s="227"/>
      <c r="NXG1723" s="227"/>
      <c r="NXH1723" s="227"/>
      <c r="NXI1723" s="227"/>
      <c r="NXJ1723" s="227"/>
      <c r="NXK1723" s="227"/>
      <c r="NXL1723" s="227"/>
      <c r="NXM1723" s="227"/>
      <c r="NXN1723" s="227"/>
      <c r="NXO1723" s="227"/>
      <c r="NXP1723" s="227"/>
      <c r="NXQ1723" s="227"/>
      <c r="NXR1723" s="227"/>
      <c r="NXS1723" s="227"/>
      <c r="NXT1723" s="227"/>
      <c r="NXU1723" s="227"/>
      <c r="NXV1723" s="227"/>
      <c r="NXW1723" s="227"/>
      <c r="NXX1723" s="227"/>
      <c r="NXY1723" s="227"/>
      <c r="NXZ1723" s="227"/>
      <c r="NYA1723" s="227"/>
      <c r="NYB1723" s="227"/>
      <c r="NYC1723" s="227"/>
      <c r="NYD1723" s="227"/>
      <c r="NYE1723" s="227"/>
      <c r="NYF1723" s="227"/>
      <c r="NYG1723" s="227"/>
      <c r="NYH1723" s="227"/>
      <c r="NYI1723" s="227"/>
      <c r="NYJ1723" s="227"/>
      <c r="NYK1723" s="227"/>
      <c r="NYL1723" s="227"/>
      <c r="NYM1723" s="227"/>
      <c r="NYN1723" s="227"/>
      <c r="NYO1723" s="227"/>
      <c r="NYP1723" s="227"/>
      <c r="NYQ1723" s="227"/>
      <c r="NYR1723" s="227"/>
      <c r="NYS1723" s="227"/>
      <c r="NYT1723" s="227"/>
      <c r="NYU1723" s="227"/>
      <c r="NYV1723" s="227"/>
      <c r="NYW1723" s="227"/>
      <c r="NYX1723" s="227"/>
      <c r="NYY1723" s="227"/>
      <c r="NYZ1723" s="227"/>
      <c r="NZA1723" s="227"/>
      <c r="NZB1723" s="227"/>
      <c r="NZC1723" s="227"/>
      <c r="NZD1723" s="227"/>
      <c r="NZE1723" s="227"/>
      <c r="NZF1723" s="227"/>
      <c r="NZG1723" s="227"/>
      <c r="NZH1723" s="227"/>
      <c r="NZI1723" s="227"/>
      <c r="NZJ1723" s="227"/>
      <c r="NZK1723" s="227"/>
      <c r="NZL1723" s="227"/>
      <c r="NZM1723" s="227"/>
      <c r="NZN1723" s="227"/>
      <c r="NZO1723" s="227"/>
      <c r="NZP1723" s="227"/>
      <c r="NZQ1723" s="227"/>
      <c r="NZR1723" s="227"/>
      <c r="NZS1723" s="227"/>
      <c r="NZT1723" s="227"/>
      <c r="NZU1723" s="227"/>
      <c r="NZV1723" s="227"/>
      <c r="NZW1723" s="227"/>
      <c r="NZX1723" s="227"/>
      <c r="NZY1723" s="227"/>
      <c r="NZZ1723" s="227"/>
      <c r="OAA1723" s="227"/>
      <c r="OAB1723" s="227"/>
      <c r="OAC1723" s="227"/>
      <c r="OAD1723" s="227"/>
      <c r="OAE1723" s="227"/>
      <c r="OAF1723" s="227"/>
      <c r="OAG1723" s="227"/>
      <c r="OAH1723" s="227"/>
      <c r="OAI1723" s="227"/>
      <c r="OAJ1723" s="227"/>
      <c r="OAK1723" s="227"/>
      <c r="OAL1723" s="227"/>
      <c r="OAM1723" s="227"/>
      <c r="OAN1723" s="227"/>
      <c r="OAO1723" s="227"/>
      <c r="OAP1723" s="227"/>
      <c r="OAQ1723" s="227"/>
      <c r="OAR1723" s="227"/>
      <c r="OAS1723" s="227"/>
      <c r="OAT1723" s="227"/>
      <c r="OAU1723" s="227"/>
      <c r="OAV1723" s="227"/>
      <c r="OAW1723" s="227"/>
      <c r="OAX1723" s="227"/>
      <c r="OAY1723" s="227"/>
      <c r="OAZ1723" s="227"/>
      <c r="OBA1723" s="227"/>
      <c r="OBB1723" s="227"/>
      <c r="OBC1723" s="227"/>
      <c r="OBD1723" s="227"/>
      <c r="OBE1723" s="227"/>
      <c r="OBF1723" s="227"/>
      <c r="OBG1723" s="227"/>
      <c r="OBH1723" s="227"/>
      <c r="OBI1723" s="227"/>
      <c r="OBJ1723" s="227"/>
      <c r="OBK1723" s="227"/>
      <c r="OBL1723" s="227"/>
      <c r="OBM1723" s="227"/>
      <c r="OBN1723" s="227"/>
      <c r="OBO1723" s="227"/>
      <c r="OBP1723" s="227"/>
      <c r="OBQ1723" s="227"/>
      <c r="OBR1723" s="227"/>
      <c r="OBS1723" s="227"/>
      <c r="OBT1723" s="227"/>
      <c r="OBU1723" s="227"/>
      <c r="OBV1723" s="227"/>
      <c r="OBW1723" s="227"/>
      <c r="OBX1723" s="227"/>
      <c r="OBY1723" s="227"/>
      <c r="OBZ1723" s="227"/>
      <c r="OCA1723" s="227"/>
      <c r="OCB1723" s="227"/>
      <c r="OCC1723" s="227"/>
      <c r="OCD1723" s="227"/>
      <c r="OCE1723" s="227"/>
      <c r="OCF1723" s="227"/>
      <c r="OCG1723" s="227"/>
      <c r="OCH1723" s="227"/>
      <c r="OCI1723" s="227"/>
      <c r="OCJ1723" s="227"/>
      <c r="OCK1723" s="227"/>
      <c r="OCL1723" s="227"/>
      <c r="OCM1723" s="227"/>
      <c r="OCN1723" s="227"/>
      <c r="OCO1723" s="227"/>
      <c r="OCP1723" s="227"/>
      <c r="OCQ1723" s="227"/>
      <c r="OCR1723" s="227"/>
      <c r="OCS1723" s="227"/>
      <c r="OCT1723" s="227"/>
      <c r="OCU1723" s="227"/>
      <c r="OCV1723" s="227"/>
      <c r="OCW1723" s="227"/>
      <c r="OCX1723" s="227"/>
      <c r="OCY1723" s="227"/>
      <c r="OCZ1723" s="227"/>
      <c r="ODA1723" s="227"/>
      <c r="ODB1723" s="227"/>
      <c r="ODC1723" s="227"/>
      <c r="ODD1723" s="227"/>
      <c r="ODE1723" s="227"/>
      <c r="ODF1723" s="227"/>
      <c r="ODG1723" s="227"/>
      <c r="ODH1723" s="227"/>
      <c r="ODI1723" s="227"/>
      <c r="ODJ1723" s="227"/>
      <c r="ODK1723" s="227"/>
      <c r="ODL1723" s="227"/>
      <c r="ODM1723" s="227"/>
      <c r="ODN1723" s="227"/>
      <c r="ODO1723" s="227"/>
      <c r="ODP1723" s="227"/>
      <c r="ODQ1723" s="227"/>
      <c r="ODR1723" s="227"/>
      <c r="ODS1723" s="227"/>
      <c r="ODT1723" s="227"/>
      <c r="ODU1723" s="227"/>
      <c r="ODV1723" s="227"/>
      <c r="ODW1723" s="227"/>
      <c r="ODX1723" s="227"/>
      <c r="ODY1723" s="227"/>
      <c r="ODZ1723" s="227"/>
      <c r="OEA1723" s="227"/>
      <c r="OEB1723" s="227"/>
      <c r="OEC1723" s="227"/>
      <c r="OED1723" s="227"/>
      <c r="OEE1723" s="227"/>
      <c r="OEF1723" s="227"/>
      <c r="OEG1723" s="227"/>
      <c r="OEH1723" s="227"/>
      <c r="OEI1723" s="227"/>
      <c r="OEJ1723" s="227"/>
      <c r="OEK1723" s="227"/>
      <c r="OEL1723" s="227"/>
      <c r="OEM1723" s="227"/>
      <c r="OEN1723" s="227"/>
      <c r="OEO1723" s="227"/>
      <c r="OEP1723" s="227"/>
      <c r="OEQ1723" s="227"/>
      <c r="OER1723" s="227"/>
      <c r="OES1723" s="227"/>
      <c r="OET1723" s="227"/>
      <c r="OEU1723" s="227"/>
      <c r="OEV1723" s="227"/>
      <c r="OEW1723" s="227"/>
      <c r="OEX1723" s="227"/>
      <c r="OEY1723" s="227"/>
      <c r="OEZ1723" s="227"/>
      <c r="OFA1723" s="227"/>
      <c r="OFB1723" s="227"/>
      <c r="OFC1723" s="227"/>
      <c r="OFD1723" s="227"/>
      <c r="OFE1723" s="227"/>
      <c r="OFF1723" s="227"/>
      <c r="OFG1723" s="227"/>
      <c r="OFH1723" s="227"/>
      <c r="OFI1723" s="227"/>
      <c r="OFJ1723" s="227"/>
      <c r="OFK1723" s="227"/>
      <c r="OFL1723" s="227"/>
      <c r="OFM1723" s="227"/>
      <c r="OFN1723" s="227"/>
      <c r="OFO1723" s="227"/>
      <c r="OFP1723" s="227"/>
      <c r="OFQ1723" s="227"/>
      <c r="OFR1723" s="227"/>
      <c r="OFS1723" s="227"/>
      <c r="OFT1723" s="227"/>
      <c r="OFU1723" s="227"/>
      <c r="OFV1723" s="227"/>
      <c r="OFW1723" s="227"/>
      <c r="OFX1723" s="227"/>
      <c r="OFY1723" s="227"/>
      <c r="OFZ1723" s="227"/>
      <c r="OGA1723" s="227"/>
      <c r="OGB1723" s="227"/>
      <c r="OGC1723" s="227"/>
      <c r="OGD1723" s="227"/>
      <c r="OGE1723" s="227"/>
      <c r="OGF1723" s="227"/>
      <c r="OGG1723" s="227"/>
      <c r="OGH1723" s="227"/>
      <c r="OGI1723" s="227"/>
      <c r="OGJ1723" s="227"/>
      <c r="OGK1723" s="227"/>
      <c r="OGL1723" s="227"/>
      <c r="OGM1723" s="227"/>
      <c r="OGN1723" s="227"/>
      <c r="OGO1723" s="227"/>
      <c r="OGP1723" s="227"/>
      <c r="OGQ1723" s="227"/>
      <c r="OGR1723" s="227"/>
      <c r="OGS1723" s="227"/>
      <c r="OGT1723" s="227"/>
      <c r="OGU1723" s="227"/>
      <c r="OGV1723" s="227"/>
      <c r="OGW1723" s="227"/>
      <c r="OGX1723" s="227"/>
      <c r="OGY1723" s="227"/>
      <c r="OGZ1723" s="227"/>
      <c r="OHA1723" s="227"/>
      <c r="OHB1723" s="227"/>
      <c r="OHC1723" s="227"/>
      <c r="OHD1723" s="227"/>
      <c r="OHE1723" s="227"/>
      <c r="OHF1723" s="227"/>
      <c r="OHG1723" s="227"/>
      <c r="OHH1723" s="227"/>
      <c r="OHI1723" s="227"/>
      <c r="OHJ1723" s="227"/>
      <c r="OHK1723" s="227"/>
      <c r="OHL1723" s="227"/>
      <c r="OHM1723" s="227"/>
      <c r="OHN1723" s="227"/>
      <c r="OHO1723" s="227"/>
      <c r="OHP1723" s="227"/>
      <c r="OHQ1723" s="227"/>
      <c r="OHR1723" s="227"/>
      <c r="OHS1723" s="227"/>
      <c r="OHT1723" s="227"/>
      <c r="OHU1723" s="227"/>
      <c r="OHV1723" s="227"/>
      <c r="OHW1723" s="227"/>
      <c r="OHX1723" s="227"/>
      <c r="OHY1723" s="227"/>
      <c r="OHZ1723" s="227"/>
      <c r="OIA1723" s="227"/>
      <c r="OIB1723" s="227"/>
      <c r="OIC1723" s="227"/>
      <c r="OID1723" s="227"/>
      <c r="OIE1723" s="227"/>
      <c r="OIF1723" s="227"/>
      <c r="OIG1723" s="227"/>
      <c r="OIH1723" s="227"/>
      <c r="OII1723" s="227"/>
      <c r="OIJ1723" s="227"/>
      <c r="OIK1723" s="227"/>
      <c r="OIL1723" s="227"/>
      <c r="OIM1723" s="227"/>
      <c r="OIN1723" s="227"/>
      <c r="OIO1723" s="227"/>
      <c r="OIP1723" s="227"/>
      <c r="OIQ1723" s="227"/>
      <c r="OIR1723" s="227"/>
      <c r="OIS1723" s="227"/>
      <c r="OIT1723" s="227"/>
      <c r="OIU1723" s="227"/>
      <c r="OIV1723" s="227"/>
      <c r="OIW1723" s="227"/>
      <c r="OIX1723" s="227"/>
      <c r="OIY1723" s="227"/>
      <c r="OIZ1723" s="227"/>
      <c r="OJA1723" s="227"/>
      <c r="OJB1723" s="227"/>
      <c r="OJC1723" s="227"/>
      <c r="OJD1723" s="227"/>
      <c r="OJE1723" s="227"/>
      <c r="OJF1723" s="227"/>
      <c r="OJG1723" s="227"/>
      <c r="OJH1723" s="227"/>
      <c r="OJI1723" s="227"/>
      <c r="OJJ1723" s="227"/>
      <c r="OJK1723" s="227"/>
      <c r="OJL1723" s="227"/>
      <c r="OJM1723" s="227"/>
      <c r="OJN1723" s="227"/>
      <c r="OJO1723" s="227"/>
      <c r="OJP1723" s="227"/>
      <c r="OJQ1723" s="227"/>
      <c r="OJR1723" s="227"/>
      <c r="OJS1723" s="227"/>
      <c r="OJT1723" s="227"/>
      <c r="OJU1723" s="227"/>
      <c r="OJV1723" s="227"/>
      <c r="OJW1723" s="227"/>
      <c r="OJX1723" s="227"/>
      <c r="OJY1723" s="227"/>
      <c r="OJZ1723" s="227"/>
      <c r="OKA1723" s="227"/>
      <c r="OKB1723" s="227"/>
      <c r="OKC1723" s="227"/>
      <c r="OKD1723" s="227"/>
      <c r="OKE1723" s="227"/>
      <c r="OKF1723" s="227"/>
      <c r="OKG1723" s="227"/>
      <c r="OKH1723" s="227"/>
      <c r="OKI1723" s="227"/>
      <c r="OKJ1723" s="227"/>
      <c r="OKK1723" s="227"/>
      <c r="OKL1723" s="227"/>
      <c r="OKM1723" s="227"/>
      <c r="OKN1723" s="227"/>
      <c r="OKO1723" s="227"/>
      <c r="OKP1723" s="227"/>
      <c r="OKQ1723" s="227"/>
      <c r="OKR1723" s="227"/>
      <c r="OKS1723" s="227"/>
      <c r="OKT1723" s="227"/>
      <c r="OKU1723" s="227"/>
      <c r="OKV1723" s="227"/>
      <c r="OKW1723" s="227"/>
      <c r="OKX1723" s="227"/>
      <c r="OKY1723" s="227"/>
      <c r="OKZ1723" s="227"/>
      <c r="OLA1723" s="227"/>
      <c r="OLB1723" s="227"/>
      <c r="OLC1723" s="227"/>
      <c r="OLD1723" s="227"/>
      <c r="OLE1723" s="227"/>
      <c r="OLF1723" s="227"/>
      <c r="OLG1723" s="227"/>
      <c r="OLH1723" s="227"/>
      <c r="OLI1723" s="227"/>
      <c r="OLJ1723" s="227"/>
      <c r="OLK1723" s="227"/>
      <c r="OLL1723" s="227"/>
      <c r="OLM1723" s="227"/>
      <c r="OLN1723" s="227"/>
      <c r="OLO1723" s="227"/>
      <c r="OLP1723" s="227"/>
      <c r="OLQ1723" s="227"/>
      <c r="OLR1723" s="227"/>
      <c r="OLS1723" s="227"/>
      <c r="OLT1723" s="227"/>
      <c r="OLU1723" s="227"/>
      <c r="OLV1723" s="227"/>
      <c r="OLW1723" s="227"/>
      <c r="OLX1723" s="227"/>
      <c r="OLY1723" s="227"/>
      <c r="OLZ1723" s="227"/>
      <c r="OMA1723" s="227"/>
      <c r="OMB1723" s="227"/>
      <c r="OMC1723" s="227"/>
      <c r="OMD1723" s="227"/>
      <c r="OME1723" s="227"/>
      <c r="OMF1723" s="227"/>
      <c r="OMG1723" s="227"/>
      <c r="OMH1723" s="227"/>
      <c r="OMI1723" s="227"/>
      <c r="OMJ1723" s="227"/>
      <c r="OMK1723" s="227"/>
      <c r="OML1723" s="227"/>
      <c r="OMM1723" s="227"/>
      <c r="OMN1723" s="227"/>
      <c r="OMO1723" s="227"/>
      <c r="OMP1723" s="227"/>
      <c r="OMQ1723" s="227"/>
      <c r="OMR1723" s="227"/>
      <c r="OMS1723" s="227"/>
      <c r="OMT1723" s="227"/>
      <c r="OMU1723" s="227"/>
      <c r="OMV1723" s="227"/>
      <c r="OMW1723" s="227"/>
      <c r="OMX1723" s="227"/>
      <c r="OMY1723" s="227"/>
      <c r="OMZ1723" s="227"/>
      <c r="ONA1723" s="227"/>
      <c r="ONB1723" s="227"/>
      <c r="ONC1723" s="227"/>
      <c r="OND1723" s="227"/>
      <c r="ONE1723" s="227"/>
      <c r="ONF1723" s="227"/>
      <c r="ONG1723" s="227"/>
      <c r="ONH1723" s="227"/>
      <c r="ONI1723" s="227"/>
      <c r="ONJ1723" s="227"/>
      <c r="ONK1723" s="227"/>
      <c r="ONL1723" s="227"/>
      <c r="ONM1723" s="227"/>
      <c r="ONN1723" s="227"/>
      <c r="ONO1723" s="227"/>
      <c r="ONP1723" s="227"/>
      <c r="ONQ1723" s="227"/>
      <c r="ONR1723" s="227"/>
      <c r="ONS1723" s="227"/>
      <c r="ONT1723" s="227"/>
      <c r="ONU1723" s="227"/>
      <c r="ONV1723" s="227"/>
      <c r="ONW1723" s="227"/>
      <c r="ONX1723" s="227"/>
      <c r="ONY1723" s="227"/>
      <c r="ONZ1723" s="227"/>
      <c r="OOA1723" s="227"/>
      <c r="OOB1723" s="227"/>
      <c r="OOC1723" s="227"/>
      <c r="OOD1723" s="227"/>
      <c r="OOE1723" s="227"/>
      <c r="OOF1723" s="227"/>
      <c r="OOG1723" s="227"/>
      <c r="OOH1723" s="227"/>
      <c r="OOI1723" s="227"/>
      <c r="OOJ1723" s="227"/>
      <c r="OOK1723" s="227"/>
      <c r="OOL1723" s="227"/>
      <c r="OOM1723" s="227"/>
      <c r="OON1723" s="227"/>
      <c r="OOO1723" s="227"/>
      <c r="OOP1723" s="227"/>
      <c r="OOQ1723" s="227"/>
      <c r="OOR1723" s="227"/>
      <c r="OOS1723" s="227"/>
      <c r="OOT1723" s="227"/>
      <c r="OOU1723" s="227"/>
      <c r="OOV1723" s="227"/>
      <c r="OOW1723" s="227"/>
      <c r="OOX1723" s="227"/>
      <c r="OOY1723" s="227"/>
      <c r="OOZ1723" s="227"/>
      <c r="OPA1723" s="227"/>
      <c r="OPB1723" s="227"/>
      <c r="OPC1723" s="227"/>
      <c r="OPD1723" s="227"/>
      <c r="OPE1723" s="227"/>
      <c r="OPF1723" s="227"/>
      <c r="OPG1723" s="227"/>
      <c r="OPH1723" s="227"/>
      <c r="OPI1723" s="227"/>
      <c r="OPJ1723" s="227"/>
      <c r="OPK1723" s="227"/>
      <c r="OPL1723" s="227"/>
      <c r="OPM1723" s="227"/>
      <c r="OPN1723" s="227"/>
      <c r="OPO1723" s="227"/>
      <c r="OPP1723" s="227"/>
      <c r="OPQ1723" s="227"/>
      <c r="OPR1723" s="227"/>
      <c r="OPS1723" s="227"/>
      <c r="OPT1723" s="227"/>
      <c r="OPU1723" s="227"/>
      <c r="OPV1723" s="227"/>
      <c r="OPW1723" s="227"/>
      <c r="OPX1723" s="227"/>
      <c r="OPY1723" s="227"/>
      <c r="OPZ1723" s="227"/>
      <c r="OQA1723" s="227"/>
      <c r="OQB1723" s="227"/>
      <c r="OQC1723" s="227"/>
      <c r="OQD1723" s="227"/>
      <c r="OQE1723" s="227"/>
      <c r="OQF1723" s="227"/>
      <c r="OQG1723" s="227"/>
      <c r="OQH1723" s="227"/>
      <c r="OQI1723" s="227"/>
      <c r="OQJ1723" s="227"/>
      <c r="OQK1723" s="227"/>
      <c r="OQL1723" s="227"/>
      <c r="OQM1723" s="227"/>
      <c r="OQN1723" s="227"/>
      <c r="OQO1723" s="227"/>
      <c r="OQP1723" s="227"/>
      <c r="OQQ1723" s="227"/>
      <c r="OQR1723" s="227"/>
      <c r="OQS1723" s="227"/>
      <c r="OQT1723" s="227"/>
      <c r="OQU1723" s="227"/>
      <c r="OQV1723" s="227"/>
      <c r="OQW1723" s="227"/>
      <c r="OQX1723" s="227"/>
      <c r="OQY1723" s="227"/>
      <c r="OQZ1723" s="227"/>
      <c r="ORA1723" s="227"/>
      <c r="ORB1723" s="227"/>
      <c r="ORC1723" s="227"/>
      <c r="ORD1723" s="227"/>
      <c r="ORE1723" s="227"/>
      <c r="ORF1723" s="227"/>
      <c r="ORG1723" s="227"/>
      <c r="ORH1723" s="227"/>
      <c r="ORI1723" s="227"/>
      <c r="ORJ1723" s="227"/>
      <c r="ORK1723" s="227"/>
      <c r="ORL1723" s="227"/>
      <c r="ORM1723" s="227"/>
      <c r="ORN1723" s="227"/>
      <c r="ORO1723" s="227"/>
      <c r="ORP1723" s="227"/>
      <c r="ORQ1723" s="227"/>
      <c r="ORR1723" s="227"/>
      <c r="ORS1723" s="227"/>
      <c r="ORT1723" s="227"/>
      <c r="ORU1723" s="227"/>
      <c r="ORV1723" s="227"/>
      <c r="ORW1723" s="227"/>
      <c r="ORX1723" s="227"/>
      <c r="ORY1723" s="227"/>
      <c r="ORZ1723" s="227"/>
      <c r="OSA1723" s="227"/>
      <c r="OSB1723" s="227"/>
      <c r="OSC1723" s="227"/>
      <c r="OSD1723" s="227"/>
      <c r="OSE1723" s="227"/>
      <c r="OSF1723" s="227"/>
      <c r="OSG1723" s="227"/>
      <c r="OSH1723" s="227"/>
      <c r="OSI1723" s="227"/>
      <c r="OSJ1723" s="227"/>
      <c r="OSK1723" s="227"/>
      <c r="OSL1723" s="227"/>
      <c r="OSM1723" s="227"/>
      <c r="OSN1723" s="227"/>
      <c r="OSO1723" s="227"/>
      <c r="OSP1723" s="227"/>
      <c r="OSQ1723" s="227"/>
      <c r="OSR1723" s="227"/>
      <c r="OSS1723" s="227"/>
      <c r="OST1723" s="227"/>
      <c r="OSU1723" s="227"/>
      <c r="OSV1723" s="227"/>
      <c r="OSW1723" s="227"/>
      <c r="OSX1723" s="227"/>
      <c r="OSY1723" s="227"/>
      <c r="OSZ1723" s="227"/>
      <c r="OTA1723" s="227"/>
      <c r="OTB1723" s="227"/>
      <c r="OTC1723" s="227"/>
      <c r="OTD1723" s="227"/>
      <c r="OTE1723" s="227"/>
      <c r="OTF1723" s="227"/>
      <c r="OTG1723" s="227"/>
      <c r="OTH1723" s="227"/>
      <c r="OTI1723" s="227"/>
      <c r="OTJ1723" s="227"/>
      <c r="OTK1723" s="227"/>
      <c r="OTL1723" s="227"/>
      <c r="OTM1723" s="227"/>
      <c r="OTN1723" s="227"/>
      <c r="OTO1723" s="227"/>
      <c r="OTP1723" s="227"/>
      <c r="OTQ1723" s="227"/>
      <c r="OTR1723" s="227"/>
      <c r="OTS1723" s="227"/>
      <c r="OTT1723" s="227"/>
      <c r="OTU1723" s="227"/>
      <c r="OTV1723" s="227"/>
      <c r="OTW1723" s="227"/>
      <c r="OTX1723" s="227"/>
      <c r="OTY1723" s="227"/>
      <c r="OTZ1723" s="227"/>
      <c r="OUA1723" s="227"/>
      <c r="OUB1723" s="227"/>
      <c r="OUC1723" s="227"/>
      <c r="OUD1723" s="227"/>
      <c r="OUE1723" s="227"/>
      <c r="OUF1723" s="227"/>
      <c r="OUG1723" s="227"/>
      <c r="OUH1723" s="227"/>
      <c r="OUI1723" s="227"/>
      <c r="OUJ1723" s="227"/>
      <c r="OUK1723" s="227"/>
      <c r="OUL1723" s="227"/>
      <c r="OUM1723" s="227"/>
      <c r="OUN1723" s="227"/>
      <c r="OUO1723" s="227"/>
      <c r="OUP1723" s="227"/>
      <c r="OUQ1723" s="227"/>
      <c r="OUR1723" s="227"/>
      <c r="OUS1723" s="227"/>
      <c r="OUT1723" s="227"/>
      <c r="OUU1723" s="227"/>
      <c r="OUV1723" s="227"/>
      <c r="OUW1723" s="227"/>
      <c r="OUX1723" s="227"/>
      <c r="OUY1723" s="227"/>
      <c r="OUZ1723" s="227"/>
      <c r="OVA1723" s="227"/>
      <c r="OVB1723" s="227"/>
      <c r="OVC1723" s="227"/>
      <c r="OVD1723" s="227"/>
      <c r="OVE1723" s="227"/>
      <c r="OVF1723" s="227"/>
      <c r="OVG1723" s="227"/>
      <c r="OVH1723" s="227"/>
      <c r="OVI1723" s="227"/>
      <c r="OVJ1723" s="227"/>
      <c r="OVK1723" s="227"/>
      <c r="OVL1723" s="227"/>
      <c r="OVM1723" s="227"/>
      <c r="OVN1723" s="227"/>
      <c r="OVO1723" s="227"/>
      <c r="OVP1723" s="227"/>
      <c r="OVQ1723" s="227"/>
      <c r="OVR1723" s="227"/>
      <c r="OVS1723" s="227"/>
      <c r="OVT1723" s="227"/>
      <c r="OVU1723" s="227"/>
      <c r="OVV1723" s="227"/>
      <c r="OVW1723" s="227"/>
      <c r="OVX1723" s="227"/>
      <c r="OVY1723" s="227"/>
      <c r="OVZ1723" s="227"/>
      <c r="OWA1723" s="227"/>
      <c r="OWB1723" s="227"/>
      <c r="OWC1723" s="227"/>
      <c r="OWD1723" s="227"/>
      <c r="OWE1723" s="227"/>
      <c r="OWF1723" s="227"/>
      <c r="OWG1723" s="227"/>
      <c r="OWH1723" s="227"/>
      <c r="OWI1723" s="227"/>
      <c r="OWJ1723" s="227"/>
      <c r="OWK1723" s="227"/>
      <c r="OWL1723" s="227"/>
      <c r="OWM1723" s="227"/>
      <c r="OWN1723" s="227"/>
      <c r="OWO1723" s="227"/>
      <c r="OWP1723" s="227"/>
      <c r="OWQ1723" s="227"/>
      <c r="OWR1723" s="227"/>
      <c r="OWS1723" s="227"/>
      <c r="OWT1723" s="227"/>
      <c r="OWU1723" s="227"/>
      <c r="OWV1723" s="227"/>
      <c r="OWW1723" s="227"/>
      <c r="OWX1723" s="227"/>
      <c r="OWY1723" s="227"/>
      <c r="OWZ1723" s="227"/>
      <c r="OXA1723" s="227"/>
      <c r="OXB1723" s="227"/>
      <c r="OXC1723" s="227"/>
      <c r="OXD1723" s="227"/>
      <c r="OXE1723" s="227"/>
      <c r="OXF1723" s="227"/>
      <c r="OXG1723" s="227"/>
      <c r="OXH1723" s="227"/>
      <c r="OXI1723" s="227"/>
      <c r="OXJ1723" s="227"/>
      <c r="OXK1723" s="227"/>
      <c r="OXL1723" s="227"/>
      <c r="OXM1723" s="227"/>
      <c r="OXN1723" s="227"/>
      <c r="OXO1723" s="227"/>
      <c r="OXP1723" s="227"/>
      <c r="OXQ1723" s="227"/>
      <c r="OXR1723" s="227"/>
      <c r="OXS1723" s="227"/>
      <c r="OXT1723" s="227"/>
      <c r="OXU1723" s="227"/>
      <c r="OXV1723" s="227"/>
      <c r="OXW1723" s="227"/>
      <c r="OXX1723" s="227"/>
      <c r="OXY1723" s="227"/>
      <c r="OXZ1723" s="227"/>
      <c r="OYA1723" s="227"/>
      <c r="OYB1723" s="227"/>
      <c r="OYC1723" s="227"/>
      <c r="OYD1723" s="227"/>
      <c r="OYE1723" s="227"/>
      <c r="OYF1723" s="227"/>
      <c r="OYG1723" s="227"/>
      <c r="OYH1723" s="227"/>
      <c r="OYI1723" s="227"/>
      <c r="OYJ1723" s="227"/>
      <c r="OYK1723" s="227"/>
      <c r="OYL1723" s="227"/>
      <c r="OYM1723" s="227"/>
      <c r="OYN1723" s="227"/>
      <c r="OYO1723" s="227"/>
      <c r="OYP1723" s="227"/>
      <c r="OYQ1723" s="227"/>
      <c r="OYR1723" s="227"/>
      <c r="OYS1723" s="227"/>
      <c r="OYT1723" s="227"/>
      <c r="OYU1723" s="227"/>
      <c r="OYV1723" s="227"/>
      <c r="OYW1723" s="227"/>
      <c r="OYX1723" s="227"/>
      <c r="OYY1723" s="227"/>
      <c r="OYZ1723" s="227"/>
      <c r="OZA1723" s="227"/>
      <c r="OZB1723" s="227"/>
      <c r="OZC1723" s="227"/>
      <c r="OZD1723" s="227"/>
      <c r="OZE1723" s="227"/>
      <c r="OZF1723" s="227"/>
      <c r="OZG1723" s="227"/>
      <c r="OZH1723" s="227"/>
      <c r="OZI1723" s="227"/>
      <c r="OZJ1723" s="227"/>
      <c r="OZK1723" s="227"/>
      <c r="OZL1723" s="227"/>
      <c r="OZM1723" s="227"/>
      <c r="OZN1723" s="227"/>
      <c r="OZO1723" s="227"/>
      <c r="OZP1723" s="227"/>
      <c r="OZQ1723" s="227"/>
      <c r="OZR1723" s="227"/>
      <c r="OZS1723" s="227"/>
      <c r="OZT1723" s="227"/>
      <c r="OZU1723" s="227"/>
      <c r="OZV1723" s="227"/>
      <c r="OZW1723" s="227"/>
      <c r="OZX1723" s="227"/>
      <c r="OZY1723" s="227"/>
      <c r="OZZ1723" s="227"/>
      <c r="PAA1723" s="227"/>
      <c r="PAB1723" s="227"/>
      <c r="PAC1723" s="227"/>
      <c r="PAD1723" s="227"/>
      <c r="PAE1723" s="227"/>
      <c r="PAF1723" s="227"/>
      <c r="PAG1723" s="227"/>
      <c r="PAH1723" s="227"/>
      <c r="PAI1723" s="227"/>
      <c r="PAJ1723" s="227"/>
      <c r="PAK1723" s="227"/>
      <c r="PAL1723" s="227"/>
      <c r="PAM1723" s="227"/>
      <c r="PAN1723" s="227"/>
      <c r="PAO1723" s="227"/>
      <c r="PAP1723" s="227"/>
      <c r="PAQ1723" s="227"/>
      <c r="PAR1723" s="227"/>
      <c r="PAS1723" s="227"/>
      <c r="PAT1723" s="227"/>
      <c r="PAU1723" s="227"/>
      <c r="PAV1723" s="227"/>
      <c r="PAW1723" s="227"/>
      <c r="PAX1723" s="227"/>
      <c r="PAY1723" s="227"/>
      <c r="PAZ1723" s="227"/>
      <c r="PBA1723" s="227"/>
      <c r="PBB1723" s="227"/>
      <c r="PBC1723" s="227"/>
      <c r="PBD1723" s="227"/>
      <c r="PBE1723" s="227"/>
      <c r="PBF1723" s="227"/>
      <c r="PBG1723" s="227"/>
      <c r="PBH1723" s="227"/>
      <c r="PBI1723" s="227"/>
      <c r="PBJ1723" s="227"/>
      <c r="PBK1723" s="227"/>
      <c r="PBL1723" s="227"/>
      <c r="PBM1723" s="227"/>
      <c r="PBN1723" s="227"/>
      <c r="PBO1723" s="227"/>
      <c r="PBP1723" s="227"/>
      <c r="PBQ1723" s="227"/>
      <c r="PBR1723" s="227"/>
      <c r="PBS1723" s="227"/>
      <c r="PBT1723" s="227"/>
      <c r="PBU1723" s="227"/>
      <c r="PBV1723" s="227"/>
      <c r="PBW1723" s="227"/>
      <c r="PBX1723" s="227"/>
      <c r="PBY1723" s="227"/>
      <c r="PBZ1723" s="227"/>
      <c r="PCA1723" s="227"/>
      <c r="PCB1723" s="227"/>
      <c r="PCC1723" s="227"/>
      <c r="PCD1723" s="227"/>
      <c r="PCE1723" s="227"/>
      <c r="PCF1723" s="227"/>
      <c r="PCG1723" s="227"/>
      <c r="PCH1723" s="227"/>
      <c r="PCI1723" s="227"/>
      <c r="PCJ1723" s="227"/>
      <c r="PCK1723" s="227"/>
      <c r="PCL1723" s="227"/>
      <c r="PCM1723" s="227"/>
      <c r="PCN1723" s="227"/>
      <c r="PCO1723" s="227"/>
      <c r="PCP1723" s="227"/>
      <c r="PCQ1723" s="227"/>
      <c r="PCR1723" s="227"/>
      <c r="PCS1723" s="227"/>
      <c r="PCT1723" s="227"/>
      <c r="PCU1723" s="227"/>
      <c r="PCV1723" s="227"/>
      <c r="PCW1723" s="227"/>
      <c r="PCX1723" s="227"/>
      <c r="PCY1723" s="227"/>
      <c r="PCZ1723" s="227"/>
      <c r="PDA1723" s="227"/>
      <c r="PDB1723" s="227"/>
      <c r="PDC1723" s="227"/>
      <c r="PDD1723" s="227"/>
      <c r="PDE1723" s="227"/>
      <c r="PDF1723" s="227"/>
      <c r="PDG1723" s="227"/>
      <c r="PDH1723" s="227"/>
      <c r="PDI1723" s="227"/>
      <c r="PDJ1723" s="227"/>
      <c r="PDK1723" s="227"/>
      <c r="PDL1723" s="227"/>
      <c r="PDM1723" s="227"/>
      <c r="PDN1723" s="227"/>
      <c r="PDO1723" s="227"/>
      <c r="PDP1723" s="227"/>
      <c r="PDQ1723" s="227"/>
      <c r="PDR1723" s="227"/>
      <c r="PDS1723" s="227"/>
      <c r="PDT1723" s="227"/>
      <c r="PDU1723" s="227"/>
      <c r="PDV1723" s="227"/>
      <c r="PDW1723" s="227"/>
      <c r="PDX1723" s="227"/>
      <c r="PDY1723" s="227"/>
      <c r="PDZ1723" s="227"/>
      <c r="PEA1723" s="227"/>
      <c r="PEB1723" s="227"/>
      <c r="PEC1723" s="227"/>
      <c r="PED1723" s="227"/>
      <c r="PEE1723" s="227"/>
      <c r="PEF1723" s="227"/>
      <c r="PEG1723" s="227"/>
      <c r="PEH1723" s="227"/>
      <c r="PEI1723" s="227"/>
      <c r="PEJ1723" s="227"/>
      <c r="PEK1723" s="227"/>
      <c r="PEL1723" s="227"/>
      <c r="PEM1723" s="227"/>
      <c r="PEN1723" s="227"/>
      <c r="PEO1723" s="227"/>
      <c r="PEP1723" s="227"/>
      <c r="PEQ1723" s="227"/>
      <c r="PER1723" s="227"/>
      <c r="PES1723" s="227"/>
      <c r="PET1723" s="227"/>
      <c r="PEU1723" s="227"/>
      <c r="PEV1723" s="227"/>
      <c r="PEW1723" s="227"/>
      <c r="PEX1723" s="227"/>
      <c r="PEY1723" s="227"/>
      <c r="PEZ1723" s="227"/>
      <c r="PFA1723" s="227"/>
      <c r="PFB1723" s="227"/>
      <c r="PFC1723" s="227"/>
      <c r="PFD1723" s="227"/>
      <c r="PFE1723" s="227"/>
      <c r="PFF1723" s="227"/>
      <c r="PFG1723" s="227"/>
      <c r="PFH1723" s="227"/>
      <c r="PFI1723" s="227"/>
      <c r="PFJ1723" s="227"/>
      <c r="PFK1723" s="227"/>
      <c r="PFL1723" s="227"/>
      <c r="PFM1723" s="227"/>
      <c r="PFN1723" s="227"/>
      <c r="PFO1723" s="227"/>
      <c r="PFP1723" s="227"/>
      <c r="PFQ1723" s="227"/>
      <c r="PFR1723" s="227"/>
      <c r="PFS1723" s="227"/>
      <c r="PFT1723" s="227"/>
      <c r="PFU1723" s="227"/>
      <c r="PFV1723" s="227"/>
      <c r="PFW1723" s="227"/>
      <c r="PFX1723" s="227"/>
      <c r="PFY1723" s="227"/>
      <c r="PFZ1723" s="227"/>
      <c r="PGA1723" s="227"/>
      <c r="PGB1723" s="227"/>
      <c r="PGC1723" s="227"/>
      <c r="PGD1723" s="227"/>
      <c r="PGE1723" s="227"/>
      <c r="PGF1723" s="227"/>
      <c r="PGG1723" s="227"/>
      <c r="PGH1723" s="227"/>
      <c r="PGI1723" s="227"/>
      <c r="PGJ1723" s="227"/>
      <c r="PGK1723" s="227"/>
      <c r="PGL1723" s="227"/>
      <c r="PGM1723" s="227"/>
      <c r="PGN1723" s="227"/>
      <c r="PGO1723" s="227"/>
      <c r="PGP1723" s="227"/>
      <c r="PGQ1723" s="227"/>
      <c r="PGR1723" s="227"/>
      <c r="PGS1723" s="227"/>
      <c r="PGT1723" s="227"/>
      <c r="PGU1723" s="227"/>
      <c r="PGV1723" s="227"/>
      <c r="PGW1723" s="227"/>
      <c r="PGX1723" s="227"/>
      <c r="PGY1723" s="227"/>
      <c r="PGZ1723" s="227"/>
      <c r="PHA1723" s="227"/>
      <c r="PHB1723" s="227"/>
      <c r="PHC1723" s="227"/>
      <c r="PHD1723" s="227"/>
      <c r="PHE1723" s="227"/>
      <c r="PHF1723" s="227"/>
      <c r="PHG1723" s="227"/>
      <c r="PHH1723" s="227"/>
      <c r="PHI1723" s="227"/>
      <c r="PHJ1723" s="227"/>
      <c r="PHK1723" s="227"/>
      <c r="PHL1723" s="227"/>
      <c r="PHM1723" s="227"/>
      <c r="PHN1723" s="227"/>
      <c r="PHO1723" s="227"/>
      <c r="PHP1723" s="227"/>
      <c r="PHQ1723" s="227"/>
      <c r="PHR1723" s="227"/>
      <c r="PHS1723" s="227"/>
      <c r="PHT1723" s="227"/>
      <c r="PHU1723" s="227"/>
      <c r="PHV1723" s="227"/>
      <c r="PHW1723" s="227"/>
      <c r="PHX1723" s="227"/>
      <c r="PHY1723" s="227"/>
      <c r="PHZ1723" s="227"/>
      <c r="PIA1723" s="227"/>
      <c r="PIB1723" s="227"/>
      <c r="PIC1723" s="227"/>
      <c r="PID1723" s="227"/>
      <c r="PIE1723" s="227"/>
      <c r="PIF1723" s="227"/>
      <c r="PIG1723" s="227"/>
      <c r="PIH1723" s="227"/>
      <c r="PII1723" s="227"/>
      <c r="PIJ1723" s="227"/>
      <c r="PIK1723" s="227"/>
      <c r="PIL1723" s="227"/>
      <c r="PIM1723" s="227"/>
      <c r="PIN1723" s="227"/>
      <c r="PIO1723" s="227"/>
      <c r="PIP1723" s="227"/>
      <c r="PIQ1723" s="227"/>
      <c r="PIR1723" s="227"/>
      <c r="PIS1723" s="227"/>
      <c r="PIT1723" s="227"/>
      <c r="PIU1723" s="227"/>
      <c r="PIV1723" s="227"/>
      <c r="PIW1723" s="227"/>
      <c r="PIX1723" s="227"/>
      <c r="PIY1723" s="227"/>
      <c r="PIZ1723" s="227"/>
      <c r="PJA1723" s="227"/>
      <c r="PJB1723" s="227"/>
      <c r="PJC1723" s="227"/>
      <c r="PJD1723" s="227"/>
      <c r="PJE1723" s="227"/>
      <c r="PJF1723" s="227"/>
      <c r="PJG1723" s="227"/>
      <c r="PJH1723" s="227"/>
      <c r="PJI1723" s="227"/>
      <c r="PJJ1723" s="227"/>
      <c r="PJK1723" s="227"/>
      <c r="PJL1723" s="227"/>
      <c r="PJM1723" s="227"/>
      <c r="PJN1723" s="227"/>
      <c r="PJO1723" s="227"/>
      <c r="PJP1723" s="227"/>
      <c r="PJQ1723" s="227"/>
      <c r="PJR1723" s="227"/>
      <c r="PJS1723" s="227"/>
      <c r="PJT1723" s="227"/>
      <c r="PJU1723" s="227"/>
      <c r="PJV1723" s="227"/>
      <c r="PJW1723" s="227"/>
      <c r="PJX1723" s="227"/>
      <c r="PJY1723" s="227"/>
      <c r="PJZ1723" s="227"/>
      <c r="PKA1723" s="227"/>
      <c r="PKB1723" s="227"/>
      <c r="PKC1723" s="227"/>
      <c r="PKD1723" s="227"/>
      <c r="PKE1723" s="227"/>
      <c r="PKF1723" s="227"/>
      <c r="PKG1723" s="227"/>
      <c r="PKH1723" s="227"/>
      <c r="PKI1723" s="227"/>
      <c r="PKJ1723" s="227"/>
      <c r="PKK1723" s="227"/>
      <c r="PKL1723" s="227"/>
      <c r="PKM1723" s="227"/>
      <c r="PKN1723" s="227"/>
      <c r="PKO1723" s="227"/>
      <c r="PKP1723" s="227"/>
      <c r="PKQ1723" s="227"/>
      <c r="PKR1723" s="227"/>
      <c r="PKS1723" s="227"/>
      <c r="PKT1723" s="227"/>
      <c r="PKU1723" s="227"/>
      <c r="PKV1723" s="227"/>
      <c r="PKW1723" s="227"/>
      <c r="PKX1723" s="227"/>
      <c r="PKY1723" s="227"/>
      <c r="PKZ1723" s="227"/>
      <c r="PLA1723" s="227"/>
      <c r="PLB1723" s="227"/>
      <c r="PLC1723" s="227"/>
      <c r="PLD1723" s="227"/>
      <c r="PLE1723" s="227"/>
      <c r="PLF1723" s="227"/>
      <c r="PLG1723" s="227"/>
      <c r="PLH1723" s="227"/>
      <c r="PLI1723" s="227"/>
      <c r="PLJ1723" s="227"/>
      <c r="PLK1723" s="227"/>
      <c r="PLL1723" s="227"/>
      <c r="PLM1723" s="227"/>
      <c r="PLN1723" s="227"/>
      <c r="PLO1723" s="227"/>
      <c r="PLP1723" s="227"/>
      <c r="PLQ1723" s="227"/>
      <c r="PLR1723" s="227"/>
      <c r="PLS1723" s="227"/>
      <c r="PLT1723" s="227"/>
      <c r="PLU1723" s="227"/>
      <c r="PLV1723" s="227"/>
      <c r="PLW1723" s="227"/>
      <c r="PLX1723" s="227"/>
      <c r="PLY1723" s="227"/>
      <c r="PLZ1723" s="227"/>
      <c r="PMA1723" s="227"/>
      <c r="PMB1723" s="227"/>
      <c r="PMC1723" s="227"/>
      <c r="PMD1723" s="227"/>
      <c r="PME1723" s="227"/>
      <c r="PMF1723" s="227"/>
      <c r="PMG1723" s="227"/>
      <c r="PMH1723" s="227"/>
      <c r="PMI1723" s="227"/>
      <c r="PMJ1723" s="227"/>
      <c r="PMK1723" s="227"/>
      <c r="PML1723" s="227"/>
      <c r="PMM1723" s="227"/>
      <c r="PMN1723" s="227"/>
      <c r="PMO1723" s="227"/>
      <c r="PMP1723" s="227"/>
      <c r="PMQ1723" s="227"/>
      <c r="PMR1723" s="227"/>
      <c r="PMS1723" s="227"/>
      <c r="PMT1723" s="227"/>
      <c r="PMU1723" s="227"/>
      <c r="PMV1723" s="227"/>
      <c r="PMW1723" s="227"/>
      <c r="PMX1723" s="227"/>
      <c r="PMY1723" s="227"/>
      <c r="PMZ1723" s="227"/>
      <c r="PNA1723" s="227"/>
      <c r="PNB1723" s="227"/>
      <c r="PNC1723" s="227"/>
      <c r="PND1723" s="227"/>
      <c r="PNE1723" s="227"/>
      <c r="PNF1723" s="227"/>
      <c r="PNG1723" s="227"/>
      <c r="PNH1723" s="227"/>
      <c r="PNI1723" s="227"/>
      <c r="PNJ1723" s="227"/>
      <c r="PNK1723" s="227"/>
      <c r="PNL1723" s="227"/>
      <c r="PNM1723" s="227"/>
      <c r="PNN1723" s="227"/>
      <c r="PNO1723" s="227"/>
      <c r="PNP1723" s="227"/>
      <c r="PNQ1723" s="227"/>
      <c r="PNR1723" s="227"/>
      <c r="PNS1723" s="227"/>
      <c r="PNT1723" s="227"/>
      <c r="PNU1723" s="227"/>
      <c r="PNV1723" s="227"/>
      <c r="PNW1723" s="227"/>
      <c r="PNX1723" s="227"/>
      <c r="PNY1723" s="227"/>
      <c r="PNZ1723" s="227"/>
      <c r="POA1723" s="227"/>
      <c r="POB1723" s="227"/>
      <c r="POC1723" s="227"/>
      <c r="POD1723" s="227"/>
      <c r="POE1723" s="227"/>
      <c r="POF1723" s="227"/>
      <c r="POG1723" s="227"/>
      <c r="POH1723" s="227"/>
      <c r="POI1723" s="227"/>
      <c r="POJ1723" s="227"/>
      <c r="POK1723" s="227"/>
      <c r="POL1723" s="227"/>
      <c r="POM1723" s="227"/>
      <c r="PON1723" s="227"/>
      <c r="POO1723" s="227"/>
      <c r="POP1723" s="227"/>
      <c r="POQ1723" s="227"/>
      <c r="POR1723" s="227"/>
      <c r="POS1723" s="227"/>
      <c r="POT1723" s="227"/>
      <c r="POU1723" s="227"/>
      <c r="POV1723" s="227"/>
      <c r="POW1723" s="227"/>
      <c r="POX1723" s="227"/>
      <c r="POY1723" s="227"/>
      <c r="POZ1723" s="227"/>
      <c r="PPA1723" s="227"/>
      <c r="PPB1723" s="227"/>
      <c r="PPC1723" s="227"/>
      <c r="PPD1723" s="227"/>
      <c r="PPE1723" s="227"/>
      <c r="PPF1723" s="227"/>
      <c r="PPG1723" s="227"/>
      <c r="PPH1723" s="227"/>
      <c r="PPI1723" s="227"/>
      <c r="PPJ1723" s="227"/>
      <c r="PPK1723" s="227"/>
      <c r="PPL1723" s="227"/>
      <c r="PPM1723" s="227"/>
      <c r="PPN1723" s="227"/>
      <c r="PPO1723" s="227"/>
      <c r="PPP1723" s="227"/>
      <c r="PPQ1723" s="227"/>
      <c r="PPR1723" s="227"/>
      <c r="PPS1723" s="227"/>
      <c r="PPT1723" s="227"/>
      <c r="PPU1723" s="227"/>
      <c r="PPV1723" s="227"/>
      <c r="PPW1723" s="227"/>
      <c r="PPX1723" s="227"/>
      <c r="PPY1723" s="227"/>
      <c r="PPZ1723" s="227"/>
      <c r="PQA1723" s="227"/>
      <c r="PQB1723" s="227"/>
      <c r="PQC1723" s="227"/>
      <c r="PQD1723" s="227"/>
      <c r="PQE1723" s="227"/>
      <c r="PQF1723" s="227"/>
      <c r="PQG1723" s="227"/>
      <c r="PQH1723" s="227"/>
      <c r="PQI1723" s="227"/>
      <c r="PQJ1723" s="227"/>
      <c r="PQK1723" s="227"/>
      <c r="PQL1723" s="227"/>
      <c r="PQM1723" s="227"/>
      <c r="PQN1723" s="227"/>
      <c r="PQO1723" s="227"/>
      <c r="PQP1723" s="227"/>
      <c r="PQQ1723" s="227"/>
      <c r="PQR1723" s="227"/>
      <c r="PQS1723" s="227"/>
      <c r="PQT1723" s="227"/>
      <c r="PQU1723" s="227"/>
      <c r="PQV1723" s="227"/>
      <c r="PQW1723" s="227"/>
      <c r="PQX1723" s="227"/>
      <c r="PQY1723" s="227"/>
      <c r="PQZ1723" s="227"/>
      <c r="PRA1723" s="227"/>
      <c r="PRB1723" s="227"/>
      <c r="PRC1723" s="227"/>
      <c r="PRD1723" s="227"/>
      <c r="PRE1723" s="227"/>
      <c r="PRF1723" s="227"/>
      <c r="PRG1723" s="227"/>
      <c r="PRH1723" s="227"/>
      <c r="PRI1723" s="227"/>
      <c r="PRJ1723" s="227"/>
      <c r="PRK1723" s="227"/>
      <c r="PRL1723" s="227"/>
      <c r="PRM1723" s="227"/>
      <c r="PRN1723" s="227"/>
      <c r="PRO1723" s="227"/>
      <c r="PRP1723" s="227"/>
      <c r="PRQ1723" s="227"/>
      <c r="PRR1723" s="227"/>
      <c r="PRS1723" s="227"/>
      <c r="PRT1723" s="227"/>
      <c r="PRU1723" s="227"/>
      <c r="PRV1723" s="227"/>
      <c r="PRW1723" s="227"/>
      <c r="PRX1723" s="227"/>
      <c r="PRY1723" s="227"/>
      <c r="PRZ1723" s="227"/>
      <c r="PSA1723" s="227"/>
      <c r="PSB1723" s="227"/>
      <c r="PSC1723" s="227"/>
      <c r="PSD1723" s="227"/>
      <c r="PSE1723" s="227"/>
      <c r="PSF1723" s="227"/>
      <c r="PSG1723" s="227"/>
      <c r="PSH1723" s="227"/>
      <c r="PSI1723" s="227"/>
      <c r="PSJ1723" s="227"/>
      <c r="PSK1723" s="227"/>
      <c r="PSL1723" s="227"/>
      <c r="PSM1723" s="227"/>
      <c r="PSN1723" s="227"/>
      <c r="PSO1723" s="227"/>
      <c r="PSP1723" s="227"/>
      <c r="PSQ1723" s="227"/>
      <c r="PSR1723" s="227"/>
      <c r="PSS1723" s="227"/>
      <c r="PST1723" s="227"/>
      <c r="PSU1723" s="227"/>
      <c r="PSV1723" s="227"/>
      <c r="PSW1723" s="227"/>
      <c r="PSX1723" s="227"/>
      <c r="PSY1723" s="227"/>
      <c r="PSZ1723" s="227"/>
      <c r="PTA1723" s="227"/>
      <c r="PTB1723" s="227"/>
      <c r="PTC1723" s="227"/>
      <c r="PTD1723" s="227"/>
      <c r="PTE1723" s="227"/>
      <c r="PTF1723" s="227"/>
      <c r="PTG1723" s="227"/>
      <c r="PTH1723" s="227"/>
      <c r="PTI1723" s="227"/>
      <c r="PTJ1723" s="227"/>
      <c r="PTK1723" s="227"/>
      <c r="PTL1723" s="227"/>
      <c r="PTM1723" s="227"/>
      <c r="PTN1723" s="227"/>
      <c r="PTO1723" s="227"/>
      <c r="PTP1723" s="227"/>
      <c r="PTQ1723" s="227"/>
      <c r="PTR1723" s="227"/>
      <c r="PTS1723" s="227"/>
      <c r="PTT1723" s="227"/>
      <c r="PTU1723" s="227"/>
      <c r="PTV1723" s="227"/>
      <c r="PTW1723" s="227"/>
      <c r="PTX1723" s="227"/>
      <c r="PTY1723" s="227"/>
      <c r="PTZ1723" s="227"/>
      <c r="PUA1723" s="227"/>
      <c r="PUB1723" s="227"/>
      <c r="PUC1723" s="227"/>
      <c r="PUD1723" s="227"/>
      <c r="PUE1723" s="227"/>
      <c r="PUF1723" s="227"/>
      <c r="PUG1723" s="227"/>
      <c r="PUH1723" s="227"/>
      <c r="PUI1723" s="227"/>
      <c r="PUJ1723" s="227"/>
      <c r="PUK1723" s="227"/>
      <c r="PUL1723" s="227"/>
      <c r="PUM1723" s="227"/>
      <c r="PUN1723" s="227"/>
      <c r="PUO1723" s="227"/>
      <c r="PUP1723" s="227"/>
      <c r="PUQ1723" s="227"/>
      <c r="PUR1723" s="227"/>
      <c r="PUS1723" s="227"/>
      <c r="PUT1723" s="227"/>
      <c r="PUU1723" s="227"/>
      <c r="PUV1723" s="227"/>
      <c r="PUW1723" s="227"/>
      <c r="PUX1723" s="227"/>
      <c r="PUY1723" s="227"/>
      <c r="PUZ1723" s="227"/>
      <c r="PVA1723" s="227"/>
      <c r="PVB1723" s="227"/>
      <c r="PVC1723" s="227"/>
      <c r="PVD1723" s="227"/>
      <c r="PVE1723" s="227"/>
      <c r="PVF1723" s="227"/>
      <c r="PVG1723" s="227"/>
      <c r="PVH1723" s="227"/>
      <c r="PVI1723" s="227"/>
      <c r="PVJ1723" s="227"/>
      <c r="PVK1723" s="227"/>
      <c r="PVL1723" s="227"/>
      <c r="PVM1723" s="227"/>
      <c r="PVN1723" s="227"/>
      <c r="PVO1723" s="227"/>
      <c r="PVP1723" s="227"/>
      <c r="PVQ1723" s="227"/>
      <c r="PVR1723" s="227"/>
      <c r="PVS1723" s="227"/>
      <c r="PVT1723" s="227"/>
      <c r="PVU1723" s="227"/>
      <c r="PVV1723" s="227"/>
      <c r="PVW1723" s="227"/>
      <c r="PVX1723" s="227"/>
      <c r="PVY1723" s="227"/>
      <c r="PVZ1723" s="227"/>
      <c r="PWA1723" s="227"/>
      <c r="PWB1723" s="227"/>
      <c r="PWC1723" s="227"/>
      <c r="PWD1723" s="227"/>
      <c r="PWE1723" s="227"/>
      <c r="PWF1723" s="227"/>
      <c r="PWG1723" s="227"/>
      <c r="PWH1723" s="227"/>
      <c r="PWI1723" s="227"/>
      <c r="PWJ1723" s="227"/>
      <c r="PWK1723" s="227"/>
      <c r="PWL1723" s="227"/>
      <c r="PWM1723" s="227"/>
      <c r="PWN1723" s="227"/>
      <c r="PWO1723" s="227"/>
      <c r="PWP1723" s="227"/>
      <c r="PWQ1723" s="227"/>
      <c r="PWR1723" s="227"/>
      <c r="PWS1723" s="227"/>
      <c r="PWT1723" s="227"/>
      <c r="PWU1723" s="227"/>
      <c r="PWV1723" s="227"/>
      <c r="PWW1723" s="227"/>
      <c r="PWX1723" s="227"/>
      <c r="PWY1723" s="227"/>
      <c r="PWZ1723" s="227"/>
      <c r="PXA1723" s="227"/>
      <c r="PXB1723" s="227"/>
      <c r="PXC1723" s="227"/>
      <c r="PXD1723" s="227"/>
      <c r="PXE1723" s="227"/>
      <c r="PXF1723" s="227"/>
      <c r="PXG1723" s="227"/>
      <c r="PXH1723" s="227"/>
      <c r="PXI1723" s="227"/>
      <c r="PXJ1723" s="227"/>
      <c r="PXK1723" s="227"/>
      <c r="PXL1723" s="227"/>
      <c r="PXM1723" s="227"/>
      <c r="PXN1723" s="227"/>
      <c r="PXO1723" s="227"/>
      <c r="PXP1723" s="227"/>
      <c r="PXQ1723" s="227"/>
      <c r="PXR1723" s="227"/>
      <c r="PXS1723" s="227"/>
      <c r="PXT1723" s="227"/>
      <c r="PXU1723" s="227"/>
      <c r="PXV1723" s="227"/>
      <c r="PXW1723" s="227"/>
      <c r="PXX1723" s="227"/>
      <c r="PXY1723" s="227"/>
      <c r="PXZ1723" s="227"/>
      <c r="PYA1723" s="227"/>
      <c r="PYB1723" s="227"/>
      <c r="PYC1723" s="227"/>
      <c r="PYD1723" s="227"/>
      <c r="PYE1723" s="227"/>
      <c r="PYF1723" s="227"/>
      <c r="PYG1723" s="227"/>
      <c r="PYH1723" s="227"/>
      <c r="PYI1723" s="227"/>
      <c r="PYJ1723" s="227"/>
      <c r="PYK1723" s="227"/>
      <c r="PYL1723" s="227"/>
      <c r="PYM1723" s="227"/>
      <c r="PYN1723" s="227"/>
      <c r="PYO1723" s="227"/>
      <c r="PYP1723" s="227"/>
      <c r="PYQ1723" s="227"/>
      <c r="PYR1723" s="227"/>
      <c r="PYS1723" s="227"/>
      <c r="PYT1723" s="227"/>
      <c r="PYU1723" s="227"/>
      <c r="PYV1723" s="227"/>
      <c r="PYW1723" s="227"/>
      <c r="PYX1723" s="227"/>
      <c r="PYY1723" s="227"/>
      <c r="PYZ1723" s="227"/>
      <c r="PZA1723" s="227"/>
      <c r="PZB1723" s="227"/>
      <c r="PZC1723" s="227"/>
      <c r="PZD1723" s="227"/>
      <c r="PZE1723" s="227"/>
      <c r="PZF1723" s="227"/>
      <c r="PZG1723" s="227"/>
      <c r="PZH1723" s="227"/>
      <c r="PZI1723" s="227"/>
      <c r="PZJ1723" s="227"/>
      <c r="PZK1723" s="227"/>
      <c r="PZL1723" s="227"/>
      <c r="PZM1723" s="227"/>
      <c r="PZN1723" s="227"/>
      <c r="PZO1723" s="227"/>
      <c r="PZP1723" s="227"/>
      <c r="PZQ1723" s="227"/>
      <c r="PZR1723" s="227"/>
      <c r="PZS1723" s="227"/>
      <c r="PZT1723" s="227"/>
      <c r="PZU1723" s="227"/>
      <c r="PZV1723" s="227"/>
      <c r="PZW1723" s="227"/>
      <c r="PZX1723" s="227"/>
      <c r="PZY1723" s="227"/>
      <c r="PZZ1723" s="227"/>
      <c r="QAA1723" s="227"/>
      <c r="QAB1723" s="227"/>
      <c r="QAC1723" s="227"/>
      <c r="QAD1723" s="227"/>
      <c r="QAE1723" s="227"/>
      <c r="QAF1723" s="227"/>
      <c r="QAG1723" s="227"/>
      <c r="QAH1723" s="227"/>
      <c r="QAI1723" s="227"/>
      <c r="QAJ1723" s="227"/>
      <c r="QAK1723" s="227"/>
      <c r="QAL1723" s="227"/>
      <c r="QAM1723" s="227"/>
      <c r="QAN1723" s="227"/>
      <c r="QAO1723" s="227"/>
      <c r="QAP1723" s="227"/>
      <c r="QAQ1723" s="227"/>
      <c r="QAR1723" s="227"/>
      <c r="QAS1723" s="227"/>
      <c r="QAT1723" s="227"/>
      <c r="QAU1723" s="227"/>
      <c r="QAV1723" s="227"/>
      <c r="QAW1723" s="227"/>
      <c r="QAX1723" s="227"/>
      <c r="QAY1723" s="227"/>
      <c r="QAZ1723" s="227"/>
      <c r="QBA1723" s="227"/>
      <c r="QBB1723" s="227"/>
      <c r="QBC1723" s="227"/>
      <c r="QBD1723" s="227"/>
      <c r="QBE1723" s="227"/>
      <c r="QBF1723" s="227"/>
      <c r="QBG1723" s="227"/>
      <c r="QBH1723" s="227"/>
      <c r="QBI1723" s="227"/>
      <c r="QBJ1723" s="227"/>
      <c r="QBK1723" s="227"/>
      <c r="QBL1723" s="227"/>
      <c r="QBM1723" s="227"/>
      <c r="QBN1723" s="227"/>
      <c r="QBO1723" s="227"/>
      <c r="QBP1723" s="227"/>
      <c r="QBQ1723" s="227"/>
      <c r="QBR1723" s="227"/>
      <c r="QBS1723" s="227"/>
      <c r="QBT1723" s="227"/>
      <c r="QBU1723" s="227"/>
      <c r="QBV1723" s="227"/>
      <c r="QBW1723" s="227"/>
      <c r="QBX1723" s="227"/>
      <c r="QBY1723" s="227"/>
      <c r="QBZ1723" s="227"/>
      <c r="QCA1723" s="227"/>
      <c r="QCB1723" s="227"/>
      <c r="QCC1723" s="227"/>
      <c r="QCD1723" s="227"/>
      <c r="QCE1723" s="227"/>
      <c r="QCF1723" s="227"/>
      <c r="QCG1723" s="227"/>
      <c r="QCH1723" s="227"/>
      <c r="QCI1723" s="227"/>
      <c r="QCJ1723" s="227"/>
      <c r="QCK1723" s="227"/>
      <c r="QCL1723" s="227"/>
      <c r="QCM1723" s="227"/>
      <c r="QCN1723" s="227"/>
      <c r="QCO1723" s="227"/>
      <c r="QCP1723" s="227"/>
      <c r="QCQ1723" s="227"/>
      <c r="QCR1723" s="227"/>
      <c r="QCS1723" s="227"/>
      <c r="QCT1723" s="227"/>
      <c r="QCU1723" s="227"/>
      <c r="QCV1723" s="227"/>
      <c r="QCW1723" s="227"/>
      <c r="QCX1723" s="227"/>
      <c r="QCY1723" s="227"/>
      <c r="QCZ1723" s="227"/>
      <c r="QDA1723" s="227"/>
      <c r="QDB1723" s="227"/>
      <c r="QDC1723" s="227"/>
      <c r="QDD1723" s="227"/>
      <c r="QDE1723" s="227"/>
      <c r="QDF1723" s="227"/>
      <c r="QDG1723" s="227"/>
      <c r="QDH1723" s="227"/>
      <c r="QDI1723" s="227"/>
      <c r="QDJ1723" s="227"/>
      <c r="QDK1723" s="227"/>
      <c r="QDL1723" s="227"/>
      <c r="QDM1723" s="227"/>
      <c r="QDN1723" s="227"/>
      <c r="QDO1723" s="227"/>
      <c r="QDP1723" s="227"/>
      <c r="QDQ1723" s="227"/>
      <c r="QDR1723" s="227"/>
      <c r="QDS1723" s="227"/>
      <c r="QDT1723" s="227"/>
      <c r="QDU1723" s="227"/>
      <c r="QDV1723" s="227"/>
      <c r="QDW1723" s="227"/>
      <c r="QDX1723" s="227"/>
      <c r="QDY1723" s="227"/>
      <c r="QDZ1723" s="227"/>
      <c r="QEA1723" s="227"/>
      <c r="QEB1723" s="227"/>
      <c r="QEC1723" s="227"/>
      <c r="QED1723" s="227"/>
      <c r="QEE1723" s="227"/>
      <c r="QEF1723" s="227"/>
      <c r="QEG1723" s="227"/>
      <c r="QEH1723" s="227"/>
      <c r="QEI1723" s="227"/>
      <c r="QEJ1723" s="227"/>
      <c r="QEK1723" s="227"/>
      <c r="QEL1723" s="227"/>
      <c r="QEM1723" s="227"/>
      <c r="QEN1723" s="227"/>
      <c r="QEO1723" s="227"/>
      <c r="QEP1723" s="227"/>
      <c r="QEQ1723" s="227"/>
      <c r="QER1723" s="227"/>
      <c r="QES1723" s="227"/>
      <c r="QET1723" s="227"/>
      <c r="QEU1723" s="227"/>
      <c r="QEV1723" s="227"/>
      <c r="QEW1723" s="227"/>
      <c r="QEX1723" s="227"/>
      <c r="QEY1723" s="227"/>
      <c r="QEZ1723" s="227"/>
      <c r="QFA1723" s="227"/>
      <c r="QFB1723" s="227"/>
      <c r="QFC1723" s="227"/>
      <c r="QFD1723" s="227"/>
      <c r="QFE1723" s="227"/>
      <c r="QFF1723" s="227"/>
      <c r="QFG1723" s="227"/>
      <c r="QFH1723" s="227"/>
      <c r="QFI1723" s="227"/>
      <c r="QFJ1723" s="227"/>
      <c r="QFK1723" s="227"/>
      <c r="QFL1723" s="227"/>
      <c r="QFM1723" s="227"/>
      <c r="QFN1723" s="227"/>
      <c r="QFO1723" s="227"/>
      <c r="QFP1723" s="227"/>
      <c r="QFQ1723" s="227"/>
      <c r="QFR1723" s="227"/>
      <c r="QFS1723" s="227"/>
      <c r="QFT1723" s="227"/>
      <c r="QFU1723" s="227"/>
      <c r="QFV1723" s="227"/>
      <c r="QFW1723" s="227"/>
      <c r="QFX1723" s="227"/>
      <c r="QFY1723" s="227"/>
      <c r="QFZ1723" s="227"/>
      <c r="QGA1723" s="227"/>
      <c r="QGB1723" s="227"/>
      <c r="QGC1723" s="227"/>
      <c r="QGD1723" s="227"/>
      <c r="QGE1723" s="227"/>
      <c r="QGF1723" s="227"/>
      <c r="QGG1723" s="227"/>
      <c r="QGH1723" s="227"/>
      <c r="QGI1723" s="227"/>
      <c r="QGJ1723" s="227"/>
      <c r="QGK1723" s="227"/>
      <c r="QGL1723" s="227"/>
      <c r="QGM1723" s="227"/>
      <c r="QGN1723" s="227"/>
      <c r="QGO1723" s="227"/>
      <c r="QGP1723" s="227"/>
      <c r="QGQ1723" s="227"/>
      <c r="QGR1723" s="227"/>
      <c r="QGS1723" s="227"/>
      <c r="QGT1723" s="227"/>
      <c r="QGU1723" s="227"/>
      <c r="QGV1723" s="227"/>
      <c r="QGW1723" s="227"/>
      <c r="QGX1723" s="227"/>
      <c r="QGY1723" s="227"/>
      <c r="QGZ1723" s="227"/>
      <c r="QHA1723" s="227"/>
      <c r="QHB1723" s="227"/>
      <c r="QHC1723" s="227"/>
      <c r="QHD1723" s="227"/>
      <c r="QHE1723" s="227"/>
      <c r="QHF1723" s="227"/>
      <c r="QHG1723" s="227"/>
      <c r="QHH1723" s="227"/>
      <c r="QHI1723" s="227"/>
      <c r="QHJ1723" s="227"/>
      <c r="QHK1723" s="227"/>
      <c r="QHL1723" s="227"/>
      <c r="QHM1723" s="227"/>
      <c r="QHN1723" s="227"/>
      <c r="QHO1723" s="227"/>
      <c r="QHP1723" s="227"/>
      <c r="QHQ1723" s="227"/>
      <c r="QHR1723" s="227"/>
      <c r="QHS1723" s="227"/>
      <c r="QHT1723" s="227"/>
      <c r="QHU1723" s="227"/>
      <c r="QHV1723" s="227"/>
      <c r="QHW1723" s="227"/>
      <c r="QHX1723" s="227"/>
      <c r="QHY1723" s="227"/>
      <c r="QHZ1723" s="227"/>
      <c r="QIA1723" s="227"/>
      <c r="QIB1723" s="227"/>
      <c r="QIC1723" s="227"/>
      <c r="QID1723" s="227"/>
      <c r="QIE1723" s="227"/>
      <c r="QIF1723" s="227"/>
      <c r="QIG1723" s="227"/>
      <c r="QIH1723" s="227"/>
      <c r="QII1723" s="227"/>
      <c r="QIJ1723" s="227"/>
      <c r="QIK1723" s="227"/>
      <c r="QIL1723" s="227"/>
      <c r="QIM1723" s="227"/>
      <c r="QIN1723" s="227"/>
      <c r="QIO1723" s="227"/>
      <c r="QIP1723" s="227"/>
      <c r="QIQ1723" s="227"/>
      <c r="QIR1723" s="227"/>
      <c r="QIS1723" s="227"/>
      <c r="QIT1723" s="227"/>
      <c r="QIU1723" s="227"/>
      <c r="QIV1723" s="227"/>
      <c r="QIW1723" s="227"/>
      <c r="QIX1723" s="227"/>
      <c r="QIY1723" s="227"/>
      <c r="QIZ1723" s="227"/>
      <c r="QJA1723" s="227"/>
      <c r="QJB1723" s="227"/>
      <c r="QJC1723" s="227"/>
      <c r="QJD1723" s="227"/>
      <c r="QJE1723" s="227"/>
      <c r="QJF1723" s="227"/>
      <c r="QJG1723" s="227"/>
      <c r="QJH1723" s="227"/>
      <c r="QJI1723" s="227"/>
      <c r="QJJ1723" s="227"/>
      <c r="QJK1723" s="227"/>
      <c r="QJL1723" s="227"/>
      <c r="QJM1723" s="227"/>
      <c r="QJN1723" s="227"/>
      <c r="QJO1723" s="227"/>
      <c r="QJP1723" s="227"/>
      <c r="QJQ1723" s="227"/>
      <c r="QJR1723" s="227"/>
      <c r="QJS1723" s="227"/>
      <c r="QJT1723" s="227"/>
      <c r="QJU1723" s="227"/>
      <c r="QJV1723" s="227"/>
      <c r="QJW1723" s="227"/>
      <c r="QJX1723" s="227"/>
      <c r="QJY1723" s="227"/>
      <c r="QJZ1723" s="227"/>
      <c r="QKA1723" s="227"/>
      <c r="QKB1723" s="227"/>
      <c r="QKC1723" s="227"/>
      <c r="QKD1723" s="227"/>
      <c r="QKE1723" s="227"/>
      <c r="QKF1723" s="227"/>
      <c r="QKG1723" s="227"/>
      <c r="QKH1723" s="227"/>
      <c r="QKI1723" s="227"/>
      <c r="QKJ1723" s="227"/>
      <c r="QKK1723" s="227"/>
      <c r="QKL1723" s="227"/>
      <c r="QKM1723" s="227"/>
      <c r="QKN1723" s="227"/>
      <c r="QKO1723" s="227"/>
      <c r="QKP1723" s="227"/>
      <c r="QKQ1723" s="227"/>
      <c r="QKR1723" s="227"/>
      <c r="QKS1723" s="227"/>
      <c r="QKT1723" s="227"/>
      <c r="QKU1723" s="227"/>
      <c r="QKV1723" s="227"/>
      <c r="QKW1723" s="227"/>
      <c r="QKX1723" s="227"/>
      <c r="QKY1723" s="227"/>
      <c r="QKZ1723" s="227"/>
      <c r="QLA1723" s="227"/>
      <c r="QLB1723" s="227"/>
      <c r="QLC1723" s="227"/>
      <c r="QLD1723" s="227"/>
      <c r="QLE1723" s="227"/>
      <c r="QLF1723" s="227"/>
      <c r="QLG1723" s="227"/>
      <c r="QLH1723" s="227"/>
      <c r="QLI1723" s="227"/>
      <c r="QLJ1723" s="227"/>
      <c r="QLK1723" s="227"/>
      <c r="QLL1723" s="227"/>
      <c r="QLM1723" s="227"/>
      <c r="QLN1723" s="227"/>
      <c r="QLO1723" s="227"/>
      <c r="QLP1723" s="227"/>
      <c r="QLQ1723" s="227"/>
      <c r="QLR1723" s="227"/>
      <c r="QLS1723" s="227"/>
      <c r="QLT1723" s="227"/>
      <c r="QLU1723" s="227"/>
      <c r="QLV1723" s="227"/>
      <c r="QLW1723" s="227"/>
      <c r="QLX1723" s="227"/>
      <c r="QLY1723" s="227"/>
      <c r="QLZ1723" s="227"/>
      <c r="QMA1723" s="227"/>
      <c r="QMB1723" s="227"/>
      <c r="QMC1723" s="227"/>
      <c r="QMD1723" s="227"/>
      <c r="QME1723" s="227"/>
      <c r="QMF1723" s="227"/>
      <c r="QMG1723" s="227"/>
      <c r="QMH1723" s="227"/>
      <c r="QMI1723" s="227"/>
      <c r="QMJ1723" s="227"/>
      <c r="QMK1723" s="227"/>
      <c r="QML1723" s="227"/>
      <c r="QMM1723" s="227"/>
      <c r="QMN1723" s="227"/>
      <c r="QMO1723" s="227"/>
      <c r="QMP1723" s="227"/>
      <c r="QMQ1723" s="227"/>
      <c r="QMR1723" s="227"/>
      <c r="QMS1723" s="227"/>
      <c r="QMT1723" s="227"/>
      <c r="QMU1723" s="227"/>
      <c r="QMV1723" s="227"/>
      <c r="QMW1723" s="227"/>
      <c r="QMX1723" s="227"/>
      <c r="QMY1723" s="227"/>
      <c r="QMZ1723" s="227"/>
      <c r="QNA1723" s="227"/>
      <c r="QNB1723" s="227"/>
      <c r="QNC1723" s="227"/>
      <c r="QND1723" s="227"/>
      <c r="QNE1723" s="227"/>
      <c r="QNF1723" s="227"/>
      <c r="QNG1723" s="227"/>
      <c r="QNH1723" s="227"/>
      <c r="QNI1723" s="227"/>
      <c r="QNJ1723" s="227"/>
      <c r="QNK1723" s="227"/>
      <c r="QNL1723" s="227"/>
      <c r="QNM1723" s="227"/>
      <c r="QNN1723" s="227"/>
      <c r="QNO1723" s="227"/>
      <c r="QNP1723" s="227"/>
      <c r="QNQ1723" s="227"/>
      <c r="QNR1723" s="227"/>
      <c r="QNS1723" s="227"/>
      <c r="QNT1723" s="227"/>
      <c r="QNU1723" s="227"/>
      <c r="QNV1723" s="227"/>
      <c r="QNW1723" s="227"/>
      <c r="QNX1723" s="227"/>
      <c r="QNY1723" s="227"/>
      <c r="QNZ1723" s="227"/>
      <c r="QOA1723" s="227"/>
      <c r="QOB1723" s="227"/>
      <c r="QOC1723" s="227"/>
      <c r="QOD1723" s="227"/>
      <c r="QOE1723" s="227"/>
      <c r="QOF1723" s="227"/>
      <c r="QOG1723" s="227"/>
      <c r="QOH1723" s="227"/>
      <c r="QOI1723" s="227"/>
      <c r="QOJ1723" s="227"/>
      <c r="QOK1723" s="227"/>
      <c r="QOL1723" s="227"/>
      <c r="QOM1723" s="227"/>
      <c r="QON1723" s="227"/>
      <c r="QOO1723" s="227"/>
      <c r="QOP1723" s="227"/>
      <c r="QOQ1723" s="227"/>
      <c r="QOR1723" s="227"/>
      <c r="QOS1723" s="227"/>
      <c r="QOT1723" s="227"/>
      <c r="QOU1723" s="227"/>
      <c r="QOV1723" s="227"/>
      <c r="QOW1723" s="227"/>
      <c r="QOX1723" s="227"/>
      <c r="QOY1723" s="227"/>
      <c r="QOZ1723" s="227"/>
      <c r="QPA1723" s="227"/>
      <c r="QPB1723" s="227"/>
      <c r="QPC1723" s="227"/>
      <c r="QPD1723" s="227"/>
      <c r="QPE1723" s="227"/>
      <c r="QPF1723" s="227"/>
      <c r="QPG1723" s="227"/>
      <c r="QPH1723" s="227"/>
      <c r="QPI1723" s="227"/>
      <c r="QPJ1723" s="227"/>
      <c r="QPK1723" s="227"/>
      <c r="QPL1723" s="227"/>
      <c r="QPM1723" s="227"/>
      <c r="QPN1723" s="227"/>
      <c r="QPO1723" s="227"/>
      <c r="QPP1723" s="227"/>
      <c r="QPQ1723" s="227"/>
      <c r="QPR1723" s="227"/>
      <c r="QPS1723" s="227"/>
      <c r="QPT1723" s="227"/>
      <c r="QPU1723" s="227"/>
      <c r="QPV1723" s="227"/>
      <c r="QPW1723" s="227"/>
      <c r="QPX1723" s="227"/>
      <c r="QPY1723" s="227"/>
      <c r="QPZ1723" s="227"/>
      <c r="QQA1723" s="227"/>
      <c r="QQB1723" s="227"/>
      <c r="QQC1723" s="227"/>
      <c r="QQD1723" s="227"/>
      <c r="QQE1723" s="227"/>
      <c r="QQF1723" s="227"/>
      <c r="QQG1723" s="227"/>
      <c r="QQH1723" s="227"/>
      <c r="QQI1723" s="227"/>
      <c r="QQJ1723" s="227"/>
      <c r="QQK1723" s="227"/>
      <c r="QQL1723" s="227"/>
      <c r="QQM1723" s="227"/>
      <c r="QQN1723" s="227"/>
      <c r="QQO1723" s="227"/>
      <c r="QQP1723" s="227"/>
      <c r="QQQ1723" s="227"/>
      <c r="QQR1723" s="227"/>
      <c r="QQS1723" s="227"/>
      <c r="QQT1723" s="227"/>
      <c r="QQU1723" s="227"/>
      <c r="QQV1723" s="227"/>
      <c r="QQW1723" s="227"/>
      <c r="QQX1723" s="227"/>
      <c r="QQY1723" s="227"/>
      <c r="QQZ1723" s="227"/>
      <c r="QRA1723" s="227"/>
      <c r="QRB1723" s="227"/>
      <c r="QRC1723" s="227"/>
      <c r="QRD1723" s="227"/>
      <c r="QRE1723" s="227"/>
      <c r="QRF1723" s="227"/>
      <c r="QRG1723" s="227"/>
      <c r="QRH1723" s="227"/>
      <c r="QRI1723" s="227"/>
      <c r="QRJ1723" s="227"/>
      <c r="QRK1723" s="227"/>
      <c r="QRL1723" s="227"/>
      <c r="QRM1723" s="227"/>
      <c r="QRN1723" s="227"/>
      <c r="QRO1723" s="227"/>
      <c r="QRP1723" s="227"/>
      <c r="QRQ1723" s="227"/>
      <c r="QRR1723" s="227"/>
      <c r="QRS1723" s="227"/>
      <c r="QRT1723" s="227"/>
      <c r="QRU1723" s="227"/>
      <c r="QRV1723" s="227"/>
      <c r="QRW1723" s="227"/>
      <c r="QRX1723" s="227"/>
      <c r="QRY1723" s="227"/>
      <c r="QRZ1723" s="227"/>
      <c r="QSA1723" s="227"/>
      <c r="QSB1723" s="227"/>
      <c r="QSC1723" s="227"/>
      <c r="QSD1723" s="227"/>
      <c r="QSE1723" s="227"/>
      <c r="QSF1723" s="227"/>
      <c r="QSG1723" s="227"/>
      <c r="QSH1723" s="227"/>
      <c r="QSI1723" s="227"/>
      <c r="QSJ1723" s="227"/>
      <c r="QSK1723" s="227"/>
      <c r="QSL1723" s="227"/>
      <c r="QSM1723" s="227"/>
      <c r="QSN1723" s="227"/>
      <c r="QSO1723" s="227"/>
      <c r="QSP1723" s="227"/>
      <c r="QSQ1723" s="227"/>
      <c r="QSR1723" s="227"/>
      <c r="QSS1723" s="227"/>
      <c r="QST1723" s="227"/>
      <c r="QSU1723" s="227"/>
      <c r="QSV1723" s="227"/>
      <c r="QSW1723" s="227"/>
      <c r="QSX1723" s="227"/>
      <c r="QSY1723" s="227"/>
      <c r="QSZ1723" s="227"/>
      <c r="QTA1723" s="227"/>
      <c r="QTB1723" s="227"/>
      <c r="QTC1723" s="227"/>
      <c r="QTD1723" s="227"/>
      <c r="QTE1723" s="227"/>
      <c r="QTF1723" s="227"/>
      <c r="QTG1723" s="227"/>
      <c r="QTH1723" s="227"/>
      <c r="QTI1723" s="227"/>
      <c r="QTJ1723" s="227"/>
      <c r="QTK1723" s="227"/>
      <c r="QTL1723" s="227"/>
      <c r="QTM1723" s="227"/>
      <c r="QTN1723" s="227"/>
      <c r="QTO1723" s="227"/>
      <c r="QTP1723" s="227"/>
      <c r="QTQ1723" s="227"/>
      <c r="QTR1723" s="227"/>
      <c r="QTS1723" s="227"/>
      <c r="QTT1723" s="227"/>
      <c r="QTU1723" s="227"/>
      <c r="QTV1723" s="227"/>
      <c r="QTW1723" s="227"/>
      <c r="QTX1723" s="227"/>
      <c r="QTY1723" s="227"/>
      <c r="QTZ1723" s="227"/>
      <c r="QUA1723" s="227"/>
      <c r="QUB1723" s="227"/>
      <c r="QUC1723" s="227"/>
      <c r="QUD1723" s="227"/>
      <c r="QUE1723" s="227"/>
      <c r="QUF1723" s="227"/>
      <c r="QUG1723" s="227"/>
      <c r="QUH1723" s="227"/>
      <c r="QUI1723" s="227"/>
      <c r="QUJ1723" s="227"/>
      <c r="QUK1723" s="227"/>
      <c r="QUL1723" s="227"/>
      <c r="QUM1723" s="227"/>
      <c r="QUN1723" s="227"/>
      <c r="QUO1723" s="227"/>
      <c r="QUP1723" s="227"/>
      <c r="QUQ1723" s="227"/>
      <c r="QUR1723" s="227"/>
      <c r="QUS1723" s="227"/>
      <c r="QUT1723" s="227"/>
      <c r="QUU1723" s="227"/>
      <c r="QUV1723" s="227"/>
      <c r="QUW1723" s="227"/>
      <c r="QUX1723" s="227"/>
      <c r="QUY1723" s="227"/>
      <c r="QUZ1723" s="227"/>
      <c r="QVA1723" s="227"/>
      <c r="QVB1723" s="227"/>
      <c r="QVC1723" s="227"/>
      <c r="QVD1723" s="227"/>
      <c r="QVE1723" s="227"/>
      <c r="QVF1723" s="227"/>
      <c r="QVG1723" s="227"/>
      <c r="QVH1723" s="227"/>
      <c r="QVI1723" s="227"/>
      <c r="QVJ1723" s="227"/>
      <c r="QVK1723" s="227"/>
      <c r="QVL1723" s="227"/>
      <c r="QVM1723" s="227"/>
      <c r="QVN1723" s="227"/>
      <c r="QVO1723" s="227"/>
      <c r="QVP1723" s="227"/>
      <c r="QVQ1723" s="227"/>
      <c r="QVR1723" s="227"/>
      <c r="QVS1723" s="227"/>
      <c r="QVT1723" s="227"/>
      <c r="QVU1723" s="227"/>
      <c r="QVV1723" s="227"/>
      <c r="QVW1723" s="227"/>
      <c r="QVX1723" s="227"/>
      <c r="QVY1723" s="227"/>
      <c r="QVZ1723" s="227"/>
      <c r="QWA1723" s="227"/>
      <c r="QWB1723" s="227"/>
      <c r="QWC1723" s="227"/>
      <c r="QWD1723" s="227"/>
      <c r="QWE1723" s="227"/>
      <c r="QWF1723" s="227"/>
      <c r="QWG1723" s="227"/>
      <c r="QWH1723" s="227"/>
      <c r="QWI1723" s="227"/>
      <c r="QWJ1723" s="227"/>
      <c r="QWK1723" s="227"/>
      <c r="QWL1723" s="227"/>
      <c r="QWM1723" s="227"/>
      <c r="QWN1723" s="227"/>
      <c r="QWO1723" s="227"/>
      <c r="QWP1723" s="227"/>
      <c r="QWQ1723" s="227"/>
      <c r="QWR1723" s="227"/>
      <c r="QWS1723" s="227"/>
      <c r="QWT1723" s="227"/>
      <c r="QWU1723" s="227"/>
      <c r="QWV1723" s="227"/>
      <c r="QWW1723" s="227"/>
      <c r="QWX1723" s="227"/>
      <c r="QWY1723" s="227"/>
      <c r="QWZ1723" s="227"/>
      <c r="QXA1723" s="227"/>
      <c r="QXB1723" s="227"/>
      <c r="QXC1723" s="227"/>
      <c r="QXD1723" s="227"/>
      <c r="QXE1723" s="227"/>
      <c r="QXF1723" s="227"/>
      <c r="QXG1723" s="227"/>
      <c r="QXH1723" s="227"/>
      <c r="QXI1723" s="227"/>
      <c r="QXJ1723" s="227"/>
      <c r="QXK1723" s="227"/>
      <c r="QXL1723" s="227"/>
      <c r="QXM1723" s="227"/>
      <c r="QXN1723" s="227"/>
      <c r="QXO1723" s="227"/>
      <c r="QXP1723" s="227"/>
      <c r="QXQ1723" s="227"/>
      <c r="QXR1723" s="227"/>
      <c r="QXS1723" s="227"/>
      <c r="QXT1723" s="227"/>
      <c r="QXU1723" s="227"/>
      <c r="QXV1723" s="227"/>
      <c r="QXW1723" s="227"/>
      <c r="QXX1723" s="227"/>
      <c r="QXY1723" s="227"/>
      <c r="QXZ1723" s="227"/>
      <c r="QYA1723" s="227"/>
      <c r="QYB1723" s="227"/>
      <c r="QYC1723" s="227"/>
      <c r="QYD1723" s="227"/>
      <c r="QYE1723" s="227"/>
      <c r="QYF1723" s="227"/>
      <c r="QYG1723" s="227"/>
      <c r="QYH1723" s="227"/>
      <c r="QYI1723" s="227"/>
      <c r="QYJ1723" s="227"/>
      <c r="QYK1723" s="227"/>
      <c r="QYL1723" s="227"/>
      <c r="QYM1723" s="227"/>
      <c r="QYN1723" s="227"/>
      <c r="QYO1723" s="227"/>
      <c r="QYP1723" s="227"/>
      <c r="QYQ1723" s="227"/>
      <c r="QYR1723" s="227"/>
      <c r="QYS1723" s="227"/>
      <c r="QYT1723" s="227"/>
      <c r="QYU1723" s="227"/>
      <c r="QYV1723" s="227"/>
      <c r="QYW1723" s="227"/>
      <c r="QYX1723" s="227"/>
      <c r="QYY1723" s="227"/>
      <c r="QYZ1723" s="227"/>
      <c r="QZA1723" s="227"/>
      <c r="QZB1723" s="227"/>
      <c r="QZC1723" s="227"/>
      <c r="QZD1723" s="227"/>
      <c r="QZE1723" s="227"/>
      <c r="QZF1723" s="227"/>
      <c r="QZG1723" s="227"/>
      <c r="QZH1723" s="227"/>
      <c r="QZI1723" s="227"/>
      <c r="QZJ1723" s="227"/>
      <c r="QZK1723" s="227"/>
      <c r="QZL1723" s="227"/>
      <c r="QZM1723" s="227"/>
      <c r="QZN1723" s="227"/>
      <c r="QZO1723" s="227"/>
      <c r="QZP1723" s="227"/>
      <c r="QZQ1723" s="227"/>
      <c r="QZR1723" s="227"/>
      <c r="QZS1723" s="227"/>
      <c r="QZT1723" s="227"/>
      <c r="QZU1723" s="227"/>
      <c r="QZV1723" s="227"/>
      <c r="QZW1723" s="227"/>
      <c r="QZX1723" s="227"/>
      <c r="QZY1723" s="227"/>
      <c r="QZZ1723" s="227"/>
      <c r="RAA1723" s="227"/>
      <c r="RAB1723" s="227"/>
      <c r="RAC1723" s="227"/>
      <c r="RAD1723" s="227"/>
      <c r="RAE1723" s="227"/>
      <c r="RAF1723" s="227"/>
      <c r="RAG1723" s="227"/>
      <c r="RAH1723" s="227"/>
      <c r="RAI1723" s="227"/>
      <c r="RAJ1723" s="227"/>
      <c r="RAK1723" s="227"/>
      <c r="RAL1723" s="227"/>
      <c r="RAM1723" s="227"/>
      <c r="RAN1723" s="227"/>
      <c r="RAO1723" s="227"/>
      <c r="RAP1723" s="227"/>
      <c r="RAQ1723" s="227"/>
      <c r="RAR1723" s="227"/>
      <c r="RAS1723" s="227"/>
      <c r="RAT1723" s="227"/>
      <c r="RAU1723" s="227"/>
      <c r="RAV1723" s="227"/>
      <c r="RAW1723" s="227"/>
      <c r="RAX1723" s="227"/>
      <c r="RAY1723" s="227"/>
      <c r="RAZ1723" s="227"/>
      <c r="RBA1723" s="227"/>
      <c r="RBB1723" s="227"/>
      <c r="RBC1723" s="227"/>
      <c r="RBD1723" s="227"/>
      <c r="RBE1723" s="227"/>
      <c r="RBF1723" s="227"/>
      <c r="RBG1723" s="227"/>
      <c r="RBH1723" s="227"/>
      <c r="RBI1723" s="227"/>
      <c r="RBJ1723" s="227"/>
      <c r="RBK1723" s="227"/>
      <c r="RBL1723" s="227"/>
      <c r="RBM1723" s="227"/>
      <c r="RBN1723" s="227"/>
      <c r="RBO1723" s="227"/>
      <c r="RBP1723" s="227"/>
      <c r="RBQ1723" s="227"/>
      <c r="RBR1723" s="227"/>
      <c r="RBS1723" s="227"/>
      <c r="RBT1723" s="227"/>
      <c r="RBU1723" s="227"/>
      <c r="RBV1723" s="227"/>
      <c r="RBW1723" s="227"/>
      <c r="RBX1723" s="227"/>
      <c r="RBY1723" s="227"/>
      <c r="RBZ1723" s="227"/>
      <c r="RCA1723" s="227"/>
      <c r="RCB1723" s="227"/>
      <c r="RCC1723" s="227"/>
      <c r="RCD1723" s="227"/>
      <c r="RCE1723" s="227"/>
      <c r="RCF1723" s="227"/>
      <c r="RCG1723" s="227"/>
      <c r="RCH1723" s="227"/>
      <c r="RCI1723" s="227"/>
      <c r="RCJ1723" s="227"/>
      <c r="RCK1723" s="227"/>
      <c r="RCL1723" s="227"/>
      <c r="RCM1723" s="227"/>
      <c r="RCN1723" s="227"/>
      <c r="RCO1723" s="227"/>
      <c r="RCP1723" s="227"/>
      <c r="RCQ1723" s="227"/>
      <c r="RCR1723" s="227"/>
      <c r="RCS1723" s="227"/>
      <c r="RCT1723" s="227"/>
      <c r="RCU1723" s="227"/>
      <c r="RCV1723" s="227"/>
      <c r="RCW1723" s="227"/>
      <c r="RCX1723" s="227"/>
      <c r="RCY1723" s="227"/>
      <c r="RCZ1723" s="227"/>
      <c r="RDA1723" s="227"/>
      <c r="RDB1723" s="227"/>
      <c r="RDC1723" s="227"/>
      <c r="RDD1723" s="227"/>
      <c r="RDE1723" s="227"/>
      <c r="RDF1723" s="227"/>
      <c r="RDG1723" s="227"/>
      <c r="RDH1723" s="227"/>
      <c r="RDI1723" s="227"/>
      <c r="RDJ1723" s="227"/>
      <c r="RDK1723" s="227"/>
      <c r="RDL1723" s="227"/>
      <c r="RDM1723" s="227"/>
      <c r="RDN1723" s="227"/>
      <c r="RDO1723" s="227"/>
      <c r="RDP1723" s="227"/>
      <c r="RDQ1723" s="227"/>
      <c r="RDR1723" s="227"/>
      <c r="RDS1723" s="227"/>
      <c r="RDT1723" s="227"/>
      <c r="RDU1723" s="227"/>
      <c r="RDV1723" s="227"/>
      <c r="RDW1723" s="227"/>
      <c r="RDX1723" s="227"/>
      <c r="RDY1723" s="227"/>
      <c r="RDZ1723" s="227"/>
      <c r="REA1723" s="227"/>
      <c r="REB1723" s="227"/>
      <c r="REC1723" s="227"/>
      <c r="RED1723" s="227"/>
      <c r="REE1723" s="227"/>
      <c r="REF1723" s="227"/>
      <c r="REG1723" s="227"/>
      <c r="REH1723" s="227"/>
      <c r="REI1723" s="227"/>
      <c r="REJ1723" s="227"/>
      <c r="REK1723" s="227"/>
      <c r="REL1723" s="227"/>
      <c r="REM1723" s="227"/>
      <c r="REN1723" s="227"/>
      <c r="REO1723" s="227"/>
      <c r="REP1723" s="227"/>
      <c r="REQ1723" s="227"/>
      <c r="RER1723" s="227"/>
      <c r="RES1723" s="227"/>
      <c r="RET1723" s="227"/>
      <c r="REU1723" s="227"/>
      <c r="REV1723" s="227"/>
      <c r="REW1723" s="227"/>
      <c r="REX1723" s="227"/>
      <c r="REY1723" s="227"/>
      <c r="REZ1723" s="227"/>
      <c r="RFA1723" s="227"/>
      <c r="RFB1723" s="227"/>
      <c r="RFC1723" s="227"/>
      <c r="RFD1723" s="227"/>
      <c r="RFE1723" s="227"/>
      <c r="RFF1723" s="227"/>
      <c r="RFG1723" s="227"/>
      <c r="RFH1723" s="227"/>
      <c r="RFI1723" s="227"/>
      <c r="RFJ1723" s="227"/>
      <c r="RFK1723" s="227"/>
      <c r="RFL1723" s="227"/>
      <c r="RFM1723" s="227"/>
      <c r="RFN1723" s="227"/>
      <c r="RFO1723" s="227"/>
      <c r="RFP1723" s="227"/>
      <c r="RFQ1723" s="227"/>
      <c r="RFR1723" s="227"/>
      <c r="RFS1723" s="227"/>
      <c r="RFT1723" s="227"/>
      <c r="RFU1723" s="227"/>
      <c r="RFV1723" s="227"/>
      <c r="RFW1723" s="227"/>
      <c r="RFX1723" s="227"/>
      <c r="RFY1723" s="227"/>
      <c r="RFZ1723" s="227"/>
      <c r="RGA1723" s="227"/>
      <c r="RGB1723" s="227"/>
      <c r="RGC1723" s="227"/>
      <c r="RGD1723" s="227"/>
      <c r="RGE1723" s="227"/>
      <c r="RGF1723" s="227"/>
      <c r="RGG1723" s="227"/>
      <c r="RGH1723" s="227"/>
      <c r="RGI1723" s="227"/>
      <c r="RGJ1723" s="227"/>
      <c r="RGK1723" s="227"/>
      <c r="RGL1723" s="227"/>
      <c r="RGM1723" s="227"/>
      <c r="RGN1723" s="227"/>
      <c r="RGO1723" s="227"/>
      <c r="RGP1723" s="227"/>
      <c r="RGQ1723" s="227"/>
      <c r="RGR1723" s="227"/>
      <c r="RGS1723" s="227"/>
      <c r="RGT1723" s="227"/>
      <c r="RGU1723" s="227"/>
      <c r="RGV1723" s="227"/>
      <c r="RGW1723" s="227"/>
      <c r="RGX1723" s="227"/>
      <c r="RGY1723" s="227"/>
      <c r="RGZ1723" s="227"/>
      <c r="RHA1723" s="227"/>
      <c r="RHB1723" s="227"/>
      <c r="RHC1723" s="227"/>
      <c r="RHD1723" s="227"/>
      <c r="RHE1723" s="227"/>
      <c r="RHF1723" s="227"/>
      <c r="RHG1723" s="227"/>
      <c r="RHH1723" s="227"/>
      <c r="RHI1723" s="227"/>
      <c r="RHJ1723" s="227"/>
      <c r="RHK1723" s="227"/>
      <c r="RHL1723" s="227"/>
      <c r="RHM1723" s="227"/>
      <c r="RHN1723" s="227"/>
      <c r="RHO1723" s="227"/>
      <c r="RHP1723" s="227"/>
      <c r="RHQ1723" s="227"/>
      <c r="RHR1723" s="227"/>
      <c r="RHS1723" s="227"/>
      <c r="RHT1723" s="227"/>
      <c r="RHU1723" s="227"/>
      <c r="RHV1723" s="227"/>
      <c r="RHW1723" s="227"/>
      <c r="RHX1723" s="227"/>
      <c r="RHY1723" s="227"/>
      <c r="RHZ1723" s="227"/>
      <c r="RIA1723" s="227"/>
      <c r="RIB1723" s="227"/>
      <c r="RIC1723" s="227"/>
      <c r="RID1723" s="227"/>
      <c r="RIE1723" s="227"/>
      <c r="RIF1723" s="227"/>
      <c r="RIG1723" s="227"/>
      <c r="RIH1723" s="227"/>
      <c r="RII1723" s="227"/>
      <c r="RIJ1723" s="227"/>
      <c r="RIK1723" s="227"/>
      <c r="RIL1723" s="227"/>
      <c r="RIM1723" s="227"/>
      <c r="RIN1723" s="227"/>
      <c r="RIO1723" s="227"/>
      <c r="RIP1723" s="227"/>
      <c r="RIQ1723" s="227"/>
      <c r="RIR1723" s="227"/>
      <c r="RIS1723" s="227"/>
      <c r="RIT1723" s="227"/>
      <c r="RIU1723" s="227"/>
      <c r="RIV1723" s="227"/>
      <c r="RIW1723" s="227"/>
      <c r="RIX1723" s="227"/>
      <c r="RIY1723" s="227"/>
      <c r="RIZ1723" s="227"/>
      <c r="RJA1723" s="227"/>
      <c r="RJB1723" s="227"/>
      <c r="RJC1723" s="227"/>
      <c r="RJD1723" s="227"/>
      <c r="RJE1723" s="227"/>
      <c r="RJF1723" s="227"/>
      <c r="RJG1723" s="227"/>
      <c r="RJH1723" s="227"/>
      <c r="RJI1723" s="227"/>
      <c r="RJJ1723" s="227"/>
      <c r="RJK1723" s="227"/>
      <c r="RJL1723" s="227"/>
      <c r="RJM1723" s="227"/>
      <c r="RJN1723" s="227"/>
      <c r="RJO1723" s="227"/>
      <c r="RJP1723" s="227"/>
      <c r="RJQ1723" s="227"/>
      <c r="RJR1723" s="227"/>
      <c r="RJS1723" s="227"/>
      <c r="RJT1723" s="227"/>
      <c r="RJU1723" s="227"/>
      <c r="RJV1723" s="227"/>
      <c r="RJW1723" s="227"/>
      <c r="RJX1723" s="227"/>
      <c r="RJY1723" s="227"/>
      <c r="RJZ1723" s="227"/>
      <c r="RKA1723" s="227"/>
      <c r="RKB1723" s="227"/>
      <c r="RKC1723" s="227"/>
      <c r="RKD1723" s="227"/>
      <c r="RKE1723" s="227"/>
      <c r="RKF1723" s="227"/>
      <c r="RKG1723" s="227"/>
      <c r="RKH1723" s="227"/>
      <c r="RKI1723" s="227"/>
      <c r="RKJ1723" s="227"/>
      <c r="RKK1723" s="227"/>
      <c r="RKL1723" s="227"/>
      <c r="RKM1723" s="227"/>
      <c r="RKN1723" s="227"/>
      <c r="RKO1723" s="227"/>
      <c r="RKP1723" s="227"/>
      <c r="RKQ1723" s="227"/>
      <c r="RKR1723" s="227"/>
      <c r="RKS1723" s="227"/>
      <c r="RKT1723" s="227"/>
      <c r="RKU1723" s="227"/>
      <c r="RKV1723" s="227"/>
      <c r="RKW1723" s="227"/>
      <c r="RKX1723" s="227"/>
      <c r="RKY1723" s="227"/>
      <c r="RKZ1723" s="227"/>
      <c r="RLA1723" s="227"/>
      <c r="RLB1723" s="227"/>
      <c r="RLC1723" s="227"/>
      <c r="RLD1723" s="227"/>
      <c r="RLE1723" s="227"/>
      <c r="RLF1723" s="227"/>
      <c r="RLG1723" s="227"/>
      <c r="RLH1723" s="227"/>
      <c r="RLI1723" s="227"/>
      <c r="RLJ1723" s="227"/>
      <c r="RLK1723" s="227"/>
      <c r="RLL1723" s="227"/>
      <c r="RLM1723" s="227"/>
      <c r="RLN1723" s="227"/>
      <c r="RLO1723" s="227"/>
      <c r="RLP1723" s="227"/>
      <c r="RLQ1723" s="227"/>
      <c r="RLR1723" s="227"/>
      <c r="RLS1723" s="227"/>
      <c r="RLT1723" s="227"/>
      <c r="RLU1723" s="227"/>
      <c r="RLV1723" s="227"/>
      <c r="RLW1723" s="227"/>
      <c r="RLX1723" s="227"/>
      <c r="RLY1723" s="227"/>
      <c r="RLZ1723" s="227"/>
      <c r="RMA1723" s="227"/>
      <c r="RMB1723" s="227"/>
      <c r="RMC1723" s="227"/>
      <c r="RMD1723" s="227"/>
      <c r="RME1723" s="227"/>
      <c r="RMF1723" s="227"/>
      <c r="RMG1723" s="227"/>
      <c r="RMH1723" s="227"/>
      <c r="RMI1723" s="227"/>
      <c r="RMJ1723" s="227"/>
      <c r="RMK1723" s="227"/>
      <c r="RML1723" s="227"/>
      <c r="RMM1723" s="227"/>
      <c r="RMN1723" s="227"/>
      <c r="RMO1723" s="227"/>
      <c r="RMP1723" s="227"/>
      <c r="RMQ1723" s="227"/>
      <c r="RMR1723" s="227"/>
      <c r="RMS1723" s="227"/>
      <c r="RMT1723" s="227"/>
      <c r="RMU1723" s="227"/>
      <c r="RMV1723" s="227"/>
      <c r="RMW1723" s="227"/>
      <c r="RMX1723" s="227"/>
      <c r="RMY1723" s="227"/>
      <c r="RMZ1723" s="227"/>
      <c r="RNA1723" s="227"/>
      <c r="RNB1723" s="227"/>
      <c r="RNC1723" s="227"/>
      <c r="RND1723" s="227"/>
      <c r="RNE1723" s="227"/>
      <c r="RNF1723" s="227"/>
      <c r="RNG1723" s="227"/>
      <c r="RNH1723" s="227"/>
      <c r="RNI1723" s="227"/>
      <c r="RNJ1723" s="227"/>
      <c r="RNK1723" s="227"/>
      <c r="RNL1723" s="227"/>
      <c r="RNM1723" s="227"/>
      <c r="RNN1723" s="227"/>
      <c r="RNO1723" s="227"/>
      <c r="RNP1723" s="227"/>
      <c r="RNQ1723" s="227"/>
      <c r="RNR1723" s="227"/>
      <c r="RNS1723" s="227"/>
      <c r="RNT1723" s="227"/>
      <c r="RNU1723" s="227"/>
      <c r="RNV1723" s="227"/>
      <c r="RNW1723" s="227"/>
      <c r="RNX1723" s="227"/>
      <c r="RNY1723" s="227"/>
      <c r="RNZ1723" s="227"/>
      <c r="ROA1723" s="227"/>
      <c r="ROB1723" s="227"/>
      <c r="ROC1723" s="227"/>
      <c r="ROD1723" s="227"/>
      <c r="ROE1723" s="227"/>
      <c r="ROF1723" s="227"/>
      <c r="ROG1723" s="227"/>
      <c r="ROH1723" s="227"/>
      <c r="ROI1723" s="227"/>
      <c r="ROJ1723" s="227"/>
      <c r="ROK1723" s="227"/>
      <c r="ROL1723" s="227"/>
      <c r="ROM1723" s="227"/>
      <c r="RON1723" s="227"/>
      <c r="ROO1723" s="227"/>
      <c r="ROP1723" s="227"/>
      <c r="ROQ1723" s="227"/>
      <c r="ROR1723" s="227"/>
      <c r="ROS1723" s="227"/>
      <c r="ROT1723" s="227"/>
      <c r="ROU1723" s="227"/>
      <c r="ROV1723" s="227"/>
      <c r="ROW1723" s="227"/>
      <c r="ROX1723" s="227"/>
      <c r="ROY1723" s="227"/>
      <c r="ROZ1723" s="227"/>
      <c r="RPA1723" s="227"/>
      <c r="RPB1723" s="227"/>
      <c r="RPC1723" s="227"/>
      <c r="RPD1723" s="227"/>
      <c r="RPE1723" s="227"/>
      <c r="RPF1723" s="227"/>
      <c r="RPG1723" s="227"/>
      <c r="RPH1723" s="227"/>
      <c r="RPI1723" s="227"/>
      <c r="RPJ1723" s="227"/>
      <c r="RPK1723" s="227"/>
      <c r="RPL1723" s="227"/>
      <c r="RPM1723" s="227"/>
      <c r="RPN1723" s="227"/>
      <c r="RPO1723" s="227"/>
      <c r="RPP1723" s="227"/>
      <c r="RPQ1723" s="227"/>
      <c r="RPR1723" s="227"/>
      <c r="RPS1723" s="227"/>
      <c r="RPT1723" s="227"/>
      <c r="RPU1723" s="227"/>
      <c r="RPV1723" s="227"/>
      <c r="RPW1723" s="227"/>
      <c r="RPX1723" s="227"/>
      <c r="RPY1723" s="227"/>
      <c r="RPZ1723" s="227"/>
      <c r="RQA1723" s="227"/>
      <c r="RQB1723" s="227"/>
      <c r="RQC1723" s="227"/>
      <c r="RQD1723" s="227"/>
      <c r="RQE1723" s="227"/>
      <c r="RQF1723" s="227"/>
      <c r="RQG1723" s="227"/>
      <c r="RQH1723" s="227"/>
      <c r="RQI1723" s="227"/>
      <c r="RQJ1723" s="227"/>
      <c r="RQK1723" s="227"/>
      <c r="RQL1723" s="227"/>
      <c r="RQM1723" s="227"/>
      <c r="RQN1723" s="227"/>
      <c r="RQO1723" s="227"/>
      <c r="RQP1723" s="227"/>
      <c r="RQQ1723" s="227"/>
      <c r="RQR1723" s="227"/>
      <c r="RQS1723" s="227"/>
      <c r="RQT1723" s="227"/>
      <c r="RQU1723" s="227"/>
      <c r="RQV1723" s="227"/>
      <c r="RQW1723" s="227"/>
      <c r="RQX1723" s="227"/>
      <c r="RQY1723" s="227"/>
      <c r="RQZ1723" s="227"/>
      <c r="RRA1723" s="227"/>
      <c r="RRB1723" s="227"/>
      <c r="RRC1723" s="227"/>
      <c r="RRD1723" s="227"/>
      <c r="RRE1723" s="227"/>
      <c r="RRF1723" s="227"/>
      <c r="RRG1723" s="227"/>
      <c r="RRH1723" s="227"/>
      <c r="RRI1723" s="227"/>
      <c r="RRJ1723" s="227"/>
      <c r="RRK1723" s="227"/>
      <c r="RRL1723" s="227"/>
      <c r="RRM1723" s="227"/>
      <c r="RRN1723" s="227"/>
      <c r="RRO1723" s="227"/>
      <c r="RRP1723" s="227"/>
      <c r="RRQ1723" s="227"/>
      <c r="RRR1723" s="227"/>
      <c r="RRS1723" s="227"/>
      <c r="RRT1723" s="227"/>
      <c r="RRU1723" s="227"/>
      <c r="RRV1723" s="227"/>
      <c r="RRW1723" s="227"/>
      <c r="RRX1723" s="227"/>
      <c r="RRY1723" s="227"/>
      <c r="RRZ1723" s="227"/>
      <c r="RSA1723" s="227"/>
      <c r="RSB1723" s="227"/>
      <c r="RSC1723" s="227"/>
      <c r="RSD1723" s="227"/>
      <c r="RSE1723" s="227"/>
      <c r="RSF1723" s="227"/>
      <c r="RSG1723" s="227"/>
      <c r="RSH1723" s="227"/>
      <c r="RSI1723" s="227"/>
      <c r="RSJ1723" s="227"/>
      <c r="RSK1723" s="227"/>
      <c r="RSL1723" s="227"/>
      <c r="RSM1723" s="227"/>
      <c r="RSN1723" s="227"/>
      <c r="RSO1723" s="227"/>
      <c r="RSP1723" s="227"/>
      <c r="RSQ1723" s="227"/>
      <c r="RSR1723" s="227"/>
      <c r="RSS1723" s="227"/>
      <c r="RST1723" s="227"/>
      <c r="RSU1723" s="227"/>
      <c r="RSV1723" s="227"/>
      <c r="RSW1723" s="227"/>
      <c r="RSX1723" s="227"/>
      <c r="RSY1723" s="227"/>
      <c r="RSZ1723" s="227"/>
      <c r="RTA1723" s="227"/>
      <c r="RTB1723" s="227"/>
      <c r="RTC1723" s="227"/>
      <c r="RTD1723" s="227"/>
      <c r="RTE1723" s="227"/>
      <c r="RTF1723" s="227"/>
      <c r="RTG1723" s="227"/>
      <c r="RTH1723" s="227"/>
      <c r="RTI1723" s="227"/>
      <c r="RTJ1723" s="227"/>
      <c r="RTK1723" s="227"/>
      <c r="RTL1723" s="227"/>
      <c r="RTM1723" s="227"/>
      <c r="RTN1723" s="227"/>
      <c r="RTO1723" s="227"/>
      <c r="RTP1723" s="227"/>
      <c r="RTQ1723" s="227"/>
      <c r="RTR1723" s="227"/>
      <c r="RTS1723" s="227"/>
      <c r="RTT1723" s="227"/>
      <c r="RTU1723" s="227"/>
      <c r="RTV1723" s="227"/>
      <c r="RTW1723" s="227"/>
      <c r="RTX1723" s="227"/>
      <c r="RTY1723" s="227"/>
      <c r="RTZ1723" s="227"/>
      <c r="RUA1723" s="227"/>
      <c r="RUB1723" s="227"/>
      <c r="RUC1723" s="227"/>
      <c r="RUD1723" s="227"/>
      <c r="RUE1723" s="227"/>
      <c r="RUF1723" s="227"/>
      <c r="RUG1723" s="227"/>
      <c r="RUH1723" s="227"/>
      <c r="RUI1723" s="227"/>
      <c r="RUJ1723" s="227"/>
      <c r="RUK1723" s="227"/>
      <c r="RUL1723" s="227"/>
      <c r="RUM1723" s="227"/>
      <c r="RUN1723" s="227"/>
      <c r="RUO1723" s="227"/>
      <c r="RUP1723" s="227"/>
      <c r="RUQ1723" s="227"/>
      <c r="RUR1723" s="227"/>
      <c r="RUS1723" s="227"/>
      <c r="RUT1723" s="227"/>
      <c r="RUU1723" s="227"/>
      <c r="RUV1723" s="227"/>
      <c r="RUW1723" s="227"/>
      <c r="RUX1723" s="227"/>
      <c r="RUY1723" s="227"/>
      <c r="RUZ1723" s="227"/>
      <c r="RVA1723" s="227"/>
      <c r="RVB1723" s="227"/>
      <c r="RVC1723" s="227"/>
      <c r="RVD1723" s="227"/>
      <c r="RVE1723" s="227"/>
      <c r="RVF1723" s="227"/>
      <c r="RVG1723" s="227"/>
      <c r="RVH1723" s="227"/>
      <c r="RVI1723" s="227"/>
      <c r="RVJ1723" s="227"/>
      <c r="RVK1723" s="227"/>
      <c r="RVL1723" s="227"/>
      <c r="RVM1723" s="227"/>
      <c r="RVN1723" s="227"/>
      <c r="RVO1723" s="227"/>
      <c r="RVP1723" s="227"/>
      <c r="RVQ1723" s="227"/>
      <c r="RVR1723" s="227"/>
      <c r="RVS1723" s="227"/>
      <c r="RVT1723" s="227"/>
      <c r="RVU1723" s="227"/>
      <c r="RVV1723" s="227"/>
      <c r="RVW1723" s="227"/>
      <c r="RVX1723" s="227"/>
      <c r="RVY1723" s="227"/>
      <c r="RVZ1723" s="227"/>
      <c r="RWA1723" s="227"/>
      <c r="RWB1723" s="227"/>
      <c r="RWC1723" s="227"/>
      <c r="RWD1723" s="227"/>
      <c r="RWE1723" s="227"/>
      <c r="RWF1723" s="227"/>
      <c r="RWG1723" s="227"/>
      <c r="RWH1723" s="227"/>
      <c r="RWI1723" s="227"/>
      <c r="RWJ1723" s="227"/>
      <c r="RWK1723" s="227"/>
      <c r="RWL1723" s="227"/>
      <c r="RWM1723" s="227"/>
      <c r="RWN1723" s="227"/>
      <c r="RWO1723" s="227"/>
      <c r="RWP1723" s="227"/>
      <c r="RWQ1723" s="227"/>
      <c r="RWR1723" s="227"/>
      <c r="RWS1723" s="227"/>
      <c r="RWT1723" s="227"/>
      <c r="RWU1723" s="227"/>
      <c r="RWV1723" s="227"/>
      <c r="RWW1723" s="227"/>
      <c r="RWX1723" s="227"/>
      <c r="RWY1723" s="227"/>
      <c r="RWZ1723" s="227"/>
      <c r="RXA1723" s="227"/>
      <c r="RXB1723" s="227"/>
      <c r="RXC1723" s="227"/>
      <c r="RXD1723" s="227"/>
      <c r="RXE1723" s="227"/>
      <c r="RXF1723" s="227"/>
      <c r="RXG1723" s="227"/>
      <c r="RXH1723" s="227"/>
      <c r="RXI1723" s="227"/>
      <c r="RXJ1723" s="227"/>
      <c r="RXK1723" s="227"/>
      <c r="RXL1723" s="227"/>
      <c r="RXM1723" s="227"/>
      <c r="RXN1723" s="227"/>
      <c r="RXO1723" s="227"/>
      <c r="RXP1723" s="227"/>
      <c r="RXQ1723" s="227"/>
      <c r="RXR1723" s="227"/>
      <c r="RXS1723" s="227"/>
      <c r="RXT1723" s="227"/>
      <c r="RXU1723" s="227"/>
      <c r="RXV1723" s="227"/>
      <c r="RXW1723" s="227"/>
      <c r="RXX1723" s="227"/>
      <c r="RXY1723" s="227"/>
      <c r="RXZ1723" s="227"/>
      <c r="RYA1723" s="227"/>
      <c r="RYB1723" s="227"/>
      <c r="RYC1723" s="227"/>
      <c r="RYD1723" s="227"/>
      <c r="RYE1723" s="227"/>
      <c r="RYF1723" s="227"/>
      <c r="RYG1723" s="227"/>
      <c r="RYH1723" s="227"/>
      <c r="RYI1723" s="227"/>
      <c r="RYJ1723" s="227"/>
      <c r="RYK1723" s="227"/>
      <c r="RYL1723" s="227"/>
      <c r="RYM1723" s="227"/>
      <c r="RYN1723" s="227"/>
      <c r="RYO1723" s="227"/>
      <c r="RYP1723" s="227"/>
      <c r="RYQ1723" s="227"/>
      <c r="RYR1723" s="227"/>
      <c r="RYS1723" s="227"/>
      <c r="RYT1723" s="227"/>
      <c r="RYU1723" s="227"/>
      <c r="RYV1723" s="227"/>
      <c r="RYW1723" s="227"/>
      <c r="RYX1723" s="227"/>
      <c r="RYY1723" s="227"/>
      <c r="RYZ1723" s="227"/>
      <c r="RZA1723" s="227"/>
      <c r="RZB1723" s="227"/>
      <c r="RZC1723" s="227"/>
      <c r="RZD1723" s="227"/>
      <c r="RZE1723" s="227"/>
      <c r="RZF1723" s="227"/>
      <c r="RZG1723" s="227"/>
      <c r="RZH1723" s="227"/>
      <c r="RZI1723" s="227"/>
      <c r="RZJ1723" s="227"/>
      <c r="RZK1723" s="227"/>
      <c r="RZL1723" s="227"/>
      <c r="RZM1723" s="227"/>
      <c r="RZN1723" s="227"/>
      <c r="RZO1723" s="227"/>
      <c r="RZP1723" s="227"/>
      <c r="RZQ1723" s="227"/>
      <c r="RZR1723" s="227"/>
      <c r="RZS1723" s="227"/>
      <c r="RZT1723" s="227"/>
      <c r="RZU1723" s="227"/>
      <c r="RZV1723" s="227"/>
      <c r="RZW1723" s="227"/>
      <c r="RZX1723" s="227"/>
      <c r="RZY1723" s="227"/>
      <c r="RZZ1723" s="227"/>
      <c r="SAA1723" s="227"/>
      <c r="SAB1723" s="227"/>
      <c r="SAC1723" s="227"/>
      <c r="SAD1723" s="227"/>
      <c r="SAE1723" s="227"/>
      <c r="SAF1723" s="227"/>
      <c r="SAG1723" s="227"/>
      <c r="SAH1723" s="227"/>
      <c r="SAI1723" s="227"/>
      <c r="SAJ1723" s="227"/>
      <c r="SAK1723" s="227"/>
      <c r="SAL1723" s="227"/>
      <c r="SAM1723" s="227"/>
      <c r="SAN1723" s="227"/>
      <c r="SAO1723" s="227"/>
      <c r="SAP1723" s="227"/>
      <c r="SAQ1723" s="227"/>
      <c r="SAR1723" s="227"/>
      <c r="SAS1723" s="227"/>
      <c r="SAT1723" s="227"/>
      <c r="SAU1723" s="227"/>
      <c r="SAV1723" s="227"/>
      <c r="SAW1723" s="227"/>
      <c r="SAX1723" s="227"/>
      <c r="SAY1723" s="227"/>
      <c r="SAZ1723" s="227"/>
      <c r="SBA1723" s="227"/>
      <c r="SBB1723" s="227"/>
      <c r="SBC1723" s="227"/>
      <c r="SBD1723" s="227"/>
      <c r="SBE1723" s="227"/>
      <c r="SBF1723" s="227"/>
      <c r="SBG1723" s="227"/>
      <c r="SBH1723" s="227"/>
      <c r="SBI1723" s="227"/>
      <c r="SBJ1723" s="227"/>
      <c r="SBK1723" s="227"/>
      <c r="SBL1723" s="227"/>
      <c r="SBM1723" s="227"/>
      <c r="SBN1723" s="227"/>
      <c r="SBO1723" s="227"/>
      <c r="SBP1723" s="227"/>
      <c r="SBQ1723" s="227"/>
      <c r="SBR1723" s="227"/>
      <c r="SBS1723" s="227"/>
      <c r="SBT1723" s="227"/>
      <c r="SBU1723" s="227"/>
      <c r="SBV1723" s="227"/>
      <c r="SBW1723" s="227"/>
      <c r="SBX1723" s="227"/>
      <c r="SBY1723" s="227"/>
      <c r="SBZ1723" s="227"/>
      <c r="SCA1723" s="227"/>
      <c r="SCB1723" s="227"/>
      <c r="SCC1723" s="227"/>
      <c r="SCD1723" s="227"/>
      <c r="SCE1723" s="227"/>
      <c r="SCF1723" s="227"/>
      <c r="SCG1723" s="227"/>
      <c r="SCH1723" s="227"/>
      <c r="SCI1723" s="227"/>
      <c r="SCJ1723" s="227"/>
      <c r="SCK1723" s="227"/>
      <c r="SCL1723" s="227"/>
      <c r="SCM1723" s="227"/>
      <c r="SCN1723" s="227"/>
      <c r="SCO1723" s="227"/>
      <c r="SCP1723" s="227"/>
      <c r="SCQ1723" s="227"/>
      <c r="SCR1723" s="227"/>
      <c r="SCS1723" s="227"/>
      <c r="SCT1723" s="227"/>
      <c r="SCU1723" s="227"/>
      <c r="SCV1723" s="227"/>
      <c r="SCW1723" s="227"/>
      <c r="SCX1723" s="227"/>
      <c r="SCY1723" s="227"/>
      <c r="SCZ1723" s="227"/>
      <c r="SDA1723" s="227"/>
      <c r="SDB1723" s="227"/>
      <c r="SDC1723" s="227"/>
      <c r="SDD1723" s="227"/>
      <c r="SDE1723" s="227"/>
      <c r="SDF1723" s="227"/>
      <c r="SDG1723" s="227"/>
      <c r="SDH1723" s="227"/>
      <c r="SDI1723" s="227"/>
      <c r="SDJ1723" s="227"/>
      <c r="SDK1723" s="227"/>
      <c r="SDL1723" s="227"/>
      <c r="SDM1723" s="227"/>
      <c r="SDN1723" s="227"/>
      <c r="SDO1723" s="227"/>
      <c r="SDP1723" s="227"/>
      <c r="SDQ1723" s="227"/>
      <c r="SDR1723" s="227"/>
      <c r="SDS1723" s="227"/>
      <c r="SDT1723" s="227"/>
      <c r="SDU1723" s="227"/>
      <c r="SDV1723" s="227"/>
      <c r="SDW1723" s="227"/>
      <c r="SDX1723" s="227"/>
      <c r="SDY1723" s="227"/>
      <c r="SDZ1723" s="227"/>
      <c r="SEA1723" s="227"/>
      <c r="SEB1723" s="227"/>
      <c r="SEC1723" s="227"/>
      <c r="SED1723" s="227"/>
      <c r="SEE1723" s="227"/>
      <c r="SEF1723" s="227"/>
      <c r="SEG1723" s="227"/>
      <c r="SEH1723" s="227"/>
      <c r="SEI1723" s="227"/>
      <c r="SEJ1723" s="227"/>
      <c r="SEK1723" s="227"/>
      <c r="SEL1723" s="227"/>
      <c r="SEM1723" s="227"/>
      <c r="SEN1723" s="227"/>
      <c r="SEO1723" s="227"/>
      <c r="SEP1723" s="227"/>
      <c r="SEQ1723" s="227"/>
      <c r="SER1723" s="227"/>
      <c r="SES1723" s="227"/>
      <c r="SET1723" s="227"/>
      <c r="SEU1723" s="227"/>
      <c r="SEV1723" s="227"/>
      <c r="SEW1723" s="227"/>
      <c r="SEX1723" s="227"/>
      <c r="SEY1723" s="227"/>
      <c r="SEZ1723" s="227"/>
      <c r="SFA1723" s="227"/>
      <c r="SFB1723" s="227"/>
      <c r="SFC1723" s="227"/>
      <c r="SFD1723" s="227"/>
      <c r="SFE1723" s="227"/>
      <c r="SFF1723" s="227"/>
      <c r="SFG1723" s="227"/>
      <c r="SFH1723" s="227"/>
      <c r="SFI1723" s="227"/>
      <c r="SFJ1723" s="227"/>
      <c r="SFK1723" s="227"/>
      <c r="SFL1723" s="227"/>
      <c r="SFM1723" s="227"/>
      <c r="SFN1723" s="227"/>
      <c r="SFO1723" s="227"/>
      <c r="SFP1723" s="227"/>
      <c r="SFQ1723" s="227"/>
      <c r="SFR1723" s="227"/>
      <c r="SFS1723" s="227"/>
      <c r="SFT1723" s="227"/>
      <c r="SFU1723" s="227"/>
      <c r="SFV1723" s="227"/>
      <c r="SFW1723" s="227"/>
      <c r="SFX1723" s="227"/>
      <c r="SFY1723" s="227"/>
      <c r="SFZ1723" s="227"/>
      <c r="SGA1723" s="227"/>
      <c r="SGB1723" s="227"/>
      <c r="SGC1723" s="227"/>
      <c r="SGD1723" s="227"/>
      <c r="SGE1723" s="227"/>
      <c r="SGF1723" s="227"/>
      <c r="SGG1723" s="227"/>
      <c r="SGH1723" s="227"/>
      <c r="SGI1723" s="227"/>
      <c r="SGJ1723" s="227"/>
      <c r="SGK1723" s="227"/>
      <c r="SGL1723" s="227"/>
      <c r="SGM1723" s="227"/>
      <c r="SGN1723" s="227"/>
      <c r="SGO1723" s="227"/>
      <c r="SGP1723" s="227"/>
      <c r="SGQ1723" s="227"/>
      <c r="SGR1723" s="227"/>
      <c r="SGS1723" s="227"/>
      <c r="SGT1723" s="227"/>
      <c r="SGU1723" s="227"/>
      <c r="SGV1723" s="227"/>
      <c r="SGW1723" s="227"/>
      <c r="SGX1723" s="227"/>
      <c r="SGY1723" s="227"/>
      <c r="SGZ1723" s="227"/>
      <c r="SHA1723" s="227"/>
      <c r="SHB1723" s="227"/>
      <c r="SHC1723" s="227"/>
      <c r="SHD1723" s="227"/>
      <c r="SHE1723" s="227"/>
      <c r="SHF1723" s="227"/>
      <c r="SHG1723" s="227"/>
      <c r="SHH1723" s="227"/>
      <c r="SHI1723" s="227"/>
      <c r="SHJ1723" s="227"/>
      <c r="SHK1723" s="227"/>
      <c r="SHL1723" s="227"/>
      <c r="SHM1723" s="227"/>
      <c r="SHN1723" s="227"/>
      <c r="SHO1723" s="227"/>
      <c r="SHP1723" s="227"/>
      <c r="SHQ1723" s="227"/>
      <c r="SHR1723" s="227"/>
      <c r="SHS1723" s="227"/>
      <c r="SHT1723" s="227"/>
      <c r="SHU1723" s="227"/>
      <c r="SHV1723" s="227"/>
      <c r="SHW1723" s="227"/>
      <c r="SHX1723" s="227"/>
      <c r="SHY1723" s="227"/>
      <c r="SHZ1723" s="227"/>
      <c r="SIA1723" s="227"/>
      <c r="SIB1723" s="227"/>
      <c r="SIC1723" s="227"/>
      <c r="SID1723" s="227"/>
      <c r="SIE1723" s="227"/>
      <c r="SIF1723" s="227"/>
      <c r="SIG1723" s="227"/>
      <c r="SIH1723" s="227"/>
      <c r="SII1723" s="227"/>
      <c r="SIJ1723" s="227"/>
      <c r="SIK1723" s="227"/>
      <c r="SIL1723" s="227"/>
      <c r="SIM1723" s="227"/>
      <c r="SIN1723" s="227"/>
      <c r="SIO1723" s="227"/>
      <c r="SIP1723" s="227"/>
      <c r="SIQ1723" s="227"/>
      <c r="SIR1723" s="227"/>
      <c r="SIS1723" s="227"/>
      <c r="SIT1723" s="227"/>
      <c r="SIU1723" s="227"/>
      <c r="SIV1723" s="227"/>
      <c r="SIW1723" s="227"/>
      <c r="SIX1723" s="227"/>
      <c r="SIY1723" s="227"/>
      <c r="SIZ1723" s="227"/>
      <c r="SJA1723" s="227"/>
      <c r="SJB1723" s="227"/>
      <c r="SJC1723" s="227"/>
      <c r="SJD1723" s="227"/>
      <c r="SJE1723" s="227"/>
      <c r="SJF1723" s="227"/>
      <c r="SJG1723" s="227"/>
      <c r="SJH1723" s="227"/>
      <c r="SJI1723" s="227"/>
      <c r="SJJ1723" s="227"/>
      <c r="SJK1723" s="227"/>
      <c r="SJL1723" s="227"/>
      <c r="SJM1723" s="227"/>
      <c r="SJN1723" s="227"/>
      <c r="SJO1723" s="227"/>
      <c r="SJP1723" s="227"/>
      <c r="SJQ1723" s="227"/>
      <c r="SJR1723" s="227"/>
      <c r="SJS1723" s="227"/>
      <c r="SJT1723" s="227"/>
      <c r="SJU1723" s="227"/>
      <c r="SJV1723" s="227"/>
      <c r="SJW1723" s="227"/>
      <c r="SJX1723" s="227"/>
      <c r="SJY1723" s="227"/>
      <c r="SJZ1723" s="227"/>
      <c r="SKA1723" s="227"/>
      <c r="SKB1723" s="227"/>
      <c r="SKC1723" s="227"/>
      <c r="SKD1723" s="227"/>
      <c r="SKE1723" s="227"/>
      <c r="SKF1723" s="227"/>
      <c r="SKG1723" s="227"/>
      <c r="SKH1723" s="227"/>
      <c r="SKI1723" s="227"/>
      <c r="SKJ1723" s="227"/>
      <c r="SKK1723" s="227"/>
      <c r="SKL1723" s="227"/>
      <c r="SKM1723" s="227"/>
      <c r="SKN1723" s="227"/>
      <c r="SKO1723" s="227"/>
      <c r="SKP1723" s="227"/>
      <c r="SKQ1723" s="227"/>
      <c r="SKR1723" s="227"/>
      <c r="SKS1723" s="227"/>
      <c r="SKT1723" s="227"/>
      <c r="SKU1723" s="227"/>
      <c r="SKV1723" s="227"/>
      <c r="SKW1723" s="227"/>
      <c r="SKX1723" s="227"/>
      <c r="SKY1723" s="227"/>
      <c r="SKZ1723" s="227"/>
      <c r="SLA1723" s="227"/>
      <c r="SLB1723" s="227"/>
      <c r="SLC1723" s="227"/>
      <c r="SLD1723" s="227"/>
      <c r="SLE1723" s="227"/>
      <c r="SLF1723" s="227"/>
      <c r="SLG1723" s="227"/>
      <c r="SLH1723" s="227"/>
      <c r="SLI1723" s="227"/>
      <c r="SLJ1723" s="227"/>
      <c r="SLK1723" s="227"/>
      <c r="SLL1723" s="227"/>
      <c r="SLM1723" s="227"/>
      <c r="SLN1723" s="227"/>
      <c r="SLO1723" s="227"/>
      <c r="SLP1723" s="227"/>
      <c r="SLQ1723" s="227"/>
      <c r="SLR1723" s="227"/>
      <c r="SLS1723" s="227"/>
      <c r="SLT1723" s="227"/>
      <c r="SLU1723" s="227"/>
      <c r="SLV1723" s="227"/>
      <c r="SLW1723" s="227"/>
      <c r="SLX1723" s="227"/>
      <c r="SLY1723" s="227"/>
      <c r="SLZ1723" s="227"/>
      <c r="SMA1723" s="227"/>
      <c r="SMB1723" s="227"/>
      <c r="SMC1723" s="227"/>
      <c r="SMD1723" s="227"/>
      <c r="SME1723" s="227"/>
      <c r="SMF1723" s="227"/>
      <c r="SMG1723" s="227"/>
      <c r="SMH1723" s="227"/>
      <c r="SMI1723" s="227"/>
      <c r="SMJ1723" s="227"/>
      <c r="SMK1723" s="227"/>
      <c r="SML1723" s="227"/>
      <c r="SMM1723" s="227"/>
      <c r="SMN1723" s="227"/>
      <c r="SMO1723" s="227"/>
      <c r="SMP1723" s="227"/>
      <c r="SMQ1723" s="227"/>
      <c r="SMR1723" s="227"/>
      <c r="SMS1723" s="227"/>
      <c r="SMT1723" s="227"/>
      <c r="SMU1723" s="227"/>
      <c r="SMV1723" s="227"/>
      <c r="SMW1723" s="227"/>
      <c r="SMX1723" s="227"/>
      <c r="SMY1723" s="227"/>
      <c r="SMZ1723" s="227"/>
      <c r="SNA1723" s="227"/>
      <c r="SNB1723" s="227"/>
      <c r="SNC1723" s="227"/>
      <c r="SND1723" s="227"/>
      <c r="SNE1723" s="227"/>
      <c r="SNF1723" s="227"/>
      <c r="SNG1723" s="227"/>
      <c r="SNH1723" s="227"/>
      <c r="SNI1723" s="227"/>
      <c r="SNJ1723" s="227"/>
      <c r="SNK1723" s="227"/>
      <c r="SNL1723" s="227"/>
      <c r="SNM1723" s="227"/>
      <c r="SNN1723" s="227"/>
      <c r="SNO1723" s="227"/>
      <c r="SNP1723" s="227"/>
      <c r="SNQ1723" s="227"/>
      <c r="SNR1723" s="227"/>
      <c r="SNS1723" s="227"/>
      <c r="SNT1723" s="227"/>
      <c r="SNU1723" s="227"/>
      <c r="SNV1723" s="227"/>
      <c r="SNW1723" s="227"/>
      <c r="SNX1723" s="227"/>
      <c r="SNY1723" s="227"/>
      <c r="SNZ1723" s="227"/>
      <c r="SOA1723" s="227"/>
      <c r="SOB1723" s="227"/>
      <c r="SOC1723" s="227"/>
      <c r="SOD1723" s="227"/>
      <c r="SOE1723" s="227"/>
      <c r="SOF1723" s="227"/>
      <c r="SOG1723" s="227"/>
      <c r="SOH1723" s="227"/>
      <c r="SOI1723" s="227"/>
      <c r="SOJ1723" s="227"/>
      <c r="SOK1723" s="227"/>
      <c r="SOL1723" s="227"/>
      <c r="SOM1723" s="227"/>
      <c r="SON1723" s="227"/>
      <c r="SOO1723" s="227"/>
      <c r="SOP1723" s="227"/>
      <c r="SOQ1723" s="227"/>
      <c r="SOR1723" s="227"/>
      <c r="SOS1723" s="227"/>
      <c r="SOT1723" s="227"/>
      <c r="SOU1723" s="227"/>
      <c r="SOV1723" s="227"/>
      <c r="SOW1723" s="227"/>
      <c r="SOX1723" s="227"/>
      <c r="SOY1723" s="227"/>
      <c r="SOZ1723" s="227"/>
      <c r="SPA1723" s="227"/>
      <c r="SPB1723" s="227"/>
      <c r="SPC1723" s="227"/>
      <c r="SPD1723" s="227"/>
      <c r="SPE1723" s="227"/>
      <c r="SPF1723" s="227"/>
      <c r="SPG1723" s="227"/>
      <c r="SPH1723" s="227"/>
      <c r="SPI1723" s="227"/>
      <c r="SPJ1723" s="227"/>
      <c r="SPK1723" s="227"/>
      <c r="SPL1723" s="227"/>
      <c r="SPM1723" s="227"/>
      <c r="SPN1723" s="227"/>
      <c r="SPO1723" s="227"/>
      <c r="SPP1723" s="227"/>
      <c r="SPQ1723" s="227"/>
      <c r="SPR1723" s="227"/>
      <c r="SPS1723" s="227"/>
      <c r="SPT1723" s="227"/>
      <c r="SPU1723" s="227"/>
      <c r="SPV1723" s="227"/>
      <c r="SPW1723" s="227"/>
      <c r="SPX1723" s="227"/>
      <c r="SPY1723" s="227"/>
      <c r="SPZ1723" s="227"/>
      <c r="SQA1723" s="227"/>
      <c r="SQB1723" s="227"/>
      <c r="SQC1723" s="227"/>
      <c r="SQD1723" s="227"/>
      <c r="SQE1723" s="227"/>
      <c r="SQF1723" s="227"/>
      <c r="SQG1723" s="227"/>
      <c r="SQH1723" s="227"/>
      <c r="SQI1723" s="227"/>
      <c r="SQJ1723" s="227"/>
      <c r="SQK1723" s="227"/>
      <c r="SQL1723" s="227"/>
      <c r="SQM1723" s="227"/>
      <c r="SQN1723" s="227"/>
      <c r="SQO1723" s="227"/>
      <c r="SQP1723" s="227"/>
      <c r="SQQ1723" s="227"/>
      <c r="SQR1723" s="227"/>
      <c r="SQS1723" s="227"/>
      <c r="SQT1723" s="227"/>
      <c r="SQU1723" s="227"/>
      <c r="SQV1723" s="227"/>
      <c r="SQW1723" s="227"/>
      <c r="SQX1723" s="227"/>
      <c r="SQY1723" s="227"/>
      <c r="SQZ1723" s="227"/>
      <c r="SRA1723" s="227"/>
      <c r="SRB1723" s="227"/>
      <c r="SRC1723" s="227"/>
      <c r="SRD1723" s="227"/>
      <c r="SRE1723" s="227"/>
      <c r="SRF1723" s="227"/>
      <c r="SRG1723" s="227"/>
      <c r="SRH1723" s="227"/>
      <c r="SRI1723" s="227"/>
      <c r="SRJ1723" s="227"/>
      <c r="SRK1723" s="227"/>
      <c r="SRL1723" s="227"/>
      <c r="SRM1723" s="227"/>
      <c r="SRN1723" s="227"/>
      <c r="SRO1723" s="227"/>
      <c r="SRP1723" s="227"/>
      <c r="SRQ1723" s="227"/>
      <c r="SRR1723" s="227"/>
      <c r="SRS1723" s="227"/>
      <c r="SRT1723" s="227"/>
      <c r="SRU1723" s="227"/>
      <c r="SRV1723" s="227"/>
      <c r="SRW1723" s="227"/>
      <c r="SRX1723" s="227"/>
      <c r="SRY1723" s="227"/>
      <c r="SRZ1723" s="227"/>
      <c r="SSA1723" s="227"/>
      <c r="SSB1723" s="227"/>
      <c r="SSC1723" s="227"/>
      <c r="SSD1723" s="227"/>
      <c r="SSE1723" s="227"/>
      <c r="SSF1723" s="227"/>
      <c r="SSG1723" s="227"/>
      <c r="SSH1723" s="227"/>
      <c r="SSI1723" s="227"/>
      <c r="SSJ1723" s="227"/>
      <c r="SSK1723" s="227"/>
      <c r="SSL1723" s="227"/>
      <c r="SSM1723" s="227"/>
      <c r="SSN1723" s="227"/>
      <c r="SSO1723" s="227"/>
      <c r="SSP1723" s="227"/>
      <c r="SSQ1723" s="227"/>
      <c r="SSR1723" s="227"/>
      <c r="SSS1723" s="227"/>
      <c r="SST1723" s="227"/>
      <c r="SSU1723" s="227"/>
      <c r="SSV1723" s="227"/>
      <c r="SSW1723" s="227"/>
      <c r="SSX1723" s="227"/>
      <c r="SSY1723" s="227"/>
      <c r="SSZ1723" s="227"/>
      <c r="STA1723" s="227"/>
      <c r="STB1723" s="227"/>
      <c r="STC1723" s="227"/>
      <c r="STD1723" s="227"/>
      <c r="STE1723" s="227"/>
      <c r="STF1723" s="227"/>
      <c r="STG1723" s="227"/>
      <c r="STH1723" s="227"/>
      <c r="STI1723" s="227"/>
      <c r="STJ1723" s="227"/>
      <c r="STK1723" s="227"/>
      <c r="STL1723" s="227"/>
      <c r="STM1723" s="227"/>
      <c r="STN1723" s="227"/>
      <c r="STO1723" s="227"/>
      <c r="STP1723" s="227"/>
      <c r="STQ1723" s="227"/>
      <c r="STR1723" s="227"/>
      <c r="STS1723" s="227"/>
      <c r="STT1723" s="227"/>
      <c r="STU1723" s="227"/>
      <c r="STV1723" s="227"/>
      <c r="STW1723" s="227"/>
      <c r="STX1723" s="227"/>
      <c r="STY1723" s="227"/>
      <c r="STZ1723" s="227"/>
      <c r="SUA1723" s="227"/>
      <c r="SUB1723" s="227"/>
      <c r="SUC1723" s="227"/>
      <c r="SUD1723" s="227"/>
      <c r="SUE1723" s="227"/>
      <c r="SUF1723" s="227"/>
      <c r="SUG1723" s="227"/>
      <c r="SUH1723" s="227"/>
      <c r="SUI1723" s="227"/>
      <c r="SUJ1723" s="227"/>
      <c r="SUK1723" s="227"/>
      <c r="SUL1723" s="227"/>
      <c r="SUM1723" s="227"/>
      <c r="SUN1723" s="227"/>
      <c r="SUO1723" s="227"/>
      <c r="SUP1723" s="227"/>
      <c r="SUQ1723" s="227"/>
      <c r="SUR1723" s="227"/>
      <c r="SUS1723" s="227"/>
      <c r="SUT1723" s="227"/>
      <c r="SUU1723" s="227"/>
      <c r="SUV1723" s="227"/>
      <c r="SUW1723" s="227"/>
      <c r="SUX1723" s="227"/>
      <c r="SUY1723" s="227"/>
      <c r="SUZ1723" s="227"/>
      <c r="SVA1723" s="227"/>
      <c r="SVB1723" s="227"/>
      <c r="SVC1723" s="227"/>
      <c r="SVD1723" s="227"/>
      <c r="SVE1723" s="227"/>
      <c r="SVF1723" s="227"/>
      <c r="SVG1723" s="227"/>
      <c r="SVH1723" s="227"/>
      <c r="SVI1723" s="227"/>
      <c r="SVJ1723" s="227"/>
      <c r="SVK1723" s="227"/>
      <c r="SVL1723" s="227"/>
      <c r="SVM1723" s="227"/>
      <c r="SVN1723" s="227"/>
      <c r="SVO1723" s="227"/>
      <c r="SVP1723" s="227"/>
      <c r="SVQ1723" s="227"/>
      <c r="SVR1723" s="227"/>
      <c r="SVS1723" s="227"/>
      <c r="SVT1723" s="227"/>
      <c r="SVU1723" s="227"/>
      <c r="SVV1723" s="227"/>
      <c r="SVW1723" s="227"/>
      <c r="SVX1723" s="227"/>
      <c r="SVY1723" s="227"/>
      <c r="SVZ1723" s="227"/>
      <c r="SWA1723" s="227"/>
      <c r="SWB1723" s="227"/>
      <c r="SWC1723" s="227"/>
      <c r="SWD1723" s="227"/>
      <c r="SWE1723" s="227"/>
      <c r="SWF1723" s="227"/>
      <c r="SWG1723" s="227"/>
      <c r="SWH1723" s="227"/>
      <c r="SWI1723" s="227"/>
      <c r="SWJ1723" s="227"/>
      <c r="SWK1723" s="227"/>
      <c r="SWL1723" s="227"/>
      <c r="SWM1723" s="227"/>
      <c r="SWN1723" s="227"/>
      <c r="SWO1723" s="227"/>
      <c r="SWP1723" s="227"/>
      <c r="SWQ1723" s="227"/>
      <c r="SWR1723" s="227"/>
      <c r="SWS1723" s="227"/>
      <c r="SWT1723" s="227"/>
      <c r="SWU1723" s="227"/>
      <c r="SWV1723" s="227"/>
      <c r="SWW1723" s="227"/>
      <c r="SWX1723" s="227"/>
      <c r="SWY1723" s="227"/>
      <c r="SWZ1723" s="227"/>
      <c r="SXA1723" s="227"/>
      <c r="SXB1723" s="227"/>
      <c r="SXC1723" s="227"/>
      <c r="SXD1723" s="227"/>
      <c r="SXE1723" s="227"/>
      <c r="SXF1723" s="227"/>
      <c r="SXG1723" s="227"/>
      <c r="SXH1723" s="227"/>
      <c r="SXI1723" s="227"/>
      <c r="SXJ1723" s="227"/>
      <c r="SXK1723" s="227"/>
      <c r="SXL1723" s="227"/>
      <c r="SXM1723" s="227"/>
      <c r="SXN1723" s="227"/>
      <c r="SXO1723" s="227"/>
      <c r="SXP1723" s="227"/>
      <c r="SXQ1723" s="227"/>
      <c r="SXR1723" s="227"/>
      <c r="SXS1723" s="227"/>
      <c r="SXT1723" s="227"/>
      <c r="SXU1723" s="227"/>
      <c r="SXV1723" s="227"/>
      <c r="SXW1723" s="227"/>
      <c r="SXX1723" s="227"/>
      <c r="SXY1723" s="227"/>
      <c r="SXZ1723" s="227"/>
      <c r="SYA1723" s="227"/>
      <c r="SYB1723" s="227"/>
      <c r="SYC1723" s="227"/>
      <c r="SYD1723" s="227"/>
      <c r="SYE1723" s="227"/>
      <c r="SYF1723" s="227"/>
      <c r="SYG1723" s="227"/>
      <c r="SYH1723" s="227"/>
      <c r="SYI1723" s="227"/>
      <c r="SYJ1723" s="227"/>
      <c r="SYK1723" s="227"/>
      <c r="SYL1723" s="227"/>
      <c r="SYM1723" s="227"/>
      <c r="SYN1723" s="227"/>
      <c r="SYO1723" s="227"/>
      <c r="SYP1723" s="227"/>
      <c r="SYQ1723" s="227"/>
      <c r="SYR1723" s="227"/>
      <c r="SYS1723" s="227"/>
      <c r="SYT1723" s="227"/>
      <c r="SYU1723" s="227"/>
      <c r="SYV1723" s="227"/>
      <c r="SYW1723" s="227"/>
      <c r="SYX1723" s="227"/>
      <c r="SYY1723" s="227"/>
      <c r="SYZ1723" s="227"/>
      <c r="SZA1723" s="227"/>
      <c r="SZB1723" s="227"/>
      <c r="SZC1723" s="227"/>
      <c r="SZD1723" s="227"/>
      <c r="SZE1723" s="227"/>
      <c r="SZF1723" s="227"/>
      <c r="SZG1723" s="227"/>
      <c r="SZH1723" s="227"/>
      <c r="SZI1723" s="227"/>
      <c r="SZJ1723" s="227"/>
      <c r="SZK1723" s="227"/>
      <c r="SZL1723" s="227"/>
      <c r="SZM1723" s="227"/>
      <c r="SZN1723" s="227"/>
      <c r="SZO1723" s="227"/>
      <c r="SZP1723" s="227"/>
      <c r="SZQ1723" s="227"/>
      <c r="SZR1723" s="227"/>
      <c r="SZS1723" s="227"/>
      <c r="SZT1723" s="227"/>
      <c r="SZU1723" s="227"/>
      <c r="SZV1723" s="227"/>
      <c r="SZW1723" s="227"/>
      <c r="SZX1723" s="227"/>
      <c r="SZY1723" s="227"/>
      <c r="SZZ1723" s="227"/>
      <c r="TAA1723" s="227"/>
      <c r="TAB1723" s="227"/>
      <c r="TAC1723" s="227"/>
      <c r="TAD1723" s="227"/>
      <c r="TAE1723" s="227"/>
      <c r="TAF1723" s="227"/>
      <c r="TAG1723" s="227"/>
      <c r="TAH1723" s="227"/>
      <c r="TAI1723" s="227"/>
      <c r="TAJ1723" s="227"/>
      <c r="TAK1723" s="227"/>
      <c r="TAL1723" s="227"/>
      <c r="TAM1723" s="227"/>
      <c r="TAN1723" s="227"/>
      <c r="TAO1723" s="227"/>
      <c r="TAP1723" s="227"/>
      <c r="TAQ1723" s="227"/>
      <c r="TAR1723" s="227"/>
      <c r="TAS1723" s="227"/>
      <c r="TAT1723" s="227"/>
      <c r="TAU1723" s="227"/>
      <c r="TAV1723" s="227"/>
      <c r="TAW1723" s="227"/>
      <c r="TAX1723" s="227"/>
      <c r="TAY1723" s="227"/>
      <c r="TAZ1723" s="227"/>
      <c r="TBA1723" s="227"/>
      <c r="TBB1723" s="227"/>
      <c r="TBC1723" s="227"/>
      <c r="TBD1723" s="227"/>
      <c r="TBE1723" s="227"/>
      <c r="TBF1723" s="227"/>
      <c r="TBG1723" s="227"/>
      <c r="TBH1723" s="227"/>
      <c r="TBI1723" s="227"/>
      <c r="TBJ1723" s="227"/>
      <c r="TBK1723" s="227"/>
      <c r="TBL1723" s="227"/>
      <c r="TBM1723" s="227"/>
      <c r="TBN1723" s="227"/>
      <c r="TBO1723" s="227"/>
      <c r="TBP1723" s="227"/>
      <c r="TBQ1723" s="227"/>
      <c r="TBR1723" s="227"/>
      <c r="TBS1723" s="227"/>
      <c r="TBT1723" s="227"/>
      <c r="TBU1723" s="227"/>
      <c r="TBV1723" s="227"/>
      <c r="TBW1723" s="227"/>
      <c r="TBX1723" s="227"/>
      <c r="TBY1723" s="227"/>
      <c r="TBZ1723" s="227"/>
      <c r="TCA1723" s="227"/>
      <c r="TCB1723" s="227"/>
      <c r="TCC1723" s="227"/>
      <c r="TCD1723" s="227"/>
      <c r="TCE1723" s="227"/>
      <c r="TCF1723" s="227"/>
      <c r="TCG1723" s="227"/>
      <c r="TCH1723" s="227"/>
      <c r="TCI1723" s="227"/>
      <c r="TCJ1723" s="227"/>
      <c r="TCK1723" s="227"/>
      <c r="TCL1723" s="227"/>
      <c r="TCM1723" s="227"/>
      <c r="TCN1723" s="227"/>
      <c r="TCO1723" s="227"/>
      <c r="TCP1723" s="227"/>
      <c r="TCQ1723" s="227"/>
      <c r="TCR1723" s="227"/>
      <c r="TCS1723" s="227"/>
      <c r="TCT1723" s="227"/>
      <c r="TCU1723" s="227"/>
      <c r="TCV1723" s="227"/>
      <c r="TCW1723" s="227"/>
      <c r="TCX1723" s="227"/>
      <c r="TCY1723" s="227"/>
      <c r="TCZ1723" s="227"/>
      <c r="TDA1723" s="227"/>
      <c r="TDB1723" s="227"/>
      <c r="TDC1723" s="227"/>
      <c r="TDD1723" s="227"/>
      <c r="TDE1723" s="227"/>
      <c r="TDF1723" s="227"/>
      <c r="TDG1723" s="227"/>
      <c r="TDH1723" s="227"/>
      <c r="TDI1723" s="227"/>
      <c r="TDJ1723" s="227"/>
      <c r="TDK1723" s="227"/>
      <c r="TDL1723" s="227"/>
      <c r="TDM1723" s="227"/>
      <c r="TDN1723" s="227"/>
      <c r="TDO1723" s="227"/>
      <c r="TDP1723" s="227"/>
      <c r="TDQ1723" s="227"/>
      <c r="TDR1723" s="227"/>
      <c r="TDS1723" s="227"/>
      <c r="TDT1723" s="227"/>
      <c r="TDU1723" s="227"/>
      <c r="TDV1723" s="227"/>
      <c r="TDW1723" s="227"/>
      <c r="TDX1723" s="227"/>
      <c r="TDY1723" s="227"/>
      <c r="TDZ1723" s="227"/>
      <c r="TEA1723" s="227"/>
      <c r="TEB1723" s="227"/>
      <c r="TEC1723" s="227"/>
      <c r="TED1723" s="227"/>
      <c r="TEE1723" s="227"/>
      <c r="TEF1723" s="227"/>
      <c r="TEG1723" s="227"/>
      <c r="TEH1723" s="227"/>
      <c r="TEI1723" s="227"/>
      <c r="TEJ1723" s="227"/>
      <c r="TEK1723" s="227"/>
      <c r="TEL1723" s="227"/>
      <c r="TEM1723" s="227"/>
      <c r="TEN1723" s="227"/>
      <c r="TEO1723" s="227"/>
      <c r="TEP1723" s="227"/>
      <c r="TEQ1723" s="227"/>
      <c r="TER1723" s="227"/>
      <c r="TES1723" s="227"/>
      <c r="TET1723" s="227"/>
      <c r="TEU1723" s="227"/>
      <c r="TEV1723" s="227"/>
      <c r="TEW1723" s="227"/>
      <c r="TEX1723" s="227"/>
      <c r="TEY1723" s="227"/>
      <c r="TEZ1723" s="227"/>
      <c r="TFA1723" s="227"/>
      <c r="TFB1723" s="227"/>
      <c r="TFC1723" s="227"/>
      <c r="TFD1723" s="227"/>
      <c r="TFE1723" s="227"/>
      <c r="TFF1723" s="227"/>
      <c r="TFG1723" s="227"/>
      <c r="TFH1723" s="227"/>
      <c r="TFI1723" s="227"/>
      <c r="TFJ1723" s="227"/>
      <c r="TFK1723" s="227"/>
      <c r="TFL1723" s="227"/>
      <c r="TFM1723" s="227"/>
      <c r="TFN1723" s="227"/>
      <c r="TFO1723" s="227"/>
      <c r="TFP1723" s="227"/>
      <c r="TFQ1723" s="227"/>
      <c r="TFR1723" s="227"/>
      <c r="TFS1723" s="227"/>
      <c r="TFT1723" s="227"/>
      <c r="TFU1723" s="227"/>
      <c r="TFV1723" s="227"/>
      <c r="TFW1723" s="227"/>
      <c r="TFX1723" s="227"/>
      <c r="TFY1723" s="227"/>
      <c r="TFZ1723" s="227"/>
      <c r="TGA1723" s="227"/>
      <c r="TGB1723" s="227"/>
      <c r="TGC1723" s="227"/>
      <c r="TGD1723" s="227"/>
      <c r="TGE1723" s="227"/>
      <c r="TGF1723" s="227"/>
      <c r="TGG1723" s="227"/>
      <c r="TGH1723" s="227"/>
      <c r="TGI1723" s="227"/>
      <c r="TGJ1723" s="227"/>
      <c r="TGK1723" s="227"/>
      <c r="TGL1723" s="227"/>
      <c r="TGM1723" s="227"/>
      <c r="TGN1723" s="227"/>
      <c r="TGO1723" s="227"/>
      <c r="TGP1723" s="227"/>
      <c r="TGQ1723" s="227"/>
      <c r="TGR1723" s="227"/>
      <c r="TGS1723" s="227"/>
      <c r="TGT1723" s="227"/>
      <c r="TGU1723" s="227"/>
      <c r="TGV1723" s="227"/>
      <c r="TGW1723" s="227"/>
      <c r="TGX1723" s="227"/>
      <c r="TGY1723" s="227"/>
      <c r="TGZ1723" s="227"/>
      <c r="THA1723" s="227"/>
      <c r="THB1723" s="227"/>
      <c r="THC1723" s="227"/>
      <c r="THD1723" s="227"/>
      <c r="THE1723" s="227"/>
      <c r="THF1723" s="227"/>
      <c r="THG1723" s="227"/>
      <c r="THH1723" s="227"/>
      <c r="THI1723" s="227"/>
      <c r="THJ1723" s="227"/>
      <c r="THK1723" s="227"/>
      <c r="THL1723" s="227"/>
      <c r="THM1723" s="227"/>
      <c r="THN1723" s="227"/>
      <c r="THO1723" s="227"/>
      <c r="THP1723" s="227"/>
      <c r="THQ1723" s="227"/>
      <c r="THR1723" s="227"/>
      <c r="THS1723" s="227"/>
      <c r="THT1723" s="227"/>
      <c r="THU1723" s="227"/>
      <c r="THV1723" s="227"/>
      <c r="THW1723" s="227"/>
      <c r="THX1723" s="227"/>
      <c r="THY1723" s="227"/>
      <c r="THZ1723" s="227"/>
      <c r="TIA1723" s="227"/>
      <c r="TIB1723" s="227"/>
      <c r="TIC1723" s="227"/>
      <c r="TID1723" s="227"/>
      <c r="TIE1723" s="227"/>
      <c r="TIF1723" s="227"/>
      <c r="TIG1723" s="227"/>
      <c r="TIH1723" s="227"/>
      <c r="TII1723" s="227"/>
      <c r="TIJ1723" s="227"/>
      <c r="TIK1723" s="227"/>
      <c r="TIL1723" s="227"/>
      <c r="TIM1723" s="227"/>
      <c r="TIN1723" s="227"/>
      <c r="TIO1723" s="227"/>
      <c r="TIP1723" s="227"/>
      <c r="TIQ1723" s="227"/>
      <c r="TIR1723" s="227"/>
      <c r="TIS1723" s="227"/>
      <c r="TIT1723" s="227"/>
      <c r="TIU1723" s="227"/>
      <c r="TIV1723" s="227"/>
      <c r="TIW1723" s="227"/>
      <c r="TIX1723" s="227"/>
      <c r="TIY1723" s="227"/>
      <c r="TIZ1723" s="227"/>
      <c r="TJA1723" s="227"/>
      <c r="TJB1723" s="227"/>
      <c r="TJC1723" s="227"/>
      <c r="TJD1723" s="227"/>
      <c r="TJE1723" s="227"/>
      <c r="TJF1723" s="227"/>
      <c r="TJG1723" s="227"/>
      <c r="TJH1723" s="227"/>
      <c r="TJI1723" s="227"/>
      <c r="TJJ1723" s="227"/>
      <c r="TJK1723" s="227"/>
      <c r="TJL1723" s="227"/>
      <c r="TJM1723" s="227"/>
      <c r="TJN1723" s="227"/>
      <c r="TJO1723" s="227"/>
      <c r="TJP1723" s="227"/>
      <c r="TJQ1723" s="227"/>
      <c r="TJR1723" s="227"/>
      <c r="TJS1723" s="227"/>
      <c r="TJT1723" s="227"/>
      <c r="TJU1723" s="227"/>
      <c r="TJV1723" s="227"/>
      <c r="TJW1723" s="227"/>
      <c r="TJX1723" s="227"/>
      <c r="TJY1723" s="227"/>
      <c r="TJZ1723" s="227"/>
      <c r="TKA1723" s="227"/>
      <c r="TKB1723" s="227"/>
      <c r="TKC1723" s="227"/>
      <c r="TKD1723" s="227"/>
      <c r="TKE1723" s="227"/>
      <c r="TKF1723" s="227"/>
      <c r="TKG1723" s="227"/>
      <c r="TKH1723" s="227"/>
      <c r="TKI1723" s="227"/>
      <c r="TKJ1723" s="227"/>
      <c r="TKK1723" s="227"/>
      <c r="TKL1723" s="227"/>
      <c r="TKM1723" s="227"/>
      <c r="TKN1723" s="227"/>
      <c r="TKO1723" s="227"/>
      <c r="TKP1723" s="227"/>
      <c r="TKQ1723" s="227"/>
      <c r="TKR1723" s="227"/>
      <c r="TKS1723" s="227"/>
      <c r="TKT1723" s="227"/>
      <c r="TKU1723" s="227"/>
      <c r="TKV1723" s="227"/>
      <c r="TKW1723" s="227"/>
      <c r="TKX1723" s="227"/>
      <c r="TKY1723" s="227"/>
      <c r="TKZ1723" s="227"/>
      <c r="TLA1723" s="227"/>
      <c r="TLB1723" s="227"/>
      <c r="TLC1723" s="227"/>
      <c r="TLD1723" s="227"/>
      <c r="TLE1723" s="227"/>
      <c r="TLF1723" s="227"/>
      <c r="TLG1723" s="227"/>
      <c r="TLH1723" s="227"/>
      <c r="TLI1723" s="227"/>
      <c r="TLJ1723" s="227"/>
      <c r="TLK1723" s="227"/>
      <c r="TLL1723" s="227"/>
      <c r="TLM1723" s="227"/>
      <c r="TLN1723" s="227"/>
      <c r="TLO1723" s="227"/>
      <c r="TLP1723" s="227"/>
      <c r="TLQ1723" s="227"/>
      <c r="TLR1723" s="227"/>
      <c r="TLS1723" s="227"/>
      <c r="TLT1723" s="227"/>
      <c r="TLU1723" s="227"/>
      <c r="TLV1723" s="227"/>
      <c r="TLW1723" s="227"/>
      <c r="TLX1723" s="227"/>
      <c r="TLY1723" s="227"/>
      <c r="TLZ1723" s="227"/>
      <c r="TMA1723" s="227"/>
      <c r="TMB1723" s="227"/>
      <c r="TMC1723" s="227"/>
      <c r="TMD1723" s="227"/>
      <c r="TME1723" s="227"/>
      <c r="TMF1723" s="227"/>
      <c r="TMG1723" s="227"/>
      <c r="TMH1723" s="227"/>
      <c r="TMI1723" s="227"/>
      <c r="TMJ1723" s="227"/>
      <c r="TMK1723" s="227"/>
      <c r="TML1723" s="227"/>
      <c r="TMM1723" s="227"/>
      <c r="TMN1723" s="227"/>
      <c r="TMO1723" s="227"/>
      <c r="TMP1723" s="227"/>
      <c r="TMQ1723" s="227"/>
      <c r="TMR1723" s="227"/>
      <c r="TMS1723" s="227"/>
      <c r="TMT1723" s="227"/>
      <c r="TMU1723" s="227"/>
      <c r="TMV1723" s="227"/>
      <c r="TMW1723" s="227"/>
      <c r="TMX1723" s="227"/>
      <c r="TMY1723" s="227"/>
      <c r="TMZ1723" s="227"/>
      <c r="TNA1723" s="227"/>
      <c r="TNB1723" s="227"/>
      <c r="TNC1723" s="227"/>
      <c r="TND1723" s="227"/>
      <c r="TNE1723" s="227"/>
      <c r="TNF1723" s="227"/>
      <c r="TNG1723" s="227"/>
      <c r="TNH1723" s="227"/>
      <c r="TNI1723" s="227"/>
      <c r="TNJ1723" s="227"/>
      <c r="TNK1723" s="227"/>
      <c r="TNL1723" s="227"/>
      <c r="TNM1723" s="227"/>
      <c r="TNN1723" s="227"/>
      <c r="TNO1723" s="227"/>
      <c r="TNP1723" s="227"/>
      <c r="TNQ1723" s="227"/>
      <c r="TNR1723" s="227"/>
      <c r="TNS1723" s="227"/>
      <c r="TNT1723" s="227"/>
      <c r="TNU1723" s="227"/>
      <c r="TNV1723" s="227"/>
      <c r="TNW1723" s="227"/>
      <c r="TNX1723" s="227"/>
      <c r="TNY1723" s="227"/>
      <c r="TNZ1723" s="227"/>
      <c r="TOA1723" s="227"/>
      <c r="TOB1723" s="227"/>
      <c r="TOC1723" s="227"/>
      <c r="TOD1723" s="227"/>
      <c r="TOE1723" s="227"/>
      <c r="TOF1723" s="227"/>
      <c r="TOG1723" s="227"/>
      <c r="TOH1723" s="227"/>
      <c r="TOI1723" s="227"/>
      <c r="TOJ1723" s="227"/>
      <c r="TOK1723" s="227"/>
      <c r="TOL1723" s="227"/>
      <c r="TOM1723" s="227"/>
      <c r="TON1723" s="227"/>
      <c r="TOO1723" s="227"/>
      <c r="TOP1723" s="227"/>
      <c r="TOQ1723" s="227"/>
      <c r="TOR1723" s="227"/>
      <c r="TOS1723" s="227"/>
      <c r="TOT1723" s="227"/>
      <c r="TOU1723" s="227"/>
      <c r="TOV1723" s="227"/>
      <c r="TOW1723" s="227"/>
      <c r="TOX1723" s="227"/>
      <c r="TOY1723" s="227"/>
      <c r="TOZ1723" s="227"/>
      <c r="TPA1723" s="227"/>
      <c r="TPB1723" s="227"/>
      <c r="TPC1723" s="227"/>
      <c r="TPD1723" s="227"/>
      <c r="TPE1723" s="227"/>
      <c r="TPF1723" s="227"/>
      <c r="TPG1723" s="227"/>
      <c r="TPH1723" s="227"/>
      <c r="TPI1723" s="227"/>
      <c r="TPJ1723" s="227"/>
      <c r="TPK1723" s="227"/>
      <c r="TPL1723" s="227"/>
      <c r="TPM1723" s="227"/>
      <c r="TPN1723" s="227"/>
      <c r="TPO1723" s="227"/>
      <c r="TPP1723" s="227"/>
      <c r="TPQ1723" s="227"/>
      <c r="TPR1723" s="227"/>
      <c r="TPS1723" s="227"/>
      <c r="TPT1723" s="227"/>
      <c r="TPU1723" s="227"/>
      <c r="TPV1723" s="227"/>
      <c r="TPW1723" s="227"/>
      <c r="TPX1723" s="227"/>
      <c r="TPY1723" s="227"/>
      <c r="TPZ1723" s="227"/>
      <c r="TQA1723" s="227"/>
      <c r="TQB1723" s="227"/>
      <c r="TQC1723" s="227"/>
      <c r="TQD1723" s="227"/>
      <c r="TQE1723" s="227"/>
      <c r="TQF1723" s="227"/>
      <c r="TQG1723" s="227"/>
      <c r="TQH1723" s="227"/>
      <c r="TQI1723" s="227"/>
      <c r="TQJ1723" s="227"/>
      <c r="TQK1723" s="227"/>
      <c r="TQL1723" s="227"/>
      <c r="TQM1723" s="227"/>
      <c r="TQN1723" s="227"/>
      <c r="TQO1723" s="227"/>
      <c r="TQP1723" s="227"/>
      <c r="TQQ1723" s="227"/>
      <c r="TQR1723" s="227"/>
      <c r="TQS1723" s="227"/>
      <c r="TQT1723" s="227"/>
      <c r="TQU1723" s="227"/>
      <c r="TQV1723" s="227"/>
      <c r="TQW1723" s="227"/>
      <c r="TQX1723" s="227"/>
      <c r="TQY1723" s="227"/>
      <c r="TQZ1723" s="227"/>
      <c r="TRA1723" s="227"/>
      <c r="TRB1723" s="227"/>
      <c r="TRC1723" s="227"/>
      <c r="TRD1723" s="227"/>
      <c r="TRE1723" s="227"/>
      <c r="TRF1723" s="227"/>
      <c r="TRG1723" s="227"/>
      <c r="TRH1723" s="227"/>
      <c r="TRI1723" s="227"/>
      <c r="TRJ1723" s="227"/>
      <c r="TRK1723" s="227"/>
      <c r="TRL1723" s="227"/>
      <c r="TRM1723" s="227"/>
      <c r="TRN1723" s="227"/>
      <c r="TRO1723" s="227"/>
      <c r="TRP1723" s="227"/>
      <c r="TRQ1723" s="227"/>
      <c r="TRR1723" s="227"/>
      <c r="TRS1723" s="227"/>
      <c r="TRT1723" s="227"/>
      <c r="TRU1723" s="227"/>
      <c r="TRV1723" s="227"/>
      <c r="TRW1723" s="227"/>
      <c r="TRX1723" s="227"/>
      <c r="TRY1723" s="227"/>
      <c r="TRZ1723" s="227"/>
      <c r="TSA1723" s="227"/>
      <c r="TSB1723" s="227"/>
      <c r="TSC1723" s="227"/>
      <c r="TSD1723" s="227"/>
      <c r="TSE1723" s="227"/>
      <c r="TSF1723" s="227"/>
      <c r="TSG1723" s="227"/>
      <c r="TSH1723" s="227"/>
      <c r="TSI1723" s="227"/>
      <c r="TSJ1723" s="227"/>
      <c r="TSK1723" s="227"/>
      <c r="TSL1723" s="227"/>
      <c r="TSM1723" s="227"/>
      <c r="TSN1723" s="227"/>
      <c r="TSO1723" s="227"/>
      <c r="TSP1723" s="227"/>
      <c r="TSQ1723" s="227"/>
      <c r="TSR1723" s="227"/>
      <c r="TSS1723" s="227"/>
      <c r="TST1723" s="227"/>
      <c r="TSU1723" s="227"/>
      <c r="TSV1723" s="227"/>
      <c r="TSW1723" s="227"/>
      <c r="TSX1723" s="227"/>
      <c r="TSY1723" s="227"/>
      <c r="TSZ1723" s="227"/>
      <c r="TTA1723" s="227"/>
      <c r="TTB1723" s="227"/>
      <c r="TTC1723" s="227"/>
      <c r="TTD1723" s="227"/>
      <c r="TTE1723" s="227"/>
      <c r="TTF1723" s="227"/>
      <c r="TTG1723" s="227"/>
      <c r="TTH1723" s="227"/>
      <c r="TTI1723" s="227"/>
      <c r="TTJ1723" s="227"/>
      <c r="TTK1723" s="227"/>
      <c r="TTL1723" s="227"/>
      <c r="TTM1723" s="227"/>
      <c r="TTN1723" s="227"/>
      <c r="TTO1723" s="227"/>
      <c r="TTP1723" s="227"/>
      <c r="TTQ1723" s="227"/>
      <c r="TTR1723" s="227"/>
      <c r="TTS1723" s="227"/>
      <c r="TTT1723" s="227"/>
      <c r="TTU1723" s="227"/>
      <c r="TTV1723" s="227"/>
      <c r="TTW1723" s="227"/>
      <c r="TTX1723" s="227"/>
      <c r="TTY1723" s="227"/>
      <c r="TTZ1723" s="227"/>
      <c r="TUA1723" s="227"/>
      <c r="TUB1723" s="227"/>
      <c r="TUC1723" s="227"/>
      <c r="TUD1723" s="227"/>
      <c r="TUE1723" s="227"/>
      <c r="TUF1723" s="227"/>
      <c r="TUG1723" s="227"/>
      <c r="TUH1723" s="227"/>
      <c r="TUI1723" s="227"/>
      <c r="TUJ1723" s="227"/>
      <c r="TUK1723" s="227"/>
      <c r="TUL1723" s="227"/>
      <c r="TUM1723" s="227"/>
      <c r="TUN1723" s="227"/>
      <c r="TUO1723" s="227"/>
      <c r="TUP1723" s="227"/>
      <c r="TUQ1723" s="227"/>
      <c r="TUR1723" s="227"/>
      <c r="TUS1723" s="227"/>
      <c r="TUT1723" s="227"/>
      <c r="TUU1723" s="227"/>
      <c r="TUV1723" s="227"/>
      <c r="TUW1723" s="227"/>
      <c r="TUX1723" s="227"/>
      <c r="TUY1723" s="227"/>
      <c r="TUZ1723" s="227"/>
      <c r="TVA1723" s="227"/>
      <c r="TVB1723" s="227"/>
      <c r="TVC1723" s="227"/>
      <c r="TVD1723" s="227"/>
      <c r="TVE1723" s="227"/>
      <c r="TVF1723" s="227"/>
      <c r="TVG1723" s="227"/>
      <c r="TVH1723" s="227"/>
      <c r="TVI1723" s="227"/>
      <c r="TVJ1723" s="227"/>
      <c r="TVK1723" s="227"/>
      <c r="TVL1723" s="227"/>
      <c r="TVM1723" s="227"/>
      <c r="TVN1723" s="227"/>
      <c r="TVO1723" s="227"/>
      <c r="TVP1723" s="227"/>
      <c r="TVQ1723" s="227"/>
      <c r="TVR1723" s="227"/>
      <c r="TVS1723" s="227"/>
      <c r="TVT1723" s="227"/>
      <c r="TVU1723" s="227"/>
      <c r="TVV1723" s="227"/>
      <c r="TVW1723" s="227"/>
      <c r="TVX1723" s="227"/>
      <c r="TVY1723" s="227"/>
      <c r="TVZ1723" s="227"/>
      <c r="TWA1723" s="227"/>
      <c r="TWB1723" s="227"/>
      <c r="TWC1723" s="227"/>
      <c r="TWD1723" s="227"/>
      <c r="TWE1723" s="227"/>
      <c r="TWF1723" s="227"/>
      <c r="TWG1723" s="227"/>
      <c r="TWH1723" s="227"/>
      <c r="TWI1723" s="227"/>
      <c r="TWJ1723" s="227"/>
      <c r="TWK1723" s="227"/>
      <c r="TWL1723" s="227"/>
      <c r="TWM1723" s="227"/>
      <c r="TWN1723" s="227"/>
      <c r="TWO1723" s="227"/>
      <c r="TWP1723" s="227"/>
      <c r="TWQ1723" s="227"/>
      <c r="TWR1723" s="227"/>
      <c r="TWS1723" s="227"/>
      <c r="TWT1723" s="227"/>
      <c r="TWU1723" s="227"/>
      <c r="TWV1723" s="227"/>
      <c r="TWW1723" s="227"/>
      <c r="TWX1723" s="227"/>
      <c r="TWY1723" s="227"/>
      <c r="TWZ1723" s="227"/>
      <c r="TXA1723" s="227"/>
      <c r="TXB1723" s="227"/>
      <c r="TXC1723" s="227"/>
      <c r="TXD1723" s="227"/>
      <c r="TXE1723" s="227"/>
      <c r="TXF1723" s="227"/>
      <c r="TXG1723" s="227"/>
      <c r="TXH1723" s="227"/>
      <c r="TXI1723" s="227"/>
      <c r="TXJ1723" s="227"/>
      <c r="TXK1723" s="227"/>
      <c r="TXL1723" s="227"/>
      <c r="TXM1723" s="227"/>
      <c r="TXN1723" s="227"/>
      <c r="TXO1723" s="227"/>
      <c r="TXP1723" s="227"/>
      <c r="TXQ1723" s="227"/>
      <c r="TXR1723" s="227"/>
      <c r="TXS1723" s="227"/>
      <c r="TXT1723" s="227"/>
      <c r="TXU1723" s="227"/>
      <c r="TXV1723" s="227"/>
      <c r="TXW1723" s="227"/>
      <c r="TXX1723" s="227"/>
      <c r="TXY1723" s="227"/>
      <c r="TXZ1723" s="227"/>
      <c r="TYA1723" s="227"/>
      <c r="TYB1723" s="227"/>
      <c r="TYC1723" s="227"/>
      <c r="TYD1723" s="227"/>
      <c r="TYE1723" s="227"/>
      <c r="TYF1723" s="227"/>
      <c r="TYG1723" s="227"/>
      <c r="TYH1723" s="227"/>
      <c r="TYI1723" s="227"/>
      <c r="TYJ1723" s="227"/>
      <c r="TYK1723" s="227"/>
      <c r="TYL1723" s="227"/>
      <c r="TYM1723" s="227"/>
      <c r="TYN1723" s="227"/>
      <c r="TYO1723" s="227"/>
      <c r="TYP1723" s="227"/>
      <c r="TYQ1723" s="227"/>
      <c r="TYR1723" s="227"/>
      <c r="TYS1723" s="227"/>
      <c r="TYT1723" s="227"/>
      <c r="TYU1723" s="227"/>
      <c r="TYV1723" s="227"/>
      <c r="TYW1723" s="227"/>
      <c r="TYX1723" s="227"/>
      <c r="TYY1723" s="227"/>
      <c r="TYZ1723" s="227"/>
      <c r="TZA1723" s="227"/>
      <c r="TZB1723" s="227"/>
      <c r="TZC1723" s="227"/>
      <c r="TZD1723" s="227"/>
      <c r="TZE1723" s="227"/>
      <c r="TZF1723" s="227"/>
      <c r="TZG1723" s="227"/>
      <c r="TZH1723" s="227"/>
      <c r="TZI1723" s="227"/>
      <c r="TZJ1723" s="227"/>
      <c r="TZK1723" s="227"/>
      <c r="TZL1723" s="227"/>
      <c r="TZM1723" s="227"/>
      <c r="TZN1723" s="227"/>
      <c r="TZO1723" s="227"/>
      <c r="TZP1723" s="227"/>
      <c r="TZQ1723" s="227"/>
      <c r="TZR1723" s="227"/>
      <c r="TZS1723" s="227"/>
      <c r="TZT1723" s="227"/>
      <c r="TZU1723" s="227"/>
      <c r="TZV1723" s="227"/>
      <c r="TZW1723" s="227"/>
      <c r="TZX1723" s="227"/>
      <c r="TZY1723" s="227"/>
      <c r="TZZ1723" s="227"/>
      <c r="UAA1723" s="227"/>
      <c r="UAB1723" s="227"/>
      <c r="UAC1723" s="227"/>
      <c r="UAD1723" s="227"/>
      <c r="UAE1723" s="227"/>
      <c r="UAF1723" s="227"/>
      <c r="UAG1723" s="227"/>
      <c r="UAH1723" s="227"/>
      <c r="UAI1723" s="227"/>
      <c r="UAJ1723" s="227"/>
      <c r="UAK1723" s="227"/>
      <c r="UAL1723" s="227"/>
      <c r="UAM1723" s="227"/>
      <c r="UAN1723" s="227"/>
      <c r="UAO1723" s="227"/>
      <c r="UAP1723" s="227"/>
      <c r="UAQ1723" s="227"/>
      <c r="UAR1723" s="227"/>
      <c r="UAS1723" s="227"/>
      <c r="UAT1723" s="227"/>
      <c r="UAU1723" s="227"/>
      <c r="UAV1723" s="227"/>
      <c r="UAW1723" s="227"/>
      <c r="UAX1723" s="227"/>
      <c r="UAY1723" s="227"/>
      <c r="UAZ1723" s="227"/>
      <c r="UBA1723" s="227"/>
      <c r="UBB1723" s="227"/>
      <c r="UBC1723" s="227"/>
      <c r="UBD1723" s="227"/>
      <c r="UBE1723" s="227"/>
      <c r="UBF1723" s="227"/>
      <c r="UBG1723" s="227"/>
      <c r="UBH1723" s="227"/>
      <c r="UBI1723" s="227"/>
      <c r="UBJ1723" s="227"/>
      <c r="UBK1723" s="227"/>
      <c r="UBL1723" s="227"/>
      <c r="UBM1723" s="227"/>
      <c r="UBN1723" s="227"/>
      <c r="UBO1723" s="227"/>
      <c r="UBP1723" s="227"/>
      <c r="UBQ1723" s="227"/>
      <c r="UBR1723" s="227"/>
      <c r="UBS1723" s="227"/>
      <c r="UBT1723" s="227"/>
      <c r="UBU1723" s="227"/>
      <c r="UBV1723" s="227"/>
      <c r="UBW1723" s="227"/>
      <c r="UBX1723" s="227"/>
      <c r="UBY1723" s="227"/>
      <c r="UBZ1723" s="227"/>
      <c r="UCA1723" s="227"/>
      <c r="UCB1723" s="227"/>
      <c r="UCC1723" s="227"/>
      <c r="UCD1723" s="227"/>
      <c r="UCE1723" s="227"/>
      <c r="UCF1723" s="227"/>
      <c r="UCG1723" s="227"/>
      <c r="UCH1723" s="227"/>
      <c r="UCI1723" s="227"/>
      <c r="UCJ1723" s="227"/>
      <c r="UCK1723" s="227"/>
      <c r="UCL1723" s="227"/>
      <c r="UCM1723" s="227"/>
      <c r="UCN1723" s="227"/>
      <c r="UCO1723" s="227"/>
      <c r="UCP1723" s="227"/>
      <c r="UCQ1723" s="227"/>
      <c r="UCR1723" s="227"/>
      <c r="UCS1723" s="227"/>
      <c r="UCT1723" s="227"/>
      <c r="UCU1723" s="227"/>
      <c r="UCV1723" s="227"/>
      <c r="UCW1723" s="227"/>
      <c r="UCX1723" s="227"/>
      <c r="UCY1723" s="227"/>
      <c r="UCZ1723" s="227"/>
      <c r="UDA1723" s="227"/>
      <c r="UDB1723" s="227"/>
      <c r="UDC1723" s="227"/>
      <c r="UDD1723" s="227"/>
      <c r="UDE1723" s="227"/>
      <c r="UDF1723" s="227"/>
      <c r="UDG1723" s="227"/>
      <c r="UDH1723" s="227"/>
      <c r="UDI1723" s="227"/>
      <c r="UDJ1723" s="227"/>
      <c r="UDK1723" s="227"/>
      <c r="UDL1723" s="227"/>
      <c r="UDM1723" s="227"/>
      <c r="UDN1723" s="227"/>
      <c r="UDO1723" s="227"/>
      <c r="UDP1723" s="227"/>
      <c r="UDQ1723" s="227"/>
      <c r="UDR1723" s="227"/>
      <c r="UDS1723" s="227"/>
      <c r="UDT1723" s="227"/>
      <c r="UDU1723" s="227"/>
      <c r="UDV1723" s="227"/>
      <c r="UDW1723" s="227"/>
      <c r="UDX1723" s="227"/>
      <c r="UDY1723" s="227"/>
      <c r="UDZ1723" s="227"/>
      <c r="UEA1723" s="227"/>
      <c r="UEB1723" s="227"/>
      <c r="UEC1723" s="227"/>
      <c r="UED1723" s="227"/>
      <c r="UEE1723" s="227"/>
      <c r="UEF1723" s="227"/>
      <c r="UEG1723" s="227"/>
      <c r="UEH1723" s="227"/>
      <c r="UEI1723" s="227"/>
      <c r="UEJ1723" s="227"/>
      <c r="UEK1723" s="227"/>
      <c r="UEL1723" s="227"/>
      <c r="UEM1723" s="227"/>
      <c r="UEN1723" s="227"/>
      <c r="UEO1723" s="227"/>
      <c r="UEP1723" s="227"/>
      <c r="UEQ1723" s="227"/>
      <c r="UER1723" s="227"/>
      <c r="UES1723" s="227"/>
      <c r="UET1723" s="227"/>
      <c r="UEU1723" s="227"/>
      <c r="UEV1723" s="227"/>
      <c r="UEW1723" s="227"/>
      <c r="UEX1723" s="227"/>
      <c r="UEY1723" s="227"/>
      <c r="UEZ1723" s="227"/>
      <c r="UFA1723" s="227"/>
      <c r="UFB1723" s="227"/>
      <c r="UFC1723" s="227"/>
      <c r="UFD1723" s="227"/>
      <c r="UFE1723" s="227"/>
      <c r="UFF1723" s="227"/>
      <c r="UFG1723" s="227"/>
      <c r="UFH1723" s="227"/>
      <c r="UFI1723" s="227"/>
      <c r="UFJ1723" s="227"/>
      <c r="UFK1723" s="227"/>
      <c r="UFL1723" s="227"/>
      <c r="UFM1723" s="227"/>
      <c r="UFN1723" s="227"/>
      <c r="UFO1723" s="227"/>
      <c r="UFP1723" s="227"/>
      <c r="UFQ1723" s="227"/>
      <c r="UFR1723" s="227"/>
      <c r="UFS1723" s="227"/>
      <c r="UFT1723" s="227"/>
      <c r="UFU1723" s="227"/>
      <c r="UFV1723" s="227"/>
      <c r="UFW1723" s="227"/>
      <c r="UFX1723" s="227"/>
      <c r="UFY1723" s="227"/>
      <c r="UFZ1723" s="227"/>
      <c r="UGA1723" s="227"/>
      <c r="UGB1723" s="227"/>
      <c r="UGC1723" s="227"/>
      <c r="UGD1723" s="227"/>
      <c r="UGE1723" s="227"/>
      <c r="UGF1723" s="227"/>
      <c r="UGG1723" s="227"/>
      <c r="UGH1723" s="227"/>
      <c r="UGI1723" s="227"/>
      <c r="UGJ1723" s="227"/>
      <c r="UGK1723" s="227"/>
      <c r="UGL1723" s="227"/>
      <c r="UGM1723" s="227"/>
      <c r="UGN1723" s="227"/>
      <c r="UGO1723" s="227"/>
      <c r="UGP1723" s="227"/>
      <c r="UGQ1723" s="227"/>
      <c r="UGR1723" s="227"/>
      <c r="UGS1723" s="227"/>
      <c r="UGT1723" s="227"/>
      <c r="UGU1723" s="227"/>
      <c r="UGV1723" s="227"/>
      <c r="UGW1723" s="227"/>
      <c r="UGX1723" s="227"/>
      <c r="UGY1723" s="227"/>
      <c r="UGZ1723" s="227"/>
      <c r="UHA1723" s="227"/>
      <c r="UHB1723" s="227"/>
      <c r="UHC1723" s="227"/>
      <c r="UHD1723" s="227"/>
      <c r="UHE1723" s="227"/>
      <c r="UHF1723" s="227"/>
      <c r="UHG1723" s="227"/>
      <c r="UHH1723" s="227"/>
      <c r="UHI1723" s="227"/>
      <c r="UHJ1723" s="227"/>
      <c r="UHK1723" s="227"/>
      <c r="UHL1723" s="227"/>
      <c r="UHM1723" s="227"/>
      <c r="UHN1723" s="227"/>
      <c r="UHO1723" s="227"/>
      <c r="UHP1723" s="227"/>
      <c r="UHQ1723" s="227"/>
      <c r="UHR1723" s="227"/>
      <c r="UHS1723" s="227"/>
      <c r="UHT1723" s="227"/>
      <c r="UHU1723" s="227"/>
      <c r="UHV1723" s="227"/>
      <c r="UHW1723" s="227"/>
      <c r="UHX1723" s="227"/>
      <c r="UHY1723" s="227"/>
      <c r="UHZ1723" s="227"/>
      <c r="UIA1723" s="227"/>
      <c r="UIB1723" s="227"/>
      <c r="UIC1723" s="227"/>
      <c r="UID1723" s="227"/>
      <c r="UIE1723" s="227"/>
      <c r="UIF1723" s="227"/>
      <c r="UIG1723" s="227"/>
      <c r="UIH1723" s="227"/>
      <c r="UII1723" s="227"/>
      <c r="UIJ1723" s="227"/>
      <c r="UIK1723" s="227"/>
      <c r="UIL1723" s="227"/>
      <c r="UIM1723" s="227"/>
      <c r="UIN1723" s="227"/>
      <c r="UIO1723" s="227"/>
      <c r="UIP1723" s="227"/>
      <c r="UIQ1723" s="227"/>
      <c r="UIR1723" s="227"/>
      <c r="UIS1723" s="227"/>
      <c r="UIT1723" s="227"/>
      <c r="UIU1723" s="227"/>
      <c r="UIV1723" s="227"/>
      <c r="UIW1723" s="227"/>
      <c r="UIX1723" s="227"/>
      <c r="UIY1723" s="227"/>
      <c r="UIZ1723" s="227"/>
      <c r="UJA1723" s="227"/>
      <c r="UJB1723" s="227"/>
      <c r="UJC1723" s="227"/>
      <c r="UJD1723" s="227"/>
      <c r="UJE1723" s="227"/>
      <c r="UJF1723" s="227"/>
      <c r="UJG1723" s="227"/>
      <c r="UJH1723" s="227"/>
      <c r="UJI1723" s="227"/>
      <c r="UJJ1723" s="227"/>
      <c r="UJK1723" s="227"/>
      <c r="UJL1723" s="227"/>
      <c r="UJM1723" s="227"/>
      <c r="UJN1723" s="227"/>
      <c r="UJO1723" s="227"/>
      <c r="UJP1723" s="227"/>
      <c r="UJQ1723" s="227"/>
      <c r="UJR1723" s="227"/>
      <c r="UJS1723" s="227"/>
      <c r="UJT1723" s="227"/>
      <c r="UJU1723" s="227"/>
      <c r="UJV1723" s="227"/>
      <c r="UJW1723" s="227"/>
      <c r="UJX1723" s="227"/>
      <c r="UJY1723" s="227"/>
      <c r="UJZ1723" s="227"/>
      <c r="UKA1723" s="227"/>
      <c r="UKB1723" s="227"/>
      <c r="UKC1723" s="227"/>
      <c r="UKD1723" s="227"/>
      <c r="UKE1723" s="227"/>
      <c r="UKF1723" s="227"/>
      <c r="UKG1723" s="227"/>
      <c r="UKH1723" s="227"/>
      <c r="UKI1723" s="227"/>
      <c r="UKJ1723" s="227"/>
      <c r="UKK1723" s="227"/>
      <c r="UKL1723" s="227"/>
      <c r="UKM1723" s="227"/>
      <c r="UKN1723" s="227"/>
      <c r="UKO1723" s="227"/>
      <c r="UKP1723" s="227"/>
      <c r="UKQ1723" s="227"/>
      <c r="UKR1723" s="227"/>
      <c r="UKS1723" s="227"/>
      <c r="UKT1723" s="227"/>
      <c r="UKU1723" s="227"/>
      <c r="UKV1723" s="227"/>
      <c r="UKW1723" s="227"/>
      <c r="UKX1723" s="227"/>
      <c r="UKY1723" s="227"/>
      <c r="UKZ1723" s="227"/>
      <c r="ULA1723" s="227"/>
      <c r="ULB1723" s="227"/>
      <c r="ULC1723" s="227"/>
      <c r="ULD1723" s="227"/>
      <c r="ULE1723" s="227"/>
      <c r="ULF1723" s="227"/>
      <c r="ULG1723" s="227"/>
      <c r="ULH1723" s="227"/>
      <c r="ULI1723" s="227"/>
      <c r="ULJ1723" s="227"/>
      <c r="ULK1723" s="227"/>
      <c r="ULL1723" s="227"/>
      <c r="ULM1723" s="227"/>
      <c r="ULN1723" s="227"/>
      <c r="ULO1723" s="227"/>
      <c r="ULP1723" s="227"/>
      <c r="ULQ1723" s="227"/>
      <c r="ULR1723" s="227"/>
      <c r="ULS1723" s="227"/>
      <c r="ULT1723" s="227"/>
      <c r="ULU1723" s="227"/>
      <c r="ULV1723" s="227"/>
      <c r="ULW1723" s="227"/>
      <c r="ULX1723" s="227"/>
      <c r="ULY1723" s="227"/>
      <c r="ULZ1723" s="227"/>
      <c r="UMA1723" s="227"/>
      <c r="UMB1723" s="227"/>
      <c r="UMC1723" s="227"/>
      <c r="UMD1723" s="227"/>
      <c r="UME1723" s="227"/>
      <c r="UMF1723" s="227"/>
      <c r="UMG1723" s="227"/>
      <c r="UMH1723" s="227"/>
      <c r="UMI1723" s="227"/>
      <c r="UMJ1723" s="227"/>
      <c r="UMK1723" s="227"/>
      <c r="UML1723" s="227"/>
      <c r="UMM1723" s="227"/>
      <c r="UMN1723" s="227"/>
      <c r="UMO1723" s="227"/>
      <c r="UMP1723" s="227"/>
      <c r="UMQ1723" s="227"/>
      <c r="UMR1723" s="227"/>
      <c r="UMS1723" s="227"/>
      <c r="UMT1723" s="227"/>
      <c r="UMU1723" s="227"/>
      <c r="UMV1723" s="227"/>
      <c r="UMW1723" s="227"/>
      <c r="UMX1723" s="227"/>
      <c r="UMY1723" s="227"/>
      <c r="UMZ1723" s="227"/>
      <c r="UNA1723" s="227"/>
      <c r="UNB1723" s="227"/>
      <c r="UNC1723" s="227"/>
      <c r="UND1723" s="227"/>
      <c r="UNE1723" s="227"/>
      <c r="UNF1723" s="227"/>
      <c r="UNG1723" s="227"/>
      <c r="UNH1723" s="227"/>
      <c r="UNI1723" s="227"/>
      <c r="UNJ1723" s="227"/>
      <c r="UNK1723" s="227"/>
      <c r="UNL1723" s="227"/>
      <c r="UNM1723" s="227"/>
      <c r="UNN1723" s="227"/>
      <c r="UNO1723" s="227"/>
      <c r="UNP1723" s="227"/>
      <c r="UNQ1723" s="227"/>
      <c r="UNR1723" s="227"/>
      <c r="UNS1723" s="227"/>
      <c r="UNT1723" s="227"/>
      <c r="UNU1723" s="227"/>
      <c r="UNV1723" s="227"/>
      <c r="UNW1723" s="227"/>
      <c r="UNX1723" s="227"/>
      <c r="UNY1723" s="227"/>
      <c r="UNZ1723" s="227"/>
      <c r="UOA1723" s="227"/>
      <c r="UOB1723" s="227"/>
      <c r="UOC1723" s="227"/>
      <c r="UOD1723" s="227"/>
      <c r="UOE1723" s="227"/>
      <c r="UOF1723" s="227"/>
      <c r="UOG1723" s="227"/>
      <c r="UOH1723" s="227"/>
      <c r="UOI1723" s="227"/>
      <c r="UOJ1723" s="227"/>
      <c r="UOK1723" s="227"/>
      <c r="UOL1723" s="227"/>
      <c r="UOM1723" s="227"/>
      <c r="UON1723" s="227"/>
      <c r="UOO1723" s="227"/>
      <c r="UOP1723" s="227"/>
      <c r="UOQ1723" s="227"/>
      <c r="UOR1723" s="227"/>
      <c r="UOS1723" s="227"/>
      <c r="UOT1723" s="227"/>
      <c r="UOU1723" s="227"/>
      <c r="UOV1723" s="227"/>
      <c r="UOW1723" s="227"/>
      <c r="UOX1723" s="227"/>
      <c r="UOY1723" s="227"/>
      <c r="UOZ1723" s="227"/>
      <c r="UPA1723" s="227"/>
      <c r="UPB1723" s="227"/>
      <c r="UPC1723" s="227"/>
      <c r="UPD1723" s="227"/>
      <c r="UPE1723" s="227"/>
      <c r="UPF1723" s="227"/>
      <c r="UPG1723" s="227"/>
      <c r="UPH1723" s="227"/>
      <c r="UPI1723" s="227"/>
      <c r="UPJ1723" s="227"/>
      <c r="UPK1723" s="227"/>
      <c r="UPL1723" s="227"/>
      <c r="UPM1723" s="227"/>
      <c r="UPN1723" s="227"/>
      <c r="UPO1723" s="227"/>
      <c r="UPP1723" s="227"/>
      <c r="UPQ1723" s="227"/>
      <c r="UPR1723" s="227"/>
      <c r="UPS1723" s="227"/>
      <c r="UPT1723" s="227"/>
      <c r="UPU1723" s="227"/>
      <c r="UPV1723" s="227"/>
      <c r="UPW1723" s="227"/>
      <c r="UPX1723" s="227"/>
      <c r="UPY1723" s="227"/>
      <c r="UPZ1723" s="227"/>
      <c r="UQA1723" s="227"/>
      <c r="UQB1723" s="227"/>
      <c r="UQC1723" s="227"/>
      <c r="UQD1723" s="227"/>
      <c r="UQE1723" s="227"/>
      <c r="UQF1723" s="227"/>
      <c r="UQG1723" s="227"/>
      <c r="UQH1723" s="227"/>
      <c r="UQI1723" s="227"/>
      <c r="UQJ1723" s="227"/>
      <c r="UQK1723" s="227"/>
      <c r="UQL1723" s="227"/>
      <c r="UQM1723" s="227"/>
      <c r="UQN1723" s="227"/>
      <c r="UQO1723" s="227"/>
      <c r="UQP1723" s="227"/>
      <c r="UQQ1723" s="227"/>
      <c r="UQR1723" s="227"/>
      <c r="UQS1723" s="227"/>
      <c r="UQT1723" s="227"/>
      <c r="UQU1723" s="227"/>
      <c r="UQV1723" s="227"/>
      <c r="UQW1723" s="227"/>
      <c r="UQX1723" s="227"/>
      <c r="UQY1723" s="227"/>
      <c r="UQZ1723" s="227"/>
      <c r="URA1723" s="227"/>
      <c r="URB1723" s="227"/>
      <c r="URC1723" s="227"/>
      <c r="URD1723" s="227"/>
      <c r="URE1723" s="227"/>
      <c r="URF1723" s="227"/>
      <c r="URG1723" s="227"/>
      <c r="URH1723" s="227"/>
      <c r="URI1723" s="227"/>
      <c r="URJ1723" s="227"/>
      <c r="URK1723" s="227"/>
      <c r="URL1723" s="227"/>
      <c r="URM1723" s="227"/>
      <c r="URN1723" s="227"/>
      <c r="URO1723" s="227"/>
      <c r="URP1723" s="227"/>
      <c r="URQ1723" s="227"/>
      <c r="URR1723" s="227"/>
      <c r="URS1723" s="227"/>
      <c r="URT1723" s="227"/>
      <c r="URU1723" s="227"/>
      <c r="URV1723" s="227"/>
      <c r="URW1723" s="227"/>
      <c r="URX1723" s="227"/>
      <c r="URY1723" s="227"/>
      <c r="URZ1723" s="227"/>
      <c r="USA1723" s="227"/>
      <c r="USB1723" s="227"/>
      <c r="USC1723" s="227"/>
      <c r="USD1723" s="227"/>
      <c r="USE1723" s="227"/>
      <c r="USF1723" s="227"/>
      <c r="USG1723" s="227"/>
      <c r="USH1723" s="227"/>
      <c r="USI1723" s="227"/>
      <c r="USJ1723" s="227"/>
      <c r="USK1723" s="227"/>
      <c r="USL1723" s="227"/>
      <c r="USM1723" s="227"/>
      <c r="USN1723" s="227"/>
      <c r="USO1723" s="227"/>
      <c r="USP1723" s="227"/>
      <c r="USQ1723" s="227"/>
      <c r="USR1723" s="227"/>
      <c r="USS1723" s="227"/>
      <c r="UST1723" s="227"/>
      <c r="USU1723" s="227"/>
      <c r="USV1723" s="227"/>
      <c r="USW1723" s="227"/>
      <c r="USX1723" s="227"/>
      <c r="USY1723" s="227"/>
      <c r="USZ1723" s="227"/>
      <c r="UTA1723" s="227"/>
      <c r="UTB1723" s="227"/>
      <c r="UTC1723" s="227"/>
      <c r="UTD1723" s="227"/>
      <c r="UTE1723" s="227"/>
      <c r="UTF1723" s="227"/>
      <c r="UTG1723" s="227"/>
      <c r="UTH1723" s="227"/>
      <c r="UTI1723" s="227"/>
      <c r="UTJ1723" s="227"/>
      <c r="UTK1723" s="227"/>
      <c r="UTL1723" s="227"/>
      <c r="UTM1723" s="227"/>
      <c r="UTN1723" s="227"/>
      <c r="UTO1723" s="227"/>
      <c r="UTP1723" s="227"/>
      <c r="UTQ1723" s="227"/>
      <c r="UTR1723" s="227"/>
      <c r="UTS1723" s="227"/>
      <c r="UTT1723" s="227"/>
      <c r="UTU1723" s="227"/>
      <c r="UTV1723" s="227"/>
      <c r="UTW1723" s="227"/>
      <c r="UTX1723" s="227"/>
      <c r="UTY1723" s="227"/>
      <c r="UTZ1723" s="227"/>
      <c r="UUA1723" s="227"/>
      <c r="UUB1723" s="227"/>
      <c r="UUC1723" s="227"/>
      <c r="UUD1723" s="227"/>
      <c r="UUE1723" s="227"/>
      <c r="UUF1723" s="227"/>
      <c r="UUG1723" s="227"/>
      <c r="UUH1723" s="227"/>
      <c r="UUI1723" s="227"/>
      <c r="UUJ1723" s="227"/>
      <c r="UUK1723" s="227"/>
      <c r="UUL1723" s="227"/>
      <c r="UUM1723" s="227"/>
      <c r="UUN1723" s="227"/>
      <c r="UUO1723" s="227"/>
      <c r="UUP1723" s="227"/>
      <c r="UUQ1723" s="227"/>
      <c r="UUR1723" s="227"/>
      <c r="UUS1723" s="227"/>
      <c r="UUT1723" s="227"/>
      <c r="UUU1723" s="227"/>
      <c r="UUV1723" s="227"/>
      <c r="UUW1723" s="227"/>
      <c r="UUX1723" s="227"/>
      <c r="UUY1723" s="227"/>
      <c r="UUZ1723" s="227"/>
      <c r="UVA1723" s="227"/>
      <c r="UVB1723" s="227"/>
      <c r="UVC1723" s="227"/>
      <c r="UVD1723" s="227"/>
      <c r="UVE1723" s="227"/>
      <c r="UVF1723" s="227"/>
      <c r="UVG1723" s="227"/>
      <c r="UVH1723" s="227"/>
      <c r="UVI1723" s="227"/>
      <c r="UVJ1723" s="227"/>
      <c r="UVK1723" s="227"/>
      <c r="UVL1723" s="227"/>
      <c r="UVM1723" s="227"/>
      <c r="UVN1723" s="227"/>
      <c r="UVO1723" s="227"/>
      <c r="UVP1723" s="227"/>
      <c r="UVQ1723" s="227"/>
      <c r="UVR1723" s="227"/>
      <c r="UVS1723" s="227"/>
      <c r="UVT1723" s="227"/>
      <c r="UVU1723" s="227"/>
      <c r="UVV1723" s="227"/>
      <c r="UVW1723" s="227"/>
      <c r="UVX1723" s="227"/>
      <c r="UVY1723" s="227"/>
      <c r="UVZ1723" s="227"/>
      <c r="UWA1723" s="227"/>
      <c r="UWB1723" s="227"/>
      <c r="UWC1723" s="227"/>
      <c r="UWD1723" s="227"/>
      <c r="UWE1723" s="227"/>
      <c r="UWF1723" s="227"/>
      <c r="UWG1723" s="227"/>
      <c r="UWH1723" s="227"/>
      <c r="UWI1723" s="227"/>
      <c r="UWJ1723" s="227"/>
      <c r="UWK1723" s="227"/>
      <c r="UWL1723" s="227"/>
      <c r="UWM1723" s="227"/>
      <c r="UWN1723" s="227"/>
      <c r="UWO1723" s="227"/>
      <c r="UWP1723" s="227"/>
      <c r="UWQ1723" s="227"/>
      <c r="UWR1723" s="227"/>
      <c r="UWS1723" s="227"/>
      <c r="UWT1723" s="227"/>
      <c r="UWU1723" s="227"/>
      <c r="UWV1723" s="227"/>
      <c r="UWW1723" s="227"/>
      <c r="UWX1723" s="227"/>
      <c r="UWY1723" s="227"/>
      <c r="UWZ1723" s="227"/>
      <c r="UXA1723" s="227"/>
      <c r="UXB1723" s="227"/>
      <c r="UXC1723" s="227"/>
      <c r="UXD1723" s="227"/>
      <c r="UXE1723" s="227"/>
      <c r="UXF1723" s="227"/>
      <c r="UXG1723" s="227"/>
      <c r="UXH1723" s="227"/>
      <c r="UXI1723" s="227"/>
      <c r="UXJ1723" s="227"/>
      <c r="UXK1723" s="227"/>
      <c r="UXL1723" s="227"/>
      <c r="UXM1723" s="227"/>
      <c r="UXN1723" s="227"/>
      <c r="UXO1723" s="227"/>
      <c r="UXP1723" s="227"/>
      <c r="UXQ1723" s="227"/>
      <c r="UXR1723" s="227"/>
      <c r="UXS1723" s="227"/>
      <c r="UXT1723" s="227"/>
      <c r="UXU1723" s="227"/>
      <c r="UXV1723" s="227"/>
      <c r="UXW1723" s="227"/>
      <c r="UXX1723" s="227"/>
      <c r="UXY1723" s="227"/>
      <c r="UXZ1723" s="227"/>
      <c r="UYA1723" s="227"/>
      <c r="UYB1723" s="227"/>
      <c r="UYC1723" s="227"/>
      <c r="UYD1723" s="227"/>
      <c r="UYE1723" s="227"/>
      <c r="UYF1723" s="227"/>
      <c r="UYG1723" s="227"/>
      <c r="UYH1723" s="227"/>
      <c r="UYI1723" s="227"/>
      <c r="UYJ1723" s="227"/>
      <c r="UYK1723" s="227"/>
      <c r="UYL1723" s="227"/>
      <c r="UYM1723" s="227"/>
      <c r="UYN1723" s="227"/>
      <c r="UYO1723" s="227"/>
      <c r="UYP1723" s="227"/>
      <c r="UYQ1723" s="227"/>
      <c r="UYR1723" s="227"/>
      <c r="UYS1723" s="227"/>
      <c r="UYT1723" s="227"/>
      <c r="UYU1723" s="227"/>
      <c r="UYV1723" s="227"/>
      <c r="UYW1723" s="227"/>
      <c r="UYX1723" s="227"/>
      <c r="UYY1723" s="227"/>
      <c r="UYZ1723" s="227"/>
      <c r="UZA1723" s="227"/>
      <c r="UZB1723" s="227"/>
      <c r="UZC1723" s="227"/>
      <c r="UZD1723" s="227"/>
      <c r="UZE1723" s="227"/>
      <c r="UZF1723" s="227"/>
      <c r="UZG1723" s="227"/>
      <c r="UZH1723" s="227"/>
      <c r="UZI1723" s="227"/>
      <c r="UZJ1723" s="227"/>
      <c r="UZK1723" s="227"/>
      <c r="UZL1723" s="227"/>
      <c r="UZM1723" s="227"/>
      <c r="UZN1723" s="227"/>
      <c r="UZO1723" s="227"/>
      <c r="UZP1723" s="227"/>
      <c r="UZQ1723" s="227"/>
      <c r="UZR1723" s="227"/>
      <c r="UZS1723" s="227"/>
      <c r="UZT1723" s="227"/>
      <c r="UZU1723" s="227"/>
      <c r="UZV1723" s="227"/>
      <c r="UZW1723" s="227"/>
      <c r="UZX1723" s="227"/>
      <c r="UZY1723" s="227"/>
      <c r="UZZ1723" s="227"/>
      <c r="VAA1723" s="227"/>
      <c r="VAB1723" s="227"/>
      <c r="VAC1723" s="227"/>
      <c r="VAD1723" s="227"/>
      <c r="VAE1723" s="227"/>
      <c r="VAF1723" s="227"/>
      <c r="VAG1723" s="227"/>
      <c r="VAH1723" s="227"/>
      <c r="VAI1723" s="227"/>
      <c r="VAJ1723" s="227"/>
      <c r="VAK1723" s="227"/>
      <c r="VAL1723" s="227"/>
      <c r="VAM1723" s="227"/>
      <c r="VAN1723" s="227"/>
      <c r="VAO1723" s="227"/>
      <c r="VAP1723" s="227"/>
      <c r="VAQ1723" s="227"/>
      <c r="VAR1723" s="227"/>
      <c r="VAS1723" s="227"/>
      <c r="VAT1723" s="227"/>
      <c r="VAU1723" s="227"/>
      <c r="VAV1723" s="227"/>
      <c r="VAW1723" s="227"/>
      <c r="VAX1723" s="227"/>
      <c r="VAY1723" s="227"/>
      <c r="VAZ1723" s="227"/>
      <c r="VBA1723" s="227"/>
      <c r="VBB1723" s="227"/>
      <c r="VBC1723" s="227"/>
      <c r="VBD1723" s="227"/>
      <c r="VBE1723" s="227"/>
      <c r="VBF1723" s="227"/>
      <c r="VBG1723" s="227"/>
      <c r="VBH1723" s="227"/>
      <c r="VBI1723" s="227"/>
      <c r="VBJ1723" s="227"/>
      <c r="VBK1723" s="227"/>
      <c r="VBL1723" s="227"/>
      <c r="VBM1723" s="227"/>
      <c r="VBN1723" s="227"/>
      <c r="VBO1723" s="227"/>
      <c r="VBP1723" s="227"/>
      <c r="VBQ1723" s="227"/>
      <c r="VBR1723" s="227"/>
      <c r="VBS1723" s="227"/>
      <c r="VBT1723" s="227"/>
      <c r="VBU1723" s="227"/>
      <c r="VBV1723" s="227"/>
      <c r="VBW1723" s="227"/>
      <c r="VBX1723" s="227"/>
      <c r="VBY1723" s="227"/>
      <c r="VBZ1723" s="227"/>
      <c r="VCA1723" s="227"/>
      <c r="VCB1723" s="227"/>
      <c r="VCC1723" s="227"/>
      <c r="VCD1723" s="227"/>
      <c r="VCE1723" s="227"/>
      <c r="VCF1723" s="227"/>
      <c r="VCG1723" s="227"/>
      <c r="VCH1723" s="227"/>
      <c r="VCI1723" s="227"/>
      <c r="VCJ1723" s="227"/>
      <c r="VCK1723" s="227"/>
      <c r="VCL1723" s="227"/>
      <c r="VCM1723" s="227"/>
      <c r="VCN1723" s="227"/>
      <c r="VCO1723" s="227"/>
      <c r="VCP1723" s="227"/>
      <c r="VCQ1723" s="227"/>
      <c r="VCR1723" s="227"/>
      <c r="VCS1723" s="227"/>
      <c r="VCT1723" s="227"/>
      <c r="VCU1723" s="227"/>
      <c r="VCV1723" s="227"/>
      <c r="VCW1723" s="227"/>
      <c r="VCX1723" s="227"/>
      <c r="VCY1723" s="227"/>
      <c r="VCZ1723" s="227"/>
      <c r="VDA1723" s="227"/>
      <c r="VDB1723" s="227"/>
      <c r="VDC1723" s="227"/>
      <c r="VDD1723" s="227"/>
      <c r="VDE1723" s="227"/>
      <c r="VDF1723" s="227"/>
      <c r="VDG1723" s="227"/>
      <c r="VDH1723" s="227"/>
      <c r="VDI1723" s="227"/>
      <c r="VDJ1723" s="227"/>
      <c r="VDK1723" s="227"/>
      <c r="VDL1723" s="227"/>
      <c r="VDM1723" s="227"/>
      <c r="VDN1723" s="227"/>
      <c r="VDO1723" s="227"/>
      <c r="VDP1723" s="227"/>
      <c r="VDQ1723" s="227"/>
      <c r="VDR1723" s="227"/>
      <c r="VDS1723" s="227"/>
      <c r="VDT1723" s="227"/>
      <c r="VDU1723" s="227"/>
      <c r="VDV1723" s="227"/>
      <c r="VDW1723" s="227"/>
      <c r="VDX1723" s="227"/>
      <c r="VDY1723" s="227"/>
      <c r="VDZ1723" s="227"/>
      <c r="VEA1723" s="227"/>
      <c r="VEB1723" s="227"/>
      <c r="VEC1723" s="227"/>
      <c r="VED1723" s="227"/>
      <c r="VEE1723" s="227"/>
      <c r="VEF1723" s="227"/>
      <c r="VEG1723" s="227"/>
      <c r="VEH1723" s="227"/>
      <c r="VEI1723" s="227"/>
      <c r="VEJ1723" s="227"/>
      <c r="VEK1723" s="227"/>
      <c r="VEL1723" s="227"/>
      <c r="VEM1723" s="227"/>
      <c r="VEN1723" s="227"/>
      <c r="VEO1723" s="227"/>
      <c r="VEP1723" s="227"/>
      <c r="VEQ1723" s="227"/>
      <c r="VER1723" s="227"/>
      <c r="VES1723" s="227"/>
      <c r="VET1723" s="227"/>
      <c r="VEU1723" s="227"/>
      <c r="VEV1723" s="227"/>
      <c r="VEW1723" s="227"/>
      <c r="VEX1723" s="227"/>
      <c r="VEY1723" s="227"/>
      <c r="VEZ1723" s="227"/>
      <c r="VFA1723" s="227"/>
      <c r="VFB1723" s="227"/>
      <c r="VFC1723" s="227"/>
      <c r="VFD1723" s="227"/>
      <c r="VFE1723" s="227"/>
      <c r="VFF1723" s="227"/>
      <c r="VFG1723" s="227"/>
      <c r="VFH1723" s="227"/>
      <c r="VFI1723" s="227"/>
      <c r="VFJ1723" s="227"/>
      <c r="VFK1723" s="227"/>
      <c r="VFL1723" s="227"/>
      <c r="VFM1723" s="227"/>
      <c r="VFN1723" s="227"/>
      <c r="VFO1723" s="227"/>
      <c r="VFP1723" s="227"/>
      <c r="VFQ1723" s="227"/>
      <c r="VFR1723" s="227"/>
      <c r="VFS1723" s="227"/>
      <c r="VFT1723" s="227"/>
      <c r="VFU1723" s="227"/>
      <c r="VFV1723" s="227"/>
      <c r="VFW1723" s="227"/>
      <c r="VFX1723" s="227"/>
      <c r="VFY1723" s="227"/>
      <c r="VFZ1723" s="227"/>
      <c r="VGA1723" s="227"/>
      <c r="VGB1723" s="227"/>
      <c r="VGC1723" s="227"/>
      <c r="VGD1723" s="227"/>
      <c r="VGE1723" s="227"/>
      <c r="VGF1723" s="227"/>
      <c r="VGG1723" s="227"/>
      <c r="VGH1723" s="227"/>
      <c r="VGI1723" s="227"/>
      <c r="VGJ1723" s="227"/>
      <c r="VGK1723" s="227"/>
      <c r="VGL1723" s="227"/>
      <c r="VGM1723" s="227"/>
      <c r="VGN1723" s="227"/>
      <c r="VGO1723" s="227"/>
      <c r="VGP1723" s="227"/>
      <c r="VGQ1723" s="227"/>
      <c r="VGR1723" s="227"/>
      <c r="VGS1723" s="227"/>
      <c r="VGT1723" s="227"/>
      <c r="VGU1723" s="227"/>
      <c r="VGV1723" s="227"/>
      <c r="VGW1723" s="227"/>
      <c r="VGX1723" s="227"/>
      <c r="VGY1723" s="227"/>
      <c r="VGZ1723" s="227"/>
      <c r="VHA1723" s="227"/>
      <c r="VHB1723" s="227"/>
      <c r="VHC1723" s="227"/>
      <c r="VHD1723" s="227"/>
      <c r="VHE1723" s="227"/>
      <c r="VHF1723" s="227"/>
      <c r="VHG1723" s="227"/>
      <c r="VHH1723" s="227"/>
      <c r="VHI1723" s="227"/>
      <c r="VHJ1723" s="227"/>
      <c r="VHK1723" s="227"/>
      <c r="VHL1723" s="227"/>
      <c r="VHM1723" s="227"/>
      <c r="VHN1723" s="227"/>
      <c r="VHO1723" s="227"/>
      <c r="VHP1723" s="227"/>
      <c r="VHQ1723" s="227"/>
      <c r="VHR1723" s="227"/>
      <c r="VHS1723" s="227"/>
      <c r="VHT1723" s="227"/>
      <c r="VHU1723" s="227"/>
      <c r="VHV1723" s="227"/>
      <c r="VHW1723" s="227"/>
      <c r="VHX1723" s="227"/>
      <c r="VHY1723" s="227"/>
      <c r="VHZ1723" s="227"/>
      <c r="VIA1723" s="227"/>
      <c r="VIB1723" s="227"/>
      <c r="VIC1723" s="227"/>
      <c r="VID1723" s="227"/>
      <c r="VIE1723" s="227"/>
      <c r="VIF1723" s="227"/>
      <c r="VIG1723" s="227"/>
      <c r="VIH1723" s="227"/>
      <c r="VII1723" s="227"/>
      <c r="VIJ1723" s="227"/>
      <c r="VIK1723" s="227"/>
      <c r="VIL1723" s="227"/>
      <c r="VIM1723" s="227"/>
      <c r="VIN1723" s="227"/>
      <c r="VIO1723" s="227"/>
      <c r="VIP1723" s="227"/>
      <c r="VIQ1723" s="227"/>
      <c r="VIR1723" s="227"/>
      <c r="VIS1723" s="227"/>
      <c r="VIT1723" s="227"/>
      <c r="VIU1723" s="227"/>
      <c r="VIV1723" s="227"/>
      <c r="VIW1723" s="227"/>
      <c r="VIX1723" s="227"/>
      <c r="VIY1723" s="227"/>
      <c r="VIZ1723" s="227"/>
      <c r="VJA1723" s="227"/>
      <c r="VJB1723" s="227"/>
      <c r="VJC1723" s="227"/>
      <c r="VJD1723" s="227"/>
      <c r="VJE1723" s="227"/>
      <c r="VJF1723" s="227"/>
      <c r="VJG1723" s="227"/>
      <c r="VJH1723" s="227"/>
      <c r="VJI1723" s="227"/>
      <c r="VJJ1723" s="227"/>
      <c r="VJK1723" s="227"/>
      <c r="VJL1723" s="227"/>
      <c r="VJM1723" s="227"/>
      <c r="VJN1723" s="227"/>
      <c r="VJO1723" s="227"/>
      <c r="VJP1723" s="227"/>
      <c r="VJQ1723" s="227"/>
      <c r="VJR1723" s="227"/>
      <c r="VJS1723" s="227"/>
      <c r="VJT1723" s="227"/>
      <c r="VJU1723" s="227"/>
      <c r="VJV1723" s="227"/>
      <c r="VJW1723" s="227"/>
      <c r="VJX1723" s="227"/>
      <c r="VJY1723" s="227"/>
      <c r="VJZ1723" s="227"/>
      <c r="VKA1723" s="227"/>
      <c r="VKB1723" s="227"/>
      <c r="VKC1723" s="227"/>
      <c r="VKD1723" s="227"/>
      <c r="VKE1723" s="227"/>
      <c r="VKF1723" s="227"/>
      <c r="VKG1723" s="227"/>
      <c r="VKH1723" s="227"/>
      <c r="VKI1723" s="227"/>
      <c r="VKJ1723" s="227"/>
      <c r="VKK1723" s="227"/>
      <c r="VKL1723" s="227"/>
      <c r="VKM1723" s="227"/>
      <c r="VKN1723" s="227"/>
      <c r="VKO1723" s="227"/>
      <c r="VKP1723" s="227"/>
      <c r="VKQ1723" s="227"/>
      <c r="VKR1723" s="227"/>
      <c r="VKS1723" s="227"/>
      <c r="VKT1723" s="227"/>
      <c r="VKU1723" s="227"/>
      <c r="VKV1723" s="227"/>
      <c r="VKW1723" s="227"/>
      <c r="VKX1723" s="227"/>
      <c r="VKY1723" s="227"/>
      <c r="VKZ1723" s="227"/>
      <c r="VLA1723" s="227"/>
      <c r="VLB1723" s="227"/>
      <c r="VLC1723" s="227"/>
      <c r="VLD1723" s="227"/>
      <c r="VLE1723" s="227"/>
      <c r="VLF1723" s="227"/>
      <c r="VLG1723" s="227"/>
      <c r="VLH1723" s="227"/>
      <c r="VLI1723" s="227"/>
      <c r="VLJ1723" s="227"/>
      <c r="VLK1723" s="227"/>
      <c r="VLL1723" s="227"/>
      <c r="VLM1723" s="227"/>
      <c r="VLN1723" s="227"/>
      <c r="VLO1723" s="227"/>
      <c r="VLP1723" s="227"/>
      <c r="VLQ1723" s="227"/>
      <c r="VLR1723" s="227"/>
      <c r="VLS1723" s="227"/>
      <c r="VLT1723" s="227"/>
      <c r="VLU1723" s="227"/>
      <c r="VLV1723" s="227"/>
      <c r="VLW1723" s="227"/>
      <c r="VLX1723" s="227"/>
      <c r="VLY1723" s="227"/>
      <c r="VLZ1723" s="227"/>
      <c r="VMA1723" s="227"/>
      <c r="VMB1723" s="227"/>
      <c r="VMC1723" s="227"/>
      <c r="VMD1723" s="227"/>
      <c r="VME1723" s="227"/>
      <c r="VMF1723" s="227"/>
      <c r="VMG1723" s="227"/>
      <c r="VMH1723" s="227"/>
      <c r="VMI1723" s="227"/>
      <c r="VMJ1723" s="227"/>
      <c r="VMK1723" s="227"/>
      <c r="VML1723" s="227"/>
      <c r="VMM1723" s="227"/>
      <c r="VMN1723" s="227"/>
      <c r="VMO1723" s="227"/>
      <c r="VMP1723" s="227"/>
      <c r="VMQ1723" s="227"/>
      <c r="VMR1723" s="227"/>
      <c r="VMS1723" s="227"/>
      <c r="VMT1723" s="227"/>
      <c r="VMU1723" s="227"/>
      <c r="VMV1723" s="227"/>
      <c r="VMW1723" s="227"/>
      <c r="VMX1723" s="227"/>
      <c r="VMY1723" s="227"/>
      <c r="VMZ1723" s="227"/>
      <c r="VNA1723" s="227"/>
      <c r="VNB1723" s="227"/>
      <c r="VNC1723" s="227"/>
      <c r="VND1723" s="227"/>
      <c r="VNE1723" s="227"/>
      <c r="VNF1723" s="227"/>
      <c r="VNG1723" s="227"/>
      <c r="VNH1723" s="227"/>
      <c r="VNI1723" s="227"/>
      <c r="VNJ1723" s="227"/>
      <c r="VNK1723" s="227"/>
      <c r="VNL1723" s="227"/>
      <c r="VNM1723" s="227"/>
      <c r="VNN1723" s="227"/>
      <c r="VNO1723" s="227"/>
      <c r="VNP1723" s="227"/>
      <c r="VNQ1723" s="227"/>
      <c r="VNR1723" s="227"/>
      <c r="VNS1723" s="227"/>
      <c r="VNT1723" s="227"/>
      <c r="VNU1723" s="227"/>
      <c r="VNV1723" s="227"/>
      <c r="VNW1723" s="227"/>
      <c r="VNX1723" s="227"/>
      <c r="VNY1723" s="227"/>
      <c r="VNZ1723" s="227"/>
      <c r="VOA1723" s="227"/>
      <c r="VOB1723" s="227"/>
      <c r="VOC1723" s="227"/>
      <c r="VOD1723" s="227"/>
      <c r="VOE1723" s="227"/>
      <c r="VOF1723" s="227"/>
      <c r="VOG1723" s="227"/>
      <c r="VOH1723" s="227"/>
      <c r="VOI1723" s="227"/>
      <c r="VOJ1723" s="227"/>
      <c r="VOK1723" s="227"/>
      <c r="VOL1723" s="227"/>
      <c r="VOM1723" s="227"/>
      <c r="VON1723" s="227"/>
      <c r="VOO1723" s="227"/>
      <c r="VOP1723" s="227"/>
      <c r="VOQ1723" s="227"/>
      <c r="VOR1723" s="227"/>
      <c r="VOS1723" s="227"/>
      <c r="VOT1723" s="227"/>
      <c r="VOU1723" s="227"/>
      <c r="VOV1723" s="227"/>
      <c r="VOW1723" s="227"/>
      <c r="VOX1723" s="227"/>
      <c r="VOY1723" s="227"/>
      <c r="VOZ1723" s="227"/>
      <c r="VPA1723" s="227"/>
      <c r="VPB1723" s="227"/>
      <c r="VPC1723" s="227"/>
      <c r="VPD1723" s="227"/>
      <c r="VPE1723" s="227"/>
      <c r="VPF1723" s="227"/>
      <c r="VPG1723" s="227"/>
      <c r="VPH1723" s="227"/>
      <c r="VPI1723" s="227"/>
      <c r="VPJ1723" s="227"/>
      <c r="VPK1723" s="227"/>
      <c r="VPL1723" s="227"/>
      <c r="VPM1723" s="227"/>
      <c r="VPN1723" s="227"/>
      <c r="VPO1723" s="227"/>
      <c r="VPP1723" s="227"/>
      <c r="VPQ1723" s="227"/>
      <c r="VPR1723" s="227"/>
      <c r="VPS1723" s="227"/>
      <c r="VPT1723" s="227"/>
      <c r="VPU1723" s="227"/>
      <c r="VPV1723" s="227"/>
      <c r="VPW1723" s="227"/>
      <c r="VPX1723" s="227"/>
      <c r="VPY1723" s="227"/>
      <c r="VPZ1723" s="227"/>
      <c r="VQA1723" s="227"/>
      <c r="VQB1723" s="227"/>
      <c r="VQC1723" s="227"/>
      <c r="VQD1723" s="227"/>
      <c r="VQE1723" s="227"/>
      <c r="VQF1723" s="227"/>
      <c r="VQG1723" s="227"/>
      <c r="VQH1723" s="227"/>
      <c r="VQI1723" s="227"/>
      <c r="VQJ1723" s="227"/>
      <c r="VQK1723" s="227"/>
      <c r="VQL1723" s="227"/>
      <c r="VQM1723" s="227"/>
      <c r="VQN1723" s="227"/>
      <c r="VQO1723" s="227"/>
      <c r="VQP1723" s="227"/>
      <c r="VQQ1723" s="227"/>
      <c r="VQR1723" s="227"/>
      <c r="VQS1723" s="227"/>
      <c r="VQT1723" s="227"/>
      <c r="VQU1723" s="227"/>
      <c r="VQV1723" s="227"/>
      <c r="VQW1723" s="227"/>
      <c r="VQX1723" s="227"/>
      <c r="VQY1723" s="227"/>
      <c r="VQZ1723" s="227"/>
      <c r="VRA1723" s="227"/>
      <c r="VRB1723" s="227"/>
      <c r="VRC1723" s="227"/>
      <c r="VRD1723" s="227"/>
      <c r="VRE1723" s="227"/>
      <c r="VRF1723" s="227"/>
      <c r="VRG1723" s="227"/>
      <c r="VRH1723" s="227"/>
      <c r="VRI1723" s="227"/>
      <c r="VRJ1723" s="227"/>
      <c r="VRK1723" s="227"/>
      <c r="VRL1723" s="227"/>
      <c r="VRM1723" s="227"/>
      <c r="VRN1723" s="227"/>
      <c r="VRO1723" s="227"/>
      <c r="VRP1723" s="227"/>
      <c r="VRQ1723" s="227"/>
      <c r="VRR1723" s="227"/>
      <c r="VRS1723" s="227"/>
      <c r="VRT1723" s="227"/>
      <c r="VRU1723" s="227"/>
      <c r="VRV1723" s="227"/>
      <c r="VRW1723" s="227"/>
      <c r="VRX1723" s="227"/>
      <c r="VRY1723" s="227"/>
      <c r="VRZ1723" s="227"/>
      <c r="VSA1723" s="227"/>
      <c r="VSB1723" s="227"/>
      <c r="VSC1723" s="227"/>
      <c r="VSD1723" s="227"/>
      <c r="VSE1723" s="227"/>
      <c r="VSF1723" s="227"/>
      <c r="VSG1723" s="227"/>
      <c r="VSH1723" s="227"/>
      <c r="VSI1723" s="227"/>
      <c r="VSJ1723" s="227"/>
      <c r="VSK1723" s="227"/>
      <c r="VSL1723" s="227"/>
      <c r="VSM1723" s="227"/>
      <c r="VSN1723" s="227"/>
      <c r="VSO1723" s="227"/>
      <c r="VSP1723" s="227"/>
      <c r="VSQ1723" s="227"/>
      <c r="VSR1723" s="227"/>
      <c r="VSS1723" s="227"/>
      <c r="VST1723" s="227"/>
      <c r="VSU1723" s="227"/>
      <c r="VSV1723" s="227"/>
      <c r="VSW1723" s="227"/>
      <c r="VSX1723" s="227"/>
      <c r="VSY1723" s="227"/>
      <c r="VSZ1723" s="227"/>
      <c r="VTA1723" s="227"/>
      <c r="VTB1723" s="227"/>
      <c r="VTC1723" s="227"/>
      <c r="VTD1723" s="227"/>
      <c r="VTE1723" s="227"/>
      <c r="VTF1723" s="227"/>
      <c r="VTG1723" s="227"/>
      <c r="VTH1723" s="227"/>
      <c r="VTI1723" s="227"/>
      <c r="VTJ1723" s="227"/>
      <c r="VTK1723" s="227"/>
      <c r="VTL1723" s="227"/>
      <c r="VTM1723" s="227"/>
      <c r="VTN1723" s="227"/>
      <c r="VTO1723" s="227"/>
      <c r="VTP1723" s="227"/>
      <c r="VTQ1723" s="227"/>
      <c r="VTR1723" s="227"/>
      <c r="VTS1723" s="227"/>
      <c r="VTT1723" s="227"/>
      <c r="VTU1723" s="227"/>
      <c r="VTV1723" s="227"/>
      <c r="VTW1723" s="227"/>
      <c r="VTX1723" s="227"/>
      <c r="VTY1723" s="227"/>
      <c r="VTZ1723" s="227"/>
      <c r="VUA1723" s="227"/>
      <c r="VUB1723" s="227"/>
      <c r="VUC1723" s="227"/>
      <c r="VUD1723" s="227"/>
      <c r="VUE1723" s="227"/>
      <c r="VUF1723" s="227"/>
      <c r="VUG1723" s="227"/>
      <c r="VUH1723" s="227"/>
      <c r="VUI1723" s="227"/>
      <c r="VUJ1723" s="227"/>
      <c r="VUK1723" s="227"/>
      <c r="VUL1723" s="227"/>
      <c r="VUM1723" s="227"/>
      <c r="VUN1723" s="227"/>
      <c r="VUO1723" s="227"/>
      <c r="VUP1723" s="227"/>
      <c r="VUQ1723" s="227"/>
      <c r="VUR1723" s="227"/>
      <c r="VUS1723" s="227"/>
      <c r="VUT1723" s="227"/>
      <c r="VUU1723" s="227"/>
      <c r="VUV1723" s="227"/>
      <c r="VUW1723" s="227"/>
      <c r="VUX1723" s="227"/>
      <c r="VUY1723" s="227"/>
      <c r="VUZ1723" s="227"/>
      <c r="VVA1723" s="227"/>
      <c r="VVB1723" s="227"/>
      <c r="VVC1723" s="227"/>
      <c r="VVD1723" s="227"/>
      <c r="VVE1723" s="227"/>
      <c r="VVF1723" s="227"/>
      <c r="VVG1723" s="227"/>
      <c r="VVH1723" s="227"/>
      <c r="VVI1723" s="227"/>
      <c r="VVJ1723" s="227"/>
      <c r="VVK1723" s="227"/>
      <c r="VVL1723" s="227"/>
      <c r="VVM1723" s="227"/>
      <c r="VVN1723" s="227"/>
      <c r="VVO1723" s="227"/>
      <c r="VVP1723" s="227"/>
      <c r="VVQ1723" s="227"/>
      <c r="VVR1723" s="227"/>
      <c r="VVS1723" s="227"/>
      <c r="VVT1723" s="227"/>
      <c r="VVU1723" s="227"/>
      <c r="VVV1723" s="227"/>
      <c r="VVW1723" s="227"/>
      <c r="VVX1723" s="227"/>
      <c r="VVY1723" s="227"/>
      <c r="VVZ1723" s="227"/>
      <c r="VWA1723" s="227"/>
      <c r="VWB1723" s="227"/>
      <c r="VWC1723" s="227"/>
      <c r="VWD1723" s="227"/>
      <c r="VWE1723" s="227"/>
      <c r="VWF1723" s="227"/>
      <c r="VWG1723" s="227"/>
      <c r="VWH1723" s="227"/>
      <c r="VWI1723" s="227"/>
      <c r="VWJ1723" s="227"/>
      <c r="VWK1723" s="227"/>
      <c r="VWL1723" s="227"/>
      <c r="VWM1723" s="227"/>
      <c r="VWN1723" s="227"/>
      <c r="VWO1723" s="227"/>
      <c r="VWP1723" s="227"/>
      <c r="VWQ1723" s="227"/>
      <c r="VWR1723" s="227"/>
      <c r="VWS1723" s="227"/>
      <c r="VWT1723" s="227"/>
      <c r="VWU1723" s="227"/>
      <c r="VWV1723" s="227"/>
      <c r="VWW1723" s="227"/>
      <c r="VWX1723" s="227"/>
      <c r="VWY1723" s="227"/>
      <c r="VWZ1723" s="227"/>
      <c r="VXA1723" s="227"/>
      <c r="VXB1723" s="227"/>
      <c r="VXC1723" s="227"/>
      <c r="VXD1723" s="227"/>
      <c r="VXE1723" s="227"/>
      <c r="VXF1723" s="227"/>
      <c r="VXG1723" s="227"/>
      <c r="VXH1723" s="227"/>
      <c r="VXI1723" s="227"/>
      <c r="VXJ1723" s="227"/>
      <c r="VXK1723" s="227"/>
      <c r="VXL1723" s="227"/>
      <c r="VXM1723" s="227"/>
      <c r="VXN1723" s="227"/>
      <c r="VXO1723" s="227"/>
      <c r="VXP1723" s="227"/>
      <c r="VXQ1723" s="227"/>
      <c r="VXR1723" s="227"/>
      <c r="VXS1723" s="227"/>
      <c r="VXT1723" s="227"/>
      <c r="VXU1723" s="227"/>
      <c r="VXV1723" s="227"/>
      <c r="VXW1723" s="227"/>
      <c r="VXX1723" s="227"/>
      <c r="VXY1723" s="227"/>
      <c r="VXZ1723" s="227"/>
      <c r="VYA1723" s="227"/>
      <c r="VYB1723" s="227"/>
      <c r="VYC1723" s="227"/>
      <c r="VYD1723" s="227"/>
      <c r="VYE1723" s="227"/>
      <c r="VYF1723" s="227"/>
      <c r="VYG1723" s="227"/>
      <c r="VYH1723" s="227"/>
      <c r="VYI1723" s="227"/>
      <c r="VYJ1723" s="227"/>
      <c r="VYK1723" s="227"/>
      <c r="VYL1723" s="227"/>
      <c r="VYM1723" s="227"/>
      <c r="VYN1723" s="227"/>
      <c r="VYO1723" s="227"/>
      <c r="VYP1723" s="227"/>
      <c r="VYQ1723" s="227"/>
      <c r="VYR1723" s="227"/>
      <c r="VYS1723" s="227"/>
      <c r="VYT1723" s="227"/>
      <c r="VYU1723" s="227"/>
      <c r="VYV1723" s="227"/>
      <c r="VYW1723" s="227"/>
      <c r="VYX1723" s="227"/>
      <c r="VYY1723" s="227"/>
      <c r="VYZ1723" s="227"/>
      <c r="VZA1723" s="227"/>
      <c r="VZB1723" s="227"/>
      <c r="VZC1723" s="227"/>
      <c r="VZD1723" s="227"/>
      <c r="VZE1723" s="227"/>
      <c r="VZF1723" s="227"/>
      <c r="VZG1723" s="227"/>
      <c r="VZH1723" s="227"/>
      <c r="VZI1723" s="227"/>
      <c r="VZJ1723" s="227"/>
      <c r="VZK1723" s="227"/>
      <c r="VZL1723" s="227"/>
      <c r="VZM1723" s="227"/>
      <c r="VZN1723" s="227"/>
      <c r="VZO1723" s="227"/>
      <c r="VZP1723" s="227"/>
      <c r="VZQ1723" s="227"/>
      <c r="VZR1723" s="227"/>
      <c r="VZS1723" s="227"/>
      <c r="VZT1723" s="227"/>
      <c r="VZU1723" s="227"/>
      <c r="VZV1723" s="227"/>
      <c r="VZW1723" s="227"/>
      <c r="VZX1723" s="227"/>
      <c r="VZY1723" s="227"/>
      <c r="VZZ1723" s="227"/>
      <c r="WAA1723" s="227"/>
      <c r="WAB1723" s="227"/>
      <c r="WAC1723" s="227"/>
      <c r="WAD1723" s="227"/>
      <c r="WAE1723" s="227"/>
      <c r="WAF1723" s="227"/>
      <c r="WAG1723" s="227"/>
      <c r="WAH1723" s="227"/>
      <c r="WAI1723" s="227"/>
      <c r="WAJ1723" s="227"/>
      <c r="WAK1723" s="227"/>
      <c r="WAL1723" s="227"/>
      <c r="WAM1723" s="227"/>
      <c r="WAN1723" s="227"/>
      <c r="WAO1723" s="227"/>
      <c r="WAP1723" s="227"/>
      <c r="WAQ1723" s="227"/>
      <c r="WAR1723" s="227"/>
      <c r="WAS1723" s="227"/>
      <c r="WAT1723" s="227"/>
      <c r="WAU1723" s="227"/>
      <c r="WAV1723" s="227"/>
      <c r="WAW1723" s="227"/>
      <c r="WAX1723" s="227"/>
      <c r="WAY1723" s="227"/>
      <c r="WAZ1723" s="227"/>
      <c r="WBA1723" s="227"/>
      <c r="WBB1723" s="227"/>
      <c r="WBC1723" s="227"/>
      <c r="WBD1723" s="227"/>
      <c r="WBE1723" s="227"/>
      <c r="WBF1723" s="227"/>
      <c r="WBG1723" s="227"/>
      <c r="WBH1723" s="227"/>
      <c r="WBI1723" s="227"/>
      <c r="WBJ1723" s="227"/>
      <c r="WBK1723" s="227"/>
      <c r="WBL1723" s="227"/>
      <c r="WBM1723" s="227"/>
      <c r="WBN1723" s="227"/>
      <c r="WBO1723" s="227"/>
      <c r="WBP1723" s="227"/>
      <c r="WBQ1723" s="227"/>
      <c r="WBR1723" s="227"/>
      <c r="WBS1723" s="227"/>
      <c r="WBT1723" s="227"/>
      <c r="WBU1723" s="227"/>
      <c r="WBV1723" s="227"/>
      <c r="WBW1723" s="227"/>
      <c r="WBX1723" s="227"/>
      <c r="WBY1723" s="227"/>
      <c r="WBZ1723" s="227"/>
      <c r="WCA1723" s="227"/>
      <c r="WCB1723" s="227"/>
      <c r="WCC1723" s="227"/>
      <c r="WCD1723" s="227"/>
      <c r="WCE1723" s="227"/>
      <c r="WCF1723" s="227"/>
      <c r="WCG1723" s="227"/>
      <c r="WCH1723" s="227"/>
      <c r="WCI1723" s="227"/>
      <c r="WCJ1723" s="227"/>
      <c r="WCK1723" s="227"/>
      <c r="WCL1723" s="227"/>
      <c r="WCM1723" s="227"/>
      <c r="WCN1723" s="227"/>
      <c r="WCO1723" s="227"/>
      <c r="WCP1723" s="227"/>
      <c r="WCQ1723" s="227"/>
      <c r="WCR1723" s="227"/>
      <c r="WCS1723" s="227"/>
      <c r="WCT1723" s="227"/>
      <c r="WCU1723" s="227"/>
      <c r="WCV1723" s="227"/>
      <c r="WCW1723" s="227"/>
      <c r="WCX1723" s="227"/>
      <c r="WCY1723" s="227"/>
      <c r="WCZ1723" s="227"/>
      <c r="WDA1723" s="227"/>
      <c r="WDB1723" s="227"/>
      <c r="WDC1723" s="227"/>
      <c r="WDD1723" s="227"/>
      <c r="WDE1723" s="227"/>
      <c r="WDF1723" s="227"/>
      <c r="WDG1723" s="227"/>
      <c r="WDH1723" s="227"/>
      <c r="WDI1723" s="227"/>
      <c r="WDJ1723" s="227"/>
      <c r="WDK1723" s="227"/>
      <c r="WDL1723" s="227"/>
      <c r="WDM1723" s="227"/>
      <c r="WDN1723" s="227"/>
      <c r="WDO1723" s="227"/>
      <c r="WDP1723" s="227"/>
      <c r="WDQ1723" s="227"/>
      <c r="WDR1723" s="227"/>
      <c r="WDS1723" s="227"/>
      <c r="WDT1723" s="227"/>
      <c r="WDU1723" s="227"/>
      <c r="WDV1723" s="227"/>
      <c r="WDW1723" s="227"/>
      <c r="WDX1723" s="227"/>
      <c r="WDY1723" s="227"/>
      <c r="WDZ1723" s="227"/>
      <c r="WEA1723" s="227"/>
      <c r="WEB1723" s="227"/>
      <c r="WEC1723" s="227"/>
      <c r="WED1723" s="227"/>
      <c r="WEE1723" s="227"/>
      <c r="WEF1723" s="227"/>
      <c r="WEG1723" s="227"/>
      <c r="WEH1723" s="227"/>
      <c r="WEI1723" s="227"/>
      <c r="WEJ1723" s="227"/>
      <c r="WEK1723" s="227"/>
      <c r="WEL1723" s="227"/>
      <c r="WEM1723" s="227"/>
      <c r="WEN1723" s="227"/>
      <c r="WEO1723" s="227"/>
      <c r="WEP1723" s="227"/>
      <c r="WEQ1723" s="227"/>
      <c r="WER1723" s="227"/>
      <c r="WES1723" s="227"/>
      <c r="WET1723" s="227"/>
      <c r="WEU1723" s="227"/>
      <c r="WEV1723" s="227"/>
      <c r="WEW1723" s="227"/>
      <c r="WEX1723" s="227"/>
      <c r="WEY1723" s="227"/>
      <c r="WEZ1723" s="227"/>
      <c r="WFA1723" s="227"/>
      <c r="WFB1723" s="227"/>
      <c r="WFC1723" s="227"/>
      <c r="WFD1723" s="227"/>
      <c r="WFE1723" s="227"/>
      <c r="WFF1723" s="227"/>
      <c r="WFG1723" s="227"/>
      <c r="WFH1723" s="227"/>
      <c r="WFI1723" s="227"/>
      <c r="WFJ1723" s="227"/>
      <c r="WFK1723" s="227"/>
      <c r="WFL1723" s="227"/>
      <c r="WFM1723" s="227"/>
      <c r="WFN1723" s="227"/>
      <c r="WFO1723" s="227"/>
      <c r="WFP1723" s="227"/>
      <c r="WFQ1723" s="227"/>
      <c r="WFR1723" s="227"/>
      <c r="WFS1723" s="227"/>
      <c r="WFT1723" s="227"/>
      <c r="WFU1723" s="227"/>
      <c r="WFV1723" s="227"/>
      <c r="WFW1723" s="227"/>
      <c r="WFX1723" s="227"/>
      <c r="WFY1723" s="227"/>
      <c r="WFZ1723" s="227"/>
      <c r="WGA1723" s="227"/>
      <c r="WGB1723" s="227"/>
      <c r="WGC1723" s="227"/>
      <c r="WGD1723" s="227"/>
      <c r="WGE1723" s="227"/>
      <c r="WGF1723" s="227"/>
      <c r="WGG1723" s="227"/>
      <c r="WGH1723" s="227"/>
      <c r="WGI1723" s="227"/>
      <c r="WGJ1723" s="227"/>
      <c r="WGK1723" s="227"/>
      <c r="WGL1723" s="227"/>
      <c r="WGM1723" s="227"/>
      <c r="WGN1723" s="227"/>
      <c r="WGO1723" s="227"/>
      <c r="WGP1723" s="227"/>
      <c r="WGQ1723" s="227"/>
      <c r="WGR1723" s="227"/>
      <c r="WGS1723" s="227"/>
      <c r="WGT1723" s="227"/>
      <c r="WGU1723" s="227"/>
      <c r="WGV1723" s="227"/>
      <c r="WGW1723" s="227"/>
      <c r="WGX1723" s="227"/>
      <c r="WGY1723" s="227"/>
      <c r="WGZ1723" s="227"/>
      <c r="WHA1723" s="227"/>
      <c r="WHB1723" s="227"/>
      <c r="WHC1723" s="227"/>
      <c r="WHD1723" s="227"/>
      <c r="WHE1723" s="227"/>
      <c r="WHF1723" s="227"/>
      <c r="WHG1723" s="227"/>
      <c r="WHH1723" s="227"/>
      <c r="WHI1723" s="227"/>
      <c r="WHJ1723" s="227"/>
      <c r="WHK1723" s="227"/>
      <c r="WHL1723" s="227"/>
      <c r="WHM1723" s="227"/>
      <c r="WHN1723" s="227"/>
      <c r="WHO1723" s="227"/>
      <c r="WHP1723" s="227"/>
      <c r="WHQ1723" s="227"/>
      <c r="WHR1723" s="227"/>
      <c r="WHS1723" s="227"/>
      <c r="WHT1723" s="227"/>
      <c r="WHU1723" s="227"/>
      <c r="WHV1723" s="227"/>
      <c r="WHW1723" s="227"/>
      <c r="WHX1723" s="227"/>
      <c r="WHY1723" s="227"/>
      <c r="WHZ1723" s="227"/>
      <c r="WIA1723" s="227"/>
      <c r="WIB1723" s="227"/>
      <c r="WIC1723" s="227"/>
      <c r="WID1723" s="227"/>
      <c r="WIE1723" s="227"/>
      <c r="WIF1723" s="227"/>
      <c r="WIG1723" s="227"/>
      <c r="WIH1723" s="227"/>
      <c r="WII1723" s="227"/>
      <c r="WIJ1723" s="227"/>
      <c r="WIK1723" s="227"/>
      <c r="WIL1723" s="227"/>
      <c r="WIM1723" s="227"/>
      <c r="WIN1723" s="227"/>
      <c r="WIO1723" s="227"/>
      <c r="WIP1723" s="227"/>
      <c r="WIQ1723" s="227"/>
      <c r="WIR1723" s="227"/>
      <c r="WIS1723" s="227"/>
      <c r="WIT1723" s="227"/>
      <c r="WIU1723" s="227"/>
      <c r="WIV1723" s="227"/>
      <c r="WIW1723" s="227"/>
      <c r="WIX1723" s="227"/>
      <c r="WIY1723" s="227"/>
      <c r="WIZ1723" s="227"/>
      <c r="WJA1723" s="227"/>
      <c r="WJB1723" s="227"/>
      <c r="WJC1723" s="227"/>
      <c r="WJD1723" s="227"/>
      <c r="WJE1723" s="227"/>
      <c r="WJF1723" s="227"/>
      <c r="WJG1723" s="227"/>
      <c r="WJH1723" s="227"/>
      <c r="WJI1723" s="227"/>
      <c r="WJJ1723" s="227"/>
      <c r="WJK1723" s="227"/>
      <c r="WJL1723" s="227"/>
      <c r="WJM1723" s="227"/>
      <c r="WJN1723" s="227"/>
      <c r="WJO1723" s="227"/>
      <c r="WJP1723" s="227"/>
      <c r="WJQ1723" s="227"/>
      <c r="WJR1723" s="227"/>
      <c r="WJS1723" s="227"/>
      <c r="WJT1723" s="227"/>
      <c r="WJU1723" s="227"/>
      <c r="WJV1723" s="227"/>
      <c r="WJW1723" s="227"/>
      <c r="WJX1723" s="227"/>
      <c r="WJY1723" s="227"/>
      <c r="WJZ1723" s="227"/>
      <c r="WKA1723" s="227"/>
      <c r="WKB1723" s="227"/>
      <c r="WKC1723" s="227"/>
      <c r="WKD1723" s="227"/>
      <c r="WKE1723" s="227"/>
      <c r="WKF1723" s="227"/>
      <c r="WKG1723" s="227"/>
      <c r="WKH1723" s="227"/>
      <c r="WKI1723" s="227"/>
      <c r="WKJ1723" s="227"/>
      <c r="WKK1723" s="227"/>
      <c r="WKL1723" s="227"/>
      <c r="WKM1723" s="227"/>
      <c r="WKN1723" s="227"/>
      <c r="WKO1723" s="227"/>
      <c r="WKP1723" s="227"/>
      <c r="WKQ1723" s="227"/>
      <c r="WKR1723" s="227"/>
      <c r="WKS1723" s="227"/>
      <c r="WKT1723" s="227"/>
      <c r="WKU1723" s="227"/>
      <c r="WKV1723" s="227"/>
      <c r="WKW1723" s="227"/>
      <c r="WKX1723" s="227"/>
      <c r="WKY1723" s="227"/>
      <c r="WKZ1723" s="227"/>
      <c r="WLA1723" s="227"/>
      <c r="WLB1723" s="227"/>
      <c r="WLC1723" s="227"/>
      <c r="WLD1723" s="227"/>
      <c r="WLE1723" s="227"/>
      <c r="WLF1723" s="227"/>
      <c r="WLG1723" s="227"/>
      <c r="WLH1723" s="227"/>
      <c r="WLI1723" s="227"/>
      <c r="WLJ1723" s="227"/>
      <c r="WLK1723" s="227"/>
      <c r="WLL1723" s="227"/>
      <c r="WLM1723" s="227"/>
      <c r="WLN1723" s="227"/>
      <c r="WLO1723" s="227"/>
      <c r="WLP1723" s="227"/>
      <c r="WLQ1723" s="227"/>
      <c r="WLR1723" s="227"/>
      <c r="WLS1723" s="227"/>
      <c r="WLT1723" s="227"/>
      <c r="WLU1723" s="227"/>
      <c r="WLV1723" s="227"/>
      <c r="WLW1723" s="227"/>
      <c r="WLX1723" s="227"/>
      <c r="WLY1723" s="227"/>
      <c r="WLZ1723" s="227"/>
      <c r="WMA1723" s="227"/>
      <c r="WMB1723" s="227"/>
      <c r="WMC1723" s="227"/>
      <c r="WMD1723" s="227"/>
      <c r="WME1723" s="227"/>
      <c r="WMF1723" s="227"/>
      <c r="WMG1723" s="227"/>
      <c r="WMH1723" s="227"/>
      <c r="WMI1723" s="227"/>
      <c r="WMJ1723" s="227"/>
      <c r="WMK1723" s="227"/>
      <c r="WML1723" s="227"/>
      <c r="WMM1723" s="227"/>
      <c r="WMN1723" s="227"/>
      <c r="WMO1723" s="227"/>
      <c r="WMP1723" s="227"/>
      <c r="WMQ1723" s="227"/>
      <c r="WMR1723" s="227"/>
      <c r="WMS1723" s="227"/>
      <c r="WMT1723" s="227"/>
      <c r="WMU1723" s="227"/>
      <c r="WMV1723" s="227"/>
      <c r="WMW1723" s="227"/>
      <c r="WMX1723" s="227"/>
      <c r="WMY1723" s="227"/>
      <c r="WMZ1723" s="227"/>
      <c r="WNA1723" s="227"/>
      <c r="WNB1723" s="227"/>
      <c r="WNC1723" s="227"/>
      <c r="WND1723" s="227"/>
      <c r="WNE1723" s="227"/>
      <c r="WNF1723" s="227"/>
      <c r="WNG1723" s="227"/>
      <c r="WNH1723" s="227"/>
      <c r="WNI1723" s="227"/>
      <c r="WNJ1723" s="227"/>
      <c r="WNK1723" s="227"/>
      <c r="WNL1723" s="227"/>
      <c r="WNM1723" s="227"/>
      <c r="WNN1723" s="227"/>
      <c r="WNO1723" s="227"/>
      <c r="WNP1723" s="227"/>
      <c r="WNQ1723" s="227"/>
      <c r="WNR1723" s="227"/>
      <c r="WNS1723" s="227"/>
      <c r="WNT1723" s="227"/>
      <c r="WNU1723" s="227"/>
      <c r="WNV1723" s="227"/>
      <c r="WNW1723" s="227"/>
      <c r="WNX1723" s="227"/>
      <c r="WNY1723" s="227"/>
      <c r="WNZ1723" s="227"/>
      <c r="WOA1723" s="227"/>
      <c r="WOB1723" s="227"/>
      <c r="WOC1723" s="227"/>
      <c r="WOD1723" s="227"/>
      <c r="WOE1723" s="227"/>
      <c r="WOF1723" s="227"/>
      <c r="WOG1723" s="227"/>
      <c r="WOH1723" s="227"/>
      <c r="WOI1723" s="227"/>
      <c r="WOJ1723" s="227"/>
      <c r="WOK1723" s="227"/>
      <c r="WOL1723" s="227"/>
      <c r="WOM1723" s="227"/>
      <c r="WON1723" s="227"/>
      <c r="WOO1723" s="227"/>
      <c r="WOP1723" s="227"/>
      <c r="WOQ1723" s="227"/>
      <c r="WOR1723" s="227"/>
      <c r="WOS1723" s="227"/>
      <c r="WOT1723" s="227"/>
      <c r="WOU1723" s="227"/>
      <c r="WOV1723" s="227"/>
      <c r="WOW1723" s="227"/>
      <c r="WOX1723" s="227"/>
      <c r="WOY1723" s="227"/>
      <c r="WOZ1723" s="227"/>
      <c r="WPA1723" s="227"/>
      <c r="WPB1723" s="227"/>
      <c r="WPC1723" s="227"/>
      <c r="WPD1723" s="227"/>
      <c r="WPE1723" s="227"/>
      <c r="WPF1723" s="227"/>
      <c r="WPG1723" s="227"/>
      <c r="WPH1723" s="227"/>
      <c r="WPI1723" s="227"/>
      <c r="WPJ1723" s="227"/>
      <c r="WPK1723" s="227"/>
      <c r="WPL1723" s="227"/>
      <c r="WPM1723" s="227"/>
      <c r="WPN1723" s="227"/>
      <c r="WPO1723" s="227"/>
      <c r="WPP1723" s="227"/>
      <c r="WPQ1723" s="227"/>
      <c r="WPR1723" s="227"/>
      <c r="WPS1723" s="227"/>
      <c r="WPT1723" s="227"/>
      <c r="WPU1723" s="227"/>
      <c r="WPV1723" s="227"/>
      <c r="WPW1723" s="227"/>
      <c r="WPX1723" s="227"/>
      <c r="WPY1723" s="227"/>
      <c r="WPZ1723" s="227"/>
      <c r="WQA1723" s="227"/>
      <c r="WQB1723" s="227"/>
      <c r="WQC1723" s="227"/>
      <c r="WQD1723" s="227"/>
      <c r="WQE1723" s="227"/>
      <c r="WQF1723" s="227"/>
      <c r="WQG1723" s="227"/>
      <c r="WQH1723" s="227"/>
      <c r="WQI1723" s="227"/>
      <c r="WQJ1723" s="227"/>
      <c r="WQK1723" s="227"/>
      <c r="WQL1723" s="227"/>
      <c r="WQM1723" s="227"/>
      <c r="WQN1723" s="227"/>
      <c r="WQO1723" s="227"/>
      <c r="WQP1723" s="227"/>
      <c r="WQQ1723" s="227"/>
      <c r="WQR1723" s="227"/>
      <c r="WQS1723" s="227"/>
      <c r="WQT1723" s="227"/>
      <c r="WQU1723" s="227"/>
      <c r="WQV1723" s="227"/>
      <c r="WQW1723" s="227"/>
      <c r="WQX1723" s="227"/>
      <c r="WQY1723" s="227"/>
      <c r="WQZ1723" s="227"/>
      <c r="WRA1723" s="227"/>
      <c r="WRB1723" s="227"/>
      <c r="WRC1723" s="227"/>
      <c r="WRD1723" s="227"/>
      <c r="WRE1723" s="227"/>
      <c r="WRF1723" s="227"/>
      <c r="WRG1723" s="227"/>
      <c r="WRH1723" s="227"/>
      <c r="WRI1723" s="227"/>
      <c r="WRJ1723" s="227"/>
      <c r="WRK1723" s="227"/>
      <c r="WRL1723" s="227"/>
      <c r="WRM1723" s="227"/>
      <c r="WRN1723" s="227"/>
      <c r="WRO1723" s="227"/>
      <c r="WRP1723" s="227"/>
      <c r="WRQ1723" s="227"/>
      <c r="WRR1723" s="227"/>
      <c r="WRS1723" s="227"/>
      <c r="WRT1723" s="227"/>
      <c r="WRU1723" s="227"/>
      <c r="WRV1723" s="227"/>
      <c r="WRW1723" s="227"/>
      <c r="WRX1723" s="227"/>
      <c r="WRY1723" s="227"/>
      <c r="WRZ1723" s="227"/>
      <c r="WSA1723" s="227"/>
      <c r="WSB1723" s="227"/>
      <c r="WSC1723" s="227"/>
      <c r="WSD1723" s="227"/>
      <c r="WSE1723" s="227"/>
      <c r="WSF1723" s="227"/>
      <c r="WSG1723" s="227"/>
      <c r="WSH1723" s="227"/>
      <c r="WSI1723" s="227"/>
      <c r="WSJ1723" s="227"/>
      <c r="WSK1723" s="227"/>
      <c r="WSL1723" s="227"/>
      <c r="WSM1723" s="227"/>
      <c r="WSN1723" s="227"/>
      <c r="WSO1723" s="227"/>
      <c r="WSP1723" s="227"/>
      <c r="WSQ1723" s="227"/>
      <c r="WSR1723" s="227"/>
      <c r="WSS1723" s="227"/>
      <c r="WST1723" s="227"/>
      <c r="WSU1723" s="227"/>
      <c r="WSV1723" s="227"/>
      <c r="WSW1723" s="227"/>
      <c r="WSX1723" s="227"/>
      <c r="WSY1723" s="227"/>
      <c r="WSZ1723" s="227"/>
      <c r="WTA1723" s="227"/>
      <c r="WTB1723" s="227"/>
      <c r="WTC1723" s="227"/>
      <c r="WTD1723" s="227"/>
      <c r="WTE1723" s="227"/>
      <c r="WTF1723" s="227"/>
      <c r="WTG1723" s="227"/>
      <c r="WTH1723" s="227"/>
      <c r="WTI1723" s="227"/>
      <c r="WTJ1723" s="227"/>
      <c r="WTK1723" s="227"/>
      <c r="WTL1723" s="227"/>
      <c r="WTM1723" s="227"/>
      <c r="WTN1723" s="227"/>
      <c r="WTO1723" s="227"/>
      <c r="WTP1723" s="227"/>
      <c r="WTQ1723" s="227"/>
      <c r="WTR1723" s="227"/>
      <c r="WTS1723" s="227"/>
      <c r="WTT1723" s="227"/>
      <c r="WTU1723" s="227"/>
      <c r="WTV1723" s="227"/>
      <c r="WTW1723" s="227"/>
      <c r="WTX1723" s="227"/>
      <c r="WTY1723" s="227"/>
      <c r="WTZ1723" s="227"/>
      <c r="WUA1723" s="227"/>
      <c r="WUB1723" s="227"/>
      <c r="WUC1723" s="227"/>
      <c r="WUD1723" s="227"/>
      <c r="WUE1723" s="227"/>
      <c r="WUF1723" s="227"/>
      <c r="WUG1723" s="227"/>
      <c r="WUH1723" s="227"/>
      <c r="WUI1723" s="227"/>
      <c r="WUJ1723" s="227"/>
      <c r="WUK1723" s="227"/>
      <c r="WUL1723" s="227"/>
      <c r="WUM1723" s="227"/>
      <c r="WUN1723" s="227"/>
      <c r="WUO1723" s="227"/>
      <c r="WUP1723" s="227"/>
      <c r="WUQ1723" s="227"/>
      <c r="WUR1723" s="227"/>
      <c r="WUS1723" s="227"/>
      <c r="WUT1723" s="227"/>
      <c r="WUU1723" s="227"/>
      <c r="WUV1723" s="227"/>
      <c r="WUW1723" s="227"/>
      <c r="WUX1723" s="227"/>
      <c r="WUY1723" s="227"/>
      <c r="WUZ1723" s="227"/>
      <c r="WVA1723" s="227"/>
      <c r="WVB1723" s="227"/>
      <c r="WVC1723" s="227"/>
      <c r="WVD1723" s="227"/>
      <c r="WVE1723" s="227"/>
      <c r="WVF1723" s="227"/>
      <c r="WVG1723" s="227"/>
      <c r="WVH1723" s="227"/>
      <c r="WVI1723" s="227"/>
      <c r="WVJ1723" s="227"/>
      <c r="WVK1723" s="227"/>
      <c r="WVL1723" s="227"/>
      <c r="WVM1723" s="227"/>
      <c r="WVN1723" s="227"/>
      <c r="WVO1723" s="227"/>
      <c r="WVP1723" s="227"/>
      <c r="WVQ1723" s="227"/>
      <c r="WVR1723" s="227"/>
      <c r="WVS1723" s="227"/>
      <c r="WVT1723" s="227"/>
      <c r="WVU1723" s="227"/>
      <c r="WVV1723" s="227"/>
      <c r="WVW1723" s="227"/>
      <c r="WVX1723" s="227"/>
      <c r="WVY1723" s="227"/>
      <c r="WVZ1723" s="227"/>
      <c r="WWA1723" s="227"/>
      <c r="WWB1723" s="227"/>
      <c r="WWC1723" s="227"/>
      <c r="WWD1723" s="227"/>
      <c r="WWE1723" s="227"/>
      <c r="WWF1723" s="227"/>
      <c r="WWG1723" s="227"/>
      <c r="WWH1723" s="227"/>
      <c r="WWI1723" s="227"/>
      <c r="WWJ1723" s="227"/>
      <c r="WWK1723" s="227"/>
      <c r="WWL1723" s="227"/>
      <c r="WWM1723" s="227"/>
      <c r="WWN1723" s="227"/>
      <c r="WWO1723" s="227"/>
      <c r="WWP1723" s="227"/>
      <c r="WWQ1723" s="227"/>
      <c r="WWR1723" s="227"/>
      <c r="WWS1723" s="227"/>
      <c r="WWT1723" s="227"/>
      <c r="WWU1723" s="227"/>
      <c r="WWV1723" s="227"/>
      <c r="WWW1723" s="227"/>
      <c r="WWX1723" s="227"/>
      <c r="WWY1723" s="227"/>
      <c r="WWZ1723" s="227"/>
      <c r="WXA1723" s="227"/>
      <c r="WXB1723" s="227"/>
      <c r="WXC1723" s="227"/>
      <c r="WXD1723" s="227"/>
      <c r="WXE1723" s="227"/>
      <c r="WXF1723" s="227"/>
      <c r="WXG1723" s="227"/>
      <c r="WXH1723" s="227"/>
      <c r="WXI1723" s="227"/>
      <c r="WXJ1723" s="227"/>
      <c r="WXK1723" s="227"/>
      <c r="WXL1723" s="227"/>
      <c r="WXM1723" s="227"/>
      <c r="WXN1723" s="227"/>
      <c r="WXO1723" s="227"/>
      <c r="WXP1723" s="227"/>
      <c r="WXQ1723" s="227"/>
      <c r="WXR1723" s="227"/>
      <c r="WXS1723" s="227"/>
      <c r="WXT1723" s="227"/>
      <c r="WXU1723" s="227"/>
      <c r="WXV1723" s="227"/>
      <c r="WXW1723" s="227"/>
      <c r="WXX1723" s="227"/>
      <c r="WXY1723" s="227"/>
      <c r="WXZ1723" s="227"/>
      <c r="WYA1723" s="227"/>
      <c r="WYB1723" s="227"/>
      <c r="WYC1723" s="227"/>
      <c r="WYD1723" s="227"/>
      <c r="WYE1723" s="227"/>
      <c r="WYF1723" s="227"/>
      <c r="WYG1723" s="227"/>
      <c r="WYH1723" s="227"/>
      <c r="WYI1723" s="227"/>
      <c r="WYJ1723" s="227"/>
      <c r="WYK1723" s="227"/>
      <c r="WYL1723" s="227"/>
      <c r="WYM1723" s="227"/>
      <c r="WYN1723" s="227"/>
      <c r="WYO1723" s="227"/>
      <c r="WYP1723" s="227"/>
      <c r="WYQ1723" s="227"/>
      <c r="WYR1723" s="227"/>
      <c r="WYS1723" s="227"/>
      <c r="WYT1723" s="227"/>
      <c r="WYU1723" s="227"/>
      <c r="WYV1723" s="227"/>
      <c r="WYW1723" s="227"/>
      <c r="WYX1723" s="227"/>
      <c r="WYY1723" s="227"/>
      <c r="WYZ1723" s="227"/>
      <c r="WZA1723" s="227"/>
      <c r="WZB1723" s="227"/>
      <c r="WZC1723" s="227"/>
      <c r="WZD1723" s="227"/>
      <c r="WZE1723" s="227"/>
      <c r="WZF1723" s="227"/>
      <c r="WZG1723" s="227"/>
      <c r="WZH1723" s="227"/>
      <c r="WZI1723" s="227"/>
      <c r="WZJ1723" s="227"/>
      <c r="WZK1723" s="227"/>
      <c r="WZL1723" s="227"/>
      <c r="WZM1723" s="227"/>
      <c r="WZN1723" s="227"/>
      <c r="WZO1723" s="227"/>
      <c r="WZP1723" s="227"/>
      <c r="WZQ1723" s="227"/>
      <c r="WZR1723" s="227"/>
      <c r="WZS1723" s="227"/>
      <c r="WZT1723" s="227"/>
      <c r="WZU1723" s="227"/>
      <c r="WZV1723" s="227"/>
      <c r="WZW1723" s="227"/>
      <c r="WZX1723" s="227"/>
      <c r="WZY1723" s="227"/>
      <c r="WZZ1723" s="227"/>
      <c r="XAA1723" s="227"/>
      <c r="XAB1723" s="227"/>
      <c r="XAC1723" s="227"/>
      <c r="XAD1723" s="227"/>
      <c r="XAE1723" s="227"/>
      <c r="XAF1723" s="227"/>
      <c r="XAG1723" s="227"/>
      <c r="XAH1723" s="227"/>
      <c r="XAI1723" s="227"/>
      <c r="XAJ1723" s="227"/>
      <c r="XAK1723" s="227"/>
      <c r="XAL1723" s="227"/>
      <c r="XAM1723" s="227"/>
      <c r="XAN1723" s="227"/>
      <c r="XAO1723" s="227"/>
      <c r="XAP1723" s="227"/>
      <c r="XAQ1723" s="227"/>
      <c r="XAR1723" s="227"/>
      <c r="XAS1723" s="227"/>
      <c r="XAT1723" s="227"/>
      <c r="XAU1723" s="227"/>
      <c r="XAV1723" s="227"/>
      <c r="XAW1723" s="227"/>
      <c r="XAX1723" s="227"/>
      <c r="XAY1723" s="227"/>
      <c r="XAZ1723" s="227"/>
      <c r="XBA1723" s="227"/>
      <c r="XBB1723" s="227"/>
      <c r="XBC1723" s="227"/>
      <c r="XBD1723" s="227"/>
      <c r="XBE1723" s="227"/>
      <c r="XBF1723" s="227"/>
      <c r="XBG1723" s="227"/>
      <c r="XBH1723" s="227"/>
      <c r="XBI1723" s="227"/>
      <c r="XBJ1723" s="227"/>
      <c r="XBK1723" s="227"/>
      <c r="XBL1723" s="227"/>
      <c r="XBM1723" s="227"/>
      <c r="XBN1723" s="227"/>
      <c r="XBO1723" s="227"/>
      <c r="XBP1723" s="227"/>
      <c r="XBQ1723" s="227"/>
      <c r="XBR1723" s="227"/>
      <c r="XBS1723" s="227"/>
      <c r="XBT1723" s="227"/>
      <c r="XBU1723" s="227"/>
      <c r="XBV1723" s="227"/>
      <c r="XBW1723" s="227"/>
      <c r="XBX1723" s="227"/>
      <c r="XBY1723" s="227"/>
      <c r="XBZ1723" s="227"/>
      <c r="XCA1723" s="227"/>
      <c r="XCB1723" s="227"/>
      <c r="XCC1723" s="227"/>
      <c r="XCD1723" s="227"/>
      <c r="XCE1723" s="227"/>
      <c r="XCF1723" s="227"/>
      <c r="XCG1723" s="227"/>
      <c r="XCH1723" s="227"/>
      <c r="XCI1723" s="227"/>
      <c r="XCJ1723" s="227"/>
      <c r="XCK1723" s="227"/>
      <c r="XCL1723" s="227"/>
      <c r="XCM1723" s="227"/>
      <c r="XCN1723" s="227"/>
      <c r="XCO1723" s="227"/>
      <c r="XCP1723" s="227"/>
      <c r="XCQ1723" s="227"/>
      <c r="XCR1723" s="227"/>
      <c r="XCS1723" s="227"/>
      <c r="XCT1723" s="227"/>
      <c r="XCU1723" s="227"/>
      <c r="XCV1723" s="227"/>
      <c r="XCW1723" s="227"/>
      <c r="XCX1723" s="227"/>
      <c r="XCY1723" s="227"/>
      <c r="XCZ1723" s="227"/>
      <c r="XDA1723" s="227"/>
      <c r="XDB1723" s="227"/>
      <c r="XDC1723" s="227"/>
      <c r="XDD1723" s="227"/>
      <c r="XDE1723" s="227"/>
      <c r="XDF1723" s="227"/>
      <c r="XDG1723" s="227"/>
      <c r="XDH1723" s="227"/>
      <c r="XDI1723" s="227"/>
      <c r="XDJ1723" s="227"/>
      <c r="XDK1723" s="227"/>
      <c r="XDL1723" s="227"/>
      <c r="XDM1723" s="227"/>
      <c r="XDN1723" s="227"/>
      <c r="XDO1723" s="227"/>
      <c r="XDP1723" s="227"/>
      <c r="XDQ1723" s="227"/>
      <c r="XDR1723" s="227"/>
      <c r="XDS1723" s="227"/>
      <c r="XDT1723" s="227"/>
      <c r="XDU1723" s="227"/>
      <c r="XDV1723" s="227"/>
      <c r="XDW1723" s="227"/>
      <c r="XDX1723" s="227"/>
      <c r="XDY1723" s="227"/>
      <c r="XDZ1723" s="227"/>
      <c r="XEA1723" s="227"/>
      <c r="XEB1723" s="227"/>
      <c r="XEC1723" s="227"/>
      <c r="XED1723" s="227"/>
      <c r="XEE1723" s="227"/>
      <c r="XEF1723" s="227"/>
      <c r="XEG1723" s="227"/>
      <c r="XEH1723" s="227"/>
      <c r="XEI1723" s="227"/>
      <c r="XEJ1723" s="227"/>
      <c r="XEK1723" s="227"/>
      <c r="XEL1723" s="227"/>
      <c r="XEM1723" s="227"/>
      <c r="XEN1723" s="227"/>
      <c r="XEO1723" s="227"/>
      <c r="XEP1723" s="227"/>
      <c r="XEQ1723" s="227"/>
      <c r="XER1723" s="227"/>
      <c r="XES1723" s="227"/>
      <c r="XET1723" s="227"/>
      <c r="XEU1723" s="227"/>
      <c r="XEV1723" s="227"/>
      <c r="XEW1723" s="227"/>
      <c r="XEX1723" s="227"/>
      <c r="XEY1723" s="227"/>
      <c r="XEZ1723" s="227"/>
      <c r="XFA1723" s="227"/>
      <c r="XFB1723" s="227"/>
      <c r="XFC1723" s="227"/>
      <c r="XFD1723" s="227"/>
    </row>
    <row r="1724" spans="1:16384" customFormat="1" x14ac:dyDescent="0.25">
      <c r="A1724" s="312">
        <v>487</v>
      </c>
      <c r="B1724" s="239">
        <v>44922.427083333336</v>
      </c>
      <c r="C1724" s="235">
        <v>0.43055555555555558</v>
      </c>
      <c r="D1724" s="235">
        <v>0.4375</v>
      </c>
      <c r="E1724" s="235">
        <v>0.44097222222222227</v>
      </c>
      <c r="F1724" s="246" t="s">
        <v>169</v>
      </c>
      <c r="G1724" s="236" t="s">
        <v>4379</v>
      </c>
      <c r="H1724" s="229" t="s">
        <v>4380</v>
      </c>
      <c r="I1724" s="229" t="s">
        <v>4381</v>
      </c>
      <c r="J1724" s="230" t="s">
        <v>37</v>
      </c>
      <c r="K1724" s="229" t="s">
        <v>241</v>
      </c>
      <c r="L1724" s="229">
        <v>0</v>
      </c>
      <c r="M1724" s="236" t="s">
        <v>4382</v>
      </c>
      <c r="N1724" s="236" t="s">
        <v>44</v>
      </c>
      <c r="O1724" s="236" t="s">
        <v>4383</v>
      </c>
      <c r="P1724" s="236">
        <v>30908</v>
      </c>
      <c r="Q1724" s="303">
        <f t="shared" si="151"/>
        <v>0</v>
      </c>
      <c r="R1724" s="303">
        <f t="shared" si="152"/>
        <v>0</v>
      </c>
      <c r="S1724" s="236">
        <v>0</v>
      </c>
      <c r="T1724" s="236">
        <v>0</v>
      </c>
      <c r="U1724" s="236">
        <v>0</v>
      </c>
      <c r="V1724" s="236">
        <v>0</v>
      </c>
      <c r="W1724" s="236">
        <v>0</v>
      </c>
      <c r="X1724" s="236">
        <v>60</v>
      </c>
      <c r="Y1724" s="236">
        <v>41</v>
      </c>
      <c r="Z1724" s="236">
        <v>32</v>
      </c>
      <c r="AA1724" s="236">
        <v>1</v>
      </c>
      <c r="AB1724" s="300">
        <f t="shared" si="153"/>
        <v>13.12</v>
      </c>
      <c r="AC1724" s="300">
        <f t="shared" si="154"/>
        <v>7.9036144578313247E-2</v>
      </c>
      <c r="AD1724" s="236">
        <v>0</v>
      </c>
      <c r="AE1724" s="236">
        <v>0</v>
      </c>
      <c r="AF1724" s="236" t="s">
        <v>4384</v>
      </c>
      <c r="AG1724" s="236" t="s">
        <v>4336</v>
      </c>
      <c r="AH1724" s="236" t="s">
        <v>4385</v>
      </c>
      <c r="AI1724" s="309"/>
      <c r="AJ1724" s="309"/>
      <c r="AK1724" s="236" t="s">
        <v>48</v>
      </c>
      <c r="AL1724" s="246" t="s">
        <v>49</v>
      </c>
      <c r="AM1724" s="299">
        <f t="shared" ca="1" si="150"/>
        <v>3.3090277777737356</v>
      </c>
      <c r="AN1724" s="241"/>
      <c r="AO1724" s="288" t="s">
        <v>53</v>
      </c>
      <c r="AP1724" s="275" t="s">
        <v>4382</v>
      </c>
      <c r="AQ1724" s="288" t="s">
        <v>4639</v>
      </c>
      <c r="AR1724" s="277">
        <v>44925.736111111109</v>
      </c>
      <c r="AS1724" s="272" t="s">
        <v>483</v>
      </c>
      <c r="AT1724" s="288" t="s">
        <v>225</v>
      </c>
      <c r="AU1724" s="276">
        <v>0.73611111111111116</v>
      </c>
      <c r="AV1724" s="288">
        <v>2</v>
      </c>
      <c r="AW1724" s="288" t="s">
        <v>66</v>
      </c>
      <c r="AX1724" s="242"/>
      <c r="AY1724" s="242"/>
      <c r="AZ1724" s="242"/>
      <c r="BA1724" s="242"/>
      <c r="BB1724" s="227"/>
      <c r="BC1724" s="227"/>
      <c r="BD1724" s="227"/>
      <c r="BE1724" s="227"/>
      <c r="BF1724" s="227"/>
      <c r="BG1724" s="227"/>
      <c r="BH1724" s="227"/>
      <c r="BI1724" s="227"/>
      <c r="BJ1724" s="227"/>
      <c r="BK1724" s="227"/>
      <c r="BL1724" s="227"/>
      <c r="BM1724" s="227"/>
      <c r="BN1724" s="227"/>
      <c r="BO1724" s="227"/>
      <c r="BP1724" s="227"/>
      <c r="BQ1724" s="227"/>
      <c r="BR1724" s="227"/>
      <c r="BS1724" s="227"/>
      <c r="BT1724" s="227"/>
      <c r="BU1724" s="227"/>
      <c r="BV1724" s="227"/>
      <c r="BW1724" s="227"/>
      <c r="BX1724" s="227"/>
      <c r="BY1724" s="227"/>
      <c r="BZ1724" s="227"/>
      <c r="CA1724" s="227"/>
      <c r="CB1724" s="227"/>
      <c r="CC1724" s="227"/>
      <c r="CD1724" s="227"/>
      <c r="CE1724" s="227"/>
      <c r="CF1724" s="227"/>
      <c r="CG1724" s="227"/>
      <c r="CH1724" s="227"/>
      <c r="CI1724" s="227"/>
      <c r="CJ1724" s="227"/>
      <c r="CK1724" s="227"/>
      <c r="CL1724" s="227"/>
      <c r="CM1724" s="227"/>
      <c r="CN1724" s="227"/>
      <c r="CO1724" s="227"/>
      <c r="CP1724" s="227"/>
      <c r="CQ1724" s="227"/>
      <c r="CR1724" s="227"/>
      <c r="CS1724" s="227"/>
      <c r="CT1724" s="227"/>
      <c r="CU1724" s="227"/>
      <c r="CV1724" s="227"/>
      <c r="CW1724" s="227"/>
      <c r="CX1724" s="227"/>
      <c r="CY1724" s="227"/>
      <c r="CZ1724" s="227"/>
      <c r="DA1724" s="227"/>
      <c r="DB1724" s="227"/>
      <c r="DC1724" s="227"/>
      <c r="DD1724" s="227"/>
      <c r="DE1724" s="227"/>
      <c r="DF1724" s="227"/>
      <c r="DG1724" s="227"/>
      <c r="DH1724" s="227"/>
      <c r="DI1724" s="227"/>
      <c r="DJ1724" s="227"/>
      <c r="DK1724" s="227"/>
      <c r="DL1724" s="227"/>
      <c r="DM1724" s="227"/>
      <c r="DN1724" s="227"/>
      <c r="DO1724" s="227"/>
      <c r="DP1724" s="227"/>
      <c r="DQ1724" s="227"/>
      <c r="DR1724" s="227"/>
      <c r="DS1724" s="227"/>
      <c r="DT1724" s="227"/>
      <c r="DU1724" s="227"/>
      <c r="DV1724" s="227"/>
      <c r="DW1724" s="227"/>
      <c r="DX1724" s="227"/>
      <c r="DY1724" s="227"/>
      <c r="DZ1724" s="227"/>
      <c r="EA1724" s="227"/>
      <c r="EB1724" s="227"/>
      <c r="EC1724" s="227"/>
      <c r="ED1724" s="227"/>
      <c r="EE1724" s="227"/>
      <c r="EF1724" s="227"/>
      <c r="EG1724" s="227"/>
      <c r="EH1724" s="227"/>
      <c r="EI1724" s="227"/>
      <c r="EJ1724" s="227"/>
      <c r="EK1724" s="227"/>
      <c r="EL1724" s="227"/>
      <c r="EM1724" s="227"/>
      <c r="EN1724" s="227"/>
      <c r="EO1724" s="227"/>
      <c r="EP1724" s="227"/>
      <c r="EQ1724" s="227"/>
      <c r="ER1724" s="227"/>
      <c r="ES1724" s="227"/>
      <c r="ET1724" s="227"/>
      <c r="EU1724" s="227"/>
      <c r="EV1724" s="227"/>
      <c r="EW1724" s="227"/>
      <c r="EX1724" s="227"/>
      <c r="EY1724" s="227"/>
      <c r="EZ1724" s="227"/>
      <c r="FA1724" s="227"/>
      <c r="FB1724" s="227"/>
      <c r="FC1724" s="227"/>
      <c r="FD1724" s="227"/>
      <c r="FE1724" s="227"/>
      <c r="FF1724" s="227"/>
      <c r="FG1724" s="227"/>
      <c r="FH1724" s="227"/>
      <c r="FI1724" s="227"/>
      <c r="FJ1724" s="227"/>
      <c r="FK1724" s="227"/>
      <c r="FL1724" s="227"/>
      <c r="FM1724" s="227"/>
      <c r="FN1724" s="227"/>
      <c r="FO1724" s="227"/>
      <c r="FP1724" s="227"/>
      <c r="FQ1724" s="227"/>
      <c r="FR1724" s="227"/>
      <c r="FS1724" s="227"/>
      <c r="FT1724" s="227"/>
      <c r="FU1724" s="227"/>
      <c r="FV1724" s="227"/>
      <c r="FW1724" s="227"/>
      <c r="FX1724" s="227"/>
      <c r="FY1724" s="227"/>
      <c r="FZ1724" s="227"/>
      <c r="GA1724" s="227"/>
      <c r="GB1724" s="227"/>
      <c r="GC1724" s="227"/>
      <c r="GD1724" s="227"/>
      <c r="GE1724" s="227"/>
      <c r="GF1724" s="227"/>
      <c r="GG1724" s="227"/>
      <c r="GH1724" s="227"/>
      <c r="GI1724" s="227"/>
      <c r="GJ1724" s="227"/>
      <c r="GK1724" s="227"/>
      <c r="GL1724" s="227"/>
      <c r="GM1724" s="227"/>
      <c r="GN1724" s="227"/>
      <c r="GO1724" s="227"/>
      <c r="GP1724" s="227"/>
      <c r="GQ1724" s="227"/>
      <c r="GR1724" s="227"/>
      <c r="GS1724" s="227"/>
      <c r="GT1724" s="227"/>
      <c r="GU1724" s="227"/>
      <c r="GV1724" s="227"/>
      <c r="GW1724" s="227"/>
      <c r="GX1724" s="227"/>
      <c r="GY1724" s="227"/>
      <c r="GZ1724" s="227"/>
      <c r="HA1724" s="227"/>
      <c r="HB1724" s="227"/>
      <c r="HC1724" s="227"/>
      <c r="HD1724" s="227"/>
      <c r="HE1724" s="227"/>
      <c r="HF1724" s="227"/>
      <c r="HG1724" s="227"/>
      <c r="HH1724" s="227"/>
      <c r="HI1724" s="227"/>
      <c r="HJ1724" s="227"/>
      <c r="HK1724" s="227"/>
      <c r="HL1724" s="227"/>
      <c r="HM1724" s="227"/>
      <c r="HN1724" s="227"/>
      <c r="HO1724" s="227"/>
      <c r="HP1724" s="227"/>
      <c r="HQ1724" s="227"/>
      <c r="HR1724" s="227"/>
      <c r="HS1724" s="227"/>
      <c r="HT1724" s="227"/>
      <c r="HU1724" s="227"/>
      <c r="HV1724" s="227"/>
      <c r="HW1724" s="227"/>
      <c r="HX1724" s="227"/>
      <c r="HY1724" s="227"/>
      <c r="HZ1724" s="227"/>
      <c r="IA1724" s="227"/>
      <c r="IB1724" s="227"/>
      <c r="IC1724" s="227"/>
      <c r="ID1724" s="227"/>
      <c r="IE1724" s="227"/>
      <c r="IF1724" s="227"/>
      <c r="IG1724" s="227"/>
      <c r="IH1724" s="227"/>
      <c r="II1724" s="227"/>
      <c r="IJ1724" s="227"/>
      <c r="IK1724" s="227"/>
      <c r="IL1724" s="227"/>
      <c r="IM1724" s="227"/>
      <c r="IN1724" s="227"/>
      <c r="IO1724" s="227"/>
      <c r="IP1724" s="227"/>
      <c r="IQ1724" s="227"/>
      <c r="IR1724" s="227"/>
      <c r="IS1724" s="227"/>
      <c r="IT1724" s="227"/>
      <c r="IU1724" s="227"/>
      <c r="IV1724" s="227"/>
      <c r="IW1724" s="227"/>
      <c r="IX1724" s="227"/>
      <c r="IY1724" s="227"/>
      <c r="IZ1724" s="227"/>
      <c r="JA1724" s="227"/>
      <c r="JB1724" s="227"/>
      <c r="JC1724" s="227"/>
      <c r="JD1724" s="227"/>
      <c r="JE1724" s="227"/>
      <c r="JF1724" s="227"/>
      <c r="JG1724" s="227"/>
      <c r="JH1724" s="227"/>
      <c r="JI1724" s="227"/>
      <c r="JJ1724" s="227"/>
      <c r="JK1724" s="227"/>
      <c r="JL1724" s="227"/>
      <c r="JM1724" s="227"/>
      <c r="JN1724" s="227"/>
      <c r="JO1724" s="227"/>
      <c r="JP1724" s="227"/>
      <c r="JQ1724" s="227"/>
      <c r="JR1724" s="227"/>
      <c r="JS1724" s="227"/>
      <c r="JT1724" s="227"/>
      <c r="JU1724" s="227"/>
      <c r="JV1724" s="227"/>
      <c r="JW1724" s="227"/>
      <c r="JX1724" s="227"/>
      <c r="JY1724" s="227"/>
      <c r="JZ1724" s="227"/>
      <c r="KA1724" s="227"/>
      <c r="KB1724" s="227"/>
      <c r="KC1724" s="227"/>
      <c r="KD1724" s="227"/>
      <c r="KE1724" s="227"/>
      <c r="KF1724" s="227"/>
      <c r="KG1724" s="227"/>
      <c r="KH1724" s="227"/>
      <c r="KI1724" s="227"/>
      <c r="KJ1724" s="227"/>
      <c r="KK1724" s="227"/>
      <c r="KL1724" s="227"/>
      <c r="KM1724" s="227"/>
      <c r="KN1724" s="227"/>
      <c r="KO1724" s="227"/>
      <c r="KP1724" s="227"/>
      <c r="KQ1724" s="227"/>
      <c r="KR1724" s="227"/>
      <c r="KS1724" s="227"/>
      <c r="KT1724" s="227"/>
      <c r="KU1724" s="227"/>
      <c r="KV1724" s="227"/>
      <c r="KW1724" s="227"/>
      <c r="KX1724" s="227"/>
      <c r="KY1724" s="227"/>
      <c r="KZ1724" s="227"/>
      <c r="LA1724" s="227"/>
      <c r="LB1724" s="227"/>
      <c r="LC1724" s="227"/>
      <c r="LD1724" s="227"/>
      <c r="LE1724" s="227"/>
      <c r="LF1724" s="227"/>
      <c r="LG1724" s="227"/>
      <c r="LH1724" s="227"/>
      <c r="LI1724" s="227"/>
      <c r="LJ1724" s="227"/>
      <c r="LK1724" s="227"/>
      <c r="LL1724" s="227"/>
      <c r="LM1724" s="227"/>
      <c r="LN1724" s="227"/>
      <c r="LO1724" s="227"/>
      <c r="LP1724" s="227"/>
      <c r="LQ1724" s="227"/>
      <c r="LR1724" s="227"/>
      <c r="LS1724" s="227"/>
      <c r="LT1724" s="227"/>
      <c r="LU1724" s="227"/>
      <c r="LV1724" s="227"/>
      <c r="LW1724" s="227"/>
      <c r="LX1724" s="227"/>
      <c r="LY1724" s="227"/>
      <c r="LZ1724" s="227"/>
      <c r="MA1724" s="227"/>
      <c r="MB1724" s="227"/>
      <c r="MC1724" s="227"/>
      <c r="MD1724" s="227"/>
      <c r="ME1724" s="227"/>
      <c r="MF1724" s="227"/>
      <c r="MG1724" s="227"/>
      <c r="MH1724" s="227"/>
      <c r="MI1724" s="227"/>
      <c r="MJ1724" s="227"/>
      <c r="MK1724" s="227"/>
      <c r="ML1724" s="227"/>
      <c r="MM1724" s="227"/>
      <c r="MN1724" s="227"/>
      <c r="MO1724" s="227"/>
      <c r="MP1724" s="227"/>
      <c r="MQ1724" s="227"/>
      <c r="MR1724" s="227"/>
      <c r="MS1724" s="227"/>
      <c r="MT1724" s="227"/>
      <c r="MU1724" s="227"/>
      <c r="MV1724" s="227"/>
      <c r="MW1724" s="227"/>
      <c r="MX1724" s="227"/>
      <c r="MY1724" s="227"/>
      <c r="MZ1724" s="227"/>
      <c r="NA1724" s="227"/>
      <c r="NB1724" s="227"/>
      <c r="NC1724" s="227"/>
      <c r="ND1724" s="227"/>
      <c r="NE1724" s="227"/>
      <c r="NF1724" s="227"/>
      <c r="NG1724" s="227"/>
      <c r="NH1724" s="227"/>
      <c r="NI1724" s="227"/>
      <c r="NJ1724" s="227"/>
      <c r="NK1724" s="227"/>
      <c r="NL1724" s="227"/>
      <c r="NM1724" s="227"/>
      <c r="NN1724" s="227"/>
      <c r="NO1724" s="227"/>
      <c r="NP1724" s="227"/>
      <c r="NQ1724" s="227"/>
      <c r="NR1724" s="227"/>
      <c r="NS1724" s="227"/>
      <c r="NT1724" s="227"/>
      <c r="NU1724" s="227"/>
      <c r="NV1724" s="227"/>
      <c r="NW1724" s="227"/>
      <c r="NX1724" s="227"/>
      <c r="NY1724" s="227"/>
      <c r="NZ1724" s="227"/>
      <c r="OA1724" s="227"/>
      <c r="OB1724" s="227"/>
      <c r="OC1724" s="227"/>
      <c r="OD1724" s="227"/>
      <c r="OE1724" s="227"/>
      <c r="OF1724" s="227"/>
      <c r="OG1724" s="227"/>
      <c r="OH1724" s="227"/>
      <c r="OI1724" s="227"/>
      <c r="OJ1724" s="227"/>
      <c r="OK1724" s="227"/>
      <c r="OL1724" s="227"/>
      <c r="OM1724" s="227"/>
      <c r="ON1724" s="227"/>
      <c r="OO1724" s="227"/>
      <c r="OP1724" s="227"/>
      <c r="OQ1724" s="227"/>
      <c r="OR1724" s="227"/>
      <c r="OS1724" s="227"/>
      <c r="OT1724" s="227"/>
      <c r="OU1724" s="227"/>
      <c r="OV1724" s="227"/>
      <c r="OW1724" s="227"/>
      <c r="OX1724" s="227"/>
      <c r="OY1724" s="227"/>
      <c r="OZ1724" s="227"/>
      <c r="PA1724" s="227"/>
      <c r="PB1724" s="227"/>
      <c r="PC1724" s="227"/>
      <c r="PD1724" s="227"/>
      <c r="PE1724" s="227"/>
      <c r="PF1724" s="227"/>
      <c r="PG1724" s="227"/>
      <c r="PH1724" s="227"/>
      <c r="PI1724" s="227"/>
      <c r="PJ1724" s="227"/>
      <c r="PK1724" s="227"/>
      <c r="PL1724" s="227"/>
      <c r="PM1724" s="227"/>
      <c r="PN1724" s="227"/>
      <c r="PO1724" s="227"/>
      <c r="PP1724" s="227"/>
      <c r="PQ1724" s="227"/>
      <c r="PR1724" s="227"/>
      <c r="PS1724" s="227"/>
      <c r="PT1724" s="227"/>
      <c r="PU1724" s="227"/>
      <c r="PV1724" s="227"/>
      <c r="PW1724" s="227"/>
      <c r="PX1724" s="227"/>
      <c r="PY1724" s="227"/>
      <c r="PZ1724" s="227"/>
      <c r="QA1724" s="227"/>
      <c r="QB1724" s="227"/>
      <c r="QC1724" s="227"/>
      <c r="QD1724" s="227"/>
      <c r="QE1724" s="227"/>
      <c r="QF1724" s="227"/>
      <c r="QG1724" s="227"/>
      <c r="QH1724" s="227"/>
      <c r="QI1724" s="227"/>
      <c r="QJ1724" s="227"/>
      <c r="QK1724" s="227"/>
      <c r="QL1724" s="227"/>
      <c r="QM1724" s="227"/>
      <c r="QN1724" s="227"/>
      <c r="QO1724" s="227"/>
      <c r="QP1724" s="227"/>
      <c r="QQ1724" s="227"/>
      <c r="QR1724" s="227"/>
      <c r="QS1724" s="227"/>
      <c r="QT1724" s="227"/>
      <c r="QU1724" s="227"/>
      <c r="QV1724" s="227"/>
      <c r="QW1724" s="227"/>
      <c r="QX1724" s="227"/>
      <c r="QY1724" s="227"/>
      <c r="QZ1724" s="227"/>
      <c r="RA1724" s="227"/>
      <c r="RB1724" s="227"/>
      <c r="RC1724" s="227"/>
      <c r="RD1724" s="227"/>
      <c r="RE1724" s="227"/>
      <c r="RF1724" s="227"/>
      <c r="RG1724" s="227"/>
      <c r="RH1724" s="227"/>
      <c r="RI1724" s="227"/>
      <c r="RJ1724" s="227"/>
      <c r="RK1724" s="227"/>
      <c r="RL1724" s="227"/>
      <c r="RM1724" s="227"/>
      <c r="RN1724" s="227"/>
      <c r="RO1724" s="227"/>
      <c r="RP1724" s="227"/>
      <c r="RQ1724" s="227"/>
      <c r="RR1724" s="227"/>
      <c r="RS1724" s="227"/>
      <c r="RT1724" s="227"/>
      <c r="RU1724" s="227"/>
      <c r="RV1724" s="227"/>
      <c r="RW1724" s="227"/>
      <c r="RX1724" s="227"/>
      <c r="RY1724" s="227"/>
      <c r="RZ1724" s="227"/>
      <c r="SA1724" s="227"/>
      <c r="SB1724" s="227"/>
      <c r="SC1724" s="227"/>
      <c r="SD1724" s="227"/>
      <c r="SE1724" s="227"/>
      <c r="SF1724" s="227"/>
      <c r="SG1724" s="227"/>
      <c r="SH1724" s="227"/>
      <c r="SI1724" s="227"/>
      <c r="SJ1724" s="227"/>
      <c r="SK1724" s="227"/>
      <c r="SL1724" s="227"/>
      <c r="SM1724" s="227"/>
      <c r="SN1724" s="227"/>
      <c r="SO1724" s="227"/>
      <c r="SP1724" s="227"/>
      <c r="SQ1724" s="227"/>
      <c r="SR1724" s="227"/>
      <c r="SS1724" s="227"/>
      <c r="ST1724" s="227"/>
      <c r="SU1724" s="227"/>
      <c r="SV1724" s="227"/>
      <c r="SW1724" s="227"/>
      <c r="SX1724" s="227"/>
      <c r="SY1724" s="227"/>
      <c r="SZ1724" s="227"/>
      <c r="TA1724" s="227"/>
      <c r="TB1724" s="227"/>
      <c r="TC1724" s="227"/>
      <c r="TD1724" s="227"/>
      <c r="TE1724" s="227"/>
      <c r="TF1724" s="227"/>
      <c r="TG1724" s="227"/>
      <c r="TH1724" s="227"/>
      <c r="TI1724" s="227"/>
      <c r="TJ1724" s="227"/>
      <c r="TK1724" s="227"/>
      <c r="TL1724" s="227"/>
      <c r="TM1724" s="227"/>
      <c r="TN1724" s="227"/>
      <c r="TO1724" s="227"/>
      <c r="TP1724" s="227"/>
      <c r="TQ1724" s="227"/>
      <c r="TR1724" s="227"/>
      <c r="TS1724" s="227"/>
      <c r="TT1724" s="227"/>
      <c r="TU1724" s="227"/>
      <c r="TV1724" s="227"/>
      <c r="TW1724" s="227"/>
      <c r="TX1724" s="227"/>
      <c r="TY1724" s="227"/>
      <c r="TZ1724" s="227"/>
      <c r="UA1724" s="227"/>
      <c r="UB1724" s="227"/>
      <c r="UC1724" s="227"/>
      <c r="UD1724" s="227"/>
      <c r="UE1724" s="227"/>
      <c r="UF1724" s="227"/>
      <c r="UG1724" s="227"/>
      <c r="UH1724" s="227"/>
      <c r="UI1724" s="227"/>
      <c r="UJ1724" s="227"/>
      <c r="UK1724" s="227"/>
      <c r="UL1724" s="227"/>
      <c r="UM1724" s="227"/>
      <c r="UN1724" s="227"/>
      <c r="UO1724" s="227"/>
      <c r="UP1724" s="227"/>
      <c r="UQ1724" s="227"/>
      <c r="UR1724" s="227"/>
      <c r="US1724" s="227"/>
      <c r="UT1724" s="227"/>
      <c r="UU1724" s="227"/>
      <c r="UV1724" s="227"/>
      <c r="UW1724" s="227"/>
      <c r="UX1724" s="227"/>
      <c r="UY1724" s="227"/>
      <c r="UZ1724" s="227"/>
      <c r="VA1724" s="227"/>
      <c r="VB1724" s="227"/>
      <c r="VC1724" s="227"/>
      <c r="VD1724" s="227"/>
      <c r="VE1724" s="227"/>
      <c r="VF1724" s="227"/>
      <c r="VG1724" s="227"/>
      <c r="VH1724" s="227"/>
      <c r="VI1724" s="227"/>
      <c r="VJ1724" s="227"/>
      <c r="VK1724" s="227"/>
      <c r="VL1724" s="227"/>
      <c r="VM1724" s="227"/>
      <c r="VN1724" s="227"/>
      <c r="VO1724" s="227"/>
      <c r="VP1724" s="227"/>
      <c r="VQ1724" s="227"/>
      <c r="VR1724" s="227"/>
      <c r="VS1724" s="227"/>
      <c r="VT1724" s="227"/>
      <c r="VU1724" s="227"/>
      <c r="VV1724" s="227"/>
      <c r="VW1724" s="227"/>
      <c r="VX1724" s="227"/>
      <c r="VY1724" s="227"/>
      <c r="VZ1724" s="227"/>
      <c r="WA1724" s="227"/>
      <c r="WB1724" s="227"/>
      <c r="WC1724" s="227"/>
      <c r="WD1724" s="227"/>
      <c r="WE1724" s="227"/>
      <c r="WF1724" s="227"/>
      <c r="WG1724" s="227"/>
      <c r="WH1724" s="227"/>
      <c r="WI1724" s="227"/>
      <c r="WJ1724" s="227"/>
      <c r="WK1724" s="227"/>
      <c r="WL1724" s="227"/>
      <c r="WM1724" s="227"/>
      <c r="WN1724" s="227"/>
      <c r="WO1724" s="227"/>
      <c r="WP1724" s="227"/>
      <c r="WQ1724" s="227"/>
      <c r="WR1724" s="227"/>
      <c r="WS1724" s="227"/>
      <c r="WT1724" s="227"/>
      <c r="WU1724" s="227"/>
      <c r="WV1724" s="227"/>
      <c r="WW1724" s="227"/>
      <c r="WX1724" s="227"/>
      <c r="WY1724" s="227"/>
      <c r="WZ1724" s="227"/>
      <c r="XA1724" s="227"/>
      <c r="XB1724" s="227"/>
      <c r="XC1724" s="227"/>
      <c r="XD1724" s="227"/>
      <c r="XE1724" s="227"/>
      <c r="XF1724" s="227"/>
      <c r="XG1724" s="227"/>
      <c r="XH1724" s="227"/>
      <c r="XI1724" s="227"/>
      <c r="XJ1724" s="227"/>
      <c r="XK1724" s="227"/>
      <c r="XL1724" s="227"/>
      <c r="XM1724" s="227"/>
      <c r="XN1724" s="227"/>
      <c r="XO1724" s="227"/>
      <c r="XP1724" s="227"/>
      <c r="XQ1724" s="227"/>
      <c r="XR1724" s="227"/>
      <c r="XS1724" s="227"/>
      <c r="XT1724" s="227"/>
      <c r="XU1724" s="227"/>
      <c r="XV1724" s="227"/>
      <c r="XW1724" s="227"/>
      <c r="XX1724" s="227"/>
      <c r="XY1724" s="227"/>
      <c r="XZ1724" s="227"/>
      <c r="YA1724" s="227"/>
      <c r="YB1724" s="227"/>
      <c r="YC1724" s="227"/>
      <c r="YD1724" s="227"/>
      <c r="YE1724" s="227"/>
      <c r="YF1724" s="227"/>
      <c r="YG1724" s="227"/>
      <c r="YH1724" s="227"/>
      <c r="YI1724" s="227"/>
      <c r="YJ1724" s="227"/>
      <c r="YK1724" s="227"/>
      <c r="YL1724" s="227"/>
      <c r="YM1724" s="227"/>
      <c r="YN1724" s="227"/>
      <c r="YO1724" s="227"/>
      <c r="YP1724" s="227"/>
      <c r="YQ1724" s="227"/>
      <c r="YR1724" s="227"/>
      <c r="YS1724" s="227"/>
      <c r="YT1724" s="227"/>
      <c r="YU1724" s="227"/>
      <c r="YV1724" s="227"/>
      <c r="YW1724" s="227"/>
      <c r="YX1724" s="227"/>
      <c r="YY1724" s="227"/>
      <c r="YZ1724" s="227"/>
      <c r="ZA1724" s="227"/>
      <c r="ZB1724" s="227"/>
      <c r="ZC1724" s="227"/>
      <c r="ZD1724" s="227"/>
      <c r="ZE1724" s="227"/>
      <c r="ZF1724" s="227"/>
      <c r="ZG1724" s="227"/>
      <c r="ZH1724" s="227"/>
      <c r="ZI1724" s="227"/>
      <c r="ZJ1724" s="227"/>
      <c r="ZK1724" s="227"/>
      <c r="ZL1724" s="227"/>
      <c r="ZM1724" s="227"/>
      <c r="ZN1724" s="227"/>
      <c r="ZO1724" s="227"/>
      <c r="ZP1724" s="227"/>
      <c r="ZQ1724" s="227"/>
      <c r="ZR1724" s="227"/>
      <c r="ZS1724" s="227"/>
      <c r="ZT1724" s="227"/>
      <c r="ZU1724" s="227"/>
      <c r="ZV1724" s="227"/>
      <c r="ZW1724" s="227"/>
      <c r="ZX1724" s="227"/>
      <c r="ZY1724" s="227"/>
      <c r="ZZ1724" s="227"/>
      <c r="AAA1724" s="227"/>
      <c r="AAB1724" s="227"/>
      <c r="AAC1724" s="227"/>
      <c r="AAD1724" s="227"/>
      <c r="AAE1724" s="227"/>
      <c r="AAF1724" s="227"/>
      <c r="AAG1724" s="227"/>
      <c r="AAH1724" s="227"/>
      <c r="AAI1724" s="227"/>
      <c r="AAJ1724" s="227"/>
      <c r="AAK1724" s="227"/>
      <c r="AAL1724" s="227"/>
      <c r="AAM1724" s="227"/>
      <c r="AAN1724" s="227"/>
      <c r="AAO1724" s="227"/>
      <c r="AAP1724" s="227"/>
      <c r="AAQ1724" s="227"/>
      <c r="AAR1724" s="227"/>
      <c r="AAS1724" s="227"/>
      <c r="AAT1724" s="227"/>
      <c r="AAU1724" s="227"/>
      <c r="AAV1724" s="227"/>
      <c r="AAW1724" s="227"/>
      <c r="AAX1724" s="227"/>
      <c r="AAY1724" s="227"/>
      <c r="AAZ1724" s="227"/>
      <c r="ABA1724" s="227"/>
      <c r="ABB1724" s="227"/>
      <c r="ABC1724" s="227"/>
      <c r="ABD1724" s="227"/>
      <c r="ABE1724" s="227"/>
      <c r="ABF1724" s="227"/>
      <c r="ABG1724" s="227"/>
      <c r="ABH1724" s="227"/>
      <c r="ABI1724" s="227"/>
      <c r="ABJ1724" s="227"/>
      <c r="ABK1724" s="227"/>
      <c r="ABL1724" s="227"/>
      <c r="ABM1724" s="227"/>
      <c r="ABN1724" s="227"/>
      <c r="ABO1724" s="227"/>
      <c r="ABP1724" s="227"/>
      <c r="ABQ1724" s="227"/>
      <c r="ABR1724" s="227"/>
      <c r="ABS1724" s="227"/>
      <c r="ABT1724" s="227"/>
      <c r="ABU1724" s="227"/>
      <c r="ABV1724" s="227"/>
      <c r="ABW1724" s="227"/>
      <c r="ABX1724" s="227"/>
      <c r="ABY1724" s="227"/>
      <c r="ABZ1724" s="227"/>
      <c r="ACA1724" s="227"/>
      <c r="ACB1724" s="227"/>
      <c r="ACC1724" s="227"/>
      <c r="ACD1724" s="227"/>
      <c r="ACE1724" s="227"/>
      <c r="ACF1724" s="227"/>
      <c r="ACG1724" s="227"/>
      <c r="ACH1724" s="227"/>
      <c r="ACI1724" s="227"/>
      <c r="ACJ1724" s="227"/>
      <c r="ACK1724" s="227"/>
      <c r="ACL1724" s="227"/>
      <c r="ACM1724" s="227"/>
      <c r="ACN1724" s="227"/>
      <c r="ACO1724" s="227"/>
      <c r="ACP1724" s="227"/>
      <c r="ACQ1724" s="227"/>
      <c r="ACR1724" s="227"/>
      <c r="ACS1724" s="227"/>
      <c r="ACT1724" s="227"/>
      <c r="ACU1724" s="227"/>
      <c r="ACV1724" s="227"/>
      <c r="ACW1724" s="227"/>
      <c r="ACX1724" s="227"/>
      <c r="ACY1724" s="227"/>
      <c r="ACZ1724" s="227"/>
      <c r="ADA1724" s="227"/>
      <c r="ADB1724" s="227"/>
      <c r="ADC1724" s="227"/>
      <c r="ADD1724" s="227"/>
      <c r="ADE1724" s="227"/>
      <c r="ADF1724" s="227"/>
      <c r="ADG1724" s="227"/>
      <c r="ADH1724" s="227"/>
      <c r="ADI1724" s="227"/>
      <c r="ADJ1724" s="227"/>
      <c r="ADK1724" s="227"/>
      <c r="ADL1724" s="227"/>
      <c r="ADM1724" s="227"/>
      <c r="ADN1724" s="227"/>
      <c r="ADO1724" s="227"/>
      <c r="ADP1724" s="227"/>
      <c r="ADQ1724" s="227"/>
      <c r="ADR1724" s="227"/>
      <c r="ADS1724" s="227"/>
      <c r="ADT1724" s="227"/>
      <c r="ADU1724" s="227"/>
      <c r="ADV1724" s="227"/>
      <c r="ADW1724" s="227"/>
      <c r="ADX1724" s="227"/>
      <c r="ADY1724" s="227"/>
      <c r="ADZ1724" s="227"/>
      <c r="AEA1724" s="227"/>
      <c r="AEB1724" s="227"/>
      <c r="AEC1724" s="227"/>
      <c r="AED1724" s="227"/>
      <c r="AEE1724" s="227"/>
      <c r="AEF1724" s="227"/>
      <c r="AEG1724" s="227"/>
      <c r="AEH1724" s="227"/>
      <c r="AEI1724" s="227"/>
      <c r="AEJ1724" s="227"/>
      <c r="AEK1724" s="227"/>
      <c r="AEL1724" s="227"/>
      <c r="AEM1724" s="227"/>
      <c r="AEN1724" s="227"/>
      <c r="AEO1724" s="227"/>
      <c r="AEP1724" s="227"/>
      <c r="AEQ1724" s="227"/>
      <c r="AER1724" s="227"/>
      <c r="AES1724" s="227"/>
      <c r="AET1724" s="227"/>
      <c r="AEU1724" s="227"/>
      <c r="AEV1724" s="227"/>
      <c r="AEW1724" s="227"/>
      <c r="AEX1724" s="227"/>
      <c r="AEY1724" s="227"/>
      <c r="AEZ1724" s="227"/>
      <c r="AFA1724" s="227"/>
      <c r="AFB1724" s="227"/>
      <c r="AFC1724" s="227"/>
      <c r="AFD1724" s="227"/>
      <c r="AFE1724" s="227"/>
      <c r="AFF1724" s="227"/>
      <c r="AFG1724" s="227"/>
      <c r="AFH1724" s="227"/>
      <c r="AFI1724" s="227"/>
      <c r="AFJ1724" s="227"/>
      <c r="AFK1724" s="227"/>
      <c r="AFL1724" s="227"/>
      <c r="AFM1724" s="227"/>
      <c r="AFN1724" s="227"/>
      <c r="AFO1724" s="227"/>
      <c r="AFP1724" s="227"/>
      <c r="AFQ1724" s="227"/>
      <c r="AFR1724" s="227"/>
      <c r="AFS1724" s="227"/>
      <c r="AFT1724" s="227"/>
      <c r="AFU1724" s="227"/>
      <c r="AFV1724" s="227"/>
      <c r="AFW1724" s="227"/>
      <c r="AFX1724" s="227"/>
      <c r="AFY1724" s="227"/>
      <c r="AFZ1724" s="227"/>
      <c r="AGA1724" s="227"/>
      <c r="AGB1724" s="227"/>
      <c r="AGC1724" s="227"/>
      <c r="AGD1724" s="227"/>
      <c r="AGE1724" s="227"/>
      <c r="AGF1724" s="227"/>
      <c r="AGG1724" s="227"/>
      <c r="AGH1724" s="227"/>
      <c r="AGI1724" s="227"/>
      <c r="AGJ1724" s="227"/>
      <c r="AGK1724" s="227"/>
      <c r="AGL1724" s="227"/>
      <c r="AGM1724" s="227"/>
      <c r="AGN1724" s="227"/>
      <c r="AGO1724" s="227"/>
      <c r="AGP1724" s="227"/>
      <c r="AGQ1724" s="227"/>
      <c r="AGR1724" s="227"/>
      <c r="AGS1724" s="227"/>
      <c r="AGT1724" s="227"/>
      <c r="AGU1724" s="227"/>
      <c r="AGV1724" s="227"/>
      <c r="AGW1724" s="227"/>
      <c r="AGX1724" s="227"/>
      <c r="AGY1724" s="227"/>
      <c r="AGZ1724" s="227"/>
      <c r="AHA1724" s="227"/>
      <c r="AHB1724" s="227"/>
      <c r="AHC1724" s="227"/>
      <c r="AHD1724" s="227"/>
      <c r="AHE1724" s="227"/>
      <c r="AHF1724" s="227"/>
      <c r="AHG1724" s="227"/>
      <c r="AHH1724" s="227"/>
      <c r="AHI1724" s="227"/>
      <c r="AHJ1724" s="227"/>
      <c r="AHK1724" s="227"/>
      <c r="AHL1724" s="227"/>
      <c r="AHM1724" s="227"/>
      <c r="AHN1724" s="227"/>
      <c r="AHO1724" s="227"/>
      <c r="AHP1724" s="227"/>
      <c r="AHQ1724" s="227"/>
      <c r="AHR1724" s="227"/>
      <c r="AHS1724" s="227"/>
      <c r="AHT1724" s="227"/>
      <c r="AHU1724" s="227"/>
      <c r="AHV1724" s="227"/>
      <c r="AHW1724" s="227"/>
      <c r="AHX1724" s="227"/>
      <c r="AHY1724" s="227"/>
      <c r="AHZ1724" s="227"/>
      <c r="AIA1724" s="227"/>
      <c r="AIB1724" s="227"/>
      <c r="AIC1724" s="227"/>
      <c r="AID1724" s="227"/>
      <c r="AIE1724" s="227"/>
      <c r="AIF1724" s="227"/>
      <c r="AIG1724" s="227"/>
      <c r="AIH1724" s="227"/>
      <c r="AII1724" s="227"/>
      <c r="AIJ1724" s="227"/>
      <c r="AIK1724" s="227"/>
      <c r="AIL1724" s="227"/>
      <c r="AIM1724" s="227"/>
      <c r="AIN1724" s="227"/>
      <c r="AIO1724" s="227"/>
      <c r="AIP1724" s="227"/>
      <c r="AIQ1724" s="227"/>
      <c r="AIR1724" s="227"/>
      <c r="AIS1724" s="227"/>
      <c r="AIT1724" s="227"/>
      <c r="AIU1724" s="227"/>
      <c r="AIV1724" s="227"/>
      <c r="AIW1724" s="227"/>
      <c r="AIX1724" s="227"/>
      <c r="AIY1724" s="227"/>
      <c r="AIZ1724" s="227"/>
      <c r="AJA1724" s="227"/>
      <c r="AJB1724" s="227"/>
      <c r="AJC1724" s="227"/>
      <c r="AJD1724" s="227"/>
      <c r="AJE1724" s="227"/>
      <c r="AJF1724" s="227"/>
      <c r="AJG1724" s="227"/>
      <c r="AJH1724" s="227"/>
      <c r="AJI1724" s="227"/>
      <c r="AJJ1724" s="227"/>
      <c r="AJK1724" s="227"/>
      <c r="AJL1724" s="227"/>
      <c r="AJM1724" s="227"/>
      <c r="AJN1724" s="227"/>
      <c r="AJO1724" s="227"/>
      <c r="AJP1724" s="227"/>
      <c r="AJQ1724" s="227"/>
      <c r="AJR1724" s="227"/>
      <c r="AJS1724" s="227"/>
      <c r="AJT1724" s="227"/>
      <c r="AJU1724" s="227"/>
      <c r="AJV1724" s="227"/>
      <c r="AJW1724" s="227"/>
      <c r="AJX1724" s="227"/>
      <c r="AJY1724" s="227"/>
      <c r="AJZ1724" s="227"/>
      <c r="AKA1724" s="227"/>
      <c r="AKB1724" s="227"/>
      <c r="AKC1724" s="227"/>
      <c r="AKD1724" s="227"/>
      <c r="AKE1724" s="227"/>
      <c r="AKF1724" s="227"/>
      <c r="AKG1724" s="227"/>
      <c r="AKH1724" s="227"/>
      <c r="AKI1724" s="227"/>
      <c r="AKJ1724" s="227"/>
      <c r="AKK1724" s="227"/>
      <c r="AKL1724" s="227"/>
      <c r="AKM1724" s="227"/>
      <c r="AKN1724" s="227"/>
      <c r="AKO1724" s="227"/>
      <c r="AKP1724" s="227"/>
      <c r="AKQ1724" s="227"/>
      <c r="AKR1724" s="227"/>
      <c r="AKS1724" s="227"/>
      <c r="AKT1724" s="227"/>
      <c r="AKU1724" s="227"/>
      <c r="AKV1724" s="227"/>
      <c r="AKW1724" s="227"/>
      <c r="AKX1724" s="227"/>
      <c r="AKY1724" s="227"/>
      <c r="AKZ1724" s="227"/>
      <c r="ALA1724" s="227"/>
      <c r="ALB1724" s="227"/>
      <c r="ALC1724" s="227"/>
      <c r="ALD1724" s="227"/>
      <c r="ALE1724" s="227"/>
      <c r="ALF1724" s="227"/>
      <c r="ALG1724" s="227"/>
      <c r="ALH1724" s="227"/>
      <c r="ALI1724" s="227"/>
      <c r="ALJ1724" s="227"/>
      <c r="ALK1724" s="227"/>
      <c r="ALL1724" s="227"/>
      <c r="ALM1724" s="227"/>
      <c r="ALN1724" s="227"/>
      <c r="ALO1724" s="227"/>
      <c r="ALP1724" s="227"/>
      <c r="ALQ1724" s="227"/>
      <c r="ALR1724" s="227"/>
      <c r="ALS1724" s="227"/>
      <c r="ALT1724" s="227"/>
      <c r="ALU1724" s="227"/>
      <c r="ALV1724" s="227"/>
      <c r="ALW1724" s="227"/>
      <c r="ALX1724" s="227"/>
      <c r="ALY1724" s="227"/>
      <c r="ALZ1724" s="227"/>
      <c r="AMA1724" s="227"/>
      <c r="AMB1724" s="227"/>
      <c r="AMC1724" s="227"/>
      <c r="AMD1724" s="227"/>
      <c r="AME1724" s="227"/>
      <c r="AMF1724" s="227"/>
      <c r="AMG1724" s="227"/>
      <c r="AMH1724" s="227"/>
      <c r="AMI1724" s="227"/>
      <c r="AMJ1724" s="227"/>
      <c r="AMK1724" s="227"/>
      <c r="AML1724" s="227"/>
      <c r="AMM1724" s="227"/>
      <c r="AMN1724" s="227"/>
      <c r="AMO1724" s="227"/>
      <c r="AMP1724" s="227"/>
      <c r="AMQ1724" s="227"/>
      <c r="AMR1724" s="227"/>
      <c r="AMS1724" s="227"/>
      <c r="AMT1724" s="227"/>
      <c r="AMU1724" s="227"/>
      <c r="AMV1724" s="227"/>
      <c r="AMW1724" s="227"/>
      <c r="AMX1724" s="227"/>
      <c r="AMY1724" s="227"/>
      <c r="AMZ1724" s="227"/>
      <c r="ANA1724" s="227"/>
      <c r="ANB1724" s="227"/>
      <c r="ANC1724" s="227"/>
      <c r="AND1724" s="227"/>
      <c r="ANE1724" s="227"/>
      <c r="ANF1724" s="227"/>
      <c r="ANG1724" s="227"/>
      <c r="ANH1724" s="227"/>
      <c r="ANI1724" s="227"/>
      <c r="ANJ1724" s="227"/>
      <c r="ANK1724" s="227"/>
      <c r="ANL1724" s="227"/>
      <c r="ANM1724" s="227"/>
      <c r="ANN1724" s="227"/>
      <c r="ANO1724" s="227"/>
      <c r="ANP1724" s="227"/>
      <c r="ANQ1724" s="227"/>
      <c r="ANR1724" s="227"/>
      <c r="ANS1724" s="227"/>
      <c r="ANT1724" s="227"/>
      <c r="ANU1724" s="227"/>
      <c r="ANV1724" s="227"/>
      <c r="ANW1724" s="227"/>
      <c r="ANX1724" s="227"/>
      <c r="ANY1724" s="227"/>
      <c r="ANZ1724" s="227"/>
      <c r="AOA1724" s="227"/>
      <c r="AOB1724" s="227"/>
      <c r="AOC1724" s="227"/>
      <c r="AOD1724" s="227"/>
      <c r="AOE1724" s="227"/>
      <c r="AOF1724" s="227"/>
      <c r="AOG1724" s="227"/>
      <c r="AOH1724" s="227"/>
      <c r="AOI1724" s="227"/>
      <c r="AOJ1724" s="227"/>
      <c r="AOK1724" s="227"/>
      <c r="AOL1724" s="227"/>
      <c r="AOM1724" s="227"/>
      <c r="AON1724" s="227"/>
      <c r="AOO1724" s="227"/>
      <c r="AOP1724" s="227"/>
      <c r="AOQ1724" s="227"/>
      <c r="AOR1724" s="227"/>
      <c r="AOS1724" s="227"/>
      <c r="AOT1724" s="227"/>
      <c r="AOU1724" s="227"/>
      <c r="AOV1724" s="227"/>
      <c r="AOW1724" s="227"/>
      <c r="AOX1724" s="227"/>
      <c r="AOY1724" s="227"/>
      <c r="AOZ1724" s="227"/>
      <c r="APA1724" s="227"/>
      <c r="APB1724" s="227"/>
      <c r="APC1724" s="227"/>
      <c r="APD1724" s="227"/>
      <c r="APE1724" s="227"/>
      <c r="APF1724" s="227"/>
      <c r="APG1724" s="227"/>
      <c r="APH1724" s="227"/>
      <c r="API1724" s="227"/>
      <c r="APJ1724" s="227"/>
      <c r="APK1724" s="227"/>
      <c r="APL1724" s="227"/>
      <c r="APM1724" s="227"/>
      <c r="APN1724" s="227"/>
      <c r="APO1724" s="227"/>
      <c r="APP1724" s="227"/>
      <c r="APQ1724" s="227"/>
      <c r="APR1724" s="227"/>
      <c r="APS1724" s="227"/>
      <c r="APT1724" s="227"/>
      <c r="APU1724" s="227"/>
      <c r="APV1724" s="227"/>
      <c r="APW1724" s="227"/>
      <c r="APX1724" s="227"/>
      <c r="APY1724" s="227"/>
      <c r="APZ1724" s="227"/>
      <c r="AQA1724" s="227"/>
      <c r="AQB1724" s="227"/>
      <c r="AQC1724" s="227"/>
      <c r="AQD1724" s="227"/>
      <c r="AQE1724" s="227"/>
      <c r="AQF1724" s="227"/>
      <c r="AQG1724" s="227"/>
      <c r="AQH1724" s="227"/>
      <c r="AQI1724" s="227"/>
      <c r="AQJ1724" s="227"/>
      <c r="AQK1724" s="227"/>
      <c r="AQL1724" s="227"/>
      <c r="AQM1724" s="227"/>
      <c r="AQN1724" s="227"/>
      <c r="AQO1724" s="227"/>
      <c r="AQP1724" s="227"/>
      <c r="AQQ1724" s="227"/>
      <c r="AQR1724" s="227"/>
      <c r="AQS1724" s="227"/>
      <c r="AQT1724" s="227"/>
      <c r="AQU1724" s="227"/>
      <c r="AQV1724" s="227"/>
      <c r="AQW1724" s="227"/>
      <c r="AQX1724" s="227"/>
      <c r="AQY1724" s="227"/>
      <c r="AQZ1724" s="227"/>
      <c r="ARA1724" s="227"/>
      <c r="ARB1724" s="227"/>
      <c r="ARC1724" s="227"/>
      <c r="ARD1724" s="227"/>
      <c r="ARE1724" s="227"/>
      <c r="ARF1724" s="227"/>
      <c r="ARG1724" s="227"/>
      <c r="ARH1724" s="227"/>
      <c r="ARI1724" s="227"/>
      <c r="ARJ1724" s="227"/>
      <c r="ARK1724" s="227"/>
      <c r="ARL1724" s="227"/>
      <c r="ARM1724" s="227"/>
      <c r="ARN1724" s="227"/>
      <c r="ARO1724" s="227"/>
      <c r="ARP1724" s="227"/>
      <c r="ARQ1724" s="227"/>
      <c r="ARR1724" s="227"/>
      <c r="ARS1724" s="227"/>
      <c r="ART1724" s="227"/>
      <c r="ARU1724" s="227"/>
      <c r="ARV1724" s="227"/>
      <c r="ARW1724" s="227"/>
      <c r="ARX1724" s="227"/>
      <c r="ARY1724" s="227"/>
      <c r="ARZ1724" s="227"/>
      <c r="ASA1724" s="227"/>
      <c r="ASB1724" s="227"/>
      <c r="ASC1724" s="227"/>
      <c r="ASD1724" s="227"/>
      <c r="ASE1724" s="227"/>
      <c r="ASF1724" s="227"/>
      <c r="ASG1724" s="227"/>
      <c r="ASH1724" s="227"/>
      <c r="ASI1724" s="227"/>
      <c r="ASJ1724" s="227"/>
      <c r="ASK1724" s="227"/>
      <c r="ASL1724" s="227"/>
      <c r="ASM1724" s="227"/>
      <c r="ASN1724" s="227"/>
      <c r="ASO1724" s="227"/>
      <c r="ASP1724" s="227"/>
      <c r="ASQ1724" s="227"/>
      <c r="ASR1724" s="227"/>
      <c r="ASS1724" s="227"/>
      <c r="AST1724" s="227"/>
      <c r="ASU1724" s="227"/>
      <c r="ASV1724" s="227"/>
      <c r="ASW1724" s="227"/>
      <c r="ASX1724" s="227"/>
      <c r="ASY1724" s="227"/>
      <c r="ASZ1724" s="227"/>
      <c r="ATA1724" s="227"/>
      <c r="ATB1724" s="227"/>
      <c r="ATC1724" s="227"/>
      <c r="ATD1724" s="227"/>
      <c r="ATE1724" s="227"/>
      <c r="ATF1724" s="227"/>
      <c r="ATG1724" s="227"/>
      <c r="ATH1724" s="227"/>
      <c r="ATI1724" s="227"/>
      <c r="ATJ1724" s="227"/>
      <c r="ATK1724" s="227"/>
      <c r="ATL1724" s="227"/>
      <c r="ATM1724" s="227"/>
      <c r="ATN1724" s="227"/>
      <c r="ATO1724" s="227"/>
      <c r="ATP1724" s="227"/>
      <c r="ATQ1724" s="227"/>
      <c r="ATR1724" s="227"/>
      <c r="ATS1724" s="227"/>
      <c r="ATT1724" s="227"/>
      <c r="ATU1724" s="227"/>
      <c r="ATV1724" s="227"/>
      <c r="ATW1724" s="227"/>
      <c r="ATX1724" s="227"/>
      <c r="ATY1724" s="227"/>
      <c r="ATZ1724" s="227"/>
      <c r="AUA1724" s="227"/>
      <c r="AUB1724" s="227"/>
      <c r="AUC1724" s="227"/>
      <c r="AUD1724" s="227"/>
      <c r="AUE1724" s="227"/>
      <c r="AUF1724" s="227"/>
      <c r="AUG1724" s="227"/>
      <c r="AUH1724" s="227"/>
      <c r="AUI1724" s="227"/>
      <c r="AUJ1724" s="227"/>
      <c r="AUK1724" s="227"/>
      <c r="AUL1724" s="227"/>
      <c r="AUM1724" s="227"/>
      <c r="AUN1724" s="227"/>
      <c r="AUO1724" s="227"/>
      <c r="AUP1724" s="227"/>
      <c r="AUQ1724" s="227"/>
      <c r="AUR1724" s="227"/>
      <c r="AUS1724" s="227"/>
      <c r="AUT1724" s="227"/>
      <c r="AUU1724" s="227"/>
      <c r="AUV1724" s="227"/>
      <c r="AUW1724" s="227"/>
      <c r="AUX1724" s="227"/>
      <c r="AUY1724" s="227"/>
      <c r="AUZ1724" s="227"/>
      <c r="AVA1724" s="227"/>
      <c r="AVB1724" s="227"/>
      <c r="AVC1724" s="227"/>
      <c r="AVD1724" s="227"/>
      <c r="AVE1724" s="227"/>
      <c r="AVF1724" s="227"/>
      <c r="AVG1724" s="227"/>
      <c r="AVH1724" s="227"/>
      <c r="AVI1724" s="227"/>
      <c r="AVJ1724" s="227"/>
      <c r="AVK1724" s="227"/>
      <c r="AVL1724" s="227"/>
      <c r="AVM1724" s="227"/>
      <c r="AVN1724" s="227"/>
      <c r="AVO1724" s="227"/>
      <c r="AVP1724" s="227"/>
      <c r="AVQ1724" s="227"/>
      <c r="AVR1724" s="227"/>
      <c r="AVS1724" s="227"/>
      <c r="AVT1724" s="227"/>
      <c r="AVU1724" s="227"/>
      <c r="AVV1724" s="227"/>
      <c r="AVW1724" s="227"/>
      <c r="AVX1724" s="227"/>
      <c r="AVY1724" s="227"/>
      <c r="AVZ1724" s="227"/>
      <c r="AWA1724" s="227"/>
      <c r="AWB1724" s="227"/>
      <c r="AWC1724" s="227"/>
      <c r="AWD1724" s="227"/>
      <c r="AWE1724" s="227"/>
      <c r="AWF1724" s="227"/>
      <c r="AWG1724" s="227"/>
      <c r="AWH1724" s="227"/>
      <c r="AWI1724" s="227"/>
      <c r="AWJ1724" s="227"/>
      <c r="AWK1724" s="227"/>
      <c r="AWL1724" s="227"/>
      <c r="AWM1724" s="227"/>
      <c r="AWN1724" s="227"/>
      <c r="AWO1724" s="227"/>
      <c r="AWP1724" s="227"/>
      <c r="AWQ1724" s="227"/>
      <c r="AWR1724" s="227"/>
      <c r="AWS1724" s="227"/>
      <c r="AWT1724" s="227"/>
      <c r="AWU1724" s="227"/>
      <c r="AWV1724" s="227"/>
      <c r="AWW1724" s="227"/>
      <c r="AWX1724" s="227"/>
      <c r="AWY1724" s="227"/>
      <c r="AWZ1724" s="227"/>
      <c r="AXA1724" s="227"/>
      <c r="AXB1724" s="227"/>
      <c r="AXC1724" s="227"/>
      <c r="AXD1724" s="227"/>
      <c r="AXE1724" s="227"/>
      <c r="AXF1724" s="227"/>
      <c r="AXG1724" s="227"/>
      <c r="AXH1724" s="227"/>
      <c r="AXI1724" s="227"/>
      <c r="AXJ1724" s="227"/>
      <c r="AXK1724" s="227"/>
      <c r="AXL1724" s="227"/>
      <c r="AXM1724" s="227"/>
      <c r="AXN1724" s="227"/>
      <c r="AXO1724" s="227"/>
      <c r="AXP1724" s="227"/>
      <c r="AXQ1724" s="227"/>
      <c r="AXR1724" s="227"/>
      <c r="AXS1724" s="227"/>
      <c r="AXT1724" s="227"/>
      <c r="AXU1724" s="227"/>
      <c r="AXV1724" s="227"/>
      <c r="AXW1724" s="227"/>
      <c r="AXX1724" s="227"/>
      <c r="AXY1724" s="227"/>
      <c r="AXZ1724" s="227"/>
      <c r="AYA1724" s="227"/>
      <c r="AYB1724" s="227"/>
      <c r="AYC1724" s="227"/>
      <c r="AYD1724" s="227"/>
      <c r="AYE1724" s="227"/>
      <c r="AYF1724" s="227"/>
      <c r="AYG1724" s="227"/>
      <c r="AYH1724" s="227"/>
      <c r="AYI1724" s="227"/>
      <c r="AYJ1724" s="227"/>
      <c r="AYK1724" s="227"/>
      <c r="AYL1724" s="227"/>
      <c r="AYM1724" s="227"/>
      <c r="AYN1724" s="227"/>
      <c r="AYO1724" s="227"/>
      <c r="AYP1724" s="227"/>
      <c r="AYQ1724" s="227"/>
      <c r="AYR1724" s="227"/>
      <c r="AYS1724" s="227"/>
      <c r="AYT1724" s="227"/>
      <c r="AYU1724" s="227"/>
      <c r="AYV1724" s="227"/>
      <c r="AYW1724" s="227"/>
      <c r="AYX1724" s="227"/>
      <c r="AYY1724" s="227"/>
      <c r="AYZ1724" s="227"/>
      <c r="AZA1724" s="227"/>
      <c r="AZB1724" s="227"/>
      <c r="AZC1724" s="227"/>
      <c r="AZD1724" s="227"/>
      <c r="AZE1724" s="227"/>
      <c r="AZF1724" s="227"/>
      <c r="AZG1724" s="227"/>
      <c r="AZH1724" s="227"/>
      <c r="AZI1724" s="227"/>
      <c r="AZJ1724" s="227"/>
      <c r="AZK1724" s="227"/>
      <c r="AZL1724" s="227"/>
      <c r="AZM1724" s="227"/>
      <c r="AZN1724" s="227"/>
      <c r="AZO1724" s="227"/>
      <c r="AZP1724" s="227"/>
      <c r="AZQ1724" s="227"/>
      <c r="AZR1724" s="227"/>
      <c r="AZS1724" s="227"/>
      <c r="AZT1724" s="227"/>
      <c r="AZU1724" s="227"/>
      <c r="AZV1724" s="227"/>
      <c r="AZW1724" s="227"/>
      <c r="AZX1724" s="227"/>
      <c r="AZY1724" s="227"/>
      <c r="AZZ1724" s="227"/>
      <c r="BAA1724" s="227"/>
      <c r="BAB1724" s="227"/>
      <c r="BAC1724" s="227"/>
      <c r="BAD1724" s="227"/>
      <c r="BAE1724" s="227"/>
      <c r="BAF1724" s="227"/>
      <c r="BAG1724" s="227"/>
      <c r="BAH1724" s="227"/>
      <c r="BAI1724" s="227"/>
      <c r="BAJ1724" s="227"/>
      <c r="BAK1724" s="227"/>
      <c r="BAL1724" s="227"/>
      <c r="BAM1724" s="227"/>
      <c r="BAN1724" s="227"/>
      <c r="BAO1724" s="227"/>
      <c r="BAP1724" s="227"/>
      <c r="BAQ1724" s="227"/>
      <c r="BAR1724" s="227"/>
      <c r="BAS1724" s="227"/>
      <c r="BAT1724" s="227"/>
      <c r="BAU1724" s="227"/>
      <c r="BAV1724" s="227"/>
      <c r="BAW1724" s="227"/>
      <c r="BAX1724" s="227"/>
      <c r="BAY1724" s="227"/>
      <c r="BAZ1724" s="227"/>
      <c r="BBA1724" s="227"/>
      <c r="BBB1724" s="227"/>
      <c r="BBC1724" s="227"/>
      <c r="BBD1724" s="227"/>
      <c r="BBE1724" s="227"/>
      <c r="BBF1724" s="227"/>
      <c r="BBG1724" s="227"/>
      <c r="BBH1724" s="227"/>
      <c r="BBI1724" s="227"/>
      <c r="BBJ1724" s="227"/>
      <c r="BBK1724" s="227"/>
      <c r="BBL1724" s="227"/>
      <c r="BBM1724" s="227"/>
      <c r="BBN1724" s="227"/>
      <c r="BBO1724" s="227"/>
      <c r="BBP1724" s="227"/>
      <c r="BBQ1724" s="227"/>
      <c r="BBR1724" s="227"/>
      <c r="BBS1724" s="227"/>
      <c r="BBT1724" s="227"/>
      <c r="BBU1724" s="227"/>
      <c r="BBV1724" s="227"/>
      <c r="BBW1724" s="227"/>
      <c r="BBX1724" s="227"/>
      <c r="BBY1724" s="227"/>
      <c r="BBZ1724" s="227"/>
      <c r="BCA1724" s="227"/>
      <c r="BCB1724" s="227"/>
      <c r="BCC1724" s="227"/>
      <c r="BCD1724" s="227"/>
      <c r="BCE1724" s="227"/>
      <c r="BCF1724" s="227"/>
      <c r="BCG1724" s="227"/>
      <c r="BCH1724" s="227"/>
      <c r="BCI1724" s="227"/>
      <c r="BCJ1724" s="227"/>
      <c r="BCK1724" s="227"/>
      <c r="BCL1724" s="227"/>
      <c r="BCM1724" s="227"/>
      <c r="BCN1724" s="227"/>
      <c r="BCO1724" s="227"/>
      <c r="BCP1724" s="227"/>
      <c r="BCQ1724" s="227"/>
      <c r="BCR1724" s="227"/>
      <c r="BCS1724" s="227"/>
      <c r="BCT1724" s="227"/>
      <c r="BCU1724" s="227"/>
      <c r="BCV1724" s="227"/>
      <c r="BCW1724" s="227"/>
      <c r="BCX1724" s="227"/>
      <c r="BCY1724" s="227"/>
      <c r="BCZ1724" s="227"/>
      <c r="BDA1724" s="227"/>
      <c r="BDB1724" s="227"/>
      <c r="BDC1724" s="227"/>
      <c r="BDD1724" s="227"/>
      <c r="BDE1724" s="227"/>
      <c r="BDF1724" s="227"/>
      <c r="BDG1724" s="227"/>
      <c r="BDH1724" s="227"/>
      <c r="BDI1724" s="227"/>
      <c r="BDJ1724" s="227"/>
      <c r="BDK1724" s="227"/>
      <c r="BDL1724" s="227"/>
      <c r="BDM1724" s="227"/>
      <c r="BDN1724" s="227"/>
      <c r="BDO1724" s="227"/>
      <c r="BDP1724" s="227"/>
      <c r="BDQ1724" s="227"/>
      <c r="BDR1724" s="227"/>
      <c r="BDS1724" s="227"/>
      <c r="BDT1724" s="227"/>
      <c r="BDU1724" s="227"/>
      <c r="BDV1724" s="227"/>
      <c r="BDW1724" s="227"/>
      <c r="BDX1724" s="227"/>
      <c r="BDY1724" s="227"/>
      <c r="BDZ1724" s="227"/>
      <c r="BEA1724" s="227"/>
      <c r="BEB1724" s="227"/>
      <c r="BEC1724" s="227"/>
      <c r="BED1724" s="227"/>
      <c r="BEE1724" s="227"/>
      <c r="BEF1724" s="227"/>
      <c r="BEG1724" s="227"/>
      <c r="BEH1724" s="227"/>
      <c r="BEI1724" s="227"/>
      <c r="BEJ1724" s="227"/>
      <c r="BEK1724" s="227"/>
      <c r="BEL1724" s="227"/>
      <c r="BEM1724" s="227"/>
      <c r="BEN1724" s="227"/>
      <c r="BEO1724" s="227"/>
      <c r="BEP1724" s="227"/>
      <c r="BEQ1724" s="227"/>
      <c r="BER1724" s="227"/>
      <c r="BES1724" s="227"/>
      <c r="BET1724" s="227"/>
      <c r="BEU1724" s="227"/>
      <c r="BEV1724" s="227"/>
      <c r="BEW1724" s="227"/>
      <c r="BEX1724" s="227"/>
      <c r="BEY1724" s="227"/>
      <c r="BEZ1724" s="227"/>
      <c r="BFA1724" s="227"/>
      <c r="BFB1724" s="227"/>
      <c r="BFC1724" s="227"/>
      <c r="BFD1724" s="227"/>
      <c r="BFE1724" s="227"/>
      <c r="BFF1724" s="227"/>
      <c r="BFG1724" s="227"/>
      <c r="BFH1724" s="227"/>
      <c r="BFI1724" s="227"/>
      <c r="BFJ1724" s="227"/>
      <c r="BFK1724" s="227"/>
      <c r="BFL1724" s="227"/>
      <c r="BFM1724" s="227"/>
      <c r="BFN1724" s="227"/>
      <c r="BFO1724" s="227"/>
      <c r="BFP1724" s="227"/>
      <c r="BFQ1724" s="227"/>
      <c r="BFR1724" s="227"/>
      <c r="BFS1724" s="227"/>
      <c r="BFT1724" s="227"/>
      <c r="BFU1724" s="227"/>
      <c r="BFV1724" s="227"/>
      <c r="BFW1724" s="227"/>
      <c r="BFX1724" s="227"/>
      <c r="BFY1724" s="227"/>
      <c r="BFZ1724" s="227"/>
      <c r="BGA1724" s="227"/>
      <c r="BGB1724" s="227"/>
      <c r="BGC1724" s="227"/>
      <c r="BGD1724" s="227"/>
      <c r="BGE1724" s="227"/>
      <c r="BGF1724" s="227"/>
      <c r="BGG1724" s="227"/>
      <c r="BGH1724" s="227"/>
      <c r="BGI1724" s="227"/>
      <c r="BGJ1724" s="227"/>
      <c r="BGK1724" s="227"/>
      <c r="BGL1724" s="227"/>
      <c r="BGM1724" s="227"/>
      <c r="BGN1724" s="227"/>
      <c r="BGO1724" s="227"/>
      <c r="BGP1724" s="227"/>
      <c r="BGQ1724" s="227"/>
      <c r="BGR1724" s="227"/>
      <c r="BGS1724" s="227"/>
      <c r="BGT1724" s="227"/>
      <c r="BGU1724" s="227"/>
      <c r="BGV1724" s="227"/>
      <c r="BGW1724" s="227"/>
      <c r="BGX1724" s="227"/>
      <c r="BGY1724" s="227"/>
      <c r="BGZ1724" s="227"/>
      <c r="BHA1724" s="227"/>
      <c r="BHB1724" s="227"/>
      <c r="BHC1724" s="227"/>
      <c r="BHD1724" s="227"/>
      <c r="BHE1724" s="227"/>
      <c r="BHF1724" s="227"/>
      <c r="BHG1724" s="227"/>
      <c r="BHH1724" s="227"/>
      <c r="BHI1724" s="227"/>
      <c r="BHJ1724" s="227"/>
      <c r="BHK1724" s="227"/>
      <c r="BHL1724" s="227"/>
      <c r="BHM1724" s="227"/>
      <c r="BHN1724" s="227"/>
      <c r="BHO1724" s="227"/>
      <c r="BHP1724" s="227"/>
      <c r="BHQ1724" s="227"/>
      <c r="BHR1724" s="227"/>
      <c r="BHS1724" s="227"/>
      <c r="BHT1724" s="227"/>
      <c r="BHU1724" s="227"/>
      <c r="BHV1724" s="227"/>
      <c r="BHW1724" s="227"/>
      <c r="BHX1724" s="227"/>
      <c r="BHY1724" s="227"/>
      <c r="BHZ1724" s="227"/>
      <c r="BIA1724" s="227"/>
      <c r="BIB1724" s="227"/>
      <c r="BIC1724" s="227"/>
      <c r="BID1724" s="227"/>
      <c r="BIE1724" s="227"/>
      <c r="BIF1724" s="227"/>
      <c r="BIG1724" s="227"/>
      <c r="BIH1724" s="227"/>
      <c r="BII1724" s="227"/>
      <c r="BIJ1724" s="227"/>
      <c r="BIK1724" s="227"/>
      <c r="BIL1724" s="227"/>
      <c r="BIM1724" s="227"/>
      <c r="BIN1724" s="227"/>
      <c r="BIO1724" s="227"/>
      <c r="BIP1724" s="227"/>
      <c r="BIQ1724" s="227"/>
      <c r="BIR1724" s="227"/>
      <c r="BIS1724" s="227"/>
      <c r="BIT1724" s="227"/>
      <c r="BIU1724" s="227"/>
      <c r="BIV1724" s="227"/>
      <c r="BIW1724" s="227"/>
      <c r="BIX1724" s="227"/>
      <c r="BIY1724" s="227"/>
      <c r="BIZ1724" s="227"/>
      <c r="BJA1724" s="227"/>
      <c r="BJB1724" s="227"/>
      <c r="BJC1724" s="227"/>
      <c r="BJD1724" s="227"/>
      <c r="BJE1724" s="227"/>
      <c r="BJF1724" s="227"/>
      <c r="BJG1724" s="227"/>
      <c r="BJH1724" s="227"/>
      <c r="BJI1724" s="227"/>
      <c r="BJJ1724" s="227"/>
      <c r="BJK1724" s="227"/>
      <c r="BJL1724" s="227"/>
      <c r="BJM1724" s="227"/>
      <c r="BJN1724" s="227"/>
      <c r="BJO1724" s="227"/>
      <c r="BJP1724" s="227"/>
      <c r="BJQ1724" s="227"/>
      <c r="BJR1724" s="227"/>
      <c r="BJS1724" s="227"/>
      <c r="BJT1724" s="227"/>
      <c r="BJU1724" s="227"/>
      <c r="BJV1724" s="227"/>
      <c r="BJW1724" s="227"/>
      <c r="BJX1724" s="227"/>
      <c r="BJY1724" s="227"/>
      <c r="BJZ1724" s="227"/>
      <c r="BKA1724" s="227"/>
      <c r="BKB1724" s="227"/>
      <c r="BKC1724" s="227"/>
      <c r="BKD1724" s="227"/>
      <c r="BKE1724" s="227"/>
      <c r="BKF1724" s="227"/>
      <c r="BKG1724" s="227"/>
      <c r="BKH1724" s="227"/>
      <c r="BKI1724" s="227"/>
      <c r="BKJ1724" s="227"/>
      <c r="BKK1724" s="227"/>
      <c r="BKL1724" s="227"/>
      <c r="BKM1724" s="227"/>
      <c r="BKN1724" s="227"/>
      <c r="BKO1724" s="227"/>
      <c r="BKP1724" s="227"/>
      <c r="BKQ1724" s="227"/>
      <c r="BKR1724" s="227"/>
      <c r="BKS1724" s="227"/>
      <c r="BKT1724" s="227"/>
      <c r="BKU1724" s="227"/>
      <c r="BKV1724" s="227"/>
      <c r="BKW1724" s="227"/>
      <c r="BKX1724" s="227"/>
      <c r="BKY1724" s="227"/>
      <c r="BKZ1724" s="227"/>
      <c r="BLA1724" s="227"/>
      <c r="BLB1724" s="227"/>
      <c r="BLC1724" s="227"/>
      <c r="BLD1724" s="227"/>
      <c r="BLE1724" s="227"/>
      <c r="BLF1724" s="227"/>
      <c r="BLG1724" s="227"/>
      <c r="BLH1724" s="227"/>
      <c r="BLI1724" s="227"/>
      <c r="BLJ1724" s="227"/>
      <c r="BLK1724" s="227"/>
      <c r="BLL1724" s="227"/>
      <c r="BLM1724" s="227"/>
      <c r="BLN1724" s="227"/>
      <c r="BLO1724" s="227"/>
      <c r="BLP1724" s="227"/>
      <c r="BLQ1724" s="227"/>
      <c r="BLR1724" s="227"/>
      <c r="BLS1724" s="227"/>
      <c r="BLT1724" s="227"/>
      <c r="BLU1724" s="227"/>
      <c r="BLV1724" s="227"/>
      <c r="BLW1724" s="227"/>
      <c r="BLX1724" s="227"/>
      <c r="BLY1724" s="227"/>
      <c r="BLZ1724" s="227"/>
      <c r="BMA1724" s="227"/>
      <c r="BMB1724" s="227"/>
      <c r="BMC1724" s="227"/>
      <c r="BMD1724" s="227"/>
      <c r="BME1724" s="227"/>
      <c r="BMF1724" s="227"/>
      <c r="BMG1724" s="227"/>
      <c r="BMH1724" s="227"/>
      <c r="BMI1724" s="227"/>
      <c r="BMJ1724" s="227"/>
      <c r="BMK1724" s="227"/>
      <c r="BML1724" s="227"/>
      <c r="BMM1724" s="227"/>
      <c r="BMN1724" s="227"/>
      <c r="BMO1724" s="227"/>
      <c r="BMP1724" s="227"/>
      <c r="BMQ1724" s="227"/>
      <c r="BMR1724" s="227"/>
      <c r="BMS1724" s="227"/>
      <c r="BMT1724" s="227"/>
      <c r="BMU1724" s="227"/>
      <c r="BMV1724" s="227"/>
      <c r="BMW1724" s="227"/>
      <c r="BMX1724" s="227"/>
      <c r="BMY1724" s="227"/>
      <c r="BMZ1724" s="227"/>
      <c r="BNA1724" s="227"/>
      <c r="BNB1724" s="227"/>
      <c r="BNC1724" s="227"/>
      <c r="BND1724" s="227"/>
      <c r="BNE1724" s="227"/>
      <c r="BNF1724" s="227"/>
      <c r="BNG1724" s="227"/>
      <c r="BNH1724" s="227"/>
      <c r="BNI1724" s="227"/>
      <c r="BNJ1724" s="227"/>
      <c r="BNK1724" s="227"/>
      <c r="BNL1724" s="227"/>
      <c r="BNM1724" s="227"/>
      <c r="BNN1724" s="227"/>
      <c r="BNO1724" s="227"/>
      <c r="BNP1724" s="227"/>
      <c r="BNQ1724" s="227"/>
      <c r="BNR1724" s="227"/>
      <c r="BNS1724" s="227"/>
      <c r="BNT1724" s="227"/>
      <c r="BNU1724" s="227"/>
      <c r="BNV1724" s="227"/>
      <c r="BNW1724" s="227"/>
      <c r="BNX1724" s="227"/>
      <c r="BNY1724" s="227"/>
      <c r="BNZ1724" s="227"/>
      <c r="BOA1724" s="227"/>
      <c r="BOB1724" s="227"/>
      <c r="BOC1724" s="227"/>
      <c r="BOD1724" s="227"/>
      <c r="BOE1724" s="227"/>
      <c r="BOF1724" s="227"/>
      <c r="BOG1724" s="227"/>
      <c r="BOH1724" s="227"/>
      <c r="BOI1724" s="227"/>
      <c r="BOJ1724" s="227"/>
      <c r="BOK1724" s="227"/>
      <c r="BOL1724" s="227"/>
      <c r="BOM1724" s="227"/>
      <c r="BON1724" s="227"/>
      <c r="BOO1724" s="227"/>
      <c r="BOP1724" s="227"/>
      <c r="BOQ1724" s="227"/>
      <c r="BOR1724" s="227"/>
      <c r="BOS1724" s="227"/>
      <c r="BOT1724" s="227"/>
      <c r="BOU1724" s="227"/>
      <c r="BOV1724" s="227"/>
      <c r="BOW1724" s="227"/>
      <c r="BOX1724" s="227"/>
      <c r="BOY1724" s="227"/>
      <c r="BOZ1724" s="227"/>
      <c r="BPA1724" s="227"/>
      <c r="BPB1724" s="227"/>
      <c r="BPC1724" s="227"/>
      <c r="BPD1724" s="227"/>
      <c r="BPE1724" s="227"/>
      <c r="BPF1724" s="227"/>
      <c r="BPG1724" s="227"/>
      <c r="BPH1724" s="227"/>
      <c r="BPI1724" s="227"/>
      <c r="BPJ1724" s="227"/>
      <c r="BPK1724" s="227"/>
      <c r="BPL1724" s="227"/>
      <c r="BPM1724" s="227"/>
      <c r="BPN1724" s="227"/>
      <c r="BPO1724" s="227"/>
      <c r="BPP1724" s="227"/>
      <c r="BPQ1724" s="227"/>
      <c r="BPR1724" s="227"/>
      <c r="BPS1724" s="227"/>
      <c r="BPT1724" s="227"/>
      <c r="BPU1724" s="227"/>
      <c r="BPV1724" s="227"/>
      <c r="BPW1724" s="227"/>
      <c r="BPX1724" s="227"/>
      <c r="BPY1724" s="227"/>
      <c r="BPZ1724" s="227"/>
      <c r="BQA1724" s="227"/>
      <c r="BQB1724" s="227"/>
      <c r="BQC1724" s="227"/>
      <c r="BQD1724" s="227"/>
      <c r="BQE1724" s="227"/>
      <c r="BQF1724" s="227"/>
      <c r="BQG1724" s="227"/>
      <c r="BQH1724" s="227"/>
      <c r="BQI1724" s="227"/>
      <c r="BQJ1724" s="227"/>
      <c r="BQK1724" s="227"/>
      <c r="BQL1724" s="227"/>
      <c r="BQM1724" s="227"/>
      <c r="BQN1724" s="227"/>
      <c r="BQO1724" s="227"/>
      <c r="BQP1724" s="227"/>
      <c r="BQQ1724" s="227"/>
      <c r="BQR1724" s="227"/>
      <c r="BQS1724" s="227"/>
      <c r="BQT1724" s="227"/>
      <c r="BQU1724" s="227"/>
      <c r="BQV1724" s="227"/>
      <c r="BQW1724" s="227"/>
      <c r="BQX1724" s="227"/>
      <c r="BQY1724" s="227"/>
      <c r="BQZ1724" s="227"/>
      <c r="BRA1724" s="227"/>
      <c r="BRB1724" s="227"/>
      <c r="BRC1724" s="227"/>
      <c r="BRD1724" s="227"/>
      <c r="BRE1724" s="227"/>
      <c r="BRF1724" s="227"/>
      <c r="BRG1724" s="227"/>
      <c r="BRH1724" s="227"/>
      <c r="BRI1724" s="227"/>
      <c r="BRJ1724" s="227"/>
      <c r="BRK1724" s="227"/>
      <c r="BRL1724" s="227"/>
      <c r="BRM1724" s="227"/>
      <c r="BRN1724" s="227"/>
      <c r="BRO1724" s="227"/>
      <c r="BRP1724" s="227"/>
      <c r="BRQ1724" s="227"/>
      <c r="BRR1724" s="227"/>
      <c r="BRS1724" s="227"/>
      <c r="BRT1724" s="227"/>
      <c r="BRU1724" s="227"/>
      <c r="BRV1724" s="227"/>
      <c r="BRW1724" s="227"/>
      <c r="BRX1724" s="227"/>
      <c r="BRY1724" s="227"/>
      <c r="BRZ1724" s="227"/>
      <c r="BSA1724" s="227"/>
      <c r="BSB1724" s="227"/>
      <c r="BSC1724" s="227"/>
      <c r="BSD1724" s="227"/>
      <c r="BSE1724" s="227"/>
      <c r="BSF1724" s="227"/>
      <c r="BSG1724" s="227"/>
      <c r="BSH1724" s="227"/>
      <c r="BSI1724" s="227"/>
      <c r="BSJ1724" s="227"/>
      <c r="BSK1724" s="227"/>
      <c r="BSL1724" s="227"/>
      <c r="BSM1724" s="227"/>
      <c r="BSN1724" s="227"/>
      <c r="BSO1724" s="227"/>
      <c r="BSP1724" s="227"/>
      <c r="BSQ1724" s="227"/>
      <c r="BSR1724" s="227"/>
      <c r="BSS1724" s="227"/>
      <c r="BST1724" s="227"/>
      <c r="BSU1724" s="227"/>
      <c r="BSV1724" s="227"/>
      <c r="BSW1724" s="227"/>
      <c r="BSX1724" s="227"/>
      <c r="BSY1724" s="227"/>
      <c r="BSZ1724" s="227"/>
      <c r="BTA1724" s="227"/>
      <c r="BTB1724" s="227"/>
      <c r="BTC1724" s="227"/>
      <c r="BTD1724" s="227"/>
      <c r="BTE1724" s="227"/>
      <c r="BTF1724" s="227"/>
      <c r="BTG1724" s="227"/>
      <c r="BTH1724" s="227"/>
      <c r="BTI1724" s="227"/>
      <c r="BTJ1724" s="227"/>
      <c r="BTK1724" s="227"/>
      <c r="BTL1724" s="227"/>
      <c r="BTM1724" s="227"/>
      <c r="BTN1724" s="227"/>
      <c r="BTO1724" s="227"/>
      <c r="BTP1724" s="227"/>
      <c r="BTQ1724" s="227"/>
      <c r="BTR1724" s="227"/>
      <c r="BTS1724" s="227"/>
      <c r="BTT1724" s="227"/>
      <c r="BTU1724" s="227"/>
      <c r="BTV1724" s="227"/>
      <c r="BTW1724" s="227"/>
      <c r="BTX1724" s="227"/>
      <c r="BTY1724" s="227"/>
      <c r="BTZ1724" s="227"/>
      <c r="BUA1724" s="227"/>
      <c r="BUB1724" s="227"/>
      <c r="BUC1724" s="227"/>
      <c r="BUD1724" s="227"/>
      <c r="BUE1724" s="227"/>
      <c r="BUF1724" s="227"/>
      <c r="BUG1724" s="227"/>
      <c r="BUH1724" s="227"/>
      <c r="BUI1724" s="227"/>
      <c r="BUJ1724" s="227"/>
      <c r="BUK1724" s="227"/>
      <c r="BUL1724" s="227"/>
      <c r="BUM1724" s="227"/>
      <c r="BUN1724" s="227"/>
      <c r="BUO1724" s="227"/>
      <c r="BUP1724" s="227"/>
      <c r="BUQ1724" s="227"/>
      <c r="BUR1724" s="227"/>
      <c r="BUS1724" s="227"/>
      <c r="BUT1724" s="227"/>
      <c r="BUU1724" s="227"/>
      <c r="BUV1724" s="227"/>
      <c r="BUW1724" s="227"/>
      <c r="BUX1724" s="227"/>
      <c r="BUY1724" s="227"/>
      <c r="BUZ1724" s="227"/>
      <c r="BVA1724" s="227"/>
      <c r="BVB1724" s="227"/>
      <c r="BVC1724" s="227"/>
      <c r="BVD1724" s="227"/>
      <c r="BVE1724" s="227"/>
      <c r="BVF1724" s="227"/>
      <c r="BVG1724" s="227"/>
      <c r="BVH1724" s="227"/>
      <c r="BVI1724" s="227"/>
      <c r="BVJ1724" s="227"/>
      <c r="BVK1724" s="227"/>
      <c r="BVL1724" s="227"/>
      <c r="BVM1724" s="227"/>
      <c r="BVN1724" s="227"/>
      <c r="BVO1724" s="227"/>
      <c r="BVP1724" s="227"/>
      <c r="BVQ1724" s="227"/>
      <c r="BVR1724" s="227"/>
      <c r="BVS1724" s="227"/>
      <c r="BVT1724" s="227"/>
      <c r="BVU1724" s="227"/>
      <c r="BVV1724" s="227"/>
      <c r="BVW1724" s="227"/>
      <c r="BVX1724" s="227"/>
      <c r="BVY1724" s="227"/>
      <c r="BVZ1724" s="227"/>
      <c r="BWA1724" s="227"/>
      <c r="BWB1724" s="227"/>
      <c r="BWC1724" s="227"/>
      <c r="BWD1724" s="227"/>
      <c r="BWE1724" s="227"/>
      <c r="BWF1724" s="227"/>
      <c r="BWG1724" s="227"/>
      <c r="BWH1724" s="227"/>
      <c r="BWI1724" s="227"/>
      <c r="BWJ1724" s="227"/>
      <c r="BWK1724" s="227"/>
      <c r="BWL1724" s="227"/>
      <c r="BWM1724" s="227"/>
      <c r="BWN1724" s="227"/>
      <c r="BWO1724" s="227"/>
      <c r="BWP1724" s="227"/>
      <c r="BWQ1724" s="227"/>
      <c r="BWR1724" s="227"/>
      <c r="BWS1724" s="227"/>
      <c r="BWT1724" s="227"/>
      <c r="BWU1724" s="227"/>
      <c r="BWV1724" s="227"/>
      <c r="BWW1724" s="227"/>
      <c r="BWX1724" s="227"/>
      <c r="BWY1724" s="227"/>
      <c r="BWZ1724" s="227"/>
      <c r="BXA1724" s="227"/>
      <c r="BXB1724" s="227"/>
      <c r="BXC1724" s="227"/>
      <c r="BXD1724" s="227"/>
      <c r="BXE1724" s="227"/>
      <c r="BXF1724" s="227"/>
      <c r="BXG1724" s="227"/>
      <c r="BXH1724" s="227"/>
      <c r="BXI1724" s="227"/>
      <c r="BXJ1724" s="227"/>
      <c r="BXK1724" s="227"/>
      <c r="BXL1724" s="227"/>
      <c r="BXM1724" s="227"/>
      <c r="BXN1724" s="227"/>
      <c r="BXO1724" s="227"/>
      <c r="BXP1724" s="227"/>
      <c r="BXQ1724" s="227"/>
      <c r="BXR1724" s="227"/>
      <c r="BXS1724" s="227"/>
      <c r="BXT1724" s="227"/>
      <c r="BXU1724" s="227"/>
      <c r="BXV1724" s="227"/>
      <c r="BXW1724" s="227"/>
      <c r="BXX1724" s="227"/>
      <c r="BXY1724" s="227"/>
      <c r="BXZ1724" s="227"/>
      <c r="BYA1724" s="227"/>
      <c r="BYB1724" s="227"/>
      <c r="BYC1724" s="227"/>
      <c r="BYD1724" s="227"/>
      <c r="BYE1724" s="227"/>
      <c r="BYF1724" s="227"/>
      <c r="BYG1724" s="227"/>
      <c r="BYH1724" s="227"/>
      <c r="BYI1724" s="227"/>
      <c r="BYJ1724" s="227"/>
      <c r="BYK1724" s="227"/>
      <c r="BYL1724" s="227"/>
      <c r="BYM1724" s="227"/>
      <c r="BYN1724" s="227"/>
      <c r="BYO1724" s="227"/>
      <c r="BYP1724" s="227"/>
      <c r="BYQ1724" s="227"/>
      <c r="BYR1724" s="227"/>
      <c r="BYS1724" s="227"/>
      <c r="BYT1724" s="227"/>
      <c r="BYU1724" s="227"/>
      <c r="BYV1724" s="227"/>
      <c r="BYW1724" s="227"/>
      <c r="BYX1724" s="227"/>
      <c r="BYY1724" s="227"/>
      <c r="BYZ1724" s="227"/>
      <c r="BZA1724" s="227"/>
      <c r="BZB1724" s="227"/>
      <c r="BZC1724" s="227"/>
      <c r="BZD1724" s="227"/>
      <c r="BZE1724" s="227"/>
      <c r="BZF1724" s="227"/>
      <c r="BZG1724" s="227"/>
      <c r="BZH1724" s="227"/>
      <c r="BZI1724" s="227"/>
      <c r="BZJ1724" s="227"/>
      <c r="BZK1724" s="227"/>
      <c r="BZL1724" s="227"/>
      <c r="BZM1724" s="227"/>
      <c r="BZN1724" s="227"/>
      <c r="BZO1724" s="227"/>
      <c r="BZP1724" s="227"/>
      <c r="BZQ1724" s="227"/>
      <c r="BZR1724" s="227"/>
      <c r="BZS1724" s="227"/>
      <c r="BZT1724" s="227"/>
      <c r="BZU1724" s="227"/>
      <c r="BZV1724" s="227"/>
      <c r="BZW1724" s="227"/>
      <c r="BZX1724" s="227"/>
      <c r="BZY1724" s="227"/>
      <c r="BZZ1724" s="227"/>
      <c r="CAA1724" s="227"/>
      <c r="CAB1724" s="227"/>
      <c r="CAC1724" s="227"/>
      <c r="CAD1724" s="227"/>
      <c r="CAE1724" s="227"/>
      <c r="CAF1724" s="227"/>
      <c r="CAG1724" s="227"/>
      <c r="CAH1724" s="227"/>
      <c r="CAI1724" s="227"/>
      <c r="CAJ1724" s="227"/>
      <c r="CAK1724" s="227"/>
      <c r="CAL1724" s="227"/>
      <c r="CAM1724" s="227"/>
      <c r="CAN1724" s="227"/>
      <c r="CAO1724" s="227"/>
      <c r="CAP1724" s="227"/>
      <c r="CAQ1724" s="227"/>
      <c r="CAR1724" s="227"/>
      <c r="CAS1724" s="227"/>
      <c r="CAT1724" s="227"/>
      <c r="CAU1724" s="227"/>
      <c r="CAV1724" s="227"/>
      <c r="CAW1724" s="227"/>
      <c r="CAX1724" s="227"/>
      <c r="CAY1724" s="227"/>
      <c r="CAZ1724" s="227"/>
      <c r="CBA1724" s="227"/>
      <c r="CBB1724" s="227"/>
      <c r="CBC1724" s="227"/>
      <c r="CBD1724" s="227"/>
      <c r="CBE1724" s="227"/>
      <c r="CBF1724" s="227"/>
      <c r="CBG1724" s="227"/>
      <c r="CBH1724" s="227"/>
      <c r="CBI1724" s="227"/>
      <c r="CBJ1724" s="227"/>
      <c r="CBK1724" s="227"/>
      <c r="CBL1724" s="227"/>
      <c r="CBM1724" s="227"/>
      <c r="CBN1724" s="227"/>
      <c r="CBO1724" s="227"/>
      <c r="CBP1724" s="227"/>
      <c r="CBQ1724" s="227"/>
      <c r="CBR1724" s="227"/>
      <c r="CBS1724" s="227"/>
      <c r="CBT1724" s="227"/>
      <c r="CBU1724" s="227"/>
      <c r="CBV1724" s="227"/>
      <c r="CBW1724" s="227"/>
      <c r="CBX1724" s="227"/>
      <c r="CBY1724" s="227"/>
      <c r="CBZ1724" s="227"/>
      <c r="CCA1724" s="227"/>
      <c r="CCB1724" s="227"/>
      <c r="CCC1724" s="227"/>
      <c r="CCD1724" s="227"/>
      <c r="CCE1724" s="227"/>
      <c r="CCF1724" s="227"/>
      <c r="CCG1724" s="227"/>
      <c r="CCH1724" s="227"/>
      <c r="CCI1724" s="227"/>
      <c r="CCJ1724" s="227"/>
      <c r="CCK1724" s="227"/>
      <c r="CCL1724" s="227"/>
      <c r="CCM1724" s="227"/>
      <c r="CCN1724" s="227"/>
      <c r="CCO1724" s="227"/>
      <c r="CCP1724" s="227"/>
      <c r="CCQ1724" s="227"/>
      <c r="CCR1724" s="227"/>
      <c r="CCS1724" s="227"/>
      <c r="CCT1724" s="227"/>
      <c r="CCU1724" s="227"/>
      <c r="CCV1724" s="227"/>
      <c r="CCW1724" s="227"/>
      <c r="CCX1724" s="227"/>
      <c r="CCY1724" s="227"/>
      <c r="CCZ1724" s="227"/>
      <c r="CDA1724" s="227"/>
      <c r="CDB1724" s="227"/>
      <c r="CDC1724" s="227"/>
      <c r="CDD1724" s="227"/>
      <c r="CDE1724" s="227"/>
      <c r="CDF1724" s="227"/>
      <c r="CDG1724" s="227"/>
      <c r="CDH1724" s="227"/>
      <c r="CDI1724" s="227"/>
      <c r="CDJ1724" s="227"/>
      <c r="CDK1724" s="227"/>
      <c r="CDL1724" s="227"/>
      <c r="CDM1724" s="227"/>
      <c r="CDN1724" s="227"/>
      <c r="CDO1724" s="227"/>
      <c r="CDP1724" s="227"/>
      <c r="CDQ1724" s="227"/>
      <c r="CDR1724" s="227"/>
      <c r="CDS1724" s="227"/>
      <c r="CDT1724" s="227"/>
      <c r="CDU1724" s="227"/>
      <c r="CDV1724" s="227"/>
      <c r="CDW1724" s="227"/>
      <c r="CDX1724" s="227"/>
      <c r="CDY1724" s="227"/>
      <c r="CDZ1724" s="227"/>
      <c r="CEA1724" s="227"/>
      <c r="CEB1724" s="227"/>
      <c r="CEC1724" s="227"/>
      <c r="CED1724" s="227"/>
      <c r="CEE1724" s="227"/>
      <c r="CEF1724" s="227"/>
      <c r="CEG1724" s="227"/>
      <c r="CEH1724" s="227"/>
      <c r="CEI1724" s="227"/>
      <c r="CEJ1724" s="227"/>
      <c r="CEK1724" s="227"/>
      <c r="CEL1724" s="227"/>
      <c r="CEM1724" s="227"/>
      <c r="CEN1724" s="227"/>
      <c r="CEO1724" s="227"/>
      <c r="CEP1724" s="227"/>
      <c r="CEQ1724" s="227"/>
      <c r="CER1724" s="227"/>
      <c r="CES1724" s="227"/>
      <c r="CET1724" s="227"/>
      <c r="CEU1724" s="227"/>
      <c r="CEV1724" s="227"/>
      <c r="CEW1724" s="227"/>
      <c r="CEX1724" s="227"/>
      <c r="CEY1724" s="227"/>
      <c r="CEZ1724" s="227"/>
      <c r="CFA1724" s="227"/>
      <c r="CFB1724" s="227"/>
      <c r="CFC1724" s="227"/>
      <c r="CFD1724" s="227"/>
      <c r="CFE1724" s="227"/>
      <c r="CFF1724" s="227"/>
      <c r="CFG1724" s="227"/>
      <c r="CFH1724" s="227"/>
      <c r="CFI1724" s="227"/>
      <c r="CFJ1724" s="227"/>
      <c r="CFK1724" s="227"/>
      <c r="CFL1724" s="227"/>
      <c r="CFM1724" s="227"/>
      <c r="CFN1724" s="227"/>
      <c r="CFO1724" s="227"/>
      <c r="CFP1724" s="227"/>
      <c r="CFQ1724" s="227"/>
      <c r="CFR1724" s="227"/>
      <c r="CFS1724" s="227"/>
      <c r="CFT1724" s="227"/>
      <c r="CFU1724" s="227"/>
      <c r="CFV1724" s="227"/>
      <c r="CFW1724" s="227"/>
      <c r="CFX1724" s="227"/>
      <c r="CFY1724" s="227"/>
      <c r="CFZ1724" s="227"/>
      <c r="CGA1724" s="227"/>
      <c r="CGB1724" s="227"/>
      <c r="CGC1724" s="227"/>
      <c r="CGD1724" s="227"/>
      <c r="CGE1724" s="227"/>
      <c r="CGF1724" s="227"/>
      <c r="CGG1724" s="227"/>
      <c r="CGH1724" s="227"/>
      <c r="CGI1724" s="227"/>
      <c r="CGJ1724" s="227"/>
      <c r="CGK1724" s="227"/>
      <c r="CGL1724" s="227"/>
      <c r="CGM1724" s="227"/>
      <c r="CGN1724" s="227"/>
      <c r="CGO1724" s="227"/>
      <c r="CGP1724" s="227"/>
      <c r="CGQ1724" s="227"/>
      <c r="CGR1724" s="227"/>
      <c r="CGS1724" s="227"/>
      <c r="CGT1724" s="227"/>
      <c r="CGU1724" s="227"/>
      <c r="CGV1724" s="227"/>
      <c r="CGW1724" s="227"/>
      <c r="CGX1724" s="227"/>
      <c r="CGY1724" s="227"/>
      <c r="CGZ1724" s="227"/>
      <c r="CHA1724" s="227"/>
      <c r="CHB1724" s="227"/>
      <c r="CHC1724" s="227"/>
      <c r="CHD1724" s="227"/>
      <c r="CHE1724" s="227"/>
      <c r="CHF1724" s="227"/>
      <c r="CHG1724" s="227"/>
      <c r="CHH1724" s="227"/>
      <c r="CHI1724" s="227"/>
      <c r="CHJ1724" s="227"/>
      <c r="CHK1724" s="227"/>
      <c r="CHL1724" s="227"/>
      <c r="CHM1724" s="227"/>
      <c r="CHN1724" s="227"/>
      <c r="CHO1724" s="227"/>
      <c r="CHP1724" s="227"/>
      <c r="CHQ1724" s="227"/>
      <c r="CHR1724" s="227"/>
      <c r="CHS1724" s="227"/>
      <c r="CHT1724" s="227"/>
      <c r="CHU1724" s="227"/>
      <c r="CHV1724" s="227"/>
      <c r="CHW1724" s="227"/>
      <c r="CHX1724" s="227"/>
      <c r="CHY1724" s="227"/>
      <c r="CHZ1724" s="227"/>
      <c r="CIA1724" s="227"/>
      <c r="CIB1724" s="227"/>
      <c r="CIC1724" s="227"/>
      <c r="CID1724" s="227"/>
      <c r="CIE1724" s="227"/>
      <c r="CIF1724" s="227"/>
      <c r="CIG1724" s="227"/>
      <c r="CIH1724" s="227"/>
      <c r="CII1724" s="227"/>
      <c r="CIJ1724" s="227"/>
      <c r="CIK1724" s="227"/>
      <c r="CIL1724" s="227"/>
      <c r="CIM1724" s="227"/>
      <c r="CIN1724" s="227"/>
      <c r="CIO1724" s="227"/>
      <c r="CIP1724" s="227"/>
      <c r="CIQ1724" s="227"/>
      <c r="CIR1724" s="227"/>
      <c r="CIS1724" s="227"/>
      <c r="CIT1724" s="227"/>
      <c r="CIU1724" s="227"/>
      <c r="CIV1724" s="227"/>
      <c r="CIW1724" s="227"/>
      <c r="CIX1724" s="227"/>
      <c r="CIY1724" s="227"/>
      <c r="CIZ1724" s="227"/>
      <c r="CJA1724" s="227"/>
      <c r="CJB1724" s="227"/>
      <c r="CJC1724" s="227"/>
      <c r="CJD1724" s="227"/>
      <c r="CJE1724" s="227"/>
      <c r="CJF1724" s="227"/>
      <c r="CJG1724" s="227"/>
      <c r="CJH1724" s="227"/>
      <c r="CJI1724" s="227"/>
      <c r="CJJ1724" s="227"/>
      <c r="CJK1724" s="227"/>
      <c r="CJL1724" s="227"/>
      <c r="CJM1724" s="227"/>
      <c r="CJN1724" s="227"/>
      <c r="CJO1724" s="227"/>
      <c r="CJP1724" s="227"/>
      <c r="CJQ1724" s="227"/>
      <c r="CJR1724" s="227"/>
      <c r="CJS1724" s="227"/>
      <c r="CJT1724" s="227"/>
      <c r="CJU1724" s="227"/>
      <c r="CJV1724" s="227"/>
      <c r="CJW1724" s="227"/>
      <c r="CJX1724" s="227"/>
      <c r="CJY1724" s="227"/>
      <c r="CJZ1724" s="227"/>
      <c r="CKA1724" s="227"/>
      <c r="CKB1724" s="227"/>
      <c r="CKC1724" s="227"/>
      <c r="CKD1724" s="227"/>
      <c r="CKE1724" s="227"/>
      <c r="CKF1724" s="227"/>
      <c r="CKG1724" s="227"/>
      <c r="CKH1724" s="227"/>
      <c r="CKI1724" s="227"/>
      <c r="CKJ1724" s="227"/>
      <c r="CKK1724" s="227"/>
      <c r="CKL1724" s="227"/>
      <c r="CKM1724" s="227"/>
      <c r="CKN1724" s="227"/>
      <c r="CKO1724" s="227"/>
      <c r="CKP1724" s="227"/>
      <c r="CKQ1724" s="227"/>
      <c r="CKR1724" s="227"/>
      <c r="CKS1724" s="227"/>
      <c r="CKT1724" s="227"/>
      <c r="CKU1724" s="227"/>
      <c r="CKV1724" s="227"/>
      <c r="CKW1724" s="227"/>
      <c r="CKX1724" s="227"/>
      <c r="CKY1724" s="227"/>
      <c r="CKZ1724" s="227"/>
      <c r="CLA1724" s="227"/>
      <c r="CLB1724" s="227"/>
      <c r="CLC1724" s="227"/>
      <c r="CLD1724" s="227"/>
      <c r="CLE1724" s="227"/>
      <c r="CLF1724" s="227"/>
      <c r="CLG1724" s="227"/>
      <c r="CLH1724" s="227"/>
      <c r="CLI1724" s="227"/>
      <c r="CLJ1724" s="227"/>
      <c r="CLK1724" s="227"/>
      <c r="CLL1724" s="227"/>
      <c r="CLM1724" s="227"/>
      <c r="CLN1724" s="227"/>
      <c r="CLO1724" s="227"/>
      <c r="CLP1724" s="227"/>
      <c r="CLQ1724" s="227"/>
      <c r="CLR1724" s="227"/>
      <c r="CLS1724" s="227"/>
      <c r="CLT1724" s="227"/>
      <c r="CLU1724" s="227"/>
      <c r="CLV1724" s="227"/>
      <c r="CLW1724" s="227"/>
      <c r="CLX1724" s="227"/>
      <c r="CLY1724" s="227"/>
      <c r="CLZ1724" s="227"/>
      <c r="CMA1724" s="227"/>
      <c r="CMB1724" s="227"/>
      <c r="CMC1724" s="227"/>
      <c r="CMD1724" s="227"/>
      <c r="CME1724" s="227"/>
      <c r="CMF1724" s="227"/>
      <c r="CMG1724" s="227"/>
      <c r="CMH1724" s="227"/>
      <c r="CMI1724" s="227"/>
      <c r="CMJ1724" s="227"/>
      <c r="CMK1724" s="227"/>
      <c r="CML1724" s="227"/>
      <c r="CMM1724" s="227"/>
      <c r="CMN1724" s="227"/>
      <c r="CMO1724" s="227"/>
      <c r="CMP1724" s="227"/>
      <c r="CMQ1724" s="227"/>
      <c r="CMR1724" s="227"/>
      <c r="CMS1724" s="227"/>
      <c r="CMT1724" s="227"/>
      <c r="CMU1724" s="227"/>
      <c r="CMV1724" s="227"/>
      <c r="CMW1724" s="227"/>
      <c r="CMX1724" s="227"/>
      <c r="CMY1724" s="227"/>
      <c r="CMZ1724" s="227"/>
      <c r="CNA1724" s="227"/>
      <c r="CNB1724" s="227"/>
      <c r="CNC1724" s="227"/>
      <c r="CND1724" s="227"/>
      <c r="CNE1724" s="227"/>
      <c r="CNF1724" s="227"/>
      <c r="CNG1724" s="227"/>
      <c r="CNH1724" s="227"/>
      <c r="CNI1724" s="227"/>
      <c r="CNJ1724" s="227"/>
      <c r="CNK1724" s="227"/>
      <c r="CNL1724" s="227"/>
      <c r="CNM1724" s="227"/>
      <c r="CNN1724" s="227"/>
      <c r="CNO1724" s="227"/>
      <c r="CNP1724" s="227"/>
      <c r="CNQ1724" s="227"/>
      <c r="CNR1724" s="227"/>
      <c r="CNS1724" s="227"/>
      <c r="CNT1724" s="227"/>
      <c r="CNU1724" s="227"/>
      <c r="CNV1724" s="227"/>
      <c r="CNW1724" s="227"/>
      <c r="CNX1724" s="227"/>
      <c r="CNY1724" s="227"/>
      <c r="CNZ1724" s="227"/>
      <c r="COA1724" s="227"/>
      <c r="COB1724" s="227"/>
      <c r="COC1724" s="227"/>
      <c r="COD1724" s="227"/>
      <c r="COE1724" s="227"/>
      <c r="COF1724" s="227"/>
      <c r="COG1724" s="227"/>
      <c r="COH1724" s="227"/>
      <c r="COI1724" s="227"/>
      <c r="COJ1724" s="227"/>
      <c r="COK1724" s="227"/>
      <c r="COL1724" s="227"/>
      <c r="COM1724" s="227"/>
      <c r="CON1724" s="227"/>
      <c r="COO1724" s="227"/>
      <c r="COP1724" s="227"/>
      <c r="COQ1724" s="227"/>
      <c r="COR1724" s="227"/>
      <c r="COS1724" s="227"/>
      <c r="COT1724" s="227"/>
      <c r="COU1724" s="227"/>
      <c r="COV1724" s="227"/>
      <c r="COW1724" s="227"/>
      <c r="COX1724" s="227"/>
      <c r="COY1724" s="227"/>
      <c r="COZ1724" s="227"/>
      <c r="CPA1724" s="227"/>
      <c r="CPB1724" s="227"/>
      <c r="CPC1724" s="227"/>
      <c r="CPD1724" s="227"/>
      <c r="CPE1724" s="227"/>
      <c r="CPF1724" s="227"/>
      <c r="CPG1724" s="227"/>
      <c r="CPH1724" s="227"/>
      <c r="CPI1724" s="227"/>
      <c r="CPJ1724" s="227"/>
      <c r="CPK1724" s="227"/>
      <c r="CPL1724" s="227"/>
      <c r="CPM1724" s="227"/>
      <c r="CPN1724" s="227"/>
      <c r="CPO1724" s="227"/>
      <c r="CPP1724" s="227"/>
      <c r="CPQ1724" s="227"/>
      <c r="CPR1724" s="227"/>
      <c r="CPS1724" s="227"/>
      <c r="CPT1724" s="227"/>
      <c r="CPU1724" s="227"/>
      <c r="CPV1724" s="227"/>
      <c r="CPW1724" s="227"/>
      <c r="CPX1724" s="227"/>
      <c r="CPY1724" s="227"/>
      <c r="CPZ1724" s="227"/>
      <c r="CQA1724" s="227"/>
      <c r="CQB1724" s="227"/>
      <c r="CQC1724" s="227"/>
      <c r="CQD1724" s="227"/>
      <c r="CQE1724" s="227"/>
      <c r="CQF1724" s="227"/>
      <c r="CQG1724" s="227"/>
      <c r="CQH1724" s="227"/>
      <c r="CQI1724" s="227"/>
      <c r="CQJ1724" s="227"/>
      <c r="CQK1724" s="227"/>
      <c r="CQL1724" s="227"/>
      <c r="CQM1724" s="227"/>
      <c r="CQN1724" s="227"/>
      <c r="CQO1724" s="227"/>
      <c r="CQP1724" s="227"/>
      <c r="CQQ1724" s="227"/>
      <c r="CQR1724" s="227"/>
      <c r="CQS1724" s="227"/>
      <c r="CQT1724" s="227"/>
      <c r="CQU1724" s="227"/>
      <c r="CQV1724" s="227"/>
      <c r="CQW1724" s="227"/>
      <c r="CQX1724" s="227"/>
      <c r="CQY1724" s="227"/>
      <c r="CQZ1724" s="227"/>
      <c r="CRA1724" s="227"/>
      <c r="CRB1724" s="227"/>
      <c r="CRC1724" s="227"/>
      <c r="CRD1724" s="227"/>
      <c r="CRE1724" s="227"/>
      <c r="CRF1724" s="227"/>
      <c r="CRG1724" s="227"/>
      <c r="CRH1724" s="227"/>
      <c r="CRI1724" s="227"/>
      <c r="CRJ1724" s="227"/>
      <c r="CRK1724" s="227"/>
      <c r="CRL1724" s="227"/>
      <c r="CRM1724" s="227"/>
      <c r="CRN1724" s="227"/>
      <c r="CRO1724" s="227"/>
      <c r="CRP1724" s="227"/>
      <c r="CRQ1724" s="227"/>
      <c r="CRR1724" s="227"/>
      <c r="CRS1724" s="227"/>
      <c r="CRT1724" s="227"/>
      <c r="CRU1724" s="227"/>
      <c r="CRV1724" s="227"/>
      <c r="CRW1724" s="227"/>
      <c r="CRX1724" s="227"/>
      <c r="CRY1724" s="227"/>
      <c r="CRZ1724" s="227"/>
      <c r="CSA1724" s="227"/>
      <c r="CSB1724" s="227"/>
      <c r="CSC1724" s="227"/>
      <c r="CSD1724" s="227"/>
      <c r="CSE1724" s="227"/>
      <c r="CSF1724" s="227"/>
      <c r="CSG1724" s="227"/>
      <c r="CSH1724" s="227"/>
      <c r="CSI1724" s="227"/>
      <c r="CSJ1724" s="227"/>
      <c r="CSK1724" s="227"/>
      <c r="CSL1724" s="227"/>
      <c r="CSM1724" s="227"/>
      <c r="CSN1724" s="227"/>
      <c r="CSO1724" s="227"/>
      <c r="CSP1724" s="227"/>
      <c r="CSQ1724" s="227"/>
      <c r="CSR1724" s="227"/>
      <c r="CSS1724" s="227"/>
      <c r="CST1724" s="227"/>
      <c r="CSU1724" s="227"/>
      <c r="CSV1724" s="227"/>
      <c r="CSW1724" s="227"/>
      <c r="CSX1724" s="227"/>
      <c r="CSY1724" s="227"/>
      <c r="CSZ1724" s="227"/>
      <c r="CTA1724" s="227"/>
      <c r="CTB1724" s="227"/>
      <c r="CTC1724" s="227"/>
      <c r="CTD1724" s="227"/>
      <c r="CTE1724" s="227"/>
      <c r="CTF1724" s="227"/>
      <c r="CTG1724" s="227"/>
      <c r="CTH1724" s="227"/>
      <c r="CTI1724" s="227"/>
      <c r="CTJ1724" s="227"/>
      <c r="CTK1724" s="227"/>
      <c r="CTL1724" s="227"/>
      <c r="CTM1724" s="227"/>
      <c r="CTN1724" s="227"/>
      <c r="CTO1724" s="227"/>
      <c r="CTP1724" s="227"/>
      <c r="CTQ1724" s="227"/>
      <c r="CTR1724" s="227"/>
      <c r="CTS1724" s="227"/>
      <c r="CTT1724" s="227"/>
      <c r="CTU1724" s="227"/>
      <c r="CTV1724" s="227"/>
      <c r="CTW1724" s="227"/>
      <c r="CTX1724" s="227"/>
      <c r="CTY1724" s="227"/>
      <c r="CTZ1724" s="227"/>
      <c r="CUA1724" s="227"/>
      <c r="CUB1724" s="227"/>
      <c r="CUC1724" s="227"/>
      <c r="CUD1724" s="227"/>
      <c r="CUE1724" s="227"/>
      <c r="CUF1724" s="227"/>
      <c r="CUG1724" s="227"/>
      <c r="CUH1724" s="227"/>
      <c r="CUI1724" s="227"/>
      <c r="CUJ1724" s="227"/>
      <c r="CUK1724" s="227"/>
      <c r="CUL1724" s="227"/>
      <c r="CUM1724" s="227"/>
      <c r="CUN1724" s="227"/>
      <c r="CUO1724" s="227"/>
      <c r="CUP1724" s="227"/>
      <c r="CUQ1724" s="227"/>
      <c r="CUR1724" s="227"/>
      <c r="CUS1724" s="227"/>
      <c r="CUT1724" s="227"/>
      <c r="CUU1724" s="227"/>
      <c r="CUV1724" s="227"/>
      <c r="CUW1724" s="227"/>
      <c r="CUX1724" s="227"/>
      <c r="CUY1724" s="227"/>
      <c r="CUZ1724" s="227"/>
      <c r="CVA1724" s="227"/>
      <c r="CVB1724" s="227"/>
      <c r="CVC1724" s="227"/>
      <c r="CVD1724" s="227"/>
      <c r="CVE1724" s="227"/>
      <c r="CVF1724" s="227"/>
      <c r="CVG1724" s="227"/>
      <c r="CVH1724" s="227"/>
      <c r="CVI1724" s="227"/>
      <c r="CVJ1724" s="227"/>
      <c r="CVK1724" s="227"/>
      <c r="CVL1724" s="227"/>
      <c r="CVM1724" s="227"/>
      <c r="CVN1724" s="227"/>
      <c r="CVO1724" s="227"/>
      <c r="CVP1724" s="227"/>
      <c r="CVQ1724" s="227"/>
      <c r="CVR1724" s="227"/>
      <c r="CVS1724" s="227"/>
      <c r="CVT1724" s="227"/>
      <c r="CVU1724" s="227"/>
      <c r="CVV1724" s="227"/>
      <c r="CVW1724" s="227"/>
      <c r="CVX1724" s="227"/>
      <c r="CVY1724" s="227"/>
      <c r="CVZ1724" s="227"/>
      <c r="CWA1724" s="227"/>
      <c r="CWB1724" s="227"/>
      <c r="CWC1724" s="227"/>
      <c r="CWD1724" s="227"/>
      <c r="CWE1724" s="227"/>
      <c r="CWF1724" s="227"/>
      <c r="CWG1724" s="227"/>
      <c r="CWH1724" s="227"/>
      <c r="CWI1724" s="227"/>
      <c r="CWJ1724" s="227"/>
      <c r="CWK1724" s="227"/>
      <c r="CWL1724" s="227"/>
      <c r="CWM1724" s="227"/>
      <c r="CWN1724" s="227"/>
      <c r="CWO1724" s="227"/>
      <c r="CWP1724" s="227"/>
      <c r="CWQ1724" s="227"/>
      <c r="CWR1724" s="227"/>
      <c r="CWS1724" s="227"/>
      <c r="CWT1724" s="227"/>
      <c r="CWU1724" s="227"/>
      <c r="CWV1724" s="227"/>
      <c r="CWW1724" s="227"/>
      <c r="CWX1724" s="227"/>
      <c r="CWY1724" s="227"/>
      <c r="CWZ1724" s="227"/>
      <c r="CXA1724" s="227"/>
      <c r="CXB1724" s="227"/>
      <c r="CXC1724" s="227"/>
      <c r="CXD1724" s="227"/>
      <c r="CXE1724" s="227"/>
      <c r="CXF1724" s="227"/>
      <c r="CXG1724" s="227"/>
      <c r="CXH1724" s="227"/>
      <c r="CXI1724" s="227"/>
      <c r="CXJ1724" s="227"/>
      <c r="CXK1724" s="227"/>
      <c r="CXL1724" s="227"/>
      <c r="CXM1724" s="227"/>
      <c r="CXN1724" s="227"/>
      <c r="CXO1724" s="227"/>
      <c r="CXP1724" s="227"/>
      <c r="CXQ1724" s="227"/>
      <c r="CXR1724" s="227"/>
      <c r="CXS1724" s="227"/>
      <c r="CXT1724" s="227"/>
      <c r="CXU1724" s="227"/>
      <c r="CXV1724" s="227"/>
      <c r="CXW1724" s="227"/>
      <c r="CXX1724" s="227"/>
      <c r="CXY1724" s="227"/>
      <c r="CXZ1724" s="227"/>
      <c r="CYA1724" s="227"/>
      <c r="CYB1724" s="227"/>
      <c r="CYC1724" s="227"/>
      <c r="CYD1724" s="227"/>
      <c r="CYE1724" s="227"/>
      <c r="CYF1724" s="227"/>
      <c r="CYG1724" s="227"/>
      <c r="CYH1724" s="227"/>
      <c r="CYI1724" s="227"/>
      <c r="CYJ1724" s="227"/>
      <c r="CYK1724" s="227"/>
      <c r="CYL1724" s="227"/>
      <c r="CYM1724" s="227"/>
      <c r="CYN1724" s="227"/>
      <c r="CYO1724" s="227"/>
      <c r="CYP1724" s="227"/>
      <c r="CYQ1724" s="227"/>
      <c r="CYR1724" s="227"/>
      <c r="CYS1724" s="227"/>
      <c r="CYT1724" s="227"/>
      <c r="CYU1724" s="227"/>
      <c r="CYV1724" s="227"/>
      <c r="CYW1724" s="227"/>
      <c r="CYX1724" s="227"/>
      <c r="CYY1724" s="227"/>
      <c r="CYZ1724" s="227"/>
      <c r="CZA1724" s="227"/>
      <c r="CZB1724" s="227"/>
      <c r="CZC1724" s="227"/>
      <c r="CZD1724" s="227"/>
      <c r="CZE1724" s="227"/>
      <c r="CZF1724" s="227"/>
      <c r="CZG1724" s="227"/>
      <c r="CZH1724" s="227"/>
      <c r="CZI1724" s="227"/>
      <c r="CZJ1724" s="227"/>
      <c r="CZK1724" s="227"/>
      <c r="CZL1724" s="227"/>
      <c r="CZM1724" s="227"/>
      <c r="CZN1724" s="227"/>
      <c r="CZO1724" s="227"/>
      <c r="CZP1724" s="227"/>
      <c r="CZQ1724" s="227"/>
      <c r="CZR1724" s="227"/>
      <c r="CZS1724" s="227"/>
      <c r="CZT1724" s="227"/>
      <c r="CZU1724" s="227"/>
      <c r="CZV1724" s="227"/>
      <c r="CZW1724" s="227"/>
      <c r="CZX1724" s="227"/>
      <c r="CZY1724" s="227"/>
      <c r="CZZ1724" s="227"/>
      <c r="DAA1724" s="227"/>
      <c r="DAB1724" s="227"/>
      <c r="DAC1724" s="227"/>
      <c r="DAD1724" s="227"/>
      <c r="DAE1724" s="227"/>
      <c r="DAF1724" s="227"/>
      <c r="DAG1724" s="227"/>
      <c r="DAH1724" s="227"/>
      <c r="DAI1724" s="227"/>
      <c r="DAJ1724" s="227"/>
      <c r="DAK1724" s="227"/>
      <c r="DAL1724" s="227"/>
      <c r="DAM1724" s="227"/>
      <c r="DAN1724" s="227"/>
      <c r="DAO1724" s="227"/>
      <c r="DAP1724" s="227"/>
      <c r="DAQ1724" s="227"/>
      <c r="DAR1724" s="227"/>
      <c r="DAS1724" s="227"/>
      <c r="DAT1724" s="227"/>
      <c r="DAU1724" s="227"/>
      <c r="DAV1724" s="227"/>
      <c r="DAW1724" s="227"/>
      <c r="DAX1724" s="227"/>
      <c r="DAY1724" s="227"/>
      <c r="DAZ1724" s="227"/>
      <c r="DBA1724" s="227"/>
      <c r="DBB1724" s="227"/>
      <c r="DBC1724" s="227"/>
      <c r="DBD1724" s="227"/>
      <c r="DBE1724" s="227"/>
      <c r="DBF1724" s="227"/>
      <c r="DBG1724" s="227"/>
      <c r="DBH1724" s="227"/>
      <c r="DBI1724" s="227"/>
      <c r="DBJ1724" s="227"/>
      <c r="DBK1724" s="227"/>
      <c r="DBL1724" s="227"/>
      <c r="DBM1724" s="227"/>
      <c r="DBN1724" s="227"/>
      <c r="DBO1724" s="227"/>
      <c r="DBP1724" s="227"/>
      <c r="DBQ1724" s="227"/>
      <c r="DBR1724" s="227"/>
      <c r="DBS1724" s="227"/>
      <c r="DBT1724" s="227"/>
      <c r="DBU1724" s="227"/>
      <c r="DBV1724" s="227"/>
      <c r="DBW1724" s="227"/>
      <c r="DBX1724" s="227"/>
      <c r="DBY1724" s="227"/>
      <c r="DBZ1724" s="227"/>
      <c r="DCA1724" s="227"/>
      <c r="DCB1724" s="227"/>
      <c r="DCC1724" s="227"/>
      <c r="DCD1724" s="227"/>
      <c r="DCE1724" s="227"/>
      <c r="DCF1724" s="227"/>
      <c r="DCG1724" s="227"/>
      <c r="DCH1724" s="227"/>
      <c r="DCI1724" s="227"/>
      <c r="DCJ1724" s="227"/>
      <c r="DCK1724" s="227"/>
      <c r="DCL1724" s="227"/>
      <c r="DCM1724" s="227"/>
      <c r="DCN1724" s="227"/>
      <c r="DCO1724" s="227"/>
      <c r="DCP1724" s="227"/>
      <c r="DCQ1724" s="227"/>
      <c r="DCR1724" s="227"/>
      <c r="DCS1724" s="227"/>
      <c r="DCT1724" s="227"/>
      <c r="DCU1724" s="227"/>
      <c r="DCV1724" s="227"/>
      <c r="DCW1724" s="227"/>
      <c r="DCX1724" s="227"/>
      <c r="DCY1724" s="227"/>
      <c r="DCZ1724" s="227"/>
      <c r="DDA1724" s="227"/>
      <c r="DDB1724" s="227"/>
      <c r="DDC1724" s="227"/>
      <c r="DDD1724" s="227"/>
      <c r="DDE1724" s="227"/>
      <c r="DDF1724" s="227"/>
      <c r="DDG1724" s="227"/>
      <c r="DDH1724" s="227"/>
      <c r="DDI1724" s="227"/>
      <c r="DDJ1724" s="227"/>
      <c r="DDK1724" s="227"/>
      <c r="DDL1724" s="227"/>
      <c r="DDM1724" s="227"/>
      <c r="DDN1724" s="227"/>
      <c r="DDO1724" s="227"/>
      <c r="DDP1724" s="227"/>
      <c r="DDQ1724" s="227"/>
      <c r="DDR1724" s="227"/>
      <c r="DDS1724" s="227"/>
      <c r="DDT1724" s="227"/>
      <c r="DDU1724" s="227"/>
      <c r="DDV1724" s="227"/>
      <c r="DDW1724" s="227"/>
      <c r="DDX1724" s="227"/>
      <c r="DDY1724" s="227"/>
      <c r="DDZ1724" s="227"/>
      <c r="DEA1724" s="227"/>
      <c r="DEB1724" s="227"/>
      <c r="DEC1724" s="227"/>
      <c r="DED1724" s="227"/>
      <c r="DEE1724" s="227"/>
      <c r="DEF1724" s="227"/>
      <c r="DEG1724" s="227"/>
      <c r="DEH1724" s="227"/>
      <c r="DEI1724" s="227"/>
      <c r="DEJ1724" s="227"/>
      <c r="DEK1724" s="227"/>
      <c r="DEL1724" s="227"/>
      <c r="DEM1724" s="227"/>
      <c r="DEN1724" s="227"/>
      <c r="DEO1724" s="227"/>
      <c r="DEP1724" s="227"/>
      <c r="DEQ1724" s="227"/>
      <c r="DER1724" s="227"/>
      <c r="DES1724" s="227"/>
      <c r="DET1724" s="227"/>
      <c r="DEU1724" s="227"/>
      <c r="DEV1724" s="227"/>
      <c r="DEW1724" s="227"/>
      <c r="DEX1724" s="227"/>
      <c r="DEY1724" s="227"/>
      <c r="DEZ1724" s="227"/>
      <c r="DFA1724" s="227"/>
      <c r="DFB1724" s="227"/>
      <c r="DFC1724" s="227"/>
      <c r="DFD1724" s="227"/>
      <c r="DFE1724" s="227"/>
      <c r="DFF1724" s="227"/>
      <c r="DFG1724" s="227"/>
      <c r="DFH1724" s="227"/>
      <c r="DFI1724" s="227"/>
      <c r="DFJ1724" s="227"/>
      <c r="DFK1724" s="227"/>
      <c r="DFL1724" s="227"/>
      <c r="DFM1724" s="227"/>
      <c r="DFN1724" s="227"/>
      <c r="DFO1724" s="227"/>
      <c r="DFP1724" s="227"/>
      <c r="DFQ1724" s="227"/>
      <c r="DFR1724" s="227"/>
      <c r="DFS1724" s="227"/>
      <c r="DFT1724" s="227"/>
      <c r="DFU1724" s="227"/>
      <c r="DFV1724" s="227"/>
      <c r="DFW1724" s="227"/>
      <c r="DFX1724" s="227"/>
      <c r="DFY1724" s="227"/>
      <c r="DFZ1724" s="227"/>
      <c r="DGA1724" s="227"/>
      <c r="DGB1724" s="227"/>
      <c r="DGC1724" s="227"/>
      <c r="DGD1724" s="227"/>
      <c r="DGE1724" s="227"/>
      <c r="DGF1724" s="227"/>
      <c r="DGG1724" s="227"/>
      <c r="DGH1724" s="227"/>
      <c r="DGI1724" s="227"/>
      <c r="DGJ1724" s="227"/>
      <c r="DGK1724" s="227"/>
      <c r="DGL1724" s="227"/>
      <c r="DGM1724" s="227"/>
      <c r="DGN1724" s="227"/>
      <c r="DGO1724" s="227"/>
      <c r="DGP1724" s="227"/>
      <c r="DGQ1724" s="227"/>
      <c r="DGR1724" s="227"/>
      <c r="DGS1724" s="227"/>
      <c r="DGT1724" s="227"/>
      <c r="DGU1724" s="227"/>
      <c r="DGV1724" s="227"/>
      <c r="DGW1724" s="227"/>
      <c r="DGX1724" s="227"/>
      <c r="DGY1724" s="227"/>
      <c r="DGZ1724" s="227"/>
      <c r="DHA1724" s="227"/>
      <c r="DHB1724" s="227"/>
      <c r="DHC1724" s="227"/>
      <c r="DHD1724" s="227"/>
      <c r="DHE1724" s="227"/>
      <c r="DHF1724" s="227"/>
      <c r="DHG1724" s="227"/>
      <c r="DHH1724" s="227"/>
      <c r="DHI1724" s="227"/>
      <c r="DHJ1724" s="227"/>
      <c r="DHK1724" s="227"/>
      <c r="DHL1724" s="227"/>
      <c r="DHM1724" s="227"/>
      <c r="DHN1724" s="227"/>
      <c r="DHO1724" s="227"/>
      <c r="DHP1724" s="227"/>
      <c r="DHQ1724" s="227"/>
      <c r="DHR1724" s="227"/>
      <c r="DHS1724" s="227"/>
      <c r="DHT1724" s="227"/>
      <c r="DHU1724" s="227"/>
      <c r="DHV1724" s="227"/>
      <c r="DHW1724" s="227"/>
      <c r="DHX1724" s="227"/>
      <c r="DHY1724" s="227"/>
      <c r="DHZ1724" s="227"/>
      <c r="DIA1724" s="227"/>
      <c r="DIB1724" s="227"/>
      <c r="DIC1724" s="227"/>
      <c r="DID1724" s="227"/>
      <c r="DIE1724" s="227"/>
      <c r="DIF1724" s="227"/>
      <c r="DIG1724" s="227"/>
      <c r="DIH1724" s="227"/>
      <c r="DII1724" s="227"/>
      <c r="DIJ1724" s="227"/>
      <c r="DIK1724" s="227"/>
      <c r="DIL1724" s="227"/>
      <c r="DIM1724" s="227"/>
      <c r="DIN1724" s="227"/>
      <c r="DIO1724" s="227"/>
      <c r="DIP1724" s="227"/>
      <c r="DIQ1724" s="227"/>
      <c r="DIR1724" s="227"/>
      <c r="DIS1724" s="227"/>
      <c r="DIT1724" s="227"/>
      <c r="DIU1724" s="227"/>
      <c r="DIV1724" s="227"/>
      <c r="DIW1724" s="227"/>
      <c r="DIX1724" s="227"/>
      <c r="DIY1724" s="227"/>
      <c r="DIZ1724" s="227"/>
      <c r="DJA1724" s="227"/>
      <c r="DJB1724" s="227"/>
      <c r="DJC1724" s="227"/>
      <c r="DJD1724" s="227"/>
      <c r="DJE1724" s="227"/>
      <c r="DJF1724" s="227"/>
      <c r="DJG1724" s="227"/>
      <c r="DJH1724" s="227"/>
      <c r="DJI1724" s="227"/>
      <c r="DJJ1724" s="227"/>
      <c r="DJK1724" s="227"/>
      <c r="DJL1724" s="227"/>
      <c r="DJM1724" s="227"/>
      <c r="DJN1724" s="227"/>
      <c r="DJO1724" s="227"/>
      <c r="DJP1724" s="227"/>
      <c r="DJQ1724" s="227"/>
      <c r="DJR1724" s="227"/>
      <c r="DJS1724" s="227"/>
      <c r="DJT1724" s="227"/>
      <c r="DJU1724" s="227"/>
      <c r="DJV1724" s="227"/>
      <c r="DJW1724" s="227"/>
      <c r="DJX1724" s="227"/>
      <c r="DJY1724" s="227"/>
      <c r="DJZ1724" s="227"/>
      <c r="DKA1724" s="227"/>
      <c r="DKB1724" s="227"/>
      <c r="DKC1724" s="227"/>
      <c r="DKD1724" s="227"/>
      <c r="DKE1724" s="227"/>
      <c r="DKF1724" s="227"/>
      <c r="DKG1724" s="227"/>
      <c r="DKH1724" s="227"/>
      <c r="DKI1724" s="227"/>
      <c r="DKJ1724" s="227"/>
      <c r="DKK1724" s="227"/>
      <c r="DKL1724" s="227"/>
      <c r="DKM1724" s="227"/>
      <c r="DKN1724" s="227"/>
      <c r="DKO1724" s="227"/>
      <c r="DKP1724" s="227"/>
      <c r="DKQ1724" s="227"/>
      <c r="DKR1724" s="227"/>
      <c r="DKS1724" s="227"/>
      <c r="DKT1724" s="227"/>
      <c r="DKU1724" s="227"/>
      <c r="DKV1724" s="227"/>
      <c r="DKW1724" s="227"/>
      <c r="DKX1724" s="227"/>
      <c r="DKY1724" s="227"/>
      <c r="DKZ1724" s="227"/>
      <c r="DLA1724" s="227"/>
      <c r="DLB1724" s="227"/>
      <c r="DLC1724" s="227"/>
      <c r="DLD1724" s="227"/>
      <c r="DLE1724" s="227"/>
      <c r="DLF1724" s="227"/>
      <c r="DLG1724" s="227"/>
      <c r="DLH1724" s="227"/>
      <c r="DLI1724" s="227"/>
      <c r="DLJ1724" s="227"/>
      <c r="DLK1724" s="227"/>
      <c r="DLL1724" s="227"/>
      <c r="DLM1724" s="227"/>
      <c r="DLN1724" s="227"/>
      <c r="DLO1724" s="227"/>
      <c r="DLP1724" s="227"/>
      <c r="DLQ1724" s="227"/>
      <c r="DLR1724" s="227"/>
      <c r="DLS1724" s="227"/>
      <c r="DLT1724" s="227"/>
      <c r="DLU1724" s="227"/>
      <c r="DLV1724" s="227"/>
      <c r="DLW1724" s="227"/>
      <c r="DLX1724" s="227"/>
      <c r="DLY1724" s="227"/>
      <c r="DLZ1724" s="227"/>
      <c r="DMA1724" s="227"/>
      <c r="DMB1724" s="227"/>
      <c r="DMC1724" s="227"/>
      <c r="DMD1724" s="227"/>
      <c r="DME1724" s="227"/>
      <c r="DMF1724" s="227"/>
      <c r="DMG1724" s="227"/>
      <c r="DMH1724" s="227"/>
      <c r="DMI1724" s="227"/>
      <c r="DMJ1724" s="227"/>
      <c r="DMK1724" s="227"/>
      <c r="DML1724" s="227"/>
      <c r="DMM1724" s="227"/>
      <c r="DMN1724" s="227"/>
      <c r="DMO1724" s="227"/>
      <c r="DMP1724" s="227"/>
      <c r="DMQ1724" s="227"/>
      <c r="DMR1724" s="227"/>
      <c r="DMS1724" s="227"/>
      <c r="DMT1724" s="227"/>
      <c r="DMU1724" s="227"/>
      <c r="DMV1724" s="227"/>
      <c r="DMW1724" s="227"/>
      <c r="DMX1724" s="227"/>
      <c r="DMY1724" s="227"/>
      <c r="DMZ1724" s="227"/>
      <c r="DNA1724" s="227"/>
      <c r="DNB1724" s="227"/>
      <c r="DNC1724" s="227"/>
      <c r="DND1724" s="227"/>
      <c r="DNE1724" s="227"/>
      <c r="DNF1724" s="227"/>
      <c r="DNG1724" s="227"/>
      <c r="DNH1724" s="227"/>
      <c r="DNI1724" s="227"/>
      <c r="DNJ1724" s="227"/>
      <c r="DNK1724" s="227"/>
      <c r="DNL1724" s="227"/>
      <c r="DNM1724" s="227"/>
      <c r="DNN1724" s="227"/>
      <c r="DNO1724" s="227"/>
      <c r="DNP1724" s="227"/>
      <c r="DNQ1724" s="227"/>
      <c r="DNR1724" s="227"/>
      <c r="DNS1724" s="227"/>
      <c r="DNT1724" s="227"/>
      <c r="DNU1724" s="227"/>
      <c r="DNV1724" s="227"/>
      <c r="DNW1724" s="227"/>
      <c r="DNX1724" s="227"/>
      <c r="DNY1724" s="227"/>
      <c r="DNZ1724" s="227"/>
      <c r="DOA1724" s="227"/>
      <c r="DOB1724" s="227"/>
      <c r="DOC1724" s="227"/>
      <c r="DOD1724" s="227"/>
      <c r="DOE1724" s="227"/>
      <c r="DOF1724" s="227"/>
      <c r="DOG1724" s="227"/>
      <c r="DOH1724" s="227"/>
      <c r="DOI1724" s="227"/>
      <c r="DOJ1724" s="227"/>
      <c r="DOK1724" s="227"/>
      <c r="DOL1724" s="227"/>
      <c r="DOM1724" s="227"/>
      <c r="DON1724" s="227"/>
      <c r="DOO1724" s="227"/>
      <c r="DOP1724" s="227"/>
      <c r="DOQ1724" s="227"/>
      <c r="DOR1724" s="227"/>
      <c r="DOS1724" s="227"/>
      <c r="DOT1724" s="227"/>
      <c r="DOU1724" s="227"/>
      <c r="DOV1724" s="227"/>
      <c r="DOW1724" s="227"/>
      <c r="DOX1724" s="227"/>
      <c r="DOY1724" s="227"/>
      <c r="DOZ1724" s="227"/>
      <c r="DPA1724" s="227"/>
      <c r="DPB1724" s="227"/>
      <c r="DPC1724" s="227"/>
      <c r="DPD1724" s="227"/>
      <c r="DPE1724" s="227"/>
      <c r="DPF1724" s="227"/>
      <c r="DPG1724" s="227"/>
      <c r="DPH1724" s="227"/>
      <c r="DPI1724" s="227"/>
      <c r="DPJ1724" s="227"/>
      <c r="DPK1724" s="227"/>
      <c r="DPL1724" s="227"/>
      <c r="DPM1724" s="227"/>
      <c r="DPN1724" s="227"/>
      <c r="DPO1724" s="227"/>
      <c r="DPP1724" s="227"/>
      <c r="DPQ1724" s="227"/>
      <c r="DPR1724" s="227"/>
      <c r="DPS1724" s="227"/>
      <c r="DPT1724" s="227"/>
      <c r="DPU1724" s="227"/>
      <c r="DPV1724" s="227"/>
      <c r="DPW1724" s="227"/>
      <c r="DPX1724" s="227"/>
      <c r="DPY1724" s="227"/>
      <c r="DPZ1724" s="227"/>
      <c r="DQA1724" s="227"/>
      <c r="DQB1724" s="227"/>
      <c r="DQC1724" s="227"/>
      <c r="DQD1724" s="227"/>
      <c r="DQE1724" s="227"/>
      <c r="DQF1724" s="227"/>
      <c r="DQG1724" s="227"/>
      <c r="DQH1724" s="227"/>
      <c r="DQI1724" s="227"/>
      <c r="DQJ1724" s="227"/>
      <c r="DQK1724" s="227"/>
      <c r="DQL1724" s="227"/>
      <c r="DQM1724" s="227"/>
      <c r="DQN1724" s="227"/>
      <c r="DQO1724" s="227"/>
      <c r="DQP1724" s="227"/>
      <c r="DQQ1724" s="227"/>
      <c r="DQR1724" s="227"/>
      <c r="DQS1724" s="227"/>
      <c r="DQT1724" s="227"/>
      <c r="DQU1724" s="227"/>
      <c r="DQV1724" s="227"/>
      <c r="DQW1724" s="227"/>
      <c r="DQX1724" s="227"/>
      <c r="DQY1724" s="227"/>
      <c r="DQZ1724" s="227"/>
      <c r="DRA1724" s="227"/>
      <c r="DRB1724" s="227"/>
      <c r="DRC1724" s="227"/>
      <c r="DRD1724" s="227"/>
      <c r="DRE1724" s="227"/>
      <c r="DRF1724" s="227"/>
      <c r="DRG1724" s="227"/>
      <c r="DRH1724" s="227"/>
      <c r="DRI1724" s="227"/>
      <c r="DRJ1724" s="227"/>
      <c r="DRK1724" s="227"/>
      <c r="DRL1724" s="227"/>
      <c r="DRM1724" s="227"/>
      <c r="DRN1724" s="227"/>
      <c r="DRO1724" s="227"/>
      <c r="DRP1724" s="227"/>
      <c r="DRQ1724" s="227"/>
      <c r="DRR1724" s="227"/>
      <c r="DRS1724" s="227"/>
      <c r="DRT1724" s="227"/>
      <c r="DRU1724" s="227"/>
      <c r="DRV1724" s="227"/>
      <c r="DRW1724" s="227"/>
      <c r="DRX1724" s="227"/>
      <c r="DRY1724" s="227"/>
      <c r="DRZ1724" s="227"/>
      <c r="DSA1724" s="227"/>
      <c r="DSB1724" s="227"/>
      <c r="DSC1724" s="227"/>
      <c r="DSD1724" s="227"/>
      <c r="DSE1724" s="227"/>
      <c r="DSF1724" s="227"/>
      <c r="DSG1724" s="227"/>
      <c r="DSH1724" s="227"/>
      <c r="DSI1724" s="227"/>
      <c r="DSJ1724" s="227"/>
      <c r="DSK1724" s="227"/>
      <c r="DSL1724" s="227"/>
      <c r="DSM1724" s="227"/>
      <c r="DSN1724" s="227"/>
      <c r="DSO1724" s="227"/>
      <c r="DSP1724" s="227"/>
      <c r="DSQ1724" s="227"/>
      <c r="DSR1724" s="227"/>
      <c r="DSS1724" s="227"/>
      <c r="DST1724" s="227"/>
      <c r="DSU1724" s="227"/>
      <c r="DSV1724" s="227"/>
      <c r="DSW1724" s="227"/>
      <c r="DSX1724" s="227"/>
      <c r="DSY1724" s="227"/>
      <c r="DSZ1724" s="227"/>
      <c r="DTA1724" s="227"/>
      <c r="DTB1724" s="227"/>
      <c r="DTC1724" s="227"/>
      <c r="DTD1724" s="227"/>
      <c r="DTE1724" s="227"/>
      <c r="DTF1724" s="227"/>
      <c r="DTG1724" s="227"/>
      <c r="DTH1724" s="227"/>
      <c r="DTI1724" s="227"/>
      <c r="DTJ1724" s="227"/>
      <c r="DTK1724" s="227"/>
      <c r="DTL1724" s="227"/>
      <c r="DTM1724" s="227"/>
      <c r="DTN1724" s="227"/>
      <c r="DTO1724" s="227"/>
      <c r="DTP1724" s="227"/>
      <c r="DTQ1724" s="227"/>
      <c r="DTR1724" s="227"/>
      <c r="DTS1724" s="227"/>
      <c r="DTT1724" s="227"/>
      <c r="DTU1724" s="227"/>
      <c r="DTV1724" s="227"/>
      <c r="DTW1724" s="227"/>
      <c r="DTX1724" s="227"/>
      <c r="DTY1724" s="227"/>
      <c r="DTZ1724" s="227"/>
      <c r="DUA1724" s="227"/>
      <c r="DUB1724" s="227"/>
      <c r="DUC1724" s="227"/>
      <c r="DUD1724" s="227"/>
      <c r="DUE1724" s="227"/>
      <c r="DUF1724" s="227"/>
      <c r="DUG1724" s="227"/>
      <c r="DUH1724" s="227"/>
      <c r="DUI1724" s="227"/>
      <c r="DUJ1724" s="227"/>
      <c r="DUK1724" s="227"/>
      <c r="DUL1724" s="227"/>
      <c r="DUM1724" s="227"/>
      <c r="DUN1724" s="227"/>
      <c r="DUO1724" s="227"/>
      <c r="DUP1724" s="227"/>
      <c r="DUQ1724" s="227"/>
      <c r="DUR1724" s="227"/>
      <c r="DUS1724" s="227"/>
      <c r="DUT1724" s="227"/>
      <c r="DUU1724" s="227"/>
      <c r="DUV1724" s="227"/>
      <c r="DUW1724" s="227"/>
      <c r="DUX1724" s="227"/>
      <c r="DUY1724" s="227"/>
      <c r="DUZ1724" s="227"/>
      <c r="DVA1724" s="227"/>
      <c r="DVB1724" s="227"/>
      <c r="DVC1724" s="227"/>
      <c r="DVD1724" s="227"/>
      <c r="DVE1724" s="227"/>
      <c r="DVF1724" s="227"/>
      <c r="DVG1724" s="227"/>
      <c r="DVH1724" s="227"/>
      <c r="DVI1724" s="227"/>
      <c r="DVJ1724" s="227"/>
      <c r="DVK1724" s="227"/>
      <c r="DVL1724" s="227"/>
      <c r="DVM1724" s="227"/>
      <c r="DVN1724" s="227"/>
      <c r="DVO1724" s="227"/>
      <c r="DVP1724" s="227"/>
      <c r="DVQ1724" s="227"/>
      <c r="DVR1724" s="227"/>
      <c r="DVS1724" s="227"/>
      <c r="DVT1724" s="227"/>
      <c r="DVU1724" s="227"/>
      <c r="DVV1724" s="227"/>
      <c r="DVW1724" s="227"/>
      <c r="DVX1724" s="227"/>
      <c r="DVY1724" s="227"/>
      <c r="DVZ1724" s="227"/>
      <c r="DWA1724" s="227"/>
      <c r="DWB1724" s="227"/>
      <c r="DWC1724" s="227"/>
      <c r="DWD1724" s="227"/>
      <c r="DWE1724" s="227"/>
      <c r="DWF1724" s="227"/>
      <c r="DWG1724" s="227"/>
      <c r="DWH1724" s="227"/>
      <c r="DWI1724" s="227"/>
      <c r="DWJ1724" s="227"/>
      <c r="DWK1724" s="227"/>
      <c r="DWL1724" s="227"/>
      <c r="DWM1724" s="227"/>
      <c r="DWN1724" s="227"/>
      <c r="DWO1724" s="227"/>
      <c r="DWP1724" s="227"/>
      <c r="DWQ1724" s="227"/>
      <c r="DWR1724" s="227"/>
      <c r="DWS1724" s="227"/>
      <c r="DWT1724" s="227"/>
      <c r="DWU1724" s="227"/>
      <c r="DWV1724" s="227"/>
      <c r="DWW1724" s="227"/>
      <c r="DWX1724" s="227"/>
      <c r="DWY1724" s="227"/>
      <c r="DWZ1724" s="227"/>
      <c r="DXA1724" s="227"/>
      <c r="DXB1724" s="227"/>
      <c r="DXC1724" s="227"/>
      <c r="DXD1724" s="227"/>
      <c r="DXE1724" s="227"/>
      <c r="DXF1724" s="227"/>
      <c r="DXG1724" s="227"/>
      <c r="DXH1724" s="227"/>
      <c r="DXI1724" s="227"/>
      <c r="DXJ1724" s="227"/>
      <c r="DXK1724" s="227"/>
      <c r="DXL1724" s="227"/>
      <c r="DXM1724" s="227"/>
      <c r="DXN1724" s="227"/>
      <c r="DXO1724" s="227"/>
      <c r="DXP1724" s="227"/>
      <c r="DXQ1724" s="227"/>
      <c r="DXR1724" s="227"/>
      <c r="DXS1724" s="227"/>
      <c r="DXT1724" s="227"/>
      <c r="DXU1724" s="227"/>
      <c r="DXV1724" s="227"/>
      <c r="DXW1724" s="227"/>
      <c r="DXX1724" s="227"/>
      <c r="DXY1724" s="227"/>
      <c r="DXZ1724" s="227"/>
      <c r="DYA1724" s="227"/>
      <c r="DYB1724" s="227"/>
      <c r="DYC1724" s="227"/>
      <c r="DYD1724" s="227"/>
      <c r="DYE1724" s="227"/>
      <c r="DYF1724" s="227"/>
      <c r="DYG1724" s="227"/>
      <c r="DYH1724" s="227"/>
      <c r="DYI1724" s="227"/>
      <c r="DYJ1724" s="227"/>
      <c r="DYK1724" s="227"/>
      <c r="DYL1724" s="227"/>
      <c r="DYM1724" s="227"/>
      <c r="DYN1724" s="227"/>
      <c r="DYO1724" s="227"/>
      <c r="DYP1724" s="227"/>
      <c r="DYQ1724" s="227"/>
      <c r="DYR1724" s="227"/>
      <c r="DYS1724" s="227"/>
      <c r="DYT1724" s="227"/>
      <c r="DYU1724" s="227"/>
      <c r="DYV1724" s="227"/>
      <c r="DYW1724" s="227"/>
      <c r="DYX1724" s="227"/>
      <c r="DYY1724" s="227"/>
      <c r="DYZ1724" s="227"/>
      <c r="DZA1724" s="227"/>
      <c r="DZB1724" s="227"/>
      <c r="DZC1724" s="227"/>
      <c r="DZD1724" s="227"/>
      <c r="DZE1724" s="227"/>
      <c r="DZF1724" s="227"/>
      <c r="DZG1724" s="227"/>
      <c r="DZH1724" s="227"/>
      <c r="DZI1724" s="227"/>
      <c r="DZJ1724" s="227"/>
      <c r="DZK1724" s="227"/>
      <c r="DZL1724" s="227"/>
      <c r="DZM1724" s="227"/>
      <c r="DZN1724" s="227"/>
      <c r="DZO1724" s="227"/>
      <c r="DZP1724" s="227"/>
      <c r="DZQ1724" s="227"/>
      <c r="DZR1724" s="227"/>
      <c r="DZS1724" s="227"/>
      <c r="DZT1724" s="227"/>
      <c r="DZU1724" s="227"/>
      <c r="DZV1724" s="227"/>
      <c r="DZW1724" s="227"/>
      <c r="DZX1724" s="227"/>
      <c r="DZY1724" s="227"/>
      <c r="DZZ1724" s="227"/>
      <c r="EAA1724" s="227"/>
      <c r="EAB1724" s="227"/>
      <c r="EAC1724" s="227"/>
      <c r="EAD1724" s="227"/>
      <c r="EAE1724" s="227"/>
      <c r="EAF1724" s="227"/>
      <c r="EAG1724" s="227"/>
      <c r="EAH1724" s="227"/>
      <c r="EAI1724" s="227"/>
      <c r="EAJ1724" s="227"/>
      <c r="EAK1724" s="227"/>
      <c r="EAL1724" s="227"/>
      <c r="EAM1724" s="227"/>
      <c r="EAN1724" s="227"/>
      <c r="EAO1724" s="227"/>
      <c r="EAP1724" s="227"/>
      <c r="EAQ1724" s="227"/>
      <c r="EAR1724" s="227"/>
      <c r="EAS1724" s="227"/>
      <c r="EAT1724" s="227"/>
      <c r="EAU1724" s="227"/>
      <c r="EAV1724" s="227"/>
      <c r="EAW1724" s="227"/>
      <c r="EAX1724" s="227"/>
      <c r="EAY1724" s="227"/>
      <c r="EAZ1724" s="227"/>
      <c r="EBA1724" s="227"/>
      <c r="EBB1724" s="227"/>
      <c r="EBC1724" s="227"/>
      <c r="EBD1724" s="227"/>
      <c r="EBE1724" s="227"/>
      <c r="EBF1724" s="227"/>
      <c r="EBG1724" s="227"/>
      <c r="EBH1724" s="227"/>
      <c r="EBI1724" s="227"/>
      <c r="EBJ1724" s="227"/>
      <c r="EBK1724" s="227"/>
      <c r="EBL1724" s="227"/>
      <c r="EBM1724" s="227"/>
      <c r="EBN1724" s="227"/>
      <c r="EBO1724" s="227"/>
      <c r="EBP1724" s="227"/>
      <c r="EBQ1724" s="227"/>
      <c r="EBR1724" s="227"/>
      <c r="EBS1724" s="227"/>
      <c r="EBT1724" s="227"/>
      <c r="EBU1724" s="227"/>
      <c r="EBV1724" s="227"/>
      <c r="EBW1724" s="227"/>
      <c r="EBX1724" s="227"/>
      <c r="EBY1724" s="227"/>
      <c r="EBZ1724" s="227"/>
      <c r="ECA1724" s="227"/>
      <c r="ECB1724" s="227"/>
      <c r="ECC1724" s="227"/>
      <c r="ECD1724" s="227"/>
      <c r="ECE1724" s="227"/>
      <c r="ECF1724" s="227"/>
      <c r="ECG1724" s="227"/>
      <c r="ECH1724" s="227"/>
      <c r="ECI1724" s="227"/>
      <c r="ECJ1724" s="227"/>
      <c r="ECK1724" s="227"/>
      <c r="ECL1724" s="227"/>
      <c r="ECM1724" s="227"/>
      <c r="ECN1724" s="227"/>
      <c r="ECO1724" s="227"/>
      <c r="ECP1724" s="227"/>
      <c r="ECQ1724" s="227"/>
      <c r="ECR1724" s="227"/>
      <c r="ECS1724" s="227"/>
      <c r="ECT1724" s="227"/>
      <c r="ECU1724" s="227"/>
      <c r="ECV1724" s="227"/>
      <c r="ECW1724" s="227"/>
      <c r="ECX1724" s="227"/>
      <c r="ECY1724" s="227"/>
      <c r="ECZ1724" s="227"/>
      <c r="EDA1724" s="227"/>
      <c r="EDB1724" s="227"/>
      <c r="EDC1724" s="227"/>
      <c r="EDD1724" s="227"/>
      <c r="EDE1724" s="227"/>
      <c r="EDF1724" s="227"/>
      <c r="EDG1724" s="227"/>
      <c r="EDH1724" s="227"/>
      <c r="EDI1724" s="227"/>
      <c r="EDJ1724" s="227"/>
      <c r="EDK1724" s="227"/>
      <c r="EDL1724" s="227"/>
      <c r="EDM1724" s="227"/>
      <c r="EDN1724" s="227"/>
      <c r="EDO1724" s="227"/>
      <c r="EDP1724" s="227"/>
      <c r="EDQ1724" s="227"/>
      <c r="EDR1724" s="227"/>
      <c r="EDS1724" s="227"/>
      <c r="EDT1724" s="227"/>
      <c r="EDU1724" s="227"/>
      <c r="EDV1724" s="227"/>
      <c r="EDW1724" s="227"/>
      <c r="EDX1724" s="227"/>
      <c r="EDY1724" s="227"/>
      <c r="EDZ1724" s="227"/>
      <c r="EEA1724" s="227"/>
      <c r="EEB1724" s="227"/>
      <c r="EEC1724" s="227"/>
      <c r="EED1724" s="227"/>
      <c r="EEE1724" s="227"/>
      <c r="EEF1724" s="227"/>
      <c r="EEG1724" s="227"/>
      <c r="EEH1724" s="227"/>
      <c r="EEI1724" s="227"/>
      <c r="EEJ1724" s="227"/>
      <c r="EEK1724" s="227"/>
      <c r="EEL1724" s="227"/>
      <c r="EEM1724" s="227"/>
      <c r="EEN1724" s="227"/>
      <c r="EEO1724" s="227"/>
      <c r="EEP1724" s="227"/>
      <c r="EEQ1724" s="227"/>
      <c r="EER1724" s="227"/>
      <c r="EES1724" s="227"/>
      <c r="EET1724" s="227"/>
      <c r="EEU1724" s="227"/>
      <c r="EEV1724" s="227"/>
      <c r="EEW1724" s="227"/>
      <c r="EEX1724" s="227"/>
      <c r="EEY1724" s="227"/>
      <c r="EEZ1724" s="227"/>
      <c r="EFA1724" s="227"/>
      <c r="EFB1724" s="227"/>
      <c r="EFC1724" s="227"/>
      <c r="EFD1724" s="227"/>
      <c r="EFE1724" s="227"/>
      <c r="EFF1724" s="227"/>
      <c r="EFG1724" s="227"/>
      <c r="EFH1724" s="227"/>
      <c r="EFI1724" s="227"/>
      <c r="EFJ1724" s="227"/>
      <c r="EFK1724" s="227"/>
      <c r="EFL1724" s="227"/>
      <c r="EFM1724" s="227"/>
      <c r="EFN1724" s="227"/>
      <c r="EFO1724" s="227"/>
      <c r="EFP1724" s="227"/>
      <c r="EFQ1724" s="227"/>
      <c r="EFR1724" s="227"/>
      <c r="EFS1724" s="227"/>
      <c r="EFT1724" s="227"/>
      <c r="EFU1724" s="227"/>
      <c r="EFV1724" s="227"/>
      <c r="EFW1724" s="227"/>
      <c r="EFX1724" s="227"/>
      <c r="EFY1724" s="227"/>
      <c r="EFZ1724" s="227"/>
      <c r="EGA1724" s="227"/>
      <c r="EGB1724" s="227"/>
      <c r="EGC1724" s="227"/>
      <c r="EGD1724" s="227"/>
      <c r="EGE1724" s="227"/>
      <c r="EGF1724" s="227"/>
      <c r="EGG1724" s="227"/>
      <c r="EGH1724" s="227"/>
      <c r="EGI1724" s="227"/>
      <c r="EGJ1724" s="227"/>
      <c r="EGK1724" s="227"/>
      <c r="EGL1724" s="227"/>
      <c r="EGM1724" s="227"/>
      <c r="EGN1724" s="227"/>
      <c r="EGO1724" s="227"/>
      <c r="EGP1724" s="227"/>
      <c r="EGQ1724" s="227"/>
      <c r="EGR1724" s="227"/>
      <c r="EGS1724" s="227"/>
      <c r="EGT1724" s="227"/>
      <c r="EGU1724" s="227"/>
      <c r="EGV1724" s="227"/>
      <c r="EGW1724" s="227"/>
      <c r="EGX1724" s="227"/>
      <c r="EGY1724" s="227"/>
      <c r="EGZ1724" s="227"/>
      <c r="EHA1724" s="227"/>
      <c r="EHB1724" s="227"/>
      <c r="EHC1724" s="227"/>
      <c r="EHD1724" s="227"/>
      <c r="EHE1724" s="227"/>
      <c r="EHF1724" s="227"/>
      <c r="EHG1724" s="227"/>
      <c r="EHH1724" s="227"/>
      <c r="EHI1724" s="227"/>
      <c r="EHJ1724" s="227"/>
      <c r="EHK1724" s="227"/>
      <c r="EHL1724" s="227"/>
      <c r="EHM1724" s="227"/>
      <c r="EHN1724" s="227"/>
      <c r="EHO1724" s="227"/>
      <c r="EHP1724" s="227"/>
      <c r="EHQ1724" s="227"/>
      <c r="EHR1724" s="227"/>
      <c r="EHS1724" s="227"/>
      <c r="EHT1724" s="227"/>
      <c r="EHU1724" s="227"/>
      <c r="EHV1724" s="227"/>
      <c r="EHW1724" s="227"/>
      <c r="EHX1724" s="227"/>
      <c r="EHY1724" s="227"/>
      <c r="EHZ1724" s="227"/>
      <c r="EIA1724" s="227"/>
      <c r="EIB1724" s="227"/>
      <c r="EIC1724" s="227"/>
      <c r="EID1724" s="227"/>
      <c r="EIE1724" s="227"/>
      <c r="EIF1724" s="227"/>
      <c r="EIG1724" s="227"/>
      <c r="EIH1724" s="227"/>
      <c r="EII1724" s="227"/>
      <c r="EIJ1724" s="227"/>
      <c r="EIK1724" s="227"/>
      <c r="EIL1724" s="227"/>
      <c r="EIM1724" s="227"/>
      <c r="EIN1724" s="227"/>
      <c r="EIO1724" s="227"/>
      <c r="EIP1724" s="227"/>
      <c r="EIQ1724" s="227"/>
      <c r="EIR1724" s="227"/>
      <c r="EIS1724" s="227"/>
      <c r="EIT1724" s="227"/>
      <c r="EIU1724" s="227"/>
      <c r="EIV1724" s="227"/>
      <c r="EIW1724" s="227"/>
      <c r="EIX1724" s="227"/>
      <c r="EIY1724" s="227"/>
      <c r="EIZ1724" s="227"/>
      <c r="EJA1724" s="227"/>
      <c r="EJB1724" s="227"/>
      <c r="EJC1724" s="227"/>
      <c r="EJD1724" s="227"/>
      <c r="EJE1724" s="227"/>
      <c r="EJF1724" s="227"/>
      <c r="EJG1724" s="227"/>
      <c r="EJH1724" s="227"/>
      <c r="EJI1724" s="227"/>
      <c r="EJJ1724" s="227"/>
      <c r="EJK1724" s="227"/>
      <c r="EJL1724" s="227"/>
      <c r="EJM1724" s="227"/>
      <c r="EJN1724" s="227"/>
      <c r="EJO1724" s="227"/>
      <c r="EJP1724" s="227"/>
      <c r="EJQ1724" s="227"/>
      <c r="EJR1724" s="227"/>
      <c r="EJS1724" s="227"/>
      <c r="EJT1724" s="227"/>
      <c r="EJU1724" s="227"/>
      <c r="EJV1724" s="227"/>
      <c r="EJW1724" s="227"/>
      <c r="EJX1724" s="227"/>
      <c r="EJY1724" s="227"/>
      <c r="EJZ1724" s="227"/>
      <c r="EKA1724" s="227"/>
      <c r="EKB1724" s="227"/>
      <c r="EKC1724" s="227"/>
      <c r="EKD1724" s="227"/>
      <c r="EKE1724" s="227"/>
      <c r="EKF1724" s="227"/>
      <c r="EKG1724" s="227"/>
      <c r="EKH1724" s="227"/>
      <c r="EKI1724" s="227"/>
      <c r="EKJ1724" s="227"/>
      <c r="EKK1724" s="227"/>
      <c r="EKL1724" s="227"/>
      <c r="EKM1724" s="227"/>
      <c r="EKN1724" s="227"/>
      <c r="EKO1724" s="227"/>
      <c r="EKP1724" s="227"/>
      <c r="EKQ1724" s="227"/>
      <c r="EKR1724" s="227"/>
      <c r="EKS1724" s="227"/>
      <c r="EKT1724" s="227"/>
      <c r="EKU1724" s="227"/>
      <c r="EKV1724" s="227"/>
      <c r="EKW1724" s="227"/>
      <c r="EKX1724" s="227"/>
      <c r="EKY1724" s="227"/>
      <c r="EKZ1724" s="227"/>
      <c r="ELA1724" s="227"/>
      <c r="ELB1724" s="227"/>
      <c r="ELC1724" s="227"/>
      <c r="ELD1724" s="227"/>
      <c r="ELE1724" s="227"/>
      <c r="ELF1724" s="227"/>
      <c r="ELG1724" s="227"/>
      <c r="ELH1724" s="227"/>
      <c r="ELI1724" s="227"/>
      <c r="ELJ1724" s="227"/>
      <c r="ELK1724" s="227"/>
      <c r="ELL1724" s="227"/>
      <c r="ELM1724" s="227"/>
      <c r="ELN1724" s="227"/>
      <c r="ELO1724" s="227"/>
      <c r="ELP1724" s="227"/>
      <c r="ELQ1724" s="227"/>
      <c r="ELR1724" s="227"/>
      <c r="ELS1724" s="227"/>
      <c r="ELT1724" s="227"/>
      <c r="ELU1724" s="227"/>
      <c r="ELV1724" s="227"/>
      <c r="ELW1724" s="227"/>
      <c r="ELX1724" s="227"/>
      <c r="ELY1724" s="227"/>
      <c r="ELZ1724" s="227"/>
      <c r="EMA1724" s="227"/>
      <c r="EMB1724" s="227"/>
      <c r="EMC1724" s="227"/>
      <c r="EMD1724" s="227"/>
      <c r="EME1724" s="227"/>
      <c r="EMF1724" s="227"/>
      <c r="EMG1724" s="227"/>
      <c r="EMH1724" s="227"/>
      <c r="EMI1724" s="227"/>
      <c r="EMJ1724" s="227"/>
      <c r="EMK1724" s="227"/>
      <c r="EML1724" s="227"/>
      <c r="EMM1724" s="227"/>
      <c r="EMN1724" s="227"/>
      <c r="EMO1724" s="227"/>
      <c r="EMP1724" s="227"/>
      <c r="EMQ1724" s="227"/>
      <c r="EMR1724" s="227"/>
      <c r="EMS1724" s="227"/>
      <c r="EMT1724" s="227"/>
      <c r="EMU1724" s="227"/>
      <c r="EMV1724" s="227"/>
      <c r="EMW1724" s="227"/>
      <c r="EMX1724" s="227"/>
      <c r="EMY1724" s="227"/>
      <c r="EMZ1724" s="227"/>
      <c r="ENA1724" s="227"/>
      <c r="ENB1724" s="227"/>
      <c r="ENC1724" s="227"/>
      <c r="END1724" s="227"/>
      <c r="ENE1724" s="227"/>
      <c r="ENF1724" s="227"/>
      <c r="ENG1724" s="227"/>
      <c r="ENH1724" s="227"/>
      <c r="ENI1724" s="227"/>
      <c r="ENJ1724" s="227"/>
      <c r="ENK1724" s="227"/>
      <c r="ENL1724" s="227"/>
      <c r="ENM1724" s="227"/>
      <c r="ENN1724" s="227"/>
      <c r="ENO1724" s="227"/>
      <c r="ENP1724" s="227"/>
      <c r="ENQ1724" s="227"/>
      <c r="ENR1724" s="227"/>
      <c r="ENS1724" s="227"/>
      <c r="ENT1724" s="227"/>
      <c r="ENU1724" s="227"/>
      <c r="ENV1724" s="227"/>
      <c r="ENW1724" s="227"/>
      <c r="ENX1724" s="227"/>
      <c r="ENY1724" s="227"/>
      <c r="ENZ1724" s="227"/>
      <c r="EOA1724" s="227"/>
      <c r="EOB1724" s="227"/>
      <c r="EOC1724" s="227"/>
      <c r="EOD1724" s="227"/>
      <c r="EOE1724" s="227"/>
      <c r="EOF1724" s="227"/>
      <c r="EOG1724" s="227"/>
      <c r="EOH1724" s="227"/>
      <c r="EOI1724" s="227"/>
      <c r="EOJ1724" s="227"/>
      <c r="EOK1724" s="227"/>
      <c r="EOL1724" s="227"/>
      <c r="EOM1724" s="227"/>
      <c r="EON1724" s="227"/>
      <c r="EOO1724" s="227"/>
      <c r="EOP1724" s="227"/>
      <c r="EOQ1724" s="227"/>
      <c r="EOR1724" s="227"/>
      <c r="EOS1724" s="227"/>
      <c r="EOT1724" s="227"/>
      <c r="EOU1724" s="227"/>
      <c r="EOV1724" s="227"/>
      <c r="EOW1724" s="227"/>
      <c r="EOX1724" s="227"/>
      <c r="EOY1724" s="227"/>
      <c r="EOZ1724" s="227"/>
      <c r="EPA1724" s="227"/>
      <c r="EPB1724" s="227"/>
      <c r="EPC1724" s="227"/>
      <c r="EPD1724" s="227"/>
      <c r="EPE1724" s="227"/>
      <c r="EPF1724" s="227"/>
      <c r="EPG1724" s="227"/>
      <c r="EPH1724" s="227"/>
      <c r="EPI1724" s="227"/>
      <c r="EPJ1724" s="227"/>
      <c r="EPK1724" s="227"/>
      <c r="EPL1724" s="227"/>
      <c r="EPM1724" s="227"/>
      <c r="EPN1724" s="227"/>
      <c r="EPO1724" s="227"/>
      <c r="EPP1724" s="227"/>
      <c r="EPQ1724" s="227"/>
      <c r="EPR1724" s="227"/>
      <c r="EPS1724" s="227"/>
      <c r="EPT1724" s="227"/>
      <c r="EPU1724" s="227"/>
      <c r="EPV1724" s="227"/>
      <c r="EPW1724" s="227"/>
      <c r="EPX1724" s="227"/>
      <c r="EPY1724" s="227"/>
      <c r="EPZ1724" s="227"/>
      <c r="EQA1724" s="227"/>
      <c r="EQB1724" s="227"/>
      <c r="EQC1724" s="227"/>
      <c r="EQD1724" s="227"/>
      <c r="EQE1724" s="227"/>
      <c r="EQF1724" s="227"/>
      <c r="EQG1724" s="227"/>
      <c r="EQH1724" s="227"/>
      <c r="EQI1724" s="227"/>
      <c r="EQJ1724" s="227"/>
      <c r="EQK1724" s="227"/>
      <c r="EQL1724" s="227"/>
      <c r="EQM1724" s="227"/>
      <c r="EQN1724" s="227"/>
      <c r="EQO1724" s="227"/>
      <c r="EQP1724" s="227"/>
      <c r="EQQ1724" s="227"/>
      <c r="EQR1724" s="227"/>
      <c r="EQS1724" s="227"/>
      <c r="EQT1724" s="227"/>
      <c r="EQU1724" s="227"/>
      <c r="EQV1724" s="227"/>
      <c r="EQW1724" s="227"/>
      <c r="EQX1724" s="227"/>
      <c r="EQY1724" s="227"/>
      <c r="EQZ1724" s="227"/>
      <c r="ERA1724" s="227"/>
      <c r="ERB1724" s="227"/>
      <c r="ERC1724" s="227"/>
      <c r="ERD1724" s="227"/>
      <c r="ERE1724" s="227"/>
      <c r="ERF1724" s="227"/>
      <c r="ERG1724" s="227"/>
      <c r="ERH1724" s="227"/>
      <c r="ERI1724" s="227"/>
      <c r="ERJ1724" s="227"/>
      <c r="ERK1724" s="227"/>
      <c r="ERL1724" s="227"/>
      <c r="ERM1724" s="227"/>
      <c r="ERN1724" s="227"/>
      <c r="ERO1724" s="227"/>
      <c r="ERP1724" s="227"/>
      <c r="ERQ1724" s="227"/>
      <c r="ERR1724" s="227"/>
      <c r="ERS1724" s="227"/>
      <c r="ERT1724" s="227"/>
      <c r="ERU1724" s="227"/>
      <c r="ERV1724" s="227"/>
      <c r="ERW1724" s="227"/>
      <c r="ERX1724" s="227"/>
      <c r="ERY1724" s="227"/>
      <c r="ERZ1724" s="227"/>
      <c r="ESA1724" s="227"/>
      <c r="ESB1724" s="227"/>
      <c r="ESC1724" s="227"/>
      <c r="ESD1724" s="227"/>
      <c r="ESE1724" s="227"/>
      <c r="ESF1724" s="227"/>
      <c r="ESG1724" s="227"/>
      <c r="ESH1724" s="227"/>
      <c r="ESI1724" s="227"/>
      <c r="ESJ1724" s="227"/>
      <c r="ESK1724" s="227"/>
      <c r="ESL1724" s="227"/>
      <c r="ESM1724" s="227"/>
      <c r="ESN1724" s="227"/>
      <c r="ESO1724" s="227"/>
      <c r="ESP1724" s="227"/>
      <c r="ESQ1724" s="227"/>
      <c r="ESR1724" s="227"/>
      <c r="ESS1724" s="227"/>
      <c r="EST1724" s="227"/>
      <c r="ESU1724" s="227"/>
      <c r="ESV1724" s="227"/>
      <c r="ESW1724" s="227"/>
      <c r="ESX1724" s="227"/>
      <c r="ESY1724" s="227"/>
      <c r="ESZ1724" s="227"/>
      <c r="ETA1724" s="227"/>
      <c r="ETB1724" s="227"/>
      <c r="ETC1724" s="227"/>
      <c r="ETD1724" s="227"/>
      <c r="ETE1724" s="227"/>
      <c r="ETF1724" s="227"/>
      <c r="ETG1724" s="227"/>
      <c r="ETH1724" s="227"/>
      <c r="ETI1724" s="227"/>
      <c r="ETJ1724" s="227"/>
      <c r="ETK1724" s="227"/>
      <c r="ETL1724" s="227"/>
      <c r="ETM1724" s="227"/>
      <c r="ETN1724" s="227"/>
      <c r="ETO1724" s="227"/>
      <c r="ETP1724" s="227"/>
      <c r="ETQ1724" s="227"/>
      <c r="ETR1724" s="227"/>
      <c r="ETS1724" s="227"/>
      <c r="ETT1724" s="227"/>
      <c r="ETU1724" s="227"/>
      <c r="ETV1724" s="227"/>
      <c r="ETW1724" s="227"/>
      <c r="ETX1724" s="227"/>
      <c r="ETY1724" s="227"/>
      <c r="ETZ1724" s="227"/>
      <c r="EUA1724" s="227"/>
      <c r="EUB1724" s="227"/>
      <c r="EUC1724" s="227"/>
      <c r="EUD1724" s="227"/>
      <c r="EUE1724" s="227"/>
      <c r="EUF1724" s="227"/>
      <c r="EUG1724" s="227"/>
      <c r="EUH1724" s="227"/>
      <c r="EUI1724" s="227"/>
      <c r="EUJ1724" s="227"/>
      <c r="EUK1724" s="227"/>
      <c r="EUL1724" s="227"/>
      <c r="EUM1724" s="227"/>
      <c r="EUN1724" s="227"/>
      <c r="EUO1724" s="227"/>
      <c r="EUP1724" s="227"/>
      <c r="EUQ1724" s="227"/>
      <c r="EUR1724" s="227"/>
      <c r="EUS1724" s="227"/>
      <c r="EUT1724" s="227"/>
      <c r="EUU1724" s="227"/>
      <c r="EUV1724" s="227"/>
      <c r="EUW1724" s="227"/>
      <c r="EUX1724" s="227"/>
      <c r="EUY1724" s="227"/>
      <c r="EUZ1724" s="227"/>
      <c r="EVA1724" s="227"/>
      <c r="EVB1724" s="227"/>
      <c r="EVC1724" s="227"/>
      <c r="EVD1724" s="227"/>
      <c r="EVE1724" s="227"/>
      <c r="EVF1724" s="227"/>
      <c r="EVG1724" s="227"/>
      <c r="EVH1724" s="227"/>
      <c r="EVI1724" s="227"/>
      <c r="EVJ1724" s="227"/>
      <c r="EVK1724" s="227"/>
      <c r="EVL1724" s="227"/>
      <c r="EVM1724" s="227"/>
      <c r="EVN1724" s="227"/>
      <c r="EVO1724" s="227"/>
      <c r="EVP1724" s="227"/>
      <c r="EVQ1724" s="227"/>
      <c r="EVR1724" s="227"/>
      <c r="EVS1724" s="227"/>
      <c r="EVT1724" s="227"/>
      <c r="EVU1724" s="227"/>
      <c r="EVV1724" s="227"/>
      <c r="EVW1724" s="227"/>
      <c r="EVX1724" s="227"/>
      <c r="EVY1724" s="227"/>
      <c r="EVZ1724" s="227"/>
      <c r="EWA1724" s="227"/>
      <c r="EWB1724" s="227"/>
      <c r="EWC1724" s="227"/>
      <c r="EWD1724" s="227"/>
      <c r="EWE1724" s="227"/>
      <c r="EWF1724" s="227"/>
      <c r="EWG1724" s="227"/>
      <c r="EWH1724" s="227"/>
      <c r="EWI1724" s="227"/>
      <c r="EWJ1724" s="227"/>
      <c r="EWK1724" s="227"/>
      <c r="EWL1724" s="227"/>
      <c r="EWM1724" s="227"/>
      <c r="EWN1724" s="227"/>
      <c r="EWO1724" s="227"/>
      <c r="EWP1724" s="227"/>
      <c r="EWQ1724" s="227"/>
      <c r="EWR1724" s="227"/>
      <c r="EWS1724" s="227"/>
      <c r="EWT1724" s="227"/>
      <c r="EWU1724" s="227"/>
      <c r="EWV1724" s="227"/>
      <c r="EWW1724" s="227"/>
      <c r="EWX1724" s="227"/>
      <c r="EWY1724" s="227"/>
      <c r="EWZ1724" s="227"/>
      <c r="EXA1724" s="227"/>
      <c r="EXB1724" s="227"/>
      <c r="EXC1724" s="227"/>
      <c r="EXD1724" s="227"/>
      <c r="EXE1724" s="227"/>
      <c r="EXF1724" s="227"/>
      <c r="EXG1724" s="227"/>
      <c r="EXH1724" s="227"/>
      <c r="EXI1724" s="227"/>
      <c r="EXJ1724" s="227"/>
      <c r="EXK1724" s="227"/>
      <c r="EXL1724" s="227"/>
      <c r="EXM1724" s="227"/>
      <c r="EXN1724" s="227"/>
      <c r="EXO1724" s="227"/>
      <c r="EXP1724" s="227"/>
      <c r="EXQ1724" s="227"/>
      <c r="EXR1724" s="227"/>
      <c r="EXS1724" s="227"/>
      <c r="EXT1724" s="227"/>
      <c r="EXU1724" s="227"/>
      <c r="EXV1724" s="227"/>
      <c r="EXW1724" s="227"/>
      <c r="EXX1724" s="227"/>
      <c r="EXY1724" s="227"/>
      <c r="EXZ1724" s="227"/>
      <c r="EYA1724" s="227"/>
      <c r="EYB1724" s="227"/>
      <c r="EYC1724" s="227"/>
      <c r="EYD1724" s="227"/>
      <c r="EYE1724" s="227"/>
      <c r="EYF1724" s="227"/>
      <c r="EYG1724" s="227"/>
      <c r="EYH1724" s="227"/>
      <c r="EYI1724" s="227"/>
      <c r="EYJ1724" s="227"/>
      <c r="EYK1724" s="227"/>
      <c r="EYL1724" s="227"/>
      <c r="EYM1724" s="227"/>
      <c r="EYN1724" s="227"/>
      <c r="EYO1724" s="227"/>
      <c r="EYP1724" s="227"/>
      <c r="EYQ1724" s="227"/>
      <c r="EYR1724" s="227"/>
      <c r="EYS1724" s="227"/>
      <c r="EYT1724" s="227"/>
      <c r="EYU1724" s="227"/>
      <c r="EYV1724" s="227"/>
      <c r="EYW1724" s="227"/>
      <c r="EYX1724" s="227"/>
      <c r="EYY1724" s="227"/>
      <c r="EYZ1724" s="227"/>
      <c r="EZA1724" s="227"/>
      <c r="EZB1724" s="227"/>
      <c r="EZC1724" s="227"/>
      <c r="EZD1724" s="227"/>
      <c r="EZE1724" s="227"/>
      <c r="EZF1724" s="227"/>
      <c r="EZG1724" s="227"/>
      <c r="EZH1724" s="227"/>
      <c r="EZI1724" s="227"/>
      <c r="EZJ1724" s="227"/>
      <c r="EZK1724" s="227"/>
      <c r="EZL1724" s="227"/>
      <c r="EZM1724" s="227"/>
      <c r="EZN1724" s="227"/>
      <c r="EZO1724" s="227"/>
      <c r="EZP1724" s="227"/>
      <c r="EZQ1724" s="227"/>
      <c r="EZR1724" s="227"/>
      <c r="EZS1724" s="227"/>
      <c r="EZT1724" s="227"/>
      <c r="EZU1724" s="227"/>
      <c r="EZV1724" s="227"/>
      <c r="EZW1724" s="227"/>
      <c r="EZX1724" s="227"/>
      <c r="EZY1724" s="227"/>
      <c r="EZZ1724" s="227"/>
      <c r="FAA1724" s="227"/>
      <c r="FAB1724" s="227"/>
      <c r="FAC1724" s="227"/>
      <c r="FAD1724" s="227"/>
      <c r="FAE1724" s="227"/>
      <c r="FAF1724" s="227"/>
      <c r="FAG1724" s="227"/>
      <c r="FAH1724" s="227"/>
      <c r="FAI1724" s="227"/>
      <c r="FAJ1724" s="227"/>
      <c r="FAK1724" s="227"/>
      <c r="FAL1724" s="227"/>
      <c r="FAM1724" s="227"/>
      <c r="FAN1724" s="227"/>
      <c r="FAO1724" s="227"/>
      <c r="FAP1724" s="227"/>
      <c r="FAQ1724" s="227"/>
      <c r="FAR1724" s="227"/>
      <c r="FAS1724" s="227"/>
      <c r="FAT1724" s="227"/>
      <c r="FAU1724" s="227"/>
      <c r="FAV1724" s="227"/>
      <c r="FAW1724" s="227"/>
      <c r="FAX1724" s="227"/>
      <c r="FAY1724" s="227"/>
      <c r="FAZ1724" s="227"/>
      <c r="FBA1724" s="227"/>
      <c r="FBB1724" s="227"/>
      <c r="FBC1724" s="227"/>
      <c r="FBD1724" s="227"/>
      <c r="FBE1724" s="227"/>
      <c r="FBF1724" s="227"/>
      <c r="FBG1724" s="227"/>
      <c r="FBH1724" s="227"/>
      <c r="FBI1724" s="227"/>
      <c r="FBJ1724" s="227"/>
      <c r="FBK1724" s="227"/>
      <c r="FBL1724" s="227"/>
      <c r="FBM1724" s="227"/>
      <c r="FBN1724" s="227"/>
      <c r="FBO1724" s="227"/>
      <c r="FBP1724" s="227"/>
      <c r="FBQ1724" s="227"/>
      <c r="FBR1724" s="227"/>
      <c r="FBS1724" s="227"/>
      <c r="FBT1724" s="227"/>
      <c r="FBU1724" s="227"/>
      <c r="FBV1724" s="227"/>
      <c r="FBW1724" s="227"/>
      <c r="FBX1724" s="227"/>
      <c r="FBY1724" s="227"/>
      <c r="FBZ1724" s="227"/>
      <c r="FCA1724" s="227"/>
      <c r="FCB1724" s="227"/>
      <c r="FCC1724" s="227"/>
      <c r="FCD1724" s="227"/>
      <c r="FCE1724" s="227"/>
      <c r="FCF1724" s="227"/>
      <c r="FCG1724" s="227"/>
      <c r="FCH1724" s="227"/>
      <c r="FCI1724" s="227"/>
      <c r="FCJ1724" s="227"/>
      <c r="FCK1724" s="227"/>
      <c r="FCL1724" s="227"/>
      <c r="FCM1724" s="227"/>
      <c r="FCN1724" s="227"/>
      <c r="FCO1724" s="227"/>
      <c r="FCP1724" s="227"/>
      <c r="FCQ1724" s="227"/>
      <c r="FCR1724" s="227"/>
      <c r="FCS1724" s="227"/>
      <c r="FCT1724" s="227"/>
      <c r="FCU1724" s="227"/>
      <c r="FCV1724" s="227"/>
      <c r="FCW1724" s="227"/>
      <c r="FCX1724" s="227"/>
      <c r="FCY1724" s="227"/>
      <c r="FCZ1724" s="227"/>
      <c r="FDA1724" s="227"/>
      <c r="FDB1724" s="227"/>
      <c r="FDC1724" s="227"/>
      <c r="FDD1724" s="227"/>
      <c r="FDE1724" s="227"/>
      <c r="FDF1724" s="227"/>
      <c r="FDG1724" s="227"/>
      <c r="FDH1724" s="227"/>
      <c r="FDI1724" s="227"/>
      <c r="FDJ1724" s="227"/>
      <c r="FDK1724" s="227"/>
      <c r="FDL1724" s="227"/>
      <c r="FDM1724" s="227"/>
      <c r="FDN1724" s="227"/>
      <c r="FDO1724" s="227"/>
      <c r="FDP1724" s="227"/>
      <c r="FDQ1724" s="227"/>
      <c r="FDR1724" s="227"/>
      <c r="FDS1724" s="227"/>
      <c r="FDT1724" s="227"/>
      <c r="FDU1724" s="227"/>
      <c r="FDV1724" s="227"/>
      <c r="FDW1724" s="227"/>
      <c r="FDX1724" s="227"/>
      <c r="FDY1724" s="227"/>
      <c r="FDZ1724" s="227"/>
      <c r="FEA1724" s="227"/>
      <c r="FEB1724" s="227"/>
      <c r="FEC1724" s="227"/>
      <c r="FED1724" s="227"/>
      <c r="FEE1724" s="227"/>
      <c r="FEF1724" s="227"/>
      <c r="FEG1724" s="227"/>
      <c r="FEH1724" s="227"/>
      <c r="FEI1724" s="227"/>
      <c r="FEJ1724" s="227"/>
      <c r="FEK1724" s="227"/>
      <c r="FEL1724" s="227"/>
      <c r="FEM1724" s="227"/>
      <c r="FEN1724" s="227"/>
      <c r="FEO1724" s="227"/>
      <c r="FEP1724" s="227"/>
      <c r="FEQ1724" s="227"/>
      <c r="FER1724" s="227"/>
      <c r="FES1724" s="227"/>
      <c r="FET1724" s="227"/>
      <c r="FEU1724" s="227"/>
      <c r="FEV1724" s="227"/>
      <c r="FEW1724" s="227"/>
      <c r="FEX1724" s="227"/>
      <c r="FEY1724" s="227"/>
      <c r="FEZ1724" s="227"/>
      <c r="FFA1724" s="227"/>
      <c r="FFB1724" s="227"/>
      <c r="FFC1724" s="227"/>
      <c r="FFD1724" s="227"/>
      <c r="FFE1724" s="227"/>
      <c r="FFF1724" s="227"/>
      <c r="FFG1724" s="227"/>
      <c r="FFH1724" s="227"/>
      <c r="FFI1724" s="227"/>
      <c r="FFJ1724" s="227"/>
      <c r="FFK1724" s="227"/>
      <c r="FFL1724" s="227"/>
      <c r="FFM1724" s="227"/>
      <c r="FFN1724" s="227"/>
      <c r="FFO1724" s="227"/>
      <c r="FFP1724" s="227"/>
      <c r="FFQ1724" s="227"/>
      <c r="FFR1724" s="227"/>
      <c r="FFS1724" s="227"/>
      <c r="FFT1724" s="227"/>
      <c r="FFU1724" s="227"/>
      <c r="FFV1724" s="227"/>
      <c r="FFW1724" s="227"/>
      <c r="FFX1724" s="227"/>
      <c r="FFY1724" s="227"/>
      <c r="FFZ1724" s="227"/>
      <c r="FGA1724" s="227"/>
      <c r="FGB1724" s="227"/>
      <c r="FGC1724" s="227"/>
      <c r="FGD1724" s="227"/>
      <c r="FGE1724" s="227"/>
      <c r="FGF1724" s="227"/>
      <c r="FGG1724" s="227"/>
      <c r="FGH1724" s="227"/>
      <c r="FGI1724" s="227"/>
      <c r="FGJ1724" s="227"/>
      <c r="FGK1724" s="227"/>
      <c r="FGL1724" s="227"/>
      <c r="FGM1724" s="227"/>
      <c r="FGN1724" s="227"/>
      <c r="FGO1724" s="227"/>
      <c r="FGP1724" s="227"/>
      <c r="FGQ1724" s="227"/>
      <c r="FGR1724" s="227"/>
      <c r="FGS1724" s="227"/>
      <c r="FGT1724" s="227"/>
      <c r="FGU1724" s="227"/>
      <c r="FGV1724" s="227"/>
      <c r="FGW1724" s="227"/>
      <c r="FGX1724" s="227"/>
      <c r="FGY1724" s="227"/>
      <c r="FGZ1724" s="227"/>
      <c r="FHA1724" s="227"/>
      <c r="FHB1724" s="227"/>
      <c r="FHC1724" s="227"/>
      <c r="FHD1724" s="227"/>
      <c r="FHE1724" s="227"/>
      <c r="FHF1724" s="227"/>
      <c r="FHG1724" s="227"/>
      <c r="FHH1724" s="227"/>
      <c r="FHI1724" s="227"/>
      <c r="FHJ1724" s="227"/>
      <c r="FHK1724" s="227"/>
      <c r="FHL1724" s="227"/>
      <c r="FHM1724" s="227"/>
      <c r="FHN1724" s="227"/>
      <c r="FHO1724" s="227"/>
      <c r="FHP1724" s="227"/>
      <c r="FHQ1724" s="227"/>
      <c r="FHR1724" s="227"/>
      <c r="FHS1724" s="227"/>
      <c r="FHT1724" s="227"/>
      <c r="FHU1724" s="227"/>
      <c r="FHV1724" s="227"/>
      <c r="FHW1724" s="227"/>
      <c r="FHX1724" s="227"/>
      <c r="FHY1724" s="227"/>
      <c r="FHZ1724" s="227"/>
      <c r="FIA1724" s="227"/>
      <c r="FIB1724" s="227"/>
      <c r="FIC1724" s="227"/>
      <c r="FID1724" s="227"/>
      <c r="FIE1724" s="227"/>
      <c r="FIF1724" s="227"/>
      <c r="FIG1724" s="227"/>
      <c r="FIH1724" s="227"/>
      <c r="FII1724" s="227"/>
      <c r="FIJ1724" s="227"/>
      <c r="FIK1724" s="227"/>
      <c r="FIL1724" s="227"/>
      <c r="FIM1724" s="227"/>
      <c r="FIN1724" s="227"/>
      <c r="FIO1724" s="227"/>
      <c r="FIP1724" s="227"/>
      <c r="FIQ1724" s="227"/>
      <c r="FIR1724" s="227"/>
      <c r="FIS1724" s="227"/>
      <c r="FIT1724" s="227"/>
      <c r="FIU1724" s="227"/>
      <c r="FIV1724" s="227"/>
      <c r="FIW1724" s="227"/>
      <c r="FIX1724" s="227"/>
      <c r="FIY1724" s="227"/>
      <c r="FIZ1724" s="227"/>
      <c r="FJA1724" s="227"/>
      <c r="FJB1724" s="227"/>
      <c r="FJC1724" s="227"/>
      <c r="FJD1724" s="227"/>
      <c r="FJE1724" s="227"/>
      <c r="FJF1724" s="227"/>
      <c r="FJG1724" s="227"/>
      <c r="FJH1724" s="227"/>
      <c r="FJI1724" s="227"/>
      <c r="FJJ1724" s="227"/>
      <c r="FJK1724" s="227"/>
      <c r="FJL1724" s="227"/>
      <c r="FJM1724" s="227"/>
      <c r="FJN1724" s="227"/>
      <c r="FJO1724" s="227"/>
      <c r="FJP1724" s="227"/>
      <c r="FJQ1724" s="227"/>
      <c r="FJR1724" s="227"/>
      <c r="FJS1724" s="227"/>
      <c r="FJT1724" s="227"/>
      <c r="FJU1724" s="227"/>
      <c r="FJV1724" s="227"/>
      <c r="FJW1724" s="227"/>
      <c r="FJX1724" s="227"/>
      <c r="FJY1724" s="227"/>
      <c r="FJZ1724" s="227"/>
      <c r="FKA1724" s="227"/>
      <c r="FKB1724" s="227"/>
      <c r="FKC1724" s="227"/>
      <c r="FKD1724" s="227"/>
      <c r="FKE1724" s="227"/>
      <c r="FKF1724" s="227"/>
      <c r="FKG1724" s="227"/>
      <c r="FKH1724" s="227"/>
      <c r="FKI1724" s="227"/>
      <c r="FKJ1724" s="227"/>
      <c r="FKK1724" s="227"/>
      <c r="FKL1724" s="227"/>
      <c r="FKM1724" s="227"/>
      <c r="FKN1724" s="227"/>
      <c r="FKO1724" s="227"/>
      <c r="FKP1724" s="227"/>
      <c r="FKQ1724" s="227"/>
      <c r="FKR1724" s="227"/>
      <c r="FKS1724" s="227"/>
      <c r="FKT1724" s="227"/>
      <c r="FKU1724" s="227"/>
      <c r="FKV1724" s="227"/>
      <c r="FKW1724" s="227"/>
      <c r="FKX1724" s="227"/>
      <c r="FKY1724" s="227"/>
      <c r="FKZ1724" s="227"/>
      <c r="FLA1724" s="227"/>
      <c r="FLB1724" s="227"/>
      <c r="FLC1724" s="227"/>
      <c r="FLD1724" s="227"/>
      <c r="FLE1724" s="227"/>
      <c r="FLF1724" s="227"/>
      <c r="FLG1724" s="227"/>
      <c r="FLH1724" s="227"/>
      <c r="FLI1724" s="227"/>
      <c r="FLJ1724" s="227"/>
      <c r="FLK1724" s="227"/>
      <c r="FLL1724" s="227"/>
      <c r="FLM1724" s="227"/>
      <c r="FLN1724" s="227"/>
      <c r="FLO1724" s="227"/>
      <c r="FLP1724" s="227"/>
      <c r="FLQ1724" s="227"/>
      <c r="FLR1724" s="227"/>
      <c r="FLS1724" s="227"/>
      <c r="FLT1724" s="227"/>
      <c r="FLU1724" s="227"/>
      <c r="FLV1724" s="227"/>
      <c r="FLW1724" s="227"/>
      <c r="FLX1724" s="227"/>
      <c r="FLY1724" s="227"/>
      <c r="FLZ1724" s="227"/>
      <c r="FMA1724" s="227"/>
      <c r="FMB1724" s="227"/>
      <c r="FMC1724" s="227"/>
      <c r="FMD1724" s="227"/>
      <c r="FME1724" s="227"/>
      <c r="FMF1724" s="227"/>
      <c r="FMG1724" s="227"/>
      <c r="FMH1724" s="227"/>
      <c r="FMI1724" s="227"/>
      <c r="FMJ1724" s="227"/>
      <c r="FMK1724" s="227"/>
      <c r="FML1724" s="227"/>
      <c r="FMM1724" s="227"/>
      <c r="FMN1724" s="227"/>
      <c r="FMO1724" s="227"/>
      <c r="FMP1724" s="227"/>
      <c r="FMQ1724" s="227"/>
      <c r="FMR1724" s="227"/>
      <c r="FMS1724" s="227"/>
      <c r="FMT1724" s="227"/>
      <c r="FMU1724" s="227"/>
      <c r="FMV1724" s="227"/>
      <c r="FMW1724" s="227"/>
      <c r="FMX1724" s="227"/>
      <c r="FMY1724" s="227"/>
      <c r="FMZ1724" s="227"/>
      <c r="FNA1724" s="227"/>
      <c r="FNB1724" s="227"/>
      <c r="FNC1724" s="227"/>
      <c r="FND1724" s="227"/>
      <c r="FNE1724" s="227"/>
      <c r="FNF1724" s="227"/>
      <c r="FNG1724" s="227"/>
      <c r="FNH1724" s="227"/>
      <c r="FNI1724" s="227"/>
      <c r="FNJ1724" s="227"/>
      <c r="FNK1724" s="227"/>
      <c r="FNL1724" s="227"/>
      <c r="FNM1724" s="227"/>
      <c r="FNN1724" s="227"/>
      <c r="FNO1724" s="227"/>
      <c r="FNP1724" s="227"/>
      <c r="FNQ1724" s="227"/>
      <c r="FNR1724" s="227"/>
      <c r="FNS1724" s="227"/>
      <c r="FNT1724" s="227"/>
      <c r="FNU1724" s="227"/>
      <c r="FNV1724" s="227"/>
      <c r="FNW1724" s="227"/>
      <c r="FNX1724" s="227"/>
      <c r="FNY1724" s="227"/>
      <c r="FNZ1724" s="227"/>
      <c r="FOA1724" s="227"/>
      <c r="FOB1724" s="227"/>
      <c r="FOC1724" s="227"/>
      <c r="FOD1724" s="227"/>
      <c r="FOE1724" s="227"/>
      <c r="FOF1724" s="227"/>
      <c r="FOG1724" s="227"/>
      <c r="FOH1724" s="227"/>
      <c r="FOI1724" s="227"/>
      <c r="FOJ1724" s="227"/>
      <c r="FOK1724" s="227"/>
      <c r="FOL1724" s="227"/>
      <c r="FOM1724" s="227"/>
      <c r="FON1724" s="227"/>
      <c r="FOO1724" s="227"/>
      <c r="FOP1724" s="227"/>
      <c r="FOQ1724" s="227"/>
      <c r="FOR1724" s="227"/>
      <c r="FOS1724" s="227"/>
      <c r="FOT1724" s="227"/>
      <c r="FOU1724" s="227"/>
      <c r="FOV1724" s="227"/>
      <c r="FOW1724" s="227"/>
      <c r="FOX1724" s="227"/>
      <c r="FOY1724" s="227"/>
      <c r="FOZ1724" s="227"/>
      <c r="FPA1724" s="227"/>
      <c r="FPB1724" s="227"/>
      <c r="FPC1724" s="227"/>
      <c r="FPD1724" s="227"/>
      <c r="FPE1724" s="227"/>
      <c r="FPF1724" s="227"/>
      <c r="FPG1724" s="227"/>
      <c r="FPH1724" s="227"/>
      <c r="FPI1724" s="227"/>
      <c r="FPJ1724" s="227"/>
      <c r="FPK1724" s="227"/>
      <c r="FPL1724" s="227"/>
      <c r="FPM1724" s="227"/>
      <c r="FPN1724" s="227"/>
      <c r="FPO1724" s="227"/>
      <c r="FPP1724" s="227"/>
      <c r="FPQ1724" s="227"/>
      <c r="FPR1724" s="227"/>
      <c r="FPS1724" s="227"/>
      <c r="FPT1724" s="227"/>
      <c r="FPU1724" s="227"/>
      <c r="FPV1724" s="227"/>
      <c r="FPW1724" s="227"/>
      <c r="FPX1724" s="227"/>
      <c r="FPY1724" s="227"/>
      <c r="FPZ1724" s="227"/>
      <c r="FQA1724" s="227"/>
      <c r="FQB1724" s="227"/>
      <c r="FQC1724" s="227"/>
      <c r="FQD1724" s="227"/>
      <c r="FQE1724" s="227"/>
      <c r="FQF1724" s="227"/>
      <c r="FQG1724" s="227"/>
      <c r="FQH1724" s="227"/>
      <c r="FQI1724" s="227"/>
      <c r="FQJ1724" s="227"/>
      <c r="FQK1724" s="227"/>
      <c r="FQL1724" s="227"/>
      <c r="FQM1724" s="227"/>
      <c r="FQN1724" s="227"/>
      <c r="FQO1724" s="227"/>
      <c r="FQP1724" s="227"/>
      <c r="FQQ1724" s="227"/>
      <c r="FQR1724" s="227"/>
      <c r="FQS1724" s="227"/>
      <c r="FQT1724" s="227"/>
      <c r="FQU1724" s="227"/>
      <c r="FQV1724" s="227"/>
      <c r="FQW1724" s="227"/>
      <c r="FQX1724" s="227"/>
      <c r="FQY1724" s="227"/>
      <c r="FQZ1724" s="227"/>
      <c r="FRA1724" s="227"/>
      <c r="FRB1724" s="227"/>
      <c r="FRC1724" s="227"/>
      <c r="FRD1724" s="227"/>
      <c r="FRE1724" s="227"/>
      <c r="FRF1724" s="227"/>
      <c r="FRG1724" s="227"/>
      <c r="FRH1724" s="227"/>
      <c r="FRI1724" s="227"/>
      <c r="FRJ1724" s="227"/>
      <c r="FRK1724" s="227"/>
      <c r="FRL1724" s="227"/>
      <c r="FRM1724" s="227"/>
      <c r="FRN1724" s="227"/>
      <c r="FRO1724" s="227"/>
      <c r="FRP1724" s="227"/>
      <c r="FRQ1724" s="227"/>
      <c r="FRR1724" s="227"/>
      <c r="FRS1724" s="227"/>
      <c r="FRT1724" s="227"/>
      <c r="FRU1724" s="227"/>
      <c r="FRV1724" s="227"/>
      <c r="FRW1724" s="227"/>
      <c r="FRX1724" s="227"/>
      <c r="FRY1724" s="227"/>
      <c r="FRZ1724" s="227"/>
      <c r="FSA1724" s="227"/>
      <c r="FSB1724" s="227"/>
      <c r="FSC1724" s="227"/>
      <c r="FSD1724" s="227"/>
      <c r="FSE1724" s="227"/>
      <c r="FSF1724" s="227"/>
      <c r="FSG1724" s="227"/>
      <c r="FSH1724" s="227"/>
      <c r="FSI1724" s="227"/>
      <c r="FSJ1724" s="227"/>
      <c r="FSK1724" s="227"/>
      <c r="FSL1724" s="227"/>
      <c r="FSM1724" s="227"/>
      <c r="FSN1724" s="227"/>
      <c r="FSO1724" s="227"/>
      <c r="FSP1724" s="227"/>
      <c r="FSQ1724" s="227"/>
      <c r="FSR1724" s="227"/>
      <c r="FSS1724" s="227"/>
      <c r="FST1724" s="227"/>
      <c r="FSU1724" s="227"/>
      <c r="FSV1724" s="227"/>
      <c r="FSW1724" s="227"/>
      <c r="FSX1724" s="227"/>
      <c r="FSY1724" s="227"/>
      <c r="FSZ1724" s="227"/>
      <c r="FTA1724" s="227"/>
      <c r="FTB1724" s="227"/>
      <c r="FTC1724" s="227"/>
      <c r="FTD1724" s="227"/>
      <c r="FTE1724" s="227"/>
      <c r="FTF1724" s="227"/>
      <c r="FTG1724" s="227"/>
      <c r="FTH1724" s="227"/>
      <c r="FTI1724" s="227"/>
      <c r="FTJ1724" s="227"/>
      <c r="FTK1724" s="227"/>
      <c r="FTL1724" s="227"/>
      <c r="FTM1724" s="227"/>
      <c r="FTN1724" s="227"/>
      <c r="FTO1724" s="227"/>
      <c r="FTP1724" s="227"/>
      <c r="FTQ1724" s="227"/>
      <c r="FTR1724" s="227"/>
      <c r="FTS1724" s="227"/>
      <c r="FTT1724" s="227"/>
      <c r="FTU1724" s="227"/>
      <c r="FTV1724" s="227"/>
      <c r="FTW1724" s="227"/>
      <c r="FTX1724" s="227"/>
      <c r="FTY1724" s="227"/>
      <c r="FTZ1724" s="227"/>
      <c r="FUA1724" s="227"/>
      <c r="FUB1724" s="227"/>
      <c r="FUC1724" s="227"/>
      <c r="FUD1724" s="227"/>
      <c r="FUE1724" s="227"/>
      <c r="FUF1724" s="227"/>
      <c r="FUG1724" s="227"/>
      <c r="FUH1724" s="227"/>
      <c r="FUI1724" s="227"/>
      <c r="FUJ1724" s="227"/>
      <c r="FUK1724" s="227"/>
      <c r="FUL1724" s="227"/>
      <c r="FUM1724" s="227"/>
      <c r="FUN1724" s="227"/>
      <c r="FUO1724" s="227"/>
      <c r="FUP1724" s="227"/>
      <c r="FUQ1724" s="227"/>
      <c r="FUR1724" s="227"/>
      <c r="FUS1724" s="227"/>
      <c r="FUT1724" s="227"/>
      <c r="FUU1724" s="227"/>
      <c r="FUV1724" s="227"/>
      <c r="FUW1724" s="227"/>
      <c r="FUX1724" s="227"/>
      <c r="FUY1724" s="227"/>
      <c r="FUZ1724" s="227"/>
      <c r="FVA1724" s="227"/>
      <c r="FVB1724" s="227"/>
      <c r="FVC1724" s="227"/>
      <c r="FVD1724" s="227"/>
      <c r="FVE1724" s="227"/>
      <c r="FVF1724" s="227"/>
      <c r="FVG1724" s="227"/>
      <c r="FVH1724" s="227"/>
      <c r="FVI1724" s="227"/>
      <c r="FVJ1724" s="227"/>
      <c r="FVK1724" s="227"/>
      <c r="FVL1724" s="227"/>
      <c r="FVM1724" s="227"/>
      <c r="FVN1724" s="227"/>
      <c r="FVO1724" s="227"/>
      <c r="FVP1724" s="227"/>
      <c r="FVQ1724" s="227"/>
      <c r="FVR1724" s="227"/>
      <c r="FVS1724" s="227"/>
      <c r="FVT1724" s="227"/>
      <c r="FVU1724" s="227"/>
      <c r="FVV1724" s="227"/>
      <c r="FVW1724" s="227"/>
      <c r="FVX1724" s="227"/>
      <c r="FVY1724" s="227"/>
      <c r="FVZ1724" s="227"/>
      <c r="FWA1724" s="227"/>
      <c r="FWB1724" s="227"/>
      <c r="FWC1724" s="227"/>
      <c r="FWD1724" s="227"/>
      <c r="FWE1724" s="227"/>
      <c r="FWF1724" s="227"/>
      <c r="FWG1724" s="227"/>
      <c r="FWH1724" s="227"/>
      <c r="FWI1724" s="227"/>
      <c r="FWJ1724" s="227"/>
      <c r="FWK1724" s="227"/>
      <c r="FWL1724" s="227"/>
      <c r="FWM1724" s="227"/>
      <c r="FWN1724" s="227"/>
      <c r="FWO1724" s="227"/>
      <c r="FWP1724" s="227"/>
      <c r="FWQ1724" s="227"/>
      <c r="FWR1724" s="227"/>
      <c r="FWS1724" s="227"/>
      <c r="FWT1724" s="227"/>
      <c r="FWU1724" s="227"/>
      <c r="FWV1724" s="227"/>
      <c r="FWW1724" s="227"/>
      <c r="FWX1724" s="227"/>
      <c r="FWY1724" s="227"/>
      <c r="FWZ1724" s="227"/>
      <c r="FXA1724" s="227"/>
      <c r="FXB1724" s="227"/>
      <c r="FXC1724" s="227"/>
      <c r="FXD1724" s="227"/>
      <c r="FXE1724" s="227"/>
      <c r="FXF1724" s="227"/>
      <c r="FXG1724" s="227"/>
      <c r="FXH1724" s="227"/>
      <c r="FXI1724" s="227"/>
      <c r="FXJ1724" s="227"/>
      <c r="FXK1724" s="227"/>
      <c r="FXL1724" s="227"/>
      <c r="FXM1724" s="227"/>
      <c r="FXN1724" s="227"/>
      <c r="FXO1724" s="227"/>
      <c r="FXP1724" s="227"/>
      <c r="FXQ1724" s="227"/>
      <c r="FXR1724" s="227"/>
      <c r="FXS1724" s="227"/>
      <c r="FXT1724" s="227"/>
      <c r="FXU1724" s="227"/>
      <c r="FXV1724" s="227"/>
      <c r="FXW1724" s="227"/>
      <c r="FXX1724" s="227"/>
      <c r="FXY1724" s="227"/>
      <c r="FXZ1724" s="227"/>
      <c r="FYA1724" s="227"/>
      <c r="FYB1724" s="227"/>
      <c r="FYC1724" s="227"/>
      <c r="FYD1724" s="227"/>
      <c r="FYE1724" s="227"/>
      <c r="FYF1724" s="227"/>
      <c r="FYG1724" s="227"/>
      <c r="FYH1724" s="227"/>
      <c r="FYI1724" s="227"/>
      <c r="FYJ1724" s="227"/>
      <c r="FYK1724" s="227"/>
      <c r="FYL1724" s="227"/>
      <c r="FYM1724" s="227"/>
      <c r="FYN1724" s="227"/>
      <c r="FYO1724" s="227"/>
      <c r="FYP1724" s="227"/>
      <c r="FYQ1724" s="227"/>
      <c r="FYR1724" s="227"/>
      <c r="FYS1724" s="227"/>
      <c r="FYT1724" s="227"/>
      <c r="FYU1724" s="227"/>
      <c r="FYV1724" s="227"/>
      <c r="FYW1724" s="227"/>
      <c r="FYX1724" s="227"/>
      <c r="FYY1724" s="227"/>
      <c r="FYZ1724" s="227"/>
      <c r="FZA1724" s="227"/>
      <c r="FZB1724" s="227"/>
      <c r="FZC1724" s="227"/>
      <c r="FZD1724" s="227"/>
      <c r="FZE1724" s="227"/>
      <c r="FZF1724" s="227"/>
      <c r="FZG1724" s="227"/>
      <c r="FZH1724" s="227"/>
      <c r="FZI1724" s="227"/>
      <c r="FZJ1724" s="227"/>
      <c r="FZK1724" s="227"/>
      <c r="FZL1724" s="227"/>
      <c r="FZM1724" s="227"/>
      <c r="FZN1724" s="227"/>
      <c r="FZO1724" s="227"/>
      <c r="FZP1724" s="227"/>
      <c r="FZQ1724" s="227"/>
      <c r="FZR1724" s="227"/>
      <c r="FZS1724" s="227"/>
      <c r="FZT1724" s="227"/>
      <c r="FZU1724" s="227"/>
      <c r="FZV1724" s="227"/>
      <c r="FZW1724" s="227"/>
      <c r="FZX1724" s="227"/>
      <c r="FZY1724" s="227"/>
      <c r="FZZ1724" s="227"/>
      <c r="GAA1724" s="227"/>
      <c r="GAB1724" s="227"/>
      <c r="GAC1724" s="227"/>
      <c r="GAD1724" s="227"/>
      <c r="GAE1724" s="227"/>
      <c r="GAF1724" s="227"/>
      <c r="GAG1724" s="227"/>
      <c r="GAH1724" s="227"/>
      <c r="GAI1724" s="227"/>
      <c r="GAJ1724" s="227"/>
      <c r="GAK1724" s="227"/>
      <c r="GAL1724" s="227"/>
      <c r="GAM1724" s="227"/>
      <c r="GAN1724" s="227"/>
      <c r="GAO1724" s="227"/>
      <c r="GAP1724" s="227"/>
      <c r="GAQ1724" s="227"/>
      <c r="GAR1724" s="227"/>
      <c r="GAS1724" s="227"/>
      <c r="GAT1724" s="227"/>
      <c r="GAU1724" s="227"/>
      <c r="GAV1724" s="227"/>
      <c r="GAW1724" s="227"/>
      <c r="GAX1724" s="227"/>
      <c r="GAY1724" s="227"/>
      <c r="GAZ1724" s="227"/>
      <c r="GBA1724" s="227"/>
      <c r="GBB1724" s="227"/>
      <c r="GBC1724" s="227"/>
      <c r="GBD1724" s="227"/>
      <c r="GBE1724" s="227"/>
      <c r="GBF1724" s="227"/>
      <c r="GBG1724" s="227"/>
      <c r="GBH1724" s="227"/>
      <c r="GBI1724" s="227"/>
      <c r="GBJ1724" s="227"/>
      <c r="GBK1724" s="227"/>
      <c r="GBL1724" s="227"/>
      <c r="GBM1724" s="227"/>
      <c r="GBN1724" s="227"/>
      <c r="GBO1724" s="227"/>
      <c r="GBP1724" s="227"/>
      <c r="GBQ1724" s="227"/>
      <c r="GBR1724" s="227"/>
      <c r="GBS1724" s="227"/>
      <c r="GBT1724" s="227"/>
      <c r="GBU1724" s="227"/>
      <c r="GBV1724" s="227"/>
      <c r="GBW1724" s="227"/>
      <c r="GBX1724" s="227"/>
      <c r="GBY1724" s="227"/>
      <c r="GBZ1724" s="227"/>
      <c r="GCA1724" s="227"/>
      <c r="GCB1724" s="227"/>
      <c r="GCC1724" s="227"/>
      <c r="GCD1724" s="227"/>
      <c r="GCE1724" s="227"/>
      <c r="GCF1724" s="227"/>
      <c r="GCG1724" s="227"/>
      <c r="GCH1724" s="227"/>
      <c r="GCI1724" s="227"/>
      <c r="GCJ1724" s="227"/>
      <c r="GCK1724" s="227"/>
      <c r="GCL1724" s="227"/>
      <c r="GCM1724" s="227"/>
      <c r="GCN1724" s="227"/>
      <c r="GCO1724" s="227"/>
      <c r="GCP1724" s="227"/>
      <c r="GCQ1724" s="227"/>
      <c r="GCR1724" s="227"/>
      <c r="GCS1724" s="227"/>
      <c r="GCT1724" s="227"/>
      <c r="GCU1724" s="227"/>
      <c r="GCV1724" s="227"/>
      <c r="GCW1724" s="227"/>
      <c r="GCX1724" s="227"/>
      <c r="GCY1724" s="227"/>
      <c r="GCZ1724" s="227"/>
      <c r="GDA1724" s="227"/>
      <c r="GDB1724" s="227"/>
      <c r="GDC1724" s="227"/>
      <c r="GDD1724" s="227"/>
      <c r="GDE1724" s="227"/>
      <c r="GDF1724" s="227"/>
      <c r="GDG1724" s="227"/>
      <c r="GDH1724" s="227"/>
      <c r="GDI1724" s="227"/>
      <c r="GDJ1724" s="227"/>
      <c r="GDK1724" s="227"/>
      <c r="GDL1724" s="227"/>
      <c r="GDM1724" s="227"/>
      <c r="GDN1724" s="227"/>
      <c r="GDO1724" s="227"/>
      <c r="GDP1724" s="227"/>
      <c r="GDQ1724" s="227"/>
      <c r="GDR1724" s="227"/>
      <c r="GDS1724" s="227"/>
      <c r="GDT1724" s="227"/>
      <c r="GDU1724" s="227"/>
      <c r="GDV1724" s="227"/>
      <c r="GDW1724" s="227"/>
      <c r="GDX1724" s="227"/>
      <c r="GDY1724" s="227"/>
      <c r="GDZ1724" s="227"/>
      <c r="GEA1724" s="227"/>
      <c r="GEB1724" s="227"/>
      <c r="GEC1724" s="227"/>
      <c r="GED1724" s="227"/>
      <c r="GEE1724" s="227"/>
      <c r="GEF1724" s="227"/>
      <c r="GEG1724" s="227"/>
      <c r="GEH1724" s="227"/>
      <c r="GEI1724" s="227"/>
      <c r="GEJ1724" s="227"/>
      <c r="GEK1724" s="227"/>
      <c r="GEL1724" s="227"/>
      <c r="GEM1724" s="227"/>
      <c r="GEN1724" s="227"/>
      <c r="GEO1724" s="227"/>
      <c r="GEP1724" s="227"/>
      <c r="GEQ1724" s="227"/>
      <c r="GER1724" s="227"/>
      <c r="GES1724" s="227"/>
      <c r="GET1724" s="227"/>
      <c r="GEU1724" s="227"/>
      <c r="GEV1724" s="227"/>
      <c r="GEW1724" s="227"/>
      <c r="GEX1724" s="227"/>
      <c r="GEY1724" s="227"/>
      <c r="GEZ1724" s="227"/>
      <c r="GFA1724" s="227"/>
      <c r="GFB1724" s="227"/>
      <c r="GFC1724" s="227"/>
      <c r="GFD1724" s="227"/>
      <c r="GFE1724" s="227"/>
      <c r="GFF1724" s="227"/>
      <c r="GFG1724" s="227"/>
      <c r="GFH1724" s="227"/>
      <c r="GFI1724" s="227"/>
      <c r="GFJ1724" s="227"/>
      <c r="GFK1724" s="227"/>
      <c r="GFL1724" s="227"/>
      <c r="GFM1724" s="227"/>
      <c r="GFN1724" s="227"/>
      <c r="GFO1724" s="227"/>
      <c r="GFP1724" s="227"/>
      <c r="GFQ1724" s="227"/>
      <c r="GFR1724" s="227"/>
      <c r="GFS1724" s="227"/>
      <c r="GFT1724" s="227"/>
      <c r="GFU1724" s="227"/>
      <c r="GFV1724" s="227"/>
      <c r="GFW1724" s="227"/>
      <c r="GFX1724" s="227"/>
      <c r="GFY1724" s="227"/>
      <c r="GFZ1724" s="227"/>
      <c r="GGA1724" s="227"/>
      <c r="GGB1724" s="227"/>
      <c r="GGC1724" s="227"/>
      <c r="GGD1724" s="227"/>
      <c r="GGE1724" s="227"/>
      <c r="GGF1724" s="227"/>
      <c r="GGG1724" s="227"/>
      <c r="GGH1724" s="227"/>
      <c r="GGI1724" s="227"/>
      <c r="GGJ1724" s="227"/>
      <c r="GGK1724" s="227"/>
      <c r="GGL1724" s="227"/>
      <c r="GGM1724" s="227"/>
      <c r="GGN1724" s="227"/>
      <c r="GGO1724" s="227"/>
      <c r="GGP1724" s="227"/>
      <c r="GGQ1724" s="227"/>
      <c r="GGR1724" s="227"/>
      <c r="GGS1724" s="227"/>
      <c r="GGT1724" s="227"/>
      <c r="GGU1724" s="227"/>
      <c r="GGV1724" s="227"/>
      <c r="GGW1724" s="227"/>
      <c r="GGX1724" s="227"/>
      <c r="GGY1724" s="227"/>
      <c r="GGZ1724" s="227"/>
      <c r="GHA1724" s="227"/>
      <c r="GHB1724" s="227"/>
      <c r="GHC1724" s="227"/>
      <c r="GHD1724" s="227"/>
      <c r="GHE1724" s="227"/>
      <c r="GHF1724" s="227"/>
      <c r="GHG1724" s="227"/>
      <c r="GHH1724" s="227"/>
      <c r="GHI1724" s="227"/>
      <c r="GHJ1724" s="227"/>
      <c r="GHK1724" s="227"/>
      <c r="GHL1724" s="227"/>
      <c r="GHM1724" s="227"/>
      <c r="GHN1724" s="227"/>
      <c r="GHO1724" s="227"/>
      <c r="GHP1724" s="227"/>
      <c r="GHQ1724" s="227"/>
      <c r="GHR1724" s="227"/>
      <c r="GHS1724" s="227"/>
      <c r="GHT1724" s="227"/>
      <c r="GHU1724" s="227"/>
      <c r="GHV1724" s="227"/>
      <c r="GHW1724" s="227"/>
      <c r="GHX1724" s="227"/>
      <c r="GHY1724" s="227"/>
      <c r="GHZ1724" s="227"/>
      <c r="GIA1724" s="227"/>
      <c r="GIB1724" s="227"/>
      <c r="GIC1724" s="227"/>
      <c r="GID1724" s="227"/>
      <c r="GIE1724" s="227"/>
      <c r="GIF1724" s="227"/>
      <c r="GIG1724" s="227"/>
      <c r="GIH1724" s="227"/>
      <c r="GII1724" s="227"/>
      <c r="GIJ1724" s="227"/>
      <c r="GIK1724" s="227"/>
      <c r="GIL1724" s="227"/>
      <c r="GIM1724" s="227"/>
      <c r="GIN1724" s="227"/>
      <c r="GIO1724" s="227"/>
      <c r="GIP1724" s="227"/>
      <c r="GIQ1724" s="227"/>
      <c r="GIR1724" s="227"/>
      <c r="GIS1724" s="227"/>
      <c r="GIT1724" s="227"/>
      <c r="GIU1724" s="227"/>
      <c r="GIV1724" s="227"/>
      <c r="GIW1724" s="227"/>
      <c r="GIX1724" s="227"/>
      <c r="GIY1724" s="227"/>
      <c r="GIZ1724" s="227"/>
      <c r="GJA1724" s="227"/>
      <c r="GJB1724" s="227"/>
      <c r="GJC1724" s="227"/>
      <c r="GJD1724" s="227"/>
      <c r="GJE1724" s="227"/>
      <c r="GJF1724" s="227"/>
      <c r="GJG1724" s="227"/>
      <c r="GJH1724" s="227"/>
      <c r="GJI1724" s="227"/>
      <c r="GJJ1724" s="227"/>
      <c r="GJK1724" s="227"/>
      <c r="GJL1724" s="227"/>
      <c r="GJM1724" s="227"/>
      <c r="GJN1724" s="227"/>
      <c r="GJO1724" s="227"/>
      <c r="GJP1724" s="227"/>
      <c r="GJQ1724" s="227"/>
      <c r="GJR1724" s="227"/>
      <c r="GJS1724" s="227"/>
      <c r="GJT1724" s="227"/>
      <c r="GJU1724" s="227"/>
      <c r="GJV1724" s="227"/>
      <c r="GJW1724" s="227"/>
      <c r="GJX1724" s="227"/>
      <c r="GJY1724" s="227"/>
      <c r="GJZ1724" s="227"/>
      <c r="GKA1724" s="227"/>
      <c r="GKB1724" s="227"/>
      <c r="GKC1724" s="227"/>
      <c r="GKD1724" s="227"/>
      <c r="GKE1724" s="227"/>
      <c r="GKF1724" s="227"/>
      <c r="GKG1724" s="227"/>
      <c r="GKH1724" s="227"/>
      <c r="GKI1724" s="227"/>
      <c r="GKJ1724" s="227"/>
      <c r="GKK1724" s="227"/>
      <c r="GKL1724" s="227"/>
      <c r="GKM1724" s="227"/>
      <c r="GKN1724" s="227"/>
      <c r="GKO1724" s="227"/>
      <c r="GKP1724" s="227"/>
      <c r="GKQ1724" s="227"/>
      <c r="GKR1724" s="227"/>
      <c r="GKS1724" s="227"/>
      <c r="GKT1724" s="227"/>
      <c r="GKU1724" s="227"/>
      <c r="GKV1724" s="227"/>
      <c r="GKW1724" s="227"/>
      <c r="GKX1724" s="227"/>
      <c r="GKY1724" s="227"/>
      <c r="GKZ1724" s="227"/>
      <c r="GLA1724" s="227"/>
      <c r="GLB1724" s="227"/>
      <c r="GLC1724" s="227"/>
      <c r="GLD1724" s="227"/>
      <c r="GLE1724" s="227"/>
      <c r="GLF1724" s="227"/>
      <c r="GLG1724" s="227"/>
      <c r="GLH1724" s="227"/>
      <c r="GLI1724" s="227"/>
      <c r="GLJ1724" s="227"/>
      <c r="GLK1724" s="227"/>
      <c r="GLL1724" s="227"/>
      <c r="GLM1724" s="227"/>
      <c r="GLN1724" s="227"/>
      <c r="GLO1724" s="227"/>
      <c r="GLP1724" s="227"/>
      <c r="GLQ1724" s="227"/>
      <c r="GLR1724" s="227"/>
      <c r="GLS1724" s="227"/>
      <c r="GLT1724" s="227"/>
      <c r="GLU1724" s="227"/>
      <c r="GLV1724" s="227"/>
      <c r="GLW1724" s="227"/>
      <c r="GLX1724" s="227"/>
      <c r="GLY1724" s="227"/>
      <c r="GLZ1724" s="227"/>
      <c r="GMA1724" s="227"/>
      <c r="GMB1724" s="227"/>
      <c r="GMC1724" s="227"/>
      <c r="GMD1724" s="227"/>
      <c r="GME1724" s="227"/>
      <c r="GMF1724" s="227"/>
      <c r="GMG1724" s="227"/>
      <c r="GMH1724" s="227"/>
      <c r="GMI1724" s="227"/>
      <c r="GMJ1724" s="227"/>
      <c r="GMK1724" s="227"/>
      <c r="GML1724" s="227"/>
      <c r="GMM1724" s="227"/>
      <c r="GMN1724" s="227"/>
      <c r="GMO1724" s="227"/>
      <c r="GMP1724" s="227"/>
      <c r="GMQ1724" s="227"/>
      <c r="GMR1724" s="227"/>
      <c r="GMS1724" s="227"/>
      <c r="GMT1724" s="227"/>
      <c r="GMU1724" s="227"/>
      <c r="GMV1724" s="227"/>
      <c r="GMW1724" s="227"/>
      <c r="GMX1724" s="227"/>
      <c r="GMY1724" s="227"/>
      <c r="GMZ1724" s="227"/>
      <c r="GNA1724" s="227"/>
      <c r="GNB1724" s="227"/>
      <c r="GNC1724" s="227"/>
      <c r="GND1724" s="227"/>
      <c r="GNE1724" s="227"/>
      <c r="GNF1724" s="227"/>
      <c r="GNG1724" s="227"/>
      <c r="GNH1724" s="227"/>
      <c r="GNI1724" s="227"/>
      <c r="GNJ1724" s="227"/>
      <c r="GNK1724" s="227"/>
      <c r="GNL1724" s="227"/>
      <c r="GNM1724" s="227"/>
      <c r="GNN1724" s="227"/>
      <c r="GNO1724" s="227"/>
      <c r="GNP1724" s="227"/>
      <c r="GNQ1724" s="227"/>
      <c r="GNR1724" s="227"/>
      <c r="GNS1724" s="227"/>
      <c r="GNT1724" s="227"/>
      <c r="GNU1724" s="227"/>
      <c r="GNV1724" s="227"/>
      <c r="GNW1724" s="227"/>
      <c r="GNX1724" s="227"/>
      <c r="GNY1724" s="227"/>
      <c r="GNZ1724" s="227"/>
      <c r="GOA1724" s="227"/>
      <c r="GOB1724" s="227"/>
      <c r="GOC1724" s="227"/>
      <c r="GOD1724" s="227"/>
      <c r="GOE1724" s="227"/>
      <c r="GOF1724" s="227"/>
      <c r="GOG1724" s="227"/>
      <c r="GOH1724" s="227"/>
      <c r="GOI1724" s="227"/>
      <c r="GOJ1724" s="227"/>
      <c r="GOK1724" s="227"/>
      <c r="GOL1724" s="227"/>
      <c r="GOM1724" s="227"/>
      <c r="GON1724" s="227"/>
      <c r="GOO1724" s="227"/>
      <c r="GOP1724" s="227"/>
      <c r="GOQ1724" s="227"/>
      <c r="GOR1724" s="227"/>
      <c r="GOS1724" s="227"/>
      <c r="GOT1724" s="227"/>
      <c r="GOU1724" s="227"/>
      <c r="GOV1724" s="227"/>
      <c r="GOW1724" s="227"/>
      <c r="GOX1724" s="227"/>
      <c r="GOY1724" s="227"/>
      <c r="GOZ1724" s="227"/>
      <c r="GPA1724" s="227"/>
      <c r="GPB1724" s="227"/>
      <c r="GPC1724" s="227"/>
      <c r="GPD1724" s="227"/>
      <c r="GPE1724" s="227"/>
      <c r="GPF1724" s="227"/>
      <c r="GPG1724" s="227"/>
      <c r="GPH1724" s="227"/>
      <c r="GPI1724" s="227"/>
      <c r="GPJ1724" s="227"/>
      <c r="GPK1724" s="227"/>
      <c r="GPL1724" s="227"/>
      <c r="GPM1724" s="227"/>
      <c r="GPN1724" s="227"/>
      <c r="GPO1724" s="227"/>
      <c r="GPP1724" s="227"/>
      <c r="GPQ1724" s="227"/>
      <c r="GPR1724" s="227"/>
      <c r="GPS1724" s="227"/>
      <c r="GPT1724" s="227"/>
      <c r="GPU1724" s="227"/>
      <c r="GPV1724" s="227"/>
      <c r="GPW1724" s="227"/>
      <c r="GPX1724" s="227"/>
      <c r="GPY1724" s="227"/>
      <c r="GPZ1724" s="227"/>
      <c r="GQA1724" s="227"/>
      <c r="GQB1724" s="227"/>
      <c r="GQC1724" s="227"/>
      <c r="GQD1724" s="227"/>
      <c r="GQE1724" s="227"/>
      <c r="GQF1724" s="227"/>
      <c r="GQG1724" s="227"/>
      <c r="GQH1724" s="227"/>
      <c r="GQI1724" s="227"/>
      <c r="GQJ1724" s="227"/>
      <c r="GQK1724" s="227"/>
      <c r="GQL1724" s="227"/>
      <c r="GQM1724" s="227"/>
      <c r="GQN1724" s="227"/>
      <c r="GQO1724" s="227"/>
      <c r="GQP1724" s="227"/>
      <c r="GQQ1724" s="227"/>
      <c r="GQR1724" s="227"/>
      <c r="GQS1724" s="227"/>
      <c r="GQT1724" s="227"/>
      <c r="GQU1724" s="227"/>
      <c r="GQV1724" s="227"/>
      <c r="GQW1724" s="227"/>
      <c r="GQX1724" s="227"/>
      <c r="GQY1724" s="227"/>
      <c r="GQZ1724" s="227"/>
      <c r="GRA1724" s="227"/>
      <c r="GRB1724" s="227"/>
      <c r="GRC1724" s="227"/>
      <c r="GRD1724" s="227"/>
      <c r="GRE1724" s="227"/>
      <c r="GRF1724" s="227"/>
      <c r="GRG1724" s="227"/>
      <c r="GRH1724" s="227"/>
      <c r="GRI1724" s="227"/>
      <c r="GRJ1724" s="227"/>
      <c r="GRK1724" s="227"/>
      <c r="GRL1724" s="227"/>
      <c r="GRM1724" s="227"/>
      <c r="GRN1724" s="227"/>
      <c r="GRO1724" s="227"/>
      <c r="GRP1724" s="227"/>
      <c r="GRQ1724" s="227"/>
      <c r="GRR1724" s="227"/>
      <c r="GRS1724" s="227"/>
      <c r="GRT1724" s="227"/>
      <c r="GRU1724" s="227"/>
      <c r="GRV1724" s="227"/>
      <c r="GRW1724" s="227"/>
      <c r="GRX1724" s="227"/>
      <c r="GRY1724" s="227"/>
      <c r="GRZ1724" s="227"/>
      <c r="GSA1724" s="227"/>
      <c r="GSB1724" s="227"/>
      <c r="GSC1724" s="227"/>
      <c r="GSD1724" s="227"/>
      <c r="GSE1724" s="227"/>
      <c r="GSF1724" s="227"/>
      <c r="GSG1724" s="227"/>
      <c r="GSH1724" s="227"/>
      <c r="GSI1724" s="227"/>
      <c r="GSJ1724" s="227"/>
      <c r="GSK1724" s="227"/>
      <c r="GSL1724" s="227"/>
      <c r="GSM1724" s="227"/>
      <c r="GSN1724" s="227"/>
      <c r="GSO1724" s="227"/>
      <c r="GSP1724" s="227"/>
      <c r="GSQ1724" s="227"/>
      <c r="GSR1724" s="227"/>
      <c r="GSS1724" s="227"/>
      <c r="GST1724" s="227"/>
      <c r="GSU1724" s="227"/>
      <c r="GSV1724" s="227"/>
      <c r="GSW1724" s="227"/>
      <c r="GSX1724" s="227"/>
      <c r="GSY1724" s="227"/>
      <c r="GSZ1724" s="227"/>
      <c r="GTA1724" s="227"/>
      <c r="GTB1724" s="227"/>
      <c r="GTC1724" s="227"/>
      <c r="GTD1724" s="227"/>
      <c r="GTE1724" s="227"/>
      <c r="GTF1724" s="227"/>
      <c r="GTG1724" s="227"/>
      <c r="GTH1724" s="227"/>
      <c r="GTI1724" s="227"/>
      <c r="GTJ1724" s="227"/>
      <c r="GTK1724" s="227"/>
      <c r="GTL1724" s="227"/>
      <c r="GTM1724" s="227"/>
      <c r="GTN1724" s="227"/>
      <c r="GTO1724" s="227"/>
      <c r="GTP1724" s="227"/>
      <c r="GTQ1724" s="227"/>
      <c r="GTR1724" s="227"/>
      <c r="GTS1724" s="227"/>
      <c r="GTT1724" s="227"/>
      <c r="GTU1724" s="227"/>
      <c r="GTV1724" s="227"/>
      <c r="GTW1724" s="227"/>
      <c r="GTX1724" s="227"/>
      <c r="GTY1724" s="227"/>
      <c r="GTZ1724" s="227"/>
      <c r="GUA1724" s="227"/>
      <c r="GUB1724" s="227"/>
      <c r="GUC1724" s="227"/>
      <c r="GUD1724" s="227"/>
      <c r="GUE1724" s="227"/>
      <c r="GUF1724" s="227"/>
      <c r="GUG1724" s="227"/>
      <c r="GUH1724" s="227"/>
      <c r="GUI1724" s="227"/>
      <c r="GUJ1724" s="227"/>
      <c r="GUK1724" s="227"/>
      <c r="GUL1724" s="227"/>
      <c r="GUM1724" s="227"/>
      <c r="GUN1724" s="227"/>
      <c r="GUO1724" s="227"/>
      <c r="GUP1724" s="227"/>
      <c r="GUQ1724" s="227"/>
      <c r="GUR1724" s="227"/>
      <c r="GUS1724" s="227"/>
      <c r="GUT1724" s="227"/>
      <c r="GUU1724" s="227"/>
      <c r="GUV1724" s="227"/>
      <c r="GUW1724" s="227"/>
      <c r="GUX1724" s="227"/>
      <c r="GUY1724" s="227"/>
      <c r="GUZ1724" s="227"/>
      <c r="GVA1724" s="227"/>
      <c r="GVB1724" s="227"/>
      <c r="GVC1724" s="227"/>
      <c r="GVD1724" s="227"/>
      <c r="GVE1724" s="227"/>
      <c r="GVF1724" s="227"/>
      <c r="GVG1724" s="227"/>
      <c r="GVH1724" s="227"/>
      <c r="GVI1724" s="227"/>
      <c r="GVJ1724" s="227"/>
      <c r="GVK1724" s="227"/>
      <c r="GVL1724" s="227"/>
      <c r="GVM1724" s="227"/>
      <c r="GVN1724" s="227"/>
      <c r="GVO1724" s="227"/>
      <c r="GVP1724" s="227"/>
      <c r="GVQ1724" s="227"/>
      <c r="GVR1724" s="227"/>
      <c r="GVS1724" s="227"/>
      <c r="GVT1724" s="227"/>
      <c r="GVU1724" s="227"/>
      <c r="GVV1724" s="227"/>
      <c r="GVW1724" s="227"/>
      <c r="GVX1724" s="227"/>
      <c r="GVY1724" s="227"/>
      <c r="GVZ1724" s="227"/>
      <c r="GWA1724" s="227"/>
      <c r="GWB1724" s="227"/>
      <c r="GWC1724" s="227"/>
      <c r="GWD1724" s="227"/>
      <c r="GWE1724" s="227"/>
      <c r="GWF1724" s="227"/>
      <c r="GWG1724" s="227"/>
      <c r="GWH1724" s="227"/>
      <c r="GWI1724" s="227"/>
      <c r="GWJ1724" s="227"/>
      <c r="GWK1724" s="227"/>
      <c r="GWL1724" s="227"/>
      <c r="GWM1724" s="227"/>
      <c r="GWN1724" s="227"/>
      <c r="GWO1724" s="227"/>
      <c r="GWP1724" s="227"/>
      <c r="GWQ1724" s="227"/>
      <c r="GWR1724" s="227"/>
      <c r="GWS1724" s="227"/>
      <c r="GWT1724" s="227"/>
      <c r="GWU1724" s="227"/>
      <c r="GWV1724" s="227"/>
      <c r="GWW1724" s="227"/>
      <c r="GWX1724" s="227"/>
      <c r="GWY1724" s="227"/>
      <c r="GWZ1724" s="227"/>
      <c r="GXA1724" s="227"/>
      <c r="GXB1724" s="227"/>
      <c r="GXC1724" s="227"/>
      <c r="GXD1724" s="227"/>
      <c r="GXE1724" s="227"/>
      <c r="GXF1724" s="227"/>
      <c r="GXG1724" s="227"/>
      <c r="GXH1724" s="227"/>
      <c r="GXI1724" s="227"/>
      <c r="GXJ1724" s="227"/>
      <c r="GXK1724" s="227"/>
      <c r="GXL1724" s="227"/>
      <c r="GXM1724" s="227"/>
      <c r="GXN1724" s="227"/>
      <c r="GXO1724" s="227"/>
      <c r="GXP1724" s="227"/>
      <c r="GXQ1724" s="227"/>
      <c r="GXR1724" s="227"/>
      <c r="GXS1724" s="227"/>
      <c r="GXT1724" s="227"/>
      <c r="GXU1724" s="227"/>
      <c r="GXV1724" s="227"/>
      <c r="GXW1724" s="227"/>
      <c r="GXX1724" s="227"/>
      <c r="GXY1724" s="227"/>
      <c r="GXZ1724" s="227"/>
      <c r="GYA1724" s="227"/>
      <c r="GYB1724" s="227"/>
      <c r="GYC1724" s="227"/>
      <c r="GYD1724" s="227"/>
      <c r="GYE1724" s="227"/>
      <c r="GYF1724" s="227"/>
      <c r="GYG1724" s="227"/>
      <c r="GYH1724" s="227"/>
      <c r="GYI1724" s="227"/>
      <c r="GYJ1724" s="227"/>
      <c r="GYK1724" s="227"/>
      <c r="GYL1724" s="227"/>
      <c r="GYM1724" s="227"/>
      <c r="GYN1724" s="227"/>
      <c r="GYO1724" s="227"/>
      <c r="GYP1724" s="227"/>
      <c r="GYQ1724" s="227"/>
      <c r="GYR1724" s="227"/>
      <c r="GYS1724" s="227"/>
      <c r="GYT1724" s="227"/>
      <c r="GYU1724" s="227"/>
      <c r="GYV1724" s="227"/>
      <c r="GYW1724" s="227"/>
      <c r="GYX1724" s="227"/>
      <c r="GYY1724" s="227"/>
      <c r="GYZ1724" s="227"/>
      <c r="GZA1724" s="227"/>
      <c r="GZB1724" s="227"/>
      <c r="GZC1724" s="227"/>
      <c r="GZD1724" s="227"/>
      <c r="GZE1724" s="227"/>
      <c r="GZF1724" s="227"/>
      <c r="GZG1724" s="227"/>
      <c r="GZH1724" s="227"/>
      <c r="GZI1724" s="227"/>
      <c r="GZJ1724" s="227"/>
      <c r="GZK1724" s="227"/>
      <c r="GZL1724" s="227"/>
      <c r="GZM1724" s="227"/>
      <c r="GZN1724" s="227"/>
      <c r="GZO1724" s="227"/>
      <c r="GZP1724" s="227"/>
      <c r="GZQ1724" s="227"/>
      <c r="GZR1724" s="227"/>
      <c r="GZS1724" s="227"/>
      <c r="GZT1724" s="227"/>
      <c r="GZU1724" s="227"/>
      <c r="GZV1724" s="227"/>
      <c r="GZW1724" s="227"/>
      <c r="GZX1724" s="227"/>
      <c r="GZY1724" s="227"/>
      <c r="GZZ1724" s="227"/>
      <c r="HAA1724" s="227"/>
      <c r="HAB1724" s="227"/>
      <c r="HAC1724" s="227"/>
      <c r="HAD1724" s="227"/>
      <c r="HAE1724" s="227"/>
      <c r="HAF1724" s="227"/>
      <c r="HAG1724" s="227"/>
      <c r="HAH1724" s="227"/>
      <c r="HAI1724" s="227"/>
      <c r="HAJ1724" s="227"/>
      <c r="HAK1724" s="227"/>
      <c r="HAL1724" s="227"/>
      <c r="HAM1724" s="227"/>
      <c r="HAN1724" s="227"/>
      <c r="HAO1724" s="227"/>
      <c r="HAP1724" s="227"/>
      <c r="HAQ1724" s="227"/>
      <c r="HAR1724" s="227"/>
      <c r="HAS1724" s="227"/>
      <c r="HAT1724" s="227"/>
      <c r="HAU1724" s="227"/>
      <c r="HAV1724" s="227"/>
      <c r="HAW1724" s="227"/>
      <c r="HAX1724" s="227"/>
      <c r="HAY1724" s="227"/>
      <c r="HAZ1724" s="227"/>
      <c r="HBA1724" s="227"/>
      <c r="HBB1724" s="227"/>
      <c r="HBC1724" s="227"/>
      <c r="HBD1724" s="227"/>
      <c r="HBE1724" s="227"/>
      <c r="HBF1724" s="227"/>
      <c r="HBG1724" s="227"/>
      <c r="HBH1724" s="227"/>
      <c r="HBI1724" s="227"/>
      <c r="HBJ1724" s="227"/>
      <c r="HBK1724" s="227"/>
      <c r="HBL1724" s="227"/>
      <c r="HBM1724" s="227"/>
      <c r="HBN1724" s="227"/>
      <c r="HBO1724" s="227"/>
      <c r="HBP1724" s="227"/>
      <c r="HBQ1724" s="227"/>
      <c r="HBR1724" s="227"/>
      <c r="HBS1724" s="227"/>
      <c r="HBT1724" s="227"/>
      <c r="HBU1724" s="227"/>
      <c r="HBV1724" s="227"/>
      <c r="HBW1724" s="227"/>
      <c r="HBX1724" s="227"/>
      <c r="HBY1724" s="227"/>
      <c r="HBZ1724" s="227"/>
      <c r="HCA1724" s="227"/>
      <c r="HCB1724" s="227"/>
      <c r="HCC1724" s="227"/>
      <c r="HCD1724" s="227"/>
      <c r="HCE1724" s="227"/>
      <c r="HCF1724" s="227"/>
      <c r="HCG1724" s="227"/>
      <c r="HCH1724" s="227"/>
      <c r="HCI1724" s="227"/>
      <c r="HCJ1724" s="227"/>
      <c r="HCK1724" s="227"/>
      <c r="HCL1724" s="227"/>
      <c r="HCM1724" s="227"/>
      <c r="HCN1724" s="227"/>
      <c r="HCO1724" s="227"/>
      <c r="HCP1724" s="227"/>
      <c r="HCQ1724" s="227"/>
      <c r="HCR1724" s="227"/>
      <c r="HCS1724" s="227"/>
      <c r="HCT1724" s="227"/>
      <c r="HCU1724" s="227"/>
      <c r="HCV1724" s="227"/>
      <c r="HCW1724" s="227"/>
      <c r="HCX1724" s="227"/>
      <c r="HCY1724" s="227"/>
      <c r="HCZ1724" s="227"/>
      <c r="HDA1724" s="227"/>
      <c r="HDB1724" s="227"/>
      <c r="HDC1724" s="227"/>
      <c r="HDD1724" s="227"/>
      <c r="HDE1724" s="227"/>
      <c r="HDF1724" s="227"/>
      <c r="HDG1724" s="227"/>
      <c r="HDH1724" s="227"/>
      <c r="HDI1724" s="227"/>
      <c r="HDJ1724" s="227"/>
      <c r="HDK1724" s="227"/>
      <c r="HDL1724" s="227"/>
      <c r="HDM1724" s="227"/>
      <c r="HDN1724" s="227"/>
      <c r="HDO1724" s="227"/>
      <c r="HDP1724" s="227"/>
      <c r="HDQ1724" s="227"/>
      <c r="HDR1724" s="227"/>
      <c r="HDS1724" s="227"/>
      <c r="HDT1724" s="227"/>
      <c r="HDU1724" s="227"/>
      <c r="HDV1724" s="227"/>
      <c r="HDW1724" s="227"/>
      <c r="HDX1724" s="227"/>
      <c r="HDY1724" s="227"/>
      <c r="HDZ1724" s="227"/>
      <c r="HEA1724" s="227"/>
      <c r="HEB1724" s="227"/>
      <c r="HEC1724" s="227"/>
      <c r="HED1724" s="227"/>
      <c r="HEE1724" s="227"/>
      <c r="HEF1724" s="227"/>
      <c r="HEG1724" s="227"/>
      <c r="HEH1724" s="227"/>
      <c r="HEI1724" s="227"/>
      <c r="HEJ1724" s="227"/>
      <c r="HEK1724" s="227"/>
      <c r="HEL1724" s="227"/>
      <c r="HEM1724" s="227"/>
      <c r="HEN1724" s="227"/>
      <c r="HEO1724" s="227"/>
      <c r="HEP1724" s="227"/>
      <c r="HEQ1724" s="227"/>
      <c r="HER1724" s="227"/>
      <c r="HES1724" s="227"/>
      <c r="HET1724" s="227"/>
      <c r="HEU1724" s="227"/>
      <c r="HEV1724" s="227"/>
      <c r="HEW1724" s="227"/>
      <c r="HEX1724" s="227"/>
      <c r="HEY1724" s="227"/>
      <c r="HEZ1724" s="227"/>
      <c r="HFA1724" s="227"/>
      <c r="HFB1724" s="227"/>
      <c r="HFC1724" s="227"/>
      <c r="HFD1724" s="227"/>
      <c r="HFE1724" s="227"/>
      <c r="HFF1724" s="227"/>
      <c r="HFG1724" s="227"/>
      <c r="HFH1724" s="227"/>
      <c r="HFI1724" s="227"/>
      <c r="HFJ1724" s="227"/>
      <c r="HFK1724" s="227"/>
      <c r="HFL1724" s="227"/>
      <c r="HFM1724" s="227"/>
      <c r="HFN1724" s="227"/>
      <c r="HFO1724" s="227"/>
      <c r="HFP1724" s="227"/>
      <c r="HFQ1724" s="227"/>
      <c r="HFR1724" s="227"/>
      <c r="HFS1724" s="227"/>
      <c r="HFT1724" s="227"/>
      <c r="HFU1724" s="227"/>
      <c r="HFV1724" s="227"/>
      <c r="HFW1724" s="227"/>
      <c r="HFX1724" s="227"/>
      <c r="HFY1724" s="227"/>
      <c r="HFZ1724" s="227"/>
      <c r="HGA1724" s="227"/>
      <c r="HGB1724" s="227"/>
      <c r="HGC1724" s="227"/>
      <c r="HGD1724" s="227"/>
      <c r="HGE1724" s="227"/>
      <c r="HGF1724" s="227"/>
      <c r="HGG1724" s="227"/>
      <c r="HGH1724" s="227"/>
      <c r="HGI1724" s="227"/>
      <c r="HGJ1724" s="227"/>
      <c r="HGK1724" s="227"/>
      <c r="HGL1724" s="227"/>
      <c r="HGM1724" s="227"/>
      <c r="HGN1724" s="227"/>
      <c r="HGO1724" s="227"/>
      <c r="HGP1724" s="227"/>
      <c r="HGQ1724" s="227"/>
      <c r="HGR1724" s="227"/>
      <c r="HGS1724" s="227"/>
      <c r="HGT1724" s="227"/>
      <c r="HGU1724" s="227"/>
      <c r="HGV1724" s="227"/>
      <c r="HGW1724" s="227"/>
      <c r="HGX1724" s="227"/>
      <c r="HGY1724" s="227"/>
      <c r="HGZ1724" s="227"/>
      <c r="HHA1724" s="227"/>
      <c r="HHB1724" s="227"/>
      <c r="HHC1724" s="227"/>
      <c r="HHD1724" s="227"/>
      <c r="HHE1724" s="227"/>
      <c r="HHF1724" s="227"/>
      <c r="HHG1724" s="227"/>
      <c r="HHH1724" s="227"/>
      <c r="HHI1724" s="227"/>
      <c r="HHJ1724" s="227"/>
      <c r="HHK1724" s="227"/>
      <c r="HHL1724" s="227"/>
      <c r="HHM1724" s="227"/>
      <c r="HHN1724" s="227"/>
      <c r="HHO1724" s="227"/>
      <c r="HHP1724" s="227"/>
      <c r="HHQ1724" s="227"/>
      <c r="HHR1724" s="227"/>
      <c r="HHS1724" s="227"/>
      <c r="HHT1724" s="227"/>
      <c r="HHU1724" s="227"/>
      <c r="HHV1724" s="227"/>
      <c r="HHW1724" s="227"/>
      <c r="HHX1724" s="227"/>
      <c r="HHY1724" s="227"/>
      <c r="HHZ1724" s="227"/>
      <c r="HIA1724" s="227"/>
      <c r="HIB1724" s="227"/>
      <c r="HIC1724" s="227"/>
      <c r="HID1724" s="227"/>
      <c r="HIE1724" s="227"/>
      <c r="HIF1724" s="227"/>
      <c r="HIG1724" s="227"/>
      <c r="HIH1724" s="227"/>
      <c r="HII1724" s="227"/>
      <c r="HIJ1724" s="227"/>
      <c r="HIK1724" s="227"/>
      <c r="HIL1724" s="227"/>
      <c r="HIM1724" s="227"/>
      <c r="HIN1724" s="227"/>
      <c r="HIO1724" s="227"/>
      <c r="HIP1724" s="227"/>
      <c r="HIQ1724" s="227"/>
      <c r="HIR1724" s="227"/>
      <c r="HIS1724" s="227"/>
      <c r="HIT1724" s="227"/>
      <c r="HIU1724" s="227"/>
      <c r="HIV1724" s="227"/>
      <c r="HIW1724" s="227"/>
      <c r="HIX1724" s="227"/>
      <c r="HIY1724" s="227"/>
      <c r="HIZ1724" s="227"/>
      <c r="HJA1724" s="227"/>
      <c r="HJB1724" s="227"/>
      <c r="HJC1724" s="227"/>
      <c r="HJD1724" s="227"/>
      <c r="HJE1724" s="227"/>
      <c r="HJF1724" s="227"/>
      <c r="HJG1724" s="227"/>
      <c r="HJH1724" s="227"/>
      <c r="HJI1724" s="227"/>
      <c r="HJJ1724" s="227"/>
      <c r="HJK1724" s="227"/>
      <c r="HJL1724" s="227"/>
      <c r="HJM1724" s="227"/>
      <c r="HJN1724" s="227"/>
      <c r="HJO1724" s="227"/>
      <c r="HJP1724" s="227"/>
      <c r="HJQ1724" s="227"/>
      <c r="HJR1724" s="227"/>
      <c r="HJS1724" s="227"/>
      <c r="HJT1724" s="227"/>
      <c r="HJU1724" s="227"/>
      <c r="HJV1724" s="227"/>
      <c r="HJW1724" s="227"/>
      <c r="HJX1724" s="227"/>
      <c r="HJY1724" s="227"/>
      <c r="HJZ1724" s="227"/>
      <c r="HKA1724" s="227"/>
      <c r="HKB1724" s="227"/>
      <c r="HKC1724" s="227"/>
      <c r="HKD1724" s="227"/>
      <c r="HKE1724" s="227"/>
      <c r="HKF1724" s="227"/>
      <c r="HKG1724" s="227"/>
      <c r="HKH1724" s="227"/>
      <c r="HKI1724" s="227"/>
      <c r="HKJ1724" s="227"/>
      <c r="HKK1724" s="227"/>
      <c r="HKL1724" s="227"/>
      <c r="HKM1724" s="227"/>
      <c r="HKN1724" s="227"/>
      <c r="HKO1724" s="227"/>
      <c r="HKP1724" s="227"/>
      <c r="HKQ1724" s="227"/>
      <c r="HKR1724" s="227"/>
      <c r="HKS1724" s="227"/>
      <c r="HKT1724" s="227"/>
      <c r="HKU1724" s="227"/>
      <c r="HKV1724" s="227"/>
      <c r="HKW1724" s="227"/>
      <c r="HKX1724" s="227"/>
      <c r="HKY1724" s="227"/>
      <c r="HKZ1724" s="227"/>
      <c r="HLA1724" s="227"/>
      <c r="HLB1724" s="227"/>
      <c r="HLC1724" s="227"/>
      <c r="HLD1724" s="227"/>
      <c r="HLE1724" s="227"/>
      <c r="HLF1724" s="227"/>
      <c r="HLG1724" s="227"/>
      <c r="HLH1724" s="227"/>
      <c r="HLI1724" s="227"/>
      <c r="HLJ1724" s="227"/>
      <c r="HLK1724" s="227"/>
      <c r="HLL1724" s="227"/>
      <c r="HLM1724" s="227"/>
      <c r="HLN1724" s="227"/>
      <c r="HLO1724" s="227"/>
      <c r="HLP1724" s="227"/>
      <c r="HLQ1724" s="227"/>
      <c r="HLR1724" s="227"/>
      <c r="HLS1724" s="227"/>
      <c r="HLT1724" s="227"/>
      <c r="HLU1724" s="227"/>
      <c r="HLV1724" s="227"/>
      <c r="HLW1724" s="227"/>
      <c r="HLX1724" s="227"/>
      <c r="HLY1724" s="227"/>
      <c r="HLZ1724" s="227"/>
      <c r="HMA1724" s="227"/>
      <c r="HMB1724" s="227"/>
      <c r="HMC1724" s="227"/>
      <c r="HMD1724" s="227"/>
      <c r="HME1724" s="227"/>
      <c r="HMF1724" s="227"/>
      <c r="HMG1724" s="227"/>
      <c r="HMH1724" s="227"/>
      <c r="HMI1724" s="227"/>
      <c r="HMJ1724" s="227"/>
      <c r="HMK1724" s="227"/>
      <c r="HML1724" s="227"/>
      <c r="HMM1724" s="227"/>
      <c r="HMN1724" s="227"/>
      <c r="HMO1724" s="227"/>
      <c r="HMP1724" s="227"/>
      <c r="HMQ1724" s="227"/>
      <c r="HMR1724" s="227"/>
      <c r="HMS1724" s="227"/>
      <c r="HMT1724" s="227"/>
      <c r="HMU1724" s="227"/>
      <c r="HMV1724" s="227"/>
      <c r="HMW1724" s="227"/>
      <c r="HMX1724" s="227"/>
      <c r="HMY1724" s="227"/>
      <c r="HMZ1724" s="227"/>
      <c r="HNA1724" s="227"/>
      <c r="HNB1724" s="227"/>
      <c r="HNC1724" s="227"/>
      <c r="HND1724" s="227"/>
      <c r="HNE1724" s="227"/>
      <c r="HNF1724" s="227"/>
      <c r="HNG1724" s="227"/>
      <c r="HNH1724" s="227"/>
      <c r="HNI1724" s="227"/>
      <c r="HNJ1724" s="227"/>
      <c r="HNK1724" s="227"/>
      <c r="HNL1724" s="227"/>
      <c r="HNM1724" s="227"/>
      <c r="HNN1724" s="227"/>
      <c r="HNO1724" s="227"/>
      <c r="HNP1724" s="227"/>
      <c r="HNQ1724" s="227"/>
      <c r="HNR1724" s="227"/>
      <c r="HNS1724" s="227"/>
      <c r="HNT1724" s="227"/>
      <c r="HNU1724" s="227"/>
      <c r="HNV1724" s="227"/>
      <c r="HNW1724" s="227"/>
      <c r="HNX1724" s="227"/>
      <c r="HNY1724" s="227"/>
      <c r="HNZ1724" s="227"/>
      <c r="HOA1724" s="227"/>
      <c r="HOB1724" s="227"/>
      <c r="HOC1724" s="227"/>
      <c r="HOD1724" s="227"/>
      <c r="HOE1724" s="227"/>
      <c r="HOF1724" s="227"/>
      <c r="HOG1724" s="227"/>
      <c r="HOH1724" s="227"/>
      <c r="HOI1724" s="227"/>
      <c r="HOJ1724" s="227"/>
      <c r="HOK1724" s="227"/>
      <c r="HOL1724" s="227"/>
      <c r="HOM1724" s="227"/>
      <c r="HON1724" s="227"/>
      <c r="HOO1724" s="227"/>
      <c r="HOP1724" s="227"/>
      <c r="HOQ1724" s="227"/>
      <c r="HOR1724" s="227"/>
      <c r="HOS1724" s="227"/>
      <c r="HOT1724" s="227"/>
      <c r="HOU1724" s="227"/>
      <c r="HOV1724" s="227"/>
      <c r="HOW1724" s="227"/>
      <c r="HOX1724" s="227"/>
      <c r="HOY1724" s="227"/>
      <c r="HOZ1724" s="227"/>
      <c r="HPA1724" s="227"/>
      <c r="HPB1724" s="227"/>
      <c r="HPC1724" s="227"/>
      <c r="HPD1724" s="227"/>
      <c r="HPE1724" s="227"/>
      <c r="HPF1724" s="227"/>
      <c r="HPG1724" s="227"/>
      <c r="HPH1724" s="227"/>
      <c r="HPI1724" s="227"/>
      <c r="HPJ1724" s="227"/>
      <c r="HPK1724" s="227"/>
      <c r="HPL1724" s="227"/>
      <c r="HPM1724" s="227"/>
      <c r="HPN1724" s="227"/>
      <c r="HPO1724" s="227"/>
      <c r="HPP1724" s="227"/>
      <c r="HPQ1724" s="227"/>
      <c r="HPR1724" s="227"/>
      <c r="HPS1724" s="227"/>
      <c r="HPT1724" s="227"/>
      <c r="HPU1724" s="227"/>
      <c r="HPV1724" s="227"/>
      <c r="HPW1724" s="227"/>
      <c r="HPX1724" s="227"/>
      <c r="HPY1724" s="227"/>
      <c r="HPZ1724" s="227"/>
      <c r="HQA1724" s="227"/>
      <c r="HQB1724" s="227"/>
      <c r="HQC1724" s="227"/>
      <c r="HQD1724" s="227"/>
      <c r="HQE1724" s="227"/>
      <c r="HQF1724" s="227"/>
      <c r="HQG1724" s="227"/>
      <c r="HQH1724" s="227"/>
      <c r="HQI1724" s="227"/>
      <c r="HQJ1724" s="227"/>
      <c r="HQK1724" s="227"/>
      <c r="HQL1724" s="227"/>
      <c r="HQM1724" s="227"/>
      <c r="HQN1724" s="227"/>
      <c r="HQO1724" s="227"/>
      <c r="HQP1724" s="227"/>
      <c r="HQQ1724" s="227"/>
      <c r="HQR1724" s="227"/>
      <c r="HQS1724" s="227"/>
      <c r="HQT1724" s="227"/>
      <c r="HQU1724" s="227"/>
      <c r="HQV1724" s="227"/>
      <c r="HQW1724" s="227"/>
      <c r="HQX1724" s="227"/>
      <c r="HQY1724" s="227"/>
      <c r="HQZ1724" s="227"/>
      <c r="HRA1724" s="227"/>
      <c r="HRB1724" s="227"/>
      <c r="HRC1724" s="227"/>
      <c r="HRD1724" s="227"/>
      <c r="HRE1724" s="227"/>
      <c r="HRF1724" s="227"/>
      <c r="HRG1724" s="227"/>
      <c r="HRH1724" s="227"/>
      <c r="HRI1724" s="227"/>
      <c r="HRJ1724" s="227"/>
      <c r="HRK1724" s="227"/>
      <c r="HRL1724" s="227"/>
      <c r="HRM1724" s="227"/>
      <c r="HRN1724" s="227"/>
      <c r="HRO1724" s="227"/>
      <c r="HRP1724" s="227"/>
      <c r="HRQ1724" s="227"/>
      <c r="HRR1724" s="227"/>
      <c r="HRS1724" s="227"/>
      <c r="HRT1724" s="227"/>
      <c r="HRU1724" s="227"/>
      <c r="HRV1724" s="227"/>
      <c r="HRW1724" s="227"/>
      <c r="HRX1724" s="227"/>
      <c r="HRY1724" s="227"/>
      <c r="HRZ1724" s="227"/>
      <c r="HSA1724" s="227"/>
      <c r="HSB1724" s="227"/>
      <c r="HSC1724" s="227"/>
      <c r="HSD1724" s="227"/>
      <c r="HSE1724" s="227"/>
      <c r="HSF1724" s="227"/>
      <c r="HSG1724" s="227"/>
      <c r="HSH1724" s="227"/>
      <c r="HSI1724" s="227"/>
      <c r="HSJ1724" s="227"/>
      <c r="HSK1724" s="227"/>
      <c r="HSL1724" s="227"/>
      <c r="HSM1724" s="227"/>
      <c r="HSN1724" s="227"/>
      <c r="HSO1724" s="227"/>
      <c r="HSP1724" s="227"/>
      <c r="HSQ1724" s="227"/>
      <c r="HSR1724" s="227"/>
      <c r="HSS1724" s="227"/>
      <c r="HST1724" s="227"/>
      <c r="HSU1724" s="227"/>
      <c r="HSV1724" s="227"/>
      <c r="HSW1724" s="227"/>
      <c r="HSX1724" s="227"/>
      <c r="HSY1724" s="227"/>
      <c r="HSZ1724" s="227"/>
      <c r="HTA1724" s="227"/>
      <c r="HTB1724" s="227"/>
      <c r="HTC1724" s="227"/>
      <c r="HTD1724" s="227"/>
      <c r="HTE1724" s="227"/>
      <c r="HTF1724" s="227"/>
      <c r="HTG1724" s="227"/>
      <c r="HTH1724" s="227"/>
      <c r="HTI1724" s="227"/>
      <c r="HTJ1724" s="227"/>
      <c r="HTK1724" s="227"/>
      <c r="HTL1724" s="227"/>
      <c r="HTM1724" s="227"/>
      <c r="HTN1724" s="227"/>
      <c r="HTO1724" s="227"/>
      <c r="HTP1724" s="227"/>
      <c r="HTQ1724" s="227"/>
      <c r="HTR1724" s="227"/>
      <c r="HTS1724" s="227"/>
      <c r="HTT1724" s="227"/>
      <c r="HTU1724" s="227"/>
      <c r="HTV1724" s="227"/>
      <c r="HTW1724" s="227"/>
      <c r="HTX1724" s="227"/>
      <c r="HTY1724" s="227"/>
      <c r="HTZ1724" s="227"/>
      <c r="HUA1724" s="227"/>
      <c r="HUB1724" s="227"/>
      <c r="HUC1724" s="227"/>
      <c r="HUD1724" s="227"/>
      <c r="HUE1724" s="227"/>
      <c r="HUF1724" s="227"/>
      <c r="HUG1724" s="227"/>
      <c r="HUH1724" s="227"/>
      <c r="HUI1724" s="227"/>
      <c r="HUJ1724" s="227"/>
      <c r="HUK1724" s="227"/>
      <c r="HUL1724" s="227"/>
      <c r="HUM1724" s="227"/>
      <c r="HUN1724" s="227"/>
      <c r="HUO1724" s="227"/>
      <c r="HUP1724" s="227"/>
      <c r="HUQ1724" s="227"/>
      <c r="HUR1724" s="227"/>
      <c r="HUS1724" s="227"/>
      <c r="HUT1724" s="227"/>
      <c r="HUU1724" s="227"/>
      <c r="HUV1724" s="227"/>
      <c r="HUW1724" s="227"/>
      <c r="HUX1724" s="227"/>
      <c r="HUY1724" s="227"/>
      <c r="HUZ1724" s="227"/>
      <c r="HVA1724" s="227"/>
      <c r="HVB1724" s="227"/>
      <c r="HVC1724" s="227"/>
      <c r="HVD1724" s="227"/>
      <c r="HVE1724" s="227"/>
      <c r="HVF1724" s="227"/>
      <c r="HVG1724" s="227"/>
      <c r="HVH1724" s="227"/>
      <c r="HVI1724" s="227"/>
      <c r="HVJ1724" s="227"/>
      <c r="HVK1724" s="227"/>
      <c r="HVL1724" s="227"/>
      <c r="HVM1724" s="227"/>
      <c r="HVN1724" s="227"/>
      <c r="HVO1724" s="227"/>
      <c r="HVP1724" s="227"/>
      <c r="HVQ1724" s="227"/>
      <c r="HVR1724" s="227"/>
      <c r="HVS1724" s="227"/>
      <c r="HVT1724" s="227"/>
      <c r="HVU1724" s="227"/>
      <c r="HVV1724" s="227"/>
      <c r="HVW1724" s="227"/>
      <c r="HVX1724" s="227"/>
      <c r="HVY1724" s="227"/>
      <c r="HVZ1724" s="227"/>
      <c r="HWA1724" s="227"/>
      <c r="HWB1724" s="227"/>
      <c r="HWC1724" s="227"/>
      <c r="HWD1724" s="227"/>
      <c r="HWE1724" s="227"/>
      <c r="HWF1724" s="227"/>
      <c r="HWG1724" s="227"/>
      <c r="HWH1724" s="227"/>
      <c r="HWI1724" s="227"/>
      <c r="HWJ1724" s="227"/>
      <c r="HWK1724" s="227"/>
      <c r="HWL1724" s="227"/>
      <c r="HWM1724" s="227"/>
      <c r="HWN1724" s="227"/>
      <c r="HWO1724" s="227"/>
      <c r="HWP1724" s="227"/>
      <c r="HWQ1724" s="227"/>
      <c r="HWR1724" s="227"/>
      <c r="HWS1724" s="227"/>
      <c r="HWT1724" s="227"/>
      <c r="HWU1724" s="227"/>
      <c r="HWV1724" s="227"/>
      <c r="HWW1724" s="227"/>
      <c r="HWX1724" s="227"/>
      <c r="HWY1724" s="227"/>
      <c r="HWZ1724" s="227"/>
      <c r="HXA1724" s="227"/>
      <c r="HXB1724" s="227"/>
      <c r="HXC1724" s="227"/>
      <c r="HXD1724" s="227"/>
      <c r="HXE1724" s="227"/>
      <c r="HXF1724" s="227"/>
      <c r="HXG1724" s="227"/>
      <c r="HXH1724" s="227"/>
      <c r="HXI1724" s="227"/>
      <c r="HXJ1724" s="227"/>
      <c r="HXK1724" s="227"/>
      <c r="HXL1724" s="227"/>
      <c r="HXM1724" s="227"/>
      <c r="HXN1724" s="227"/>
      <c r="HXO1724" s="227"/>
      <c r="HXP1724" s="227"/>
      <c r="HXQ1724" s="227"/>
      <c r="HXR1724" s="227"/>
      <c r="HXS1724" s="227"/>
      <c r="HXT1724" s="227"/>
      <c r="HXU1724" s="227"/>
      <c r="HXV1724" s="227"/>
      <c r="HXW1724" s="227"/>
      <c r="HXX1724" s="227"/>
      <c r="HXY1724" s="227"/>
      <c r="HXZ1724" s="227"/>
      <c r="HYA1724" s="227"/>
      <c r="HYB1724" s="227"/>
      <c r="HYC1724" s="227"/>
      <c r="HYD1724" s="227"/>
      <c r="HYE1724" s="227"/>
      <c r="HYF1724" s="227"/>
      <c r="HYG1724" s="227"/>
      <c r="HYH1724" s="227"/>
      <c r="HYI1724" s="227"/>
      <c r="HYJ1724" s="227"/>
      <c r="HYK1724" s="227"/>
      <c r="HYL1724" s="227"/>
      <c r="HYM1724" s="227"/>
      <c r="HYN1724" s="227"/>
      <c r="HYO1724" s="227"/>
      <c r="HYP1724" s="227"/>
      <c r="HYQ1724" s="227"/>
      <c r="HYR1724" s="227"/>
      <c r="HYS1724" s="227"/>
      <c r="HYT1724" s="227"/>
      <c r="HYU1724" s="227"/>
      <c r="HYV1724" s="227"/>
      <c r="HYW1724" s="227"/>
      <c r="HYX1724" s="227"/>
      <c r="HYY1724" s="227"/>
      <c r="HYZ1724" s="227"/>
      <c r="HZA1724" s="227"/>
      <c r="HZB1724" s="227"/>
      <c r="HZC1724" s="227"/>
      <c r="HZD1724" s="227"/>
      <c r="HZE1724" s="227"/>
      <c r="HZF1724" s="227"/>
      <c r="HZG1724" s="227"/>
      <c r="HZH1724" s="227"/>
      <c r="HZI1724" s="227"/>
      <c r="HZJ1724" s="227"/>
      <c r="HZK1724" s="227"/>
      <c r="HZL1724" s="227"/>
      <c r="HZM1724" s="227"/>
      <c r="HZN1724" s="227"/>
      <c r="HZO1724" s="227"/>
      <c r="HZP1724" s="227"/>
      <c r="HZQ1724" s="227"/>
      <c r="HZR1724" s="227"/>
      <c r="HZS1724" s="227"/>
      <c r="HZT1724" s="227"/>
      <c r="HZU1724" s="227"/>
      <c r="HZV1724" s="227"/>
      <c r="HZW1724" s="227"/>
      <c r="HZX1724" s="227"/>
      <c r="HZY1724" s="227"/>
      <c r="HZZ1724" s="227"/>
      <c r="IAA1724" s="227"/>
      <c r="IAB1724" s="227"/>
      <c r="IAC1724" s="227"/>
      <c r="IAD1724" s="227"/>
      <c r="IAE1724" s="227"/>
      <c r="IAF1724" s="227"/>
      <c r="IAG1724" s="227"/>
      <c r="IAH1724" s="227"/>
      <c r="IAI1724" s="227"/>
      <c r="IAJ1724" s="227"/>
      <c r="IAK1724" s="227"/>
      <c r="IAL1724" s="227"/>
      <c r="IAM1724" s="227"/>
      <c r="IAN1724" s="227"/>
      <c r="IAO1724" s="227"/>
      <c r="IAP1724" s="227"/>
      <c r="IAQ1724" s="227"/>
      <c r="IAR1724" s="227"/>
      <c r="IAS1724" s="227"/>
      <c r="IAT1724" s="227"/>
      <c r="IAU1724" s="227"/>
      <c r="IAV1724" s="227"/>
      <c r="IAW1724" s="227"/>
      <c r="IAX1724" s="227"/>
      <c r="IAY1724" s="227"/>
      <c r="IAZ1724" s="227"/>
      <c r="IBA1724" s="227"/>
      <c r="IBB1724" s="227"/>
      <c r="IBC1724" s="227"/>
      <c r="IBD1724" s="227"/>
      <c r="IBE1724" s="227"/>
      <c r="IBF1724" s="227"/>
      <c r="IBG1724" s="227"/>
      <c r="IBH1724" s="227"/>
      <c r="IBI1724" s="227"/>
      <c r="IBJ1724" s="227"/>
      <c r="IBK1724" s="227"/>
      <c r="IBL1724" s="227"/>
      <c r="IBM1724" s="227"/>
      <c r="IBN1724" s="227"/>
      <c r="IBO1724" s="227"/>
      <c r="IBP1724" s="227"/>
      <c r="IBQ1724" s="227"/>
      <c r="IBR1724" s="227"/>
      <c r="IBS1724" s="227"/>
      <c r="IBT1724" s="227"/>
      <c r="IBU1724" s="227"/>
      <c r="IBV1724" s="227"/>
      <c r="IBW1724" s="227"/>
      <c r="IBX1724" s="227"/>
      <c r="IBY1724" s="227"/>
      <c r="IBZ1724" s="227"/>
      <c r="ICA1724" s="227"/>
      <c r="ICB1724" s="227"/>
      <c r="ICC1724" s="227"/>
      <c r="ICD1724" s="227"/>
      <c r="ICE1724" s="227"/>
      <c r="ICF1724" s="227"/>
      <c r="ICG1724" s="227"/>
      <c r="ICH1724" s="227"/>
      <c r="ICI1724" s="227"/>
      <c r="ICJ1724" s="227"/>
      <c r="ICK1724" s="227"/>
      <c r="ICL1724" s="227"/>
      <c r="ICM1724" s="227"/>
      <c r="ICN1724" s="227"/>
      <c r="ICO1724" s="227"/>
      <c r="ICP1724" s="227"/>
      <c r="ICQ1724" s="227"/>
      <c r="ICR1724" s="227"/>
      <c r="ICS1724" s="227"/>
      <c r="ICT1724" s="227"/>
      <c r="ICU1724" s="227"/>
      <c r="ICV1724" s="227"/>
      <c r="ICW1724" s="227"/>
      <c r="ICX1724" s="227"/>
      <c r="ICY1724" s="227"/>
      <c r="ICZ1724" s="227"/>
      <c r="IDA1724" s="227"/>
      <c r="IDB1724" s="227"/>
      <c r="IDC1724" s="227"/>
      <c r="IDD1724" s="227"/>
      <c r="IDE1724" s="227"/>
      <c r="IDF1724" s="227"/>
      <c r="IDG1724" s="227"/>
      <c r="IDH1724" s="227"/>
      <c r="IDI1724" s="227"/>
      <c r="IDJ1724" s="227"/>
      <c r="IDK1724" s="227"/>
      <c r="IDL1724" s="227"/>
      <c r="IDM1724" s="227"/>
      <c r="IDN1724" s="227"/>
      <c r="IDO1724" s="227"/>
      <c r="IDP1724" s="227"/>
      <c r="IDQ1724" s="227"/>
      <c r="IDR1724" s="227"/>
      <c r="IDS1724" s="227"/>
      <c r="IDT1724" s="227"/>
      <c r="IDU1724" s="227"/>
      <c r="IDV1724" s="227"/>
      <c r="IDW1724" s="227"/>
      <c r="IDX1724" s="227"/>
      <c r="IDY1724" s="227"/>
      <c r="IDZ1724" s="227"/>
      <c r="IEA1724" s="227"/>
      <c r="IEB1724" s="227"/>
      <c r="IEC1724" s="227"/>
      <c r="IED1724" s="227"/>
      <c r="IEE1724" s="227"/>
      <c r="IEF1724" s="227"/>
      <c r="IEG1724" s="227"/>
      <c r="IEH1724" s="227"/>
      <c r="IEI1724" s="227"/>
      <c r="IEJ1724" s="227"/>
      <c r="IEK1724" s="227"/>
      <c r="IEL1724" s="227"/>
      <c r="IEM1724" s="227"/>
      <c r="IEN1724" s="227"/>
      <c r="IEO1724" s="227"/>
      <c r="IEP1724" s="227"/>
      <c r="IEQ1724" s="227"/>
      <c r="IER1724" s="227"/>
      <c r="IES1724" s="227"/>
      <c r="IET1724" s="227"/>
      <c r="IEU1724" s="227"/>
      <c r="IEV1724" s="227"/>
      <c r="IEW1724" s="227"/>
      <c r="IEX1724" s="227"/>
      <c r="IEY1724" s="227"/>
      <c r="IEZ1724" s="227"/>
      <c r="IFA1724" s="227"/>
      <c r="IFB1724" s="227"/>
      <c r="IFC1724" s="227"/>
      <c r="IFD1724" s="227"/>
      <c r="IFE1724" s="227"/>
      <c r="IFF1724" s="227"/>
      <c r="IFG1724" s="227"/>
      <c r="IFH1724" s="227"/>
      <c r="IFI1724" s="227"/>
      <c r="IFJ1724" s="227"/>
      <c r="IFK1724" s="227"/>
      <c r="IFL1724" s="227"/>
      <c r="IFM1724" s="227"/>
      <c r="IFN1724" s="227"/>
      <c r="IFO1724" s="227"/>
      <c r="IFP1724" s="227"/>
      <c r="IFQ1724" s="227"/>
      <c r="IFR1724" s="227"/>
      <c r="IFS1724" s="227"/>
      <c r="IFT1724" s="227"/>
      <c r="IFU1724" s="227"/>
      <c r="IFV1724" s="227"/>
      <c r="IFW1724" s="227"/>
      <c r="IFX1724" s="227"/>
      <c r="IFY1724" s="227"/>
      <c r="IFZ1724" s="227"/>
      <c r="IGA1724" s="227"/>
      <c r="IGB1724" s="227"/>
      <c r="IGC1724" s="227"/>
      <c r="IGD1724" s="227"/>
      <c r="IGE1724" s="227"/>
      <c r="IGF1724" s="227"/>
      <c r="IGG1724" s="227"/>
      <c r="IGH1724" s="227"/>
      <c r="IGI1724" s="227"/>
      <c r="IGJ1724" s="227"/>
      <c r="IGK1724" s="227"/>
      <c r="IGL1724" s="227"/>
      <c r="IGM1724" s="227"/>
      <c r="IGN1724" s="227"/>
      <c r="IGO1724" s="227"/>
      <c r="IGP1724" s="227"/>
      <c r="IGQ1724" s="227"/>
      <c r="IGR1724" s="227"/>
      <c r="IGS1724" s="227"/>
      <c r="IGT1724" s="227"/>
      <c r="IGU1724" s="227"/>
      <c r="IGV1724" s="227"/>
      <c r="IGW1724" s="227"/>
      <c r="IGX1724" s="227"/>
      <c r="IGY1724" s="227"/>
      <c r="IGZ1724" s="227"/>
      <c r="IHA1724" s="227"/>
      <c r="IHB1724" s="227"/>
      <c r="IHC1724" s="227"/>
      <c r="IHD1724" s="227"/>
      <c r="IHE1724" s="227"/>
      <c r="IHF1724" s="227"/>
      <c r="IHG1724" s="227"/>
      <c r="IHH1724" s="227"/>
      <c r="IHI1724" s="227"/>
      <c r="IHJ1724" s="227"/>
      <c r="IHK1724" s="227"/>
      <c r="IHL1724" s="227"/>
      <c r="IHM1724" s="227"/>
      <c r="IHN1724" s="227"/>
      <c r="IHO1724" s="227"/>
      <c r="IHP1724" s="227"/>
      <c r="IHQ1724" s="227"/>
      <c r="IHR1724" s="227"/>
      <c r="IHS1724" s="227"/>
      <c r="IHT1724" s="227"/>
      <c r="IHU1724" s="227"/>
      <c r="IHV1724" s="227"/>
      <c r="IHW1724" s="227"/>
      <c r="IHX1724" s="227"/>
      <c r="IHY1724" s="227"/>
      <c r="IHZ1724" s="227"/>
      <c r="IIA1724" s="227"/>
      <c r="IIB1724" s="227"/>
      <c r="IIC1724" s="227"/>
      <c r="IID1724" s="227"/>
      <c r="IIE1724" s="227"/>
      <c r="IIF1724" s="227"/>
      <c r="IIG1724" s="227"/>
      <c r="IIH1724" s="227"/>
      <c r="III1724" s="227"/>
      <c r="IIJ1724" s="227"/>
      <c r="IIK1724" s="227"/>
      <c r="IIL1724" s="227"/>
      <c r="IIM1724" s="227"/>
      <c r="IIN1724" s="227"/>
      <c r="IIO1724" s="227"/>
      <c r="IIP1724" s="227"/>
      <c r="IIQ1724" s="227"/>
      <c r="IIR1724" s="227"/>
      <c r="IIS1724" s="227"/>
      <c r="IIT1724" s="227"/>
      <c r="IIU1724" s="227"/>
      <c r="IIV1724" s="227"/>
      <c r="IIW1724" s="227"/>
      <c r="IIX1724" s="227"/>
      <c r="IIY1724" s="227"/>
      <c r="IIZ1724" s="227"/>
      <c r="IJA1724" s="227"/>
      <c r="IJB1724" s="227"/>
      <c r="IJC1724" s="227"/>
      <c r="IJD1724" s="227"/>
      <c r="IJE1724" s="227"/>
      <c r="IJF1724" s="227"/>
      <c r="IJG1724" s="227"/>
      <c r="IJH1724" s="227"/>
      <c r="IJI1724" s="227"/>
      <c r="IJJ1724" s="227"/>
      <c r="IJK1724" s="227"/>
      <c r="IJL1724" s="227"/>
      <c r="IJM1724" s="227"/>
      <c r="IJN1724" s="227"/>
      <c r="IJO1724" s="227"/>
      <c r="IJP1724" s="227"/>
      <c r="IJQ1724" s="227"/>
      <c r="IJR1724" s="227"/>
      <c r="IJS1724" s="227"/>
      <c r="IJT1724" s="227"/>
      <c r="IJU1724" s="227"/>
      <c r="IJV1724" s="227"/>
      <c r="IJW1724" s="227"/>
      <c r="IJX1724" s="227"/>
      <c r="IJY1724" s="227"/>
      <c r="IJZ1724" s="227"/>
      <c r="IKA1724" s="227"/>
      <c r="IKB1724" s="227"/>
      <c r="IKC1724" s="227"/>
      <c r="IKD1724" s="227"/>
      <c r="IKE1724" s="227"/>
      <c r="IKF1724" s="227"/>
      <c r="IKG1724" s="227"/>
      <c r="IKH1724" s="227"/>
      <c r="IKI1724" s="227"/>
      <c r="IKJ1724" s="227"/>
      <c r="IKK1724" s="227"/>
      <c r="IKL1724" s="227"/>
      <c r="IKM1724" s="227"/>
      <c r="IKN1724" s="227"/>
      <c r="IKO1724" s="227"/>
      <c r="IKP1724" s="227"/>
      <c r="IKQ1724" s="227"/>
      <c r="IKR1724" s="227"/>
      <c r="IKS1724" s="227"/>
      <c r="IKT1724" s="227"/>
      <c r="IKU1724" s="227"/>
      <c r="IKV1724" s="227"/>
      <c r="IKW1724" s="227"/>
      <c r="IKX1724" s="227"/>
      <c r="IKY1724" s="227"/>
      <c r="IKZ1724" s="227"/>
      <c r="ILA1724" s="227"/>
      <c r="ILB1724" s="227"/>
      <c r="ILC1724" s="227"/>
      <c r="ILD1724" s="227"/>
      <c r="ILE1724" s="227"/>
      <c r="ILF1724" s="227"/>
      <c r="ILG1724" s="227"/>
      <c r="ILH1724" s="227"/>
      <c r="ILI1724" s="227"/>
      <c r="ILJ1724" s="227"/>
      <c r="ILK1724" s="227"/>
      <c r="ILL1724" s="227"/>
      <c r="ILM1724" s="227"/>
      <c r="ILN1724" s="227"/>
      <c r="ILO1724" s="227"/>
      <c r="ILP1724" s="227"/>
      <c r="ILQ1724" s="227"/>
      <c r="ILR1724" s="227"/>
      <c r="ILS1724" s="227"/>
      <c r="ILT1724" s="227"/>
      <c r="ILU1724" s="227"/>
      <c r="ILV1724" s="227"/>
      <c r="ILW1724" s="227"/>
      <c r="ILX1724" s="227"/>
      <c r="ILY1724" s="227"/>
      <c r="ILZ1724" s="227"/>
      <c r="IMA1724" s="227"/>
      <c r="IMB1724" s="227"/>
      <c r="IMC1724" s="227"/>
      <c r="IMD1724" s="227"/>
      <c r="IME1724" s="227"/>
      <c r="IMF1724" s="227"/>
      <c r="IMG1724" s="227"/>
      <c r="IMH1724" s="227"/>
      <c r="IMI1724" s="227"/>
      <c r="IMJ1724" s="227"/>
      <c r="IMK1724" s="227"/>
      <c r="IML1724" s="227"/>
      <c r="IMM1724" s="227"/>
      <c r="IMN1724" s="227"/>
      <c r="IMO1724" s="227"/>
      <c r="IMP1724" s="227"/>
      <c r="IMQ1724" s="227"/>
      <c r="IMR1724" s="227"/>
      <c r="IMS1724" s="227"/>
      <c r="IMT1724" s="227"/>
      <c r="IMU1724" s="227"/>
      <c r="IMV1724" s="227"/>
      <c r="IMW1724" s="227"/>
      <c r="IMX1724" s="227"/>
      <c r="IMY1724" s="227"/>
      <c r="IMZ1724" s="227"/>
      <c r="INA1724" s="227"/>
      <c r="INB1724" s="227"/>
      <c r="INC1724" s="227"/>
      <c r="IND1724" s="227"/>
      <c r="INE1724" s="227"/>
      <c r="INF1724" s="227"/>
      <c r="ING1724" s="227"/>
      <c r="INH1724" s="227"/>
      <c r="INI1724" s="227"/>
      <c r="INJ1724" s="227"/>
      <c r="INK1724" s="227"/>
      <c r="INL1724" s="227"/>
      <c r="INM1724" s="227"/>
      <c r="INN1724" s="227"/>
      <c r="INO1724" s="227"/>
      <c r="INP1724" s="227"/>
      <c r="INQ1724" s="227"/>
      <c r="INR1724" s="227"/>
      <c r="INS1724" s="227"/>
      <c r="INT1724" s="227"/>
      <c r="INU1724" s="227"/>
      <c r="INV1724" s="227"/>
      <c r="INW1724" s="227"/>
      <c r="INX1724" s="227"/>
      <c r="INY1724" s="227"/>
      <c r="INZ1724" s="227"/>
      <c r="IOA1724" s="227"/>
      <c r="IOB1724" s="227"/>
      <c r="IOC1724" s="227"/>
      <c r="IOD1724" s="227"/>
      <c r="IOE1724" s="227"/>
      <c r="IOF1724" s="227"/>
      <c r="IOG1724" s="227"/>
      <c r="IOH1724" s="227"/>
      <c r="IOI1724" s="227"/>
      <c r="IOJ1724" s="227"/>
      <c r="IOK1724" s="227"/>
      <c r="IOL1724" s="227"/>
      <c r="IOM1724" s="227"/>
      <c r="ION1724" s="227"/>
      <c r="IOO1724" s="227"/>
      <c r="IOP1724" s="227"/>
      <c r="IOQ1724" s="227"/>
      <c r="IOR1724" s="227"/>
      <c r="IOS1724" s="227"/>
      <c r="IOT1724" s="227"/>
      <c r="IOU1724" s="227"/>
      <c r="IOV1724" s="227"/>
      <c r="IOW1724" s="227"/>
      <c r="IOX1724" s="227"/>
      <c r="IOY1724" s="227"/>
      <c r="IOZ1724" s="227"/>
      <c r="IPA1724" s="227"/>
      <c r="IPB1724" s="227"/>
      <c r="IPC1724" s="227"/>
      <c r="IPD1724" s="227"/>
      <c r="IPE1724" s="227"/>
      <c r="IPF1724" s="227"/>
      <c r="IPG1724" s="227"/>
      <c r="IPH1724" s="227"/>
      <c r="IPI1724" s="227"/>
      <c r="IPJ1724" s="227"/>
      <c r="IPK1724" s="227"/>
      <c r="IPL1724" s="227"/>
      <c r="IPM1724" s="227"/>
      <c r="IPN1724" s="227"/>
      <c r="IPO1724" s="227"/>
      <c r="IPP1724" s="227"/>
      <c r="IPQ1724" s="227"/>
      <c r="IPR1724" s="227"/>
      <c r="IPS1724" s="227"/>
      <c r="IPT1724" s="227"/>
      <c r="IPU1724" s="227"/>
      <c r="IPV1724" s="227"/>
      <c r="IPW1724" s="227"/>
      <c r="IPX1724" s="227"/>
      <c r="IPY1724" s="227"/>
      <c r="IPZ1724" s="227"/>
      <c r="IQA1724" s="227"/>
      <c r="IQB1724" s="227"/>
      <c r="IQC1724" s="227"/>
      <c r="IQD1724" s="227"/>
      <c r="IQE1724" s="227"/>
      <c r="IQF1724" s="227"/>
      <c r="IQG1724" s="227"/>
      <c r="IQH1724" s="227"/>
      <c r="IQI1724" s="227"/>
      <c r="IQJ1724" s="227"/>
      <c r="IQK1724" s="227"/>
      <c r="IQL1724" s="227"/>
      <c r="IQM1724" s="227"/>
      <c r="IQN1724" s="227"/>
      <c r="IQO1724" s="227"/>
      <c r="IQP1724" s="227"/>
      <c r="IQQ1724" s="227"/>
      <c r="IQR1724" s="227"/>
      <c r="IQS1724" s="227"/>
      <c r="IQT1724" s="227"/>
      <c r="IQU1724" s="227"/>
      <c r="IQV1724" s="227"/>
      <c r="IQW1724" s="227"/>
      <c r="IQX1724" s="227"/>
      <c r="IQY1724" s="227"/>
      <c r="IQZ1724" s="227"/>
      <c r="IRA1724" s="227"/>
      <c r="IRB1724" s="227"/>
      <c r="IRC1724" s="227"/>
      <c r="IRD1724" s="227"/>
      <c r="IRE1724" s="227"/>
      <c r="IRF1724" s="227"/>
      <c r="IRG1724" s="227"/>
      <c r="IRH1724" s="227"/>
      <c r="IRI1724" s="227"/>
      <c r="IRJ1724" s="227"/>
      <c r="IRK1724" s="227"/>
      <c r="IRL1724" s="227"/>
      <c r="IRM1724" s="227"/>
      <c r="IRN1724" s="227"/>
      <c r="IRO1724" s="227"/>
      <c r="IRP1724" s="227"/>
      <c r="IRQ1724" s="227"/>
      <c r="IRR1724" s="227"/>
      <c r="IRS1724" s="227"/>
      <c r="IRT1724" s="227"/>
      <c r="IRU1724" s="227"/>
      <c r="IRV1724" s="227"/>
      <c r="IRW1724" s="227"/>
      <c r="IRX1724" s="227"/>
      <c r="IRY1724" s="227"/>
      <c r="IRZ1724" s="227"/>
      <c r="ISA1724" s="227"/>
      <c r="ISB1724" s="227"/>
      <c r="ISC1724" s="227"/>
      <c r="ISD1724" s="227"/>
      <c r="ISE1724" s="227"/>
      <c r="ISF1724" s="227"/>
      <c r="ISG1724" s="227"/>
      <c r="ISH1724" s="227"/>
      <c r="ISI1724" s="227"/>
      <c r="ISJ1724" s="227"/>
      <c r="ISK1724" s="227"/>
      <c r="ISL1724" s="227"/>
      <c r="ISM1724" s="227"/>
      <c r="ISN1724" s="227"/>
      <c r="ISO1724" s="227"/>
      <c r="ISP1724" s="227"/>
      <c r="ISQ1724" s="227"/>
      <c r="ISR1724" s="227"/>
      <c r="ISS1724" s="227"/>
      <c r="IST1724" s="227"/>
      <c r="ISU1724" s="227"/>
      <c r="ISV1724" s="227"/>
      <c r="ISW1724" s="227"/>
      <c r="ISX1724" s="227"/>
      <c r="ISY1724" s="227"/>
      <c r="ISZ1724" s="227"/>
      <c r="ITA1724" s="227"/>
      <c r="ITB1724" s="227"/>
      <c r="ITC1724" s="227"/>
      <c r="ITD1724" s="227"/>
      <c r="ITE1724" s="227"/>
      <c r="ITF1724" s="227"/>
      <c r="ITG1724" s="227"/>
      <c r="ITH1724" s="227"/>
      <c r="ITI1724" s="227"/>
      <c r="ITJ1724" s="227"/>
      <c r="ITK1724" s="227"/>
      <c r="ITL1724" s="227"/>
      <c r="ITM1724" s="227"/>
      <c r="ITN1724" s="227"/>
      <c r="ITO1724" s="227"/>
      <c r="ITP1724" s="227"/>
      <c r="ITQ1724" s="227"/>
      <c r="ITR1724" s="227"/>
      <c r="ITS1724" s="227"/>
      <c r="ITT1724" s="227"/>
      <c r="ITU1724" s="227"/>
      <c r="ITV1724" s="227"/>
      <c r="ITW1724" s="227"/>
      <c r="ITX1724" s="227"/>
      <c r="ITY1724" s="227"/>
      <c r="ITZ1724" s="227"/>
      <c r="IUA1724" s="227"/>
      <c r="IUB1724" s="227"/>
      <c r="IUC1724" s="227"/>
      <c r="IUD1724" s="227"/>
      <c r="IUE1724" s="227"/>
      <c r="IUF1724" s="227"/>
      <c r="IUG1724" s="227"/>
      <c r="IUH1724" s="227"/>
      <c r="IUI1724" s="227"/>
      <c r="IUJ1724" s="227"/>
      <c r="IUK1724" s="227"/>
      <c r="IUL1724" s="227"/>
      <c r="IUM1724" s="227"/>
      <c r="IUN1724" s="227"/>
      <c r="IUO1724" s="227"/>
      <c r="IUP1724" s="227"/>
      <c r="IUQ1724" s="227"/>
      <c r="IUR1724" s="227"/>
      <c r="IUS1724" s="227"/>
      <c r="IUT1724" s="227"/>
      <c r="IUU1724" s="227"/>
      <c r="IUV1724" s="227"/>
      <c r="IUW1724" s="227"/>
      <c r="IUX1724" s="227"/>
      <c r="IUY1724" s="227"/>
      <c r="IUZ1724" s="227"/>
      <c r="IVA1724" s="227"/>
      <c r="IVB1724" s="227"/>
      <c r="IVC1724" s="227"/>
      <c r="IVD1724" s="227"/>
      <c r="IVE1724" s="227"/>
      <c r="IVF1724" s="227"/>
      <c r="IVG1724" s="227"/>
      <c r="IVH1724" s="227"/>
      <c r="IVI1724" s="227"/>
      <c r="IVJ1724" s="227"/>
      <c r="IVK1724" s="227"/>
      <c r="IVL1724" s="227"/>
      <c r="IVM1724" s="227"/>
      <c r="IVN1724" s="227"/>
      <c r="IVO1724" s="227"/>
      <c r="IVP1724" s="227"/>
      <c r="IVQ1724" s="227"/>
      <c r="IVR1724" s="227"/>
      <c r="IVS1724" s="227"/>
      <c r="IVT1724" s="227"/>
      <c r="IVU1724" s="227"/>
      <c r="IVV1724" s="227"/>
      <c r="IVW1724" s="227"/>
      <c r="IVX1724" s="227"/>
      <c r="IVY1724" s="227"/>
      <c r="IVZ1724" s="227"/>
      <c r="IWA1724" s="227"/>
      <c r="IWB1724" s="227"/>
      <c r="IWC1724" s="227"/>
      <c r="IWD1724" s="227"/>
      <c r="IWE1724" s="227"/>
      <c r="IWF1724" s="227"/>
      <c r="IWG1724" s="227"/>
      <c r="IWH1724" s="227"/>
      <c r="IWI1724" s="227"/>
      <c r="IWJ1724" s="227"/>
      <c r="IWK1724" s="227"/>
      <c r="IWL1724" s="227"/>
      <c r="IWM1724" s="227"/>
      <c r="IWN1724" s="227"/>
      <c r="IWO1724" s="227"/>
      <c r="IWP1724" s="227"/>
      <c r="IWQ1724" s="227"/>
      <c r="IWR1724" s="227"/>
      <c r="IWS1724" s="227"/>
      <c r="IWT1724" s="227"/>
      <c r="IWU1724" s="227"/>
      <c r="IWV1724" s="227"/>
      <c r="IWW1724" s="227"/>
      <c r="IWX1724" s="227"/>
      <c r="IWY1724" s="227"/>
      <c r="IWZ1724" s="227"/>
      <c r="IXA1724" s="227"/>
      <c r="IXB1724" s="227"/>
      <c r="IXC1724" s="227"/>
      <c r="IXD1724" s="227"/>
      <c r="IXE1724" s="227"/>
      <c r="IXF1724" s="227"/>
      <c r="IXG1724" s="227"/>
      <c r="IXH1724" s="227"/>
      <c r="IXI1724" s="227"/>
      <c r="IXJ1724" s="227"/>
      <c r="IXK1724" s="227"/>
      <c r="IXL1724" s="227"/>
      <c r="IXM1724" s="227"/>
      <c r="IXN1724" s="227"/>
      <c r="IXO1724" s="227"/>
      <c r="IXP1724" s="227"/>
      <c r="IXQ1724" s="227"/>
      <c r="IXR1724" s="227"/>
      <c r="IXS1724" s="227"/>
      <c r="IXT1724" s="227"/>
      <c r="IXU1724" s="227"/>
      <c r="IXV1724" s="227"/>
      <c r="IXW1724" s="227"/>
      <c r="IXX1724" s="227"/>
      <c r="IXY1724" s="227"/>
      <c r="IXZ1724" s="227"/>
      <c r="IYA1724" s="227"/>
      <c r="IYB1724" s="227"/>
      <c r="IYC1724" s="227"/>
      <c r="IYD1724" s="227"/>
      <c r="IYE1724" s="227"/>
      <c r="IYF1724" s="227"/>
      <c r="IYG1724" s="227"/>
      <c r="IYH1724" s="227"/>
      <c r="IYI1724" s="227"/>
      <c r="IYJ1724" s="227"/>
      <c r="IYK1724" s="227"/>
      <c r="IYL1724" s="227"/>
      <c r="IYM1724" s="227"/>
      <c r="IYN1724" s="227"/>
      <c r="IYO1724" s="227"/>
      <c r="IYP1724" s="227"/>
      <c r="IYQ1724" s="227"/>
      <c r="IYR1724" s="227"/>
      <c r="IYS1724" s="227"/>
      <c r="IYT1724" s="227"/>
      <c r="IYU1724" s="227"/>
      <c r="IYV1724" s="227"/>
      <c r="IYW1724" s="227"/>
      <c r="IYX1724" s="227"/>
      <c r="IYY1724" s="227"/>
      <c r="IYZ1724" s="227"/>
      <c r="IZA1724" s="227"/>
      <c r="IZB1724" s="227"/>
      <c r="IZC1724" s="227"/>
      <c r="IZD1724" s="227"/>
      <c r="IZE1724" s="227"/>
      <c r="IZF1724" s="227"/>
      <c r="IZG1724" s="227"/>
      <c r="IZH1724" s="227"/>
      <c r="IZI1724" s="227"/>
      <c r="IZJ1724" s="227"/>
      <c r="IZK1724" s="227"/>
      <c r="IZL1724" s="227"/>
      <c r="IZM1724" s="227"/>
      <c r="IZN1724" s="227"/>
      <c r="IZO1724" s="227"/>
      <c r="IZP1724" s="227"/>
      <c r="IZQ1724" s="227"/>
      <c r="IZR1724" s="227"/>
      <c r="IZS1724" s="227"/>
      <c r="IZT1724" s="227"/>
      <c r="IZU1724" s="227"/>
      <c r="IZV1724" s="227"/>
      <c r="IZW1724" s="227"/>
      <c r="IZX1724" s="227"/>
      <c r="IZY1724" s="227"/>
      <c r="IZZ1724" s="227"/>
      <c r="JAA1724" s="227"/>
      <c r="JAB1724" s="227"/>
      <c r="JAC1724" s="227"/>
      <c r="JAD1724" s="227"/>
      <c r="JAE1724" s="227"/>
      <c r="JAF1724" s="227"/>
      <c r="JAG1724" s="227"/>
      <c r="JAH1724" s="227"/>
      <c r="JAI1724" s="227"/>
      <c r="JAJ1724" s="227"/>
      <c r="JAK1724" s="227"/>
      <c r="JAL1724" s="227"/>
      <c r="JAM1724" s="227"/>
      <c r="JAN1724" s="227"/>
      <c r="JAO1724" s="227"/>
      <c r="JAP1724" s="227"/>
      <c r="JAQ1724" s="227"/>
      <c r="JAR1724" s="227"/>
      <c r="JAS1724" s="227"/>
      <c r="JAT1724" s="227"/>
      <c r="JAU1724" s="227"/>
      <c r="JAV1724" s="227"/>
      <c r="JAW1724" s="227"/>
      <c r="JAX1724" s="227"/>
      <c r="JAY1724" s="227"/>
      <c r="JAZ1724" s="227"/>
      <c r="JBA1724" s="227"/>
      <c r="JBB1724" s="227"/>
      <c r="JBC1724" s="227"/>
      <c r="JBD1724" s="227"/>
      <c r="JBE1724" s="227"/>
      <c r="JBF1724" s="227"/>
      <c r="JBG1724" s="227"/>
      <c r="JBH1724" s="227"/>
      <c r="JBI1724" s="227"/>
      <c r="JBJ1724" s="227"/>
      <c r="JBK1724" s="227"/>
      <c r="JBL1724" s="227"/>
      <c r="JBM1724" s="227"/>
      <c r="JBN1724" s="227"/>
      <c r="JBO1724" s="227"/>
      <c r="JBP1724" s="227"/>
      <c r="JBQ1724" s="227"/>
      <c r="JBR1724" s="227"/>
      <c r="JBS1724" s="227"/>
      <c r="JBT1724" s="227"/>
      <c r="JBU1724" s="227"/>
      <c r="JBV1724" s="227"/>
      <c r="JBW1724" s="227"/>
      <c r="JBX1724" s="227"/>
      <c r="JBY1724" s="227"/>
      <c r="JBZ1724" s="227"/>
      <c r="JCA1724" s="227"/>
      <c r="JCB1724" s="227"/>
      <c r="JCC1724" s="227"/>
      <c r="JCD1724" s="227"/>
      <c r="JCE1724" s="227"/>
      <c r="JCF1724" s="227"/>
      <c r="JCG1724" s="227"/>
      <c r="JCH1724" s="227"/>
      <c r="JCI1724" s="227"/>
      <c r="JCJ1724" s="227"/>
      <c r="JCK1724" s="227"/>
      <c r="JCL1724" s="227"/>
      <c r="JCM1724" s="227"/>
      <c r="JCN1724" s="227"/>
      <c r="JCO1724" s="227"/>
      <c r="JCP1724" s="227"/>
      <c r="JCQ1724" s="227"/>
      <c r="JCR1724" s="227"/>
      <c r="JCS1724" s="227"/>
      <c r="JCT1724" s="227"/>
      <c r="JCU1724" s="227"/>
      <c r="JCV1724" s="227"/>
      <c r="JCW1724" s="227"/>
      <c r="JCX1724" s="227"/>
      <c r="JCY1724" s="227"/>
      <c r="JCZ1724" s="227"/>
      <c r="JDA1724" s="227"/>
      <c r="JDB1724" s="227"/>
      <c r="JDC1724" s="227"/>
      <c r="JDD1724" s="227"/>
      <c r="JDE1724" s="227"/>
      <c r="JDF1724" s="227"/>
      <c r="JDG1724" s="227"/>
      <c r="JDH1724" s="227"/>
      <c r="JDI1724" s="227"/>
      <c r="JDJ1724" s="227"/>
      <c r="JDK1724" s="227"/>
      <c r="JDL1724" s="227"/>
      <c r="JDM1724" s="227"/>
      <c r="JDN1724" s="227"/>
      <c r="JDO1724" s="227"/>
      <c r="JDP1724" s="227"/>
      <c r="JDQ1724" s="227"/>
      <c r="JDR1724" s="227"/>
      <c r="JDS1724" s="227"/>
      <c r="JDT1724" s="227"/>
      <c r="JDU1724" s="227"/>
      <c r="JDV1724" s="227"/>
      <c r="JDW1724" s="227"/>
      <c r="JDX1724" s="227"/>
      <c r="JDY1724" s="227"/>
      <c r="JDZ1724" s="227"/>
      <c r="JEA1724" s="227"/>
      <c r="JEB1724" s="227"/>
      <c r="JEC1724" s="227"/>
      <c r="JED1724" s="227"/>
      <c r="JEE1724" s="227"/>
      <c r="JEF1724" s="227"/>
      <c r="JEG1724" s="227"/>
      <c r="JEH1724" s="227"/>
      <c r="JEI1724" s="227"/>
      <c r="JEJ1724" s="227"/>
      <c r="JEK1724" s="227"/>
      <c r="JEL1724" s="227"/>
      <c r="JEM1724" s="227"/>
      <c r="JEN1724" s="227"/>
      <c r="JEO1724" s="227"/>
      <c r="JEP1724" s="227"/>
      <c r="JEQ1724" s="227"/>
      <c r="JER1724" s="227"/>
      <c r="JES1724" s="227"/>
      <c r="JET1724" s="227"/>
      <c r="JEU1724" s="227"/>
      <c r="JEV1724" s="227"/>
      <c r="JEW1724" s="227"/>
      <c r="JEX1724" s="227"/>
      <c r="JEY1724" s="227"/>
      <c r="JEZ1724" s="227"/>
      <c r="JFA1724" s="227"/>
      <c r="JFB1724" s="227"/>
      <c r="JFC1724" s="227"/>
      <c r="JFD1724" s="227"/>
      <c r="JFE1724" s="227"/>
      <c r="JFF1724" s="227"/>
      <c r="JFG1724" s="227"/>
      <c r="JFH1724" s="227"/>
      <c r="JFI1724" s="227"/>
      <c r="JFJ1724" s="227"/>
      <c r="JFK1724" s="227"/>
      <c r="JFL1724" s="227"/>
      <c r="JFM1724" s="227"/>
      <c r="JFN1724" s="227"/>
      <c r="JFO1724" s="227"/>
      <c r="JFP1724" s="227"/>
      <c r="JFQ1724" s="227"/>
      <c r="JFR1724" s="227"/>
      <c r="JFS1724" s="227"/>
      <c r="JFT1724" s="227"/>
      <c r="JFU1724" s="227"/>
      <c r="JFV1724" s="227"/>
      <c r="JFW1724" s="227"/>
      <c r="JFX1724" s="227"/>
      <c r="JFY1724" s="227"/>
      <c r="JFZ1724" s="227"/>
      <c r="JGA1724" s="227"/>
      <c r="JGB1724" s="227"/>
      <c r="JGC1724" s="227"/>
      <c r="JGD1724" s="227"/>
      <c r="JGE1724" s="227"/>
      <c r="JGF1724" s="227"/>
      <c r="JGG1724" s="227"/>
      <c r="JGH1724" s="227"/>
      <c r="JGI1724" s="227"/>
      <c r="JGJ1724" s="227"/>
      <c r="JGK1724" s="227"/>
      <c r="JGL1724" s="227"/>
      <c r="JGM1724" s="227"/>
      <c r="JGN1724" s="227"/>
      <c r="JGO1724" s="227"/>
      <c r="JGP1724" s="227"/>
      <c r="JGQ1724" s="227"/>
      <c r="JGR1724" s="227"/>
      <c r="JGS1724" s="227"/>
      <c r="JGT1724" s="227"/>
      <c r="JGU1724" s="227"/>
      <c r="JGV1724" s="227"/>
      <c r="JGW1724" s="227"/>
      <c r="JGX1724" s="227"/>
      <c r="JGY1724" s="227"/>
      <c r="JGZ1724" s="227"/>
      <c r="JHA1724" s="227"/>
      <c r="JHB1724" s="227"/>
      <c r="JHC1724" s="227"/>
      <c r="JHD1724" s="227"/>
      <c r="JHE1724" s="227"/>
      <c r="JHF1724" s="227"/>
      <c r="JHG1724" s="227"/>
      <c r="JHH1724" s="227"/>
      <c r="JHI1724" s="227"/>
      <c r="JHJ1724" s="227"/>
      <c r="JHK1724" s="227"/>
      <c r="JHL1724" s="227"/>
      <c r="JHM1724" s="227"/>
      <c r="JHN1724" s="227"/>
      <c r="JHO1724" s="227"/>
      <c r="JHP1724" s="227"/>
      <c r="JHQ1724" s="227"/>
      <c r="JHR1724" s="227"/>
      <c r="JHS1724" s="227"/>
      <c r="JHT1724" s="227"/>
      <c r="JHU1724" s="227"/>
      <c r="JHV1724" s="227"/>
      <c r="JHW1724" s="227"/>
      <c r="JHX1724" s="227"/>
      <c r="JHY1724" s="227"/>
      <c r="JHZ1724" s="227"/>
      <c r="JIA1724" s="227"/>
      <c r="JIB1724" s="227"/>
      <c r="JIC1724" s="227"/>
      <c r="JID1724" s="227"/>
      <c r="JIE1724" s="227"/>
      <c r="JIF1724" s="227"/>
      <c r="JIG1724" s="227"/>
      <c r="JIH1724" s="227"/>
      <c r="JII1724" s="227"/>
      <c r="JIJ1724" s="227"/>
      <c r="JIK1724" s="227"/>
      <c r="JIL1724" s="227"/>
      <c r="JIM1724" s="227"/>
      <c r="JIN1724" s="227"/>
      <c r="JIO1724" s="227"/>
      <c r="JIP1724" s="227"/>
      <c r="JIQ1724" s="227"/>
      <c r="JIR1724" s="227"/>
      <c r="JIS1724" s="227"/>
      <c r="JIT1724" s="227"/>
      <c r="JIU1724" s="227"/>
      <c r="JIV1724" s="227"/>
      <c r="JIW1724" s="227"/>
      <c r="JIX1724" s="227"/>
      <c r="JIY1724" s="227"/>
      <c r="JIZ1724" s="227"/>
      <c r="JJA1724" s="227"/>
      <c r="JJB1724" s="227"/>
      <c r="JJC1724" s="227"/>
      <c r="JJD1724" s="227"/>
      <c r="JJE1724" s="227"/>
      <c r="JJF1724" s="227"/>
      <c r="JJG1724" s="227"/>
      <c r="JJH1724" s="227"/>
      <c r="JJI1724" s="227"/>
      <c r="JJJ1724" s="227"/>
      <c r="JJK1724" s="227"/>
      <c r="JJL1724" s="227"/>
      <c r="JJM1724" s="227"/>
      <c r="JJN1724" s="227"/>
      <c r="JJO1724" s="227"/>
      <c r="JJP1724" s="227"/>
      <c r="JJQ1724" s="227"/>
      <c r="JJR1724" s="227"/>
      <c r="JJS1724" s="227"/>
      <c r="JJT1724" s="227"/>
      <c r="JJU1724" s="227"/>
      <c r="JJV1724" s="227"/>
      <c r="JJW1724" s="227"/>
      <c r="JJX1724" s="227"/>
      <c r="JJY1724" s="227"/>
      <c r="JJZ1724" s="227"/>
      <c r="JKA1724" s="227"/>
      <c r="JKB1724" s="227"/>
      <c r="JKC1724" s="227"/>
      <c r="JKD1724" s="227"/>
      <c r="JKE1724" s="227"/>
      <c r="JKF1724" s="227"/>
      <c r="JKG1724" s="227"/>
      <c r="JKH1724" s="227"/>
      <c r="JKI1724" s="227"/>
      <c r="JKJ1724" s="227"/>
      <c r="JKK1724" s="227"/>
      <c r="JKL1724" s="227"/>
      <c r="JKM1724" s="227"/>
      <c r="JKN1724" s="227"/>
      <c r="JKO1724" s="227"/>
      <c r="JKP1724" s="227"/>
      <c r="JKQ1724" s="227"/>
      <c r="JKR1724" s="227"/>
      <c r="JKS1724" s="227"/>
      <c r="JKT1724" s="227"/>
      <c r="JKU1724" s="227"/>
      <c r="JKV1724" s="227"/>
      <c r="JKW1724" s="227"/>
      <c r="JKX1724" s="227"/>
      <c r="JKY1724" s="227"/>
      <c r="JKZ1724" s="227"/>
      <c r="JLA1724" s="227"/>
      <c r="JLB1724" s="227"/>
      <c r="JLC1724" s="227"/>
      <c r="JLD1724" s="227"/>
      <c r="JLE1724" s="227"/>
      <c r="JLF1724" s="227"/>
      <c r="JLG1724" s="227"/>
      <c r="JLH1724" s="227"/>
      <c r="JLI1724" s="227"/>
      <c r="JLJ1724" s="227"/>
      <c r="JLK1724" s="227"/>
      <c r="JLL1724" s="227"/>
      <c r="JLM1724" s="227"/>
      <c r="JLN1724" s="227"/>
      <c r="JLO1724" s="227"/>
      <c r="JLP1724" s="227"/>
      <c r="JLQ1724" s="227"/>
      <c r="JLR1724" s="227"/>
      <c r="JLS1724" s="227"/>
      <c r="JLT1724" s="227"/>
      <c r="JLU1724" s="227"/>
      <c r="JLV1724" s="227"/>
      <c r="JLW1724" s="227"/>
      <c r="JLX1724" s="227"/>
      <c r="JLY1724" s="227"/>
      <c r="JLZ1724" s="227"/>
      <c r="JMA1724" s="227"/>
      <c r="JMB1724" s="227"/>
      <c r="JMC1724" s="227"/>
      <c r="JMD1724" s="227"/>
      <c r="JME1724" s="227"/>
      <c r="JMF1724" s="227"/>
      <c r="JMG1724" s="227"/>
      <c r="JMH1724" s="227"/>
      <c r="JMI1724" s="227"/>
      <c r="JMJ1724" s="227"/>
      <c r="JMK1724" s="227"/>
      <c r="JML1724" s="227"/>
      <c r="JMM1724" s="227"/>
      <c r="JMN1724" s="227"/>
      <c r="JMO1724" s="227"/>
      <c r="JMP1724" s="227"/>
      <c r="JMQ1724" s="227"/>
      <c r="JMR1724" s="227"/>
      <c r="JMS1724" s="227"/>
      <c r="JMT1724" s="227"/>
      <c r="JMU1724" s="227"/>
      <c r="JMV1724" s="227"/>
      <c r="JMW1724" s="227"/>
      <c r="JMX1724" s="227"/>
      <c r="JMY1724" s="227"/>
      <c r="JMZ1724" s="227"/>
      <c r="JNA1724" s="227"/>
      <c r="JNB1724" s="227"/>
      <c r="JNC1724" s="227"/>
      <c r="JND1724" s="227"/>
      <c r="JNE1724" s="227"/>
      <c r="JNF1724" s="227"/>
      <c r="JNG1724" s="227"/>
      <c r="JNH1724" s="227"/>
      <c r="JNI1724" s="227"/>
      <c r="JNJ1724" s="227"/>
      <c r="JNK1724" s="227"/>
      <c r="JNL1724" s="227"/>
      <c r="JNM1724" s="227"/>
      <c r="JNN1724" s="227"/>
      <c r="JNO1724" s="227"/>
      <c r="JNP1724" s="227"/>
      <c r="JNQ1724" s="227"/>
      <c r="JNR1724" s="227"/>
      <c r="JNS1724" s="227"/>
      <c r="JNT1724" s="227"/>
      <c r="JNU1724" s="227"/>
      <c r="JNV1724" s="227"/>
      <c r="JNW1724" s="227"/>
      <c r="JNX1724" s="227"/>
      <c r="JNY1724" s="227"/>
      <c r="JNZ1724" s="227"/>
      <c r="JOA1724" s="227"/>
      <c r="JOB1724" s="227"/>
      <c r="JOC1724" s="227"/>
      <c r="JOD1724" s="227"/>
      <c r="JOE1724" s="227"/>
      <c r="JOF1724" s="227"/>
      <c r="JOG1724" s="227"/>
      <c r="JOH1724" s="227"/>
      <c r="JOI1724" s="227"/>
      <c r="JOJ1724" s="227"/>
      <c r="JOK1724" s="227"/>
      <c r="JOL1724" s="227"/>
      <c r="JOM1724" s="227"/>
      <c r="JON1724" s="227"/>
      <c r="JOO1724" s="227"/>
      <c r="JOP1724" s="227"/>
      <c r="JOQ1724" s="227"/>
      <c r="JOR1724" s="227"/>
      <c r="JOS1724" s="227"/>
      <c r="JOT1724" s="227"/>
      <c r="JOU1724" s="227"/>
      <c r="JOV1724" s="227"/>
      <c r="JOW1724" s="227"/>
      <c r="JOX1724" s="227"/>
      <c r="JOY1724" s="227"/>
      <c r="JOZ1724" s="227"/>
      <c r="JPA1724" s="227"/>
      <c r="JPB1724" s="227"/>
      <c r="JPC1724" s="227"/>
      <c r="JPD1724" s="227"/>
      <c r="JPE1724" s="227"/>
      <c r="JPF1724" s="227"/>
      <c r="JPG1724" s="227"/>
      <c r="JPH1724" s="227"/>
      <c r="JPI1724" s="227"/>
      <c r="JPJ1724" s="227"/>
      <c r="JPK1724" s="227"/>
      <c r="JPL1724" s="227"/>
      <c r="JPM1724" s="227"/>
      <c r="JPN1724" s="227"/>
      <c r="JPO1724" s="227"/>
      <c r="JPP1724" s="227"/>
      <c r="JPQ1724" s="227"/>
      <c r="JPR1724" s="227"/>
      <c r="JPS1724" s="227"/>
      <c r="JPT1724" s="227"/>
      <c r="JPU1724" s="227"/>
      <c r="JPV1724" s="227"/>
      <c r="JPW1724" s="227"/>
      <c r="JPX1724" s="227"/>
      <c r="JPY1724" s="227"/>
      <c r="JPZ1724" s="227"/>
      <c r="JQA1724" s="227"/>
      <c r="JQB1724" s="227"/>
      <c r="JQC1724" s="227"/>
      <c r="JQD1724" s="227"/>
      <c r="JQE1724" s="227"/>
      <c r="JQF1724" s="227"/>
      <c r="JQG1724" s="227"/>
      <c r="JQH1724" s="227"/>
      <c r="JQI1724" s="227"/>
      <c r="JQJ1724" s="227"/>
      <c r="JQK1724" s="227"/>
      <c r="JQL1724" s="227"/>
      <c r="JQM1724" s="227"/>
      <c r="JQN1724" s="227"/>
      <c r="JQO1724" s="227"/>
      <c r="JQP1724" s="227"/>
      <c r="JQQ1724" s="227"/>
      <c r="JQR1724" s="227"/>
      <c r="JQS1724" s="227"/>
      <c r="JQT1724" s="227"/>
      <c r="JQU1724" s="227"/>
      <c r="JQV1724" s="227"/>
      <c r="JQW1724" s="227"/>
      <c r="JQX1724" s="227"/>
      <c r="JQY1724" s="227"/>
      <c r="JQZ1724" s="227"/>
      <c r="JRA1724" s="227"/>
      <c r="JRB1724" s="227"/>
      <c r="JRC1724" s="227"/>
      <c r="JRD1724" s="227"/>
      <c r="JRE1724" s="227"/>
      <c r="JRF1724" s="227"/>
      <c r="JRG1724" s="227"/>
      <c r="JRH1724" s="227"/>
      <c r="JRI1724" s="227"/>
      <c r="JRJ1724" s="227"/>
      <c r="JRK1724" s="227"/>
      <c r="JRL1724" s="227"/>
      <c r="JRM1724" s="227"/>
      <c r="JRN1724" s="227"/>
      <c r="JRO1724" s="227"/>
      <c r="JRP1724" s="227"/>
      <c r="JRQ1724" s="227"/>
      <c r="JRR1724" s="227"/>
      <c r="JRS1724" s="227"/>
      <c r="JRT1724" s="227"/>
      <c r="JRU1724" s="227"/>
      <c r="JRV1724" s="227"/>
      <c r="JRW1724" s="227"/>
      <c r="JRX1724" s="227"/>
      <c r="JRY1724" s="227"/>
      <c r="JRZ1724" s="227"/>
      <c r="JSA1724" s="227"/>
      <c r="JSB1724" s="227"/>
      <c r="JSC1724" s="227"/>
      <c r="JSD1724" s="227"/>
      <c r="JSE1724" s="227"/>
      <c r="JSF1724" s="227"/>
      <c r="JSG1724" s="227"/>
      <c r="JSH1724" s="227"/>
      <c r="JSI1724" s="227"/>
      <c r="JSJ1724" s="227"/>
      <c r="JSK1724" s="227"/>
      <c r="JSL1724" s="227"/>
      <c r="JSM1724" s="227"/>
      <c r="JSN1724" s="227"/>
      <c r="JSO1724" s="227"/>
      <c r="JSP1724" s="227"/>
      <c r="JSQ1724" s="227"/>
      <c r="JSR1724" s="227"/>
      <c r="JSS1724" s="227"/>
      <c r="JST1724" s="227"/>
      <c r="JSU1724" s="227"/>
      <c r="JSV1724" s="227"/>
      <c r="JSW1724" s="227"/>
      <c r="JSX1724" s="227"/>
      <c r="JSY1724" s="227"/>
      <c r="JSZ1724" s="227"/>
      <c r="JTA1724" s="227"/>
      <c r="JTB1724" s="227"/>
      <c r="JTC1724" s="227"/>
      <c r="JTD1724" s="227"/>
      <c r="JTE1724" s="227"/>
      <c r="JTF1724" s="227"/>
      <c r="JTG1724" s="227"/>
      <c r="JTH1724" s="227"/>
      <c r="JTI1724" s="227"/>
      <c r="JTJ1724" s="227"/>
      <c r="JTK1724" s="227"/>
      <c r="JTL1724" s="227"/>
      <c r="JTM1724" s="227"/>
      <c r="JTN1724" s="227"/>
      <c r="JTO1724" s="227"/>
      <c r="JTP1724" s="227"/>
      <c r="JTQ1724" s="227"/>
      <c r="JTR1724" s="227"/>
      <c r="JTS1724" s="227"/>
      <c r="JTT1724" s="227"/>
      <c r="JTU1724" s="227"/>
      <c r="JTV1724" s="227"/>
      <c r="JTW1724" s="227"/>
      <c r="JTX1724" s="227"/>
      <c r="JTY1724" s="227"/>
      <c r="JTZ1724" s="227"/>
      <c r="JUA1724" s="227"/>
      <c r="JUB1724" s="227"/>
      <c r="JUC1724" s="227"/>
      <c r="JUD1724" s="227"/>
      <c r="JUE1724" s="227"/>
      <c r="JUF1724" s="227"/>
      <c r="JUG1724" s="227"/>
      <c r="JUH1724" s="227"/>
      <c r="JUI1724" s="227"/>
      <c r="JUJ1724" s="227"/>
      <c r="JUK1724" s="227"/>
      <c r="JUL1724" s="227"/>
      <c r="JUM1724" s="227"/>
      <c r="JUN1724" s="227"/>
      <c r="JUO1724" s="227"/>
      <c r="JUP1724" s="227"/>
      <c r="JUQ1724" s="227"/>
      <c r="JUR1724" s="227"/>
      <c r="JUS1724" s="227"/>
      <c r="JUT1724" s="227"/>
      <c r="JUU1724" s="227"/>
      <c r="JUV1724" s="227"/>
      <c r="JUW1724" s="227"/>
      <c r="JUX1724" s="227"/>
      <c r="JUY1724" s="227"/>
      <c r="JUZ1724" s="227"/>
      <c r="JVA1724" s="227"/>
      <c r="JVB1724" s="227"/>
      <c r="JVC1724" s="227"/>
      <c r="JVD1724" s="227"/>
      <c r="JVE1724" s="227"/>
      <c r="JVF1724" s="227"/>
      <c r="JVG1724" s="227"/>
      <c r="JVH1724" s="227"/>
      <c r="JVI1724" s="227"/>
      <c r="JVJ1724" s="227"/>
      <c r="JVK1724" s="227"/>
      <c r="JVL1724" s="227"/>
      <c r="JVM1724" s="227"/>
      <c r="JVN1724" s="227"/>
      <c r="JVO1724" s="227"/>
      <c r="JVP1724" s="227"/>
      <c r="JVQ1724" s="227"/>
      <c r="JVR1724" s="227"/>
      <c r="JVS1724" s="227"/>
      <c r="JVT1724" s="227"/>
      <c r="JVU1724" s="227"/>
      <c r="JVV1724" s="227"/>
      <c r="JVW1724" s="227"/>
      <c r="JVX1724" s="227"/>
      <c r="JVY1724" s="227"/>
      <c r="JVZ1724" s="227"/>
      <c r="JWA1724" s="227"/>
      <c r="JWB1724" s="227"/>
      <c r="JWC1724" s="227"/>
      <c r="JWD1724" s="227"/>
      <c r="JWE1724" s="227"/>
      <c r="JWF1724" s="227"/>
      <c r="JWG1724" s="227"/>
      <c r="JWH1724" s="227"/>
      <c r="JWI1724" s="227"/>
      <c r="JWJ1724" s="227"/>
      <c r="JWK1724" s="227"/>
      <c r="JWL1724" s="227"/>
      <c r="JWM1724" s="227"/>
      <c r="JWN1724" s="227"/>
      <c r="JWO1724" s="227"/>
      <c r="JWP1724" s="227"/>
      <c r="JWQ1724" s="227"/>
      <c r="JWR1724" s="227"/>
      <c r="JWS1724" s="227"/>
      <c r="JWT1724" s="227"/>
      <c r="JWU1724" s="227"/>
      <c r="JWV1724" s="227"/>
      <c r="JWW1724" s="227"/>
      <c r="JWX1724" s="227"/>
      <c r="JWY1724" s="227"/>
      <c r="JWZ1724" s="227"/>
      <c r="JXA1724" s="227"/>
      <c r="JXB1724" s="227"/>
      <c r="JXC1724" s="227"/>
      <c r="JXD1724" s="227"/>
      <c r="JXE1724" s="227"/>
      <c r="JXF1724" s="227"/>
      <c r="JXG1724" s="227"/>
      <c r="JXH1724" s="227"/>
      <c r="JXI1724" s="227"/>
      <c r="JXJ1724" s="227"/>
      <c r="JXK1724" s="227"/>
      <c r="JXL1724" s="227"/>
      <c r="JXM1724" s="227"/>
      <c r="JXN1724" s="227"/>
      <c r="JXO1724" s="227"/>
      <c r="JXP1724" s="227"/>
      <c r="JXQ1724" s="227"/>
      <c r="JXR1724" s="227"/>
      <c r="JXS1724" s="227"/>
      <c r="JXT1724" s="227"/>
      <c r="JXU1724" s="227"/>
      <c r="JXV1724" s="227"/>
      <c r="JXW1724" s="227"/>
      <c r="JXX1724" s="227"/>
      <c r="JXY1724" s="227"/>
      <c r="JXZ1724" s="227"/>
      <c r="JYA1724" s="227"/>
      <c r="JYB1724" s="227"/>
      <c r="JYC1724" s="227"/>
      <c r="JYD1724" s="227"/>
      <c r="JYE1724" s="227"/>
      <c r="JYF1724" s="227"/>
      <c r="JYG1724" s="227"/>
      <c r="JYH1724" s="227"/>
      <c r="JYI1724" s="227"/>
      <c r="JYJ1724" s="227"/>
      <c r="JYK1724" s="227"/>
      <c r="JYL1724" s="227"/>
      <c r="JYM1724" s="227"/>
      <c r="JYN1724" s="227"/>
      <c r="JYO1724" s="227"/>
      <c r="JYP1724" s="227"/>
      <c r="JYQ1724" s="227"/>
      <c r="JYR1724" s="227"/>
      <c r="JYS1724" s="227"/>
      <c r="JYT1724" s="227"/>
      <c r="JYU1724" s="227"/>
      <c r="JYV1724" s="227"/>
      <c r="JYW1724" s="227"/>
      <c r="JYX1724" s="227"/>
      <c r="JYY1724" s="227"/>
      <c r="JYZ1724" s="227"/>
      <c r="JZA1724" s="227"/>
      <c r="JZB1724" s="227"/>
      <c r="JZC1724" s="227"/>
      <c r="JZD1724" s="227"/>
      <c r="JZE1724" s="227"/>
      <c r="JZF1724" s="227"/>
      <c r="JZG1724" s="227"/>
      <c r="JZH1724" s="227"/>
      <c r="JZI1724" s="227"/>
      <c r="JZJ1724" s="227"/>
      <c r="JZK1724" s="227"/>
      <c r="JZL1724" s="227"/>
      <c r="JZM1724" s="227"/>
      <c r="JZN1724" s="227"/>
      <c r="JZO1724" s="227"/>
      <c r="JZP1724" s="227"/>
      <c r="JZQ1724" s="227"/>
      <c r="JZR1724" s="227"/>
      <c r="JZS1724" s="227"/>
      <c r="JZT1724" s="227"/>
      <c r="JZU1724" s="227"/>
      <c r="JZV1724" s="227"/>
      <c r="JZW1724" s="227"/>
      <c r="JZX1724" s="227"/>
      <c r="JZY1724" s="227"/>
      <c r="JZZ1724" s="227"/>
      <c r="KAA1724" s="227"/>
      <c r="KAB1724" s="227"/>
      <c r="KAC1724" s="227"/>
      <c r="KAD1724" s="227"/>
      <c r="KAE1724" s="227"/>
      <c r="KAF1724" s="227"/>
      <c r="KAG1724" s="227"/>
      <c r="KAH1724" s="227"/>
      <c r="KAI1724" s="227"/>
      <c r="KAJ1724" s="227"/>
      <c r="KAK1724" s="227"/>
      <c r="KAL1724" s="227"/>
      <c r="KAM1724" s="227"/>
      <c r="KAN1724" s="227"/>
      <c r="KAO1724" s="227"/>
      <c r="KAP1724" s="227"/>
      <c r="KAQ1724" s="227"/>
      <c r="KAR1724" s="227"/>
      <c r="KAS1724" s="227"/>
      <c r="KAT1724" s="227"/>
      <c r="KAU1724" s="227"/>
      <c r="KAV1724" s="227"/>
      <c r="KAW1724" s="227"/>
      <c r="KAX1724" s="227"/>
      <c r="KAY1724" s="227"/>
      <c r="KAZ1724" s="227"/>
      <c r="KBA1724" s="227"/>
      <c r="KBB1724" s="227"/>
      <c r="KBC1724" s="227"/>
      <c r="KBD1724" s="227"/>
      <c r="KBE1724" s="227"/>
      <c r="KBF1724" s="227"/>
      <c r="KBG1724" s="227"/>
      <c r="KBH1724" s="227"/>
      <c r="KBI1724" s="227"/>
      <c r="KBJ1724" s="227"/>
      <c r="KBK1724" s="227"/>
      <c r="KBL1724" s="227"/>
      <c r="KBM1724" s="227"/>
      <c r="KBN1724" s="227"/>
      <c r="KBO1724" s="227"/>
      <c r="KBP1724" s="227"/>
      <c r="KBQ1724" s="227"/>
      <c r="KBR1724" s="227"/>
      <c r="KBS1724" s="227"/>
      <c r="KBT1724" s="227"/>
      <c r="KBU1724" s="227"/>
      <c r="KBV1724" s="227"/>
      <c r="KBW1724" s="227"/>
      <c r="KBX1724" s="227"/>
      <c r="KBY1724" s="227"/>
      <c r="KBZ1724" s="227"/>
      <c r="KCA1724" s="227"/>
      <c r="KCB1724" s="227"/>
      <c r="KCC1724" s="227"/>
      <c r="KCD1724" s="227"/>
      <c r="KCE1724" s="227"/>
      <c r="KCF1724" s="227"/>
      <c r="KCG1724" s="227"/>
      <c r="KCH1724" s="227"/>
      <c r="KCI1724" s="227"/>
      <c r="KCJ1724" s="227"/>
      <c r="KCK1724" s="227"/>
      <c r="KCL1724" s="227"/>
      <c r="KCM1724" s="227"/>
      <c r="KCN1724" s="227"/>
      <c r="KCO1724" s="227"/>
      <c r="KCP1724" s="227"/>
      <c r="KCQ1724" s="227"/>
      <c r="KCR1724" s="227"/>
      <c r="KCS1724" s="227"/>
      <c r="KCT1724" s="227"/>
      <c r="KCU1724" s="227"/>
      <c r="KCV1724" s="227"/>
      <c r="KCW1724" s="227"/>
      <c r="KCX1724" s="227"/>
      <c r="KCY1724" s="227"/>
      <c r="KCZ1724" s="227"/>
      <c r="KDA1724" s="227"/>
      <c r="KDB1724" s="227"/>
      <c r="KDC1724" s="227"/>
      <c r="KDD1724" s="227"/>
      <c r="KDE1724" s="227"/>
      <c r="KDF1724" s="227"/>
      <c r="KDG1724" s="227"/>
      <c r="KDH1724" s="227"/>
      <c r="KDI1724" s="227"/>
      <c r="KDJ1724" s="227"/>
      <c r="KDK1724" s="227"/>
      <c r="KDL1724" s="227"/>
      <c r="KDM1724" s="227"/>
      <c r="KDN1724" s="227"/>
      <c r="KDO1724" s="227"/>
      <c r="KDP1724" s="227"/>
      <c r="KDQ1724" s="227"/>
      <c r="KDR1724" s="227"/>
      <c r="KDS1724" s="227"/>
      <c r="KDT1724" s="227"/>
      <c r="KDU1724" s="227"/>
      <c r="KDV1724" s="227"/>
      <c r="KDW1724" s="227"/>
      <c r="KDX1724" s="227"/>
      <c r="KDY1724" s="227"/>
      <c r="KDZ1724" s="227"/>
      <c r="KEA1724" s="227"/>
      <c r="KEB1724" s="227"/>
      <c r="KEC1724" s="227"/>
      <c r="KED1724" s="227"/>
      <c r="KEE1724" s="227"/>
      <c r="KEF1724" s="227"/>
      <c r="KEG1724" s="227"/>
      <c r="KEH1724" s="227"/>
      <c r="KEI1724" s="227"/>
      <c r="KEJ1724" s="227"/>
      <c r="KEK1724" s="227"/>
      <c r="KEL1724" s="227"/>
      <c r="KEM1724" s="227"/>
      <c r="KEN1724" s="227"/>
      <c r="KEO1724" s="227"/>
      <c r="KEP1724" s="227"/>
      <c r="KEQ1724" s="227"/>
      <c r="KER1724" s="227"/>
      <c r="KES1724" s="227"/>
      <c r="KET1724" s="227"/>
      <c r="KEU1724" s="227"/>
      <c r="KEV1724" s="227"/>
      <c r="KEW1724" s="227"/>
      <c r="KEX1724" s="227"/>
      <c r="KEY1724" s="227"/>
      <c r="KEZ1724" s="227"/>
      <c r="KFA1724" s="227"/>
      <c r="KFB1724" s="227"/>
      <c r="KFC1724" s="227"/>
      <c r="KFD1724" s="227"/>
      <c r="KFE1724" s="227"/>
      <c r="KFF1724" s="227"/>
      <c r="KFG1724" s="227"/>
      <c r="KFH1724" s="227"/>
      <c r="KFI1724" s="227"/>
      <c r="KFJ1724" s="227"/>
      <c r="KFK1724" s="227"/>
      <c r="KFL1724" s="227"/>
      <c r="KFM1724" s="227"/>
      <c r="KFN1724" s="227"/>
      <c r="KFO1724" s="227"/>
      <c r="KFP1724" s="227"/>
      <c r="KFQ1724" s="227"/>
      <c r="KFR1724" s="227"/>
      <c r="KFS1724" s="227"/>
      <c r="KFT1724" s="227"/>
      <c r="KFU1724" s="227"/>
      <c r="KFV1724" s="227"/>
      <c r="KFW1724" s="227"/>
      <c r="KFX1724" s="227"/>
      <c r="KFY1724" s="227"/>
      <c r="KFZ1724" s="227"/>
      <c r="KGA1724" s="227"/>
      <c r="KGB1724" s="227"/>
      <c r="KGC1724" s="227"/>
      <c r="KGD1724" s="227"/>
      <c r="KGE1724" s="227"/>
      <c r="KGF1724" s="227"/>
      <c r="KGG1724" s="227"/>
      <c r="KGH1724" s="227"/>
      <c r="KGI1724" s="227"/>
      <c r="KGJ1724" s="227"/>
      <c r="KGK1724" s="227"/>
      <c r="KGL1724" s="227"/>
      <c r="KGM1724" s="227"/>
      <c r="KGN1724" s="227"/>
      <c r="KGO1724" s="227"/>
      <c r="KGP1724" s="227"/>
      <c r="KGQ1724" s="227"/>
      <c r="KGR1724" s="227"/>
      <c r="KGS1724" s="227"/>
      <c r="KGT1724" s="227"/>
      <c r="KGU1724" s="227"/>
      <c r="KGV1724" s="227"/>
      <c r="KGW1724" s="227"/>
      <c r="KGX1724" s="227"/>
      <c r="KGY1724" s="227"/>
      <c r="KGZ1724" s="227"/>
      <c r="KHA1724" s="227"/>
      <c r="KHB1724" s="227"/>
      <c r="KHC1724" s="227"/>
      <c r="KHD1724" s="227"/>
      <c r="KHE1724" s="227"/>
      <c r="KHF1724" s="227"/>
      <c r="KHG1724" s="227"/>
      <c r="KHH1724" s="227"/>
      <c r="KHI1724" s="227"/>
      <c r="KHJ1724" s="227"/>
      <c r="KHK1724" s="227"/>
      <c r="KHL1724" s="227"/>
      <c r="KHM1724" s="227"/>
      <c r="KHN1724" s="227"/>
      <c r="KHO1724" s="227"/>
      <c r="KHP1724" s="227"/>
      <c r="KHQ1724" s="227"/>
      <c r="KHR1724" s="227"/>
      <c r="KHS1724" s="227"/>
      <c r="KHT1724" s="227"/>
      <c r="KHU1724" s="227"/>
      <c r="KHV1724" s="227"/>
      <c r="KHW1724" s="227"/>
      <c r="KHX1724" s="227"/>
      <c r="KHY1724" s="227"/>
      <c r="KHZ1724" s="227"/>
      <c r="KIA1724" s="227"/>
      <c r="KIB1724" s="227"/>
      <c r="KIC1724" s="227"/>
      <c r="KID1724" s="227"/>
      <c r="KIE1724" s="227"/>
      <c r="KIF1724" s="227"/>
      <c r="KIG1724" s="227"/>
      <c r="KIH1724" s="227"/>
      <c r="KII1724" s="227"/>
      <c r="KIJ1724" s="227"/>
      <c r="KIK1724" s="227"/>
      <c r="KIL1724" s="227"/>
      <c r="KIM1724" s="227"/>
      <c r="KIN1724" s="227"/>
      <c r="KIO1724" s="227"/>
      <c r="KIP1724" s="227"/>
      <c r="KIQ1724" s="227"/>
      <c r="KIR1724" s="227"/>
      <c r="KIS1724" s="227"/>
      <c r="KIT1724" s="227"/>
      <c r="KIU1724" s="227"/>
      <c r="KIV1724" s="227"/>
      <c r="KIW1724" s="227"/>
      <c r="KIX1724" s="227"/>
      <c r="KIY1724" s="227"/>
      <c r="KIZ1724" s="227"/>
      <c r="KJA1724" s="227"/>
      <c r="KJB1724" s="227"/>
      <c r="KJC1724" s="227"/>
      <c r="KJD1724" s="227"/>
      <c r="KJE1724" s="227"/>
      <c r="KJF1724" s="227"/>
      <c r="KJG1724" s="227"/>
      <c r="KJH1724" s="227"/>
      <c r="KJI1724" s="227"/>
      <c r="KJJ1724" s="227"/>
      <c r="KJK1724" s="227"/>
      <c r="KJL1724" s="227"/>
      <c r="KJM1724" s="227"/>
      <c r="KJN1724" s="227"/>
      <c r="KJO1724" s="227"/>
      <c r="KJP1724" s="227"/>
      <c r="KJQ1724" s="227"/>
      <c r="KJR1724" s="227"/>
      <c r="KJS1724" s="227"/>
      <c r="KJT1724" s="227"/>
      <c r="KJU1724" s="227"/>
      <c r="KJV1724" s="227"/>
      <c r="KJW1724" s="227"/>
      <c r="KJX1724" s="227"/>
      <c r="KJY1724" s="227"/>
      <c r="KJZ1724" s="227"/>
      <c r="KKA1724" s="227"/>
      <c r="KKB1724" s="227"/>
      <c r="KKC1724" s="227"/>
      <c r="KKD1724" s="227"/>
      <c r="KKE1724" s="227"/>
      <c r="KKF1724" s="227"/>
      <c r="KKG1724" s="227"/>
      <c r="KKH1724" s="227"/>
      <c r="KKI1724" s="227"/>
      <c r="KKJ1724" s="227"/>
      <c r="KKK1724" s="227"/>
      <c r="KKL1724" s="227"/>
      <c r="KKM1724" s="227"/>
      <c r="KKN1724" s="227"/>
      <c r="KKO1724" s="227"/>
      <c r="KKP1724" s="227"/>
      <c r="KKQ1724" s="227"/>
      <c r="KKR1724" s="227"/>
      <c r="KKS1724" s="227"/>
      <c r="KKT1724" s="227"/>
      <c r="KKU1724" s="227"/>
      <c r="KKV1724" s="227"/>
      <c r="KKW1724" s="227"/>
      <c r="KKX1724" s="227"/>
      <c r="KKY1724" s="227"/>
      <c r="KKZ1724" s="227"/>
      <c r="KLA1724" s="227"/>
      <c r="KLB1724" s="227"/>
      <c r="KLC1724" s="227"/>
      <c r="KLD1724" s="227"/>
      <c r="KLE1724" s="227"/>
      <c r="KLF1724" s="227"/>
      <c r="KLG1724" s="227"/>
      <c r="KLH1724" s="227"/>
      <c r="KLI1724" s="227"/>
      <c r="KLJ1724" s="227"/>
      <c r="KLK1724" s="227"/>
      <c r="KLL1724" s="227"/>
      <c r="KLM1724" s="227"/>
      <c r="KLN1724" s="227"/>
      <c r="KLO1724" s="227"/>
      <c r="KLP1724" s="227"/>
      <c r="KLQ1724" s="227"/>
      <c r="KLR1724" s="227"/>
      <c r="KLS1724" s="227"/>
      <c r="KLT1724" s="227"/>
      <c r="KLU1724" s="227"/>
      <c r="KLV1724" s="227"/>
      <c r="KLW1724" s="227"/>
      <c r="KLX1724" s="227"/>
      <c r="KLY1724" s="227"/>
      <c r="KLZ1724" s="227"/>
      <c r="KMA1724" s="227"/>
      <c r="KMB1724" s="227"/>
      <c r="KMC1724" s="227"/>
      <c r="KMD1724" s="227"/>
      <c r="KME1724" s="227"/>
      <c r="KMF1724" s="227"/>
      <c r="KMG1724" s="227"/>
      <c r="KMH1724" s="227"/>
      <c r="KMI1724" s="227"/>
      <c r="KMJ1724" s="227"/>
      <c r="KMK1724" s="227"/>
      <c r="KML1724" s="227"/>
      <c r="KMM1724" s="227"/>
      <c r="KMN1724" s="227"/>
      <c r="KMO1724" s="227"/>
      <c r="KMP1724" s="227"/>
      <c r="KMQ1724" s="227"/>
      <c r="KMR1724" s="227"/>
      <c r="KMS1724" s="227"/>
      <c r="KMT1724" s="227"/>
      <c r="KMU1724" s="227"/>
      <c r="KMV1724" s="227"/>
      <c r="KMW1724" s="227"/>
      <c r="KMX1724" s="227"/>
      <c r="KMY1724" s="227"/>
      <c r="KMZ1724" s="227"/>
      <c r="KNA1724" s="227"/>
      <c r="KNB1724" s="227"/>
      <c r="KNC1724" s="227"/>
      <c r="KND1724" s="227"/>
      <c r="KNE1724" s="227"/>
      <c r="KNF1724" s="227"/>
      <c r="KNG1724" s="227"/>
      <c r="KNH1724" s="227"/>
      <c r="KNI1724" s="227"/>
      <c r="KNJ1724" s="227"/>
      <c r="KNK1724" s="227"/>
      <c r="KNL1724" s="227"/>
      <c r="KNM1724" s="227"/>
      <c r="KNN1724" s="227"/>
      <c r="KNO1724" s="227"/>
      <c r="KNP1724" s="227"/>
      <c r="KNQ1724" s="227"/>
      <c r="KNR1724" s="227"/>
      <c r="KNS1724" s="227"/>
      <c r="KNT1724" s="227"/>
      <c r="KNU1724" s="227"/>
      <c r="KNV1724" s="227"/>
      <c r="KNW1724" s="227"/>
      <c r="KNX1724" s="227"/>
      <c r="KNY1724" s="227"/>
      <c r="KNZ1724" s="227"/>
      <c r="KOA1724" s="227"/>
      <c r="KOB1724" s="227"/>
      <c r="KOC1724" s="227"/>
      <c r="KOD1724" s="227"/>
      <c r="KOE1724" s="227"/>
      <c r="KOF1724" s="227"/>
      <c r="KOG1724" s="227"/>
      <c r="KOH1724" s="227"/>
      <c r="KOI1724" s="227"/>
      <c r="KOJ1724" s="227"/>
      <c r="KOK1724" s="227"/>
      <c r="KOL1724" s="227"/>
      <c r="KOM1724" s="227"/>
      <c r="KON1724" s="227"/>
      <c r="KOO1724" s="227"/>
      <c r="KOP1724" s="227"/>
      <c r="KOQ1724" s="227"/>
      <c r="KOR1724" s="227"/>
      <c r="KOS1724" s="227"/>
      <c r="KOT1724" s="227"/>
      <c r="KOU1724" s="227"/>
      <c r="KOV1724" s="227"/>
      <c r="KOW1724" s="227"/>
      <c r="KOX1724" s="227"/>
      <c r="KOY1724" s="227"/>
      <c r="KOZ1724" s="227"/>
      <c r="KPA1724" s="227"/>
      <c r="KPB1724" s="227"/>
      <c r="KPC1724" s="227"/>
      <c r="KPD1724" s="227"/>
      <c r="KPE1724" s="227"/>
      <c r="KPF1724" s="227"/>
      <c r="KPG1724" s="227"/>
      <c r="KPH1724" s="227"/>
      <c r="KPI1724" s="227"/>
      <c r="KPJ1724" s="227"/>
      <c r="KPK1724" s="227"/>
      <c r="KPL1724" s="227"/>
      <c r="KPM1724" s="227"/>
      <c r="KPN1724" s="227"/>
      <c r="KPO1724" s="227"/>
      <c r="KPP1724" s="227"/>
      <c r="KPQ1724" s="227"/>
      <c r="KPR1724" s="227"/>
      <c r="KPS1724" s="227"/>
      <c r="KPT1724" s="227"/>
      <c r="KPU1724" s="227"/>
      <c r="KPV1724" s="227"/>
      <c r="KPW1724" s="227"/>
      <c r="KPX1724" s="227"/>
      <c r="KPY1724" s="227"/>
      <c r="KPZ1724" s="227"/>
      <c r="KQA1724" s="227"/>
      <c r="KQB1724" s="227"/>
      <c r="KQC1724" s="227"/>
      <c r="KQD1724" s="227"/>
      <c r="KQE1724" s="227"/>
      <c r="KQF1724" s="227"/>
      <c r="KQG1724" s="227"/>
      <c r="KQH1724" s="227"/>
      <c r="KQI1724" s="227"/>
      <c r="KQJ1724" s="227"/>
      <c r="KQK1724" s="227"/>
      <c r="KQL1724" s="227"/>
      <c r="KQM1724" s="227"/>
      <c r="KQN1724" s="227"/>
      <c r="KQO1724" s="227"/>
      <c r="KQP1724" s="227"/>
      <c r="KQQ1724" s="227"/>
      <c r="KQR1724" s="227"/>
      <c r="KQS1724" s="227"/>
      <c r="KQT1724" s="227"/>
      <c r="KQU1724" s="227"/>
      <c r="KQV1724" s="227"/>
      <c r="KQW1724" s="227"/>
      <c r="KQX1724" s="227"/>
      <c r="KQY1724" s="227"/>
      <c r="KQZ1724" s="227"/>
      <c r="KRA1724" s="227"/>
      <c r="KRB1724" s="227"/>
      <c r="KRC1724" s="227"/>
      <c r="KRD1724" s="227"/>
      <c r="KRE1724" s="227"/>
      <c r="KRF1724" s="227"/>
      <c r="KRG1724" s="227"/>
      <c r="KRH1724" s="227"/>
      <c r="KRI1724" s="227"/>
      <c r="KRJ1724" s="227"/>
      <c r="KRK1724" s="227"/>
      <c r="KRL1724" s="227"/>
      <c r="KRM1724" s="227"/>
      <c r="KRN1724" s="227"/>
      <c r="KRO1724" s="227"/>
      <c r="KRP1724" s="227"/>
      <c r="KRQ1724" s="227"/>
      <c r="KRR1724" s="227"/>
      <c r="KRS1724" s="227"/>
      <c r="KRT1724" s="227"/>
      <c r="KRU1724" s="227"/>
      <c r="KRV1724" s="227"/>
      <c r="KRW1724" s="227"/>
      <c r="KRX1724" s="227"/>
      <c r="KRY1724" s="227"/>
      <c r="KRZ1724" s="227"/>
      <c r="KSA1724" s="227"/>
      <c r="KSB1724" s="227"/>
      <c r="KSC1724" s="227"/>
      <c r="KSD1724" s="227"/>
      <c r="KSE1724" s="227"/>
      <c r="KSF1724" s="227"/>
      <c r="KSG1724" s="227"/>
      <c r="KSH1724" s="227"/>
      <c r="KSI1724" s="227"/>
      <c r="KSJ1724" s="227"/>
      <c r="KSK1724" s="227"/>
      <c r="KSL1724" s="227"/>
      <c r="KSM1724" s="227"/>
      <c r="KSN1724" s="227"/>
      <c r="KSO1724" s="227"/>
      <c r="KSP1724" s="227"/>
      <c r="KSQ1724" s="227"/>
      <c r="KSR1724" s="227"/>
      <c r="KSS1724" s="227"/>
      <c r="KST1724" s="227"/>
      <c r="KSU1724" s="227"/>
      <c r="KSV1724" s="227"/>
      <c r="KSW1724" s="227"/>
      <c r="KSX1724" s="227"/>
      <c r="KSY1724" s="227"/>
      <c r="KSZ1724" s="227"/>
      <c r="KTA1724" s="227"/>
      <c r="KTB1724" s="227"/>
      <c r="KTC1724" s="227"/>
      <c r="KTD1724" s="227"/>
      <c r="KTE1724" s="227"/>
      <c r="KTF1724" s="227"/>
      <c r="KTG1724" s="227"/>
      <c r="KTH1724" s="227"/>
      <c r="KTI1724" s="227"/>
      <c r="KTJ1724" s="227"/>
      <c r="KTK1724" s="227"/>
      <c r="KTL1724" s="227"/>
      <c r="KTM1724" s="227"/>
      <c r="KTN1724" s="227"/>
      <c r="KTO1724" s="227"/>
      <c r="KTP1724" s="227"/>
      <c r="KTQ1724" s="227"/>
      <c r="KTR1724" s="227"/>
      <c r="KTS1724" s="227"/>
      <c r="KTT1724" s="227"/>
      <c r="KTU1724" s="227"/>
      <c r="KTV1724" s="227"/>
      <c r="KTW1724" s="227"/>
      <c r="KTX1724" s="227"/>
      <c r="KTY1724" s="227"/>
      <c r="KTZ1724" s="227"/>
      <c r="KUA1724" s="227"/>
      <c r="KUB1724" s="227"/>
      <c r="KUC1724" s="227"/>
      <c r="KUD1724" s="227"/>
      <c r="KUE1724" s="227"/>
      <c r="KUF1724" s="227"/>
      <c r="KUG1724" s="227"/>
      <c r="KUH1724" s="227"/>
      <c r="KUI1724" s="227"/>
      <c r="KUJ1724" s="227"/>
      <c r="KUK1724" s="227"/>
      <c r="KUL1724" s="227"/>
      <c r="KUM1724" s="227"/>
      <c r="KUN1724" s="227"/>
      <c r="KUO1724" s="227"/>
      <c r="KUP1724" s="227"/>
      <c r="KUQ1724" s="227"/>
      <c r="KUR1724" s="227"/>
      <c r="KUS1724" s="227"/>
      <c r="KUT1724" s="227"/>
      <c r="KUU1724" s="227"/>
      <c r="KUV1724" s="227"/>
      <c r="KUW1724" s="227"/>
      <c r="KUX1724" s="227"/>
      <c r="KUY1724" s="227"/>
      <c r="KUZ1724" s="227"/>
      <c r="KVA1724" s="227"/>
      <c r="KVB1724" s="227"/>
      <c r="KVC1724" s="227"/>
      <c r="KVD1724" s="227"/>
      <c r="KVE1724" s="227"/>
      <c r="KVF1724" s="227"/>
      <c r="KVG1724" s="227"/>
      <c r="KVH1724" s="227"/>
      <c r="KVI1724" s="227"/>
      <c r="KVJ1724" s="227"/>
      <c r="KVK1724" s="227"/>
      <c r="KVL1724" s="227"/>
      <c r="KVM1724" s="227"/>
      <c r="KVN1724" s="227"/>
      <c r="KVO1724" s="227"/>
      <c r="KVP1724" s="227"/>
      <c r="KVQ1724" s="227"/>
      <c r="KVR1724" s="227"/>
      <c r="KVS1724" s="227"/>
      <c r="KVT1724" s="227"/>
      <c r="KVU1724" s="227"/>
      <c r="KVV1724" s="227"/>
      <c r="KVW1724" s="227"/>
      <c r="KVX1724" s="227"/>
      <c r="KVY1724" s="227"/>
      <c r="KVZ1724" s="227"/>
      <c r="KWA1724" s="227"/>
      <c r="KWB1724" s="227"/>
      <c r="KWC1724" s="227"/>
      <c r="KWD1724" s="227"/>
      <c r="KWE1724" s="227"/>
      <c r="KWF1724" s="227"/>
      <c r="KWG1724" s="227"/>
      <c r="KWH1724" s="227"/>
      <c r="KWI1724" s="227"/>
      <c r="KWJ1724" s="227"/>
      <c r="KWK1724" s="227"/>
      <c r="KWL1724" s="227"/>
      <c r="KWM1724" s="227"/>
      <c r="KWN1724" s="227"/>
      <c r="KWO1724" s="227"/>
      <c r="KWP1724" s="227"/>
      <c r="KWQ1724" s="227"/>
      <c r="KWR1724" s="227"/>
      <c r="KWS1724" s="227"/>
      <c r="KWT1724" s="227"/>
      <c r="KWU1724" s="227"/>
      <c r="KWV1724" s="227"/>
      <c r="KWW1724" s="227"/>
      <c r="KWX1724" s="227"/>
      <c r="KWY1724" s="227"/>
      <c r="KWZ1724" s="227"/>
      <c r="KXA1724" s="227"/>
      <c r="KXB1724" s="227"/>
      <c r="KXC1724" s="227"/>
      <c r="KXD1724" s="227"/>
      <c r="KXE1724" s="227"/>
      <c r="KXF1724" s="227"/>
      <c r="KXG1724" s="227"/>
      <c r="KXH1724" s="227"/>
      <c r="KXI1724" s="227"/>
      <c r="KXJ1724" s="227"/>
      <c r="KXK1724" s="227"/>
      <c r="KXL1724" s="227"/>
      <c r="KXM1724" s="227"/>
      <c r="KXN1724" s="227"/>
      <c r="KXO1724" s="227"/>
      <c r="KXP1724" s="227"/>
      <c r="KXQ1724" s="227"/>
      <c r="KXR1724" s="227"/>
      <c r="KXS1724" s="227"/>
      <c r="KXT1724" s="227"/>
      <c r="KXU1724" s="227"/>
      <c r="KXV1724" s="227"/>
      <c r="KXW1724" s="227"/>
      <c r="KXX1724" s="227"/>
      <c r="KXY1724" s="227"/>
      <c r="KXZ1724" s="227"/>
      <c r="KYA1724" s="227"/>
      <c r="KYB1724" s="227"/>
      <c r="KYC1724" s="227"/>
      <c r="KYD1724" s="227"/>
      <c r="KYE1724" s="227"/>
      <c r="KYF1724" s="227"/>
      <c r="KYG1724" s="227"/>
      <c r="KYH1724" s="227"/>
      <c r="KYI1724" s="227"/>
      <c r="KYJ1724" s="227"/>
      <c r="KYK1724" s="227"/>
      <c r="KYL1724" s="227"/>
      <c r="KYM1724" s="227"/>
      <c r="KYN1724" s="227"/>
      <c r="KYO1724" s="227"/>
      <c r="KYP1724" s="227"/>
      <c r="KYQ1724" s="227"/>
      <c r="KYR1724" s="227"/>
      <c r="KYS1724" s="227"/>
      <c r="KYT1724" s="227"/>
      <c r="KYU1724" s="227"/>
      <c r="KYV1724" s="227"/>
      <c r="KYW1724" s="227"/>
      <c r="KYX1724" s="227"/>
      <c r="KYY1724" s="227"/>
      <c r="KYZ1724" s="227"/>
      <c r="KZA1724" s="227"/>
      <c r="KZB1724" s="227"/>
      <c r="KZC1724" s="227"/>
      <c r="KZD1724" s="227"/>
      <c r="KZE1724" s="227"/>
      <c r="KZF1724" s="227"/>
      <c r="KZG1724" s="227"/>
      <c r="KZH1724" s="227"/>
      <c r="KZI1724" s="227"/>
      <c r="KZJ1724" s="227"/>
      <c r="KZK1724" s="227"/>
      <c r="KZL1724" s="227"/>
      <c r="KZM1724" s="227"/>
      <c r="KZN1724" s="227"/>
      <c r="KZO1724" s="227"/>
      <c r="KZP1724" s="227"/>
      <c r="KZQ1724" s="227"/>
      <c r="KZR1724" s="227"/>
      <c r="KZS1724" s="227"/>
      <c r="KZT1724" s="227"/>
      <c r="KZU1724" s="227"/>
      <c r="KZV1724" s="227"/>
      <c r="KZW1724" s="227"/>
      <c r="KZX1724" s="227"/>
      <c r="KZY1724" s="227"/>
      <c r="KZZ1724" s="227"/>
      <c r="LAA1724" s="227"/>
      <c r="LAB1724" s="227"/>
      <c r="LAC1724" s="227"/>
      <c r="LAD1724" s="227"/>
      <c r="LAE1724" s="227"/>
      <c r="LAF1724" s="227"/>
      <c r="LAG1724" s="227"/>
      <c r="LAH1724" s="227"/>
      <c r="LAI1724" s="227"/>
      <c r="LAJ1724" s="227"/>
      <c r="LAK1724" s="227"/>
      <c r="LAL1724" s="227"/>
      <c r="LAM1724" s="227"/>
      <c r="LAN1724" s="227"/>
      <c r="LAO1724" s="227"/>
      <c r="LAP1724" s="227"/>
      <c r="LAQ1724" s="227"/>
      <c r="LAR1724" s="227"/>
      <c r="LAS1724" s="227"/>
      <c r="LAT1724" s="227"/>
      <c r="LAU1724" s="227"/>
      <c r="LAV1724" s="227"/>
      <c r="LAW1724" s="227"/>
      <c r="LAX1724" s="227"/>
      <c r="LAY1724" s="227"/>
      <c r="LAZ1724" s="227"/>
      <c r="LBA1724" s="227"/>
      <c r="LBB1724" s="227"/>
      <c r="LBC1724" s="227"/>
      <c r="LBD1724" s="227"/>
      <c r="LBE1724" s="227"/>
      <c r="LBF1724" s="227"/>
      <c r="LBG1724" s="227"/>
      <c r="LBH1724" s="227"/>
      <c r="LBI1724" s="227"/>
      <c r="LBJ1724" s="227"/>
      <c r="LBK1724" s="227"/>
      <c r="LBL1724" s="227"/>
      <c r="LBM1724" s="227"/>
      <c r="LBN1724" s="227"/>
      <c r="LBO1724" s="227"/>
      <c r="LBP1724" s="227"/>
      <c r="LBQ1724" s="227"/>
      <c r="LBR1724" s="227"/>
      <c r="LBS1724" s="227"/>
      <c r="LBT1724" s="227"/>
      <c r="LBU1724" s="227"/>
      <c r="LBV1724" s="227"/>
      <c r="LBW1724" s="227"/>
      <c r="LBX1724" s="227"/>
      <c r="LBY1724" s="227"/>
      <c r="LBZ1724" s="227"/>
      <c r="LCA1724" s="227"/>
      <c r="LCB1724" s="227"/>
      <c r="LCC1724" s="227"/>
      <c r="LCD1724" s="227"/>
      <c r="LCE1724" s="227"/>
      <c r="LCF1724" s="227"/>
      <c r="LCG1724" s="227"/>
      <c r="LCH1724" s="227"/>
      <c r="LCI1724" s="227"/>
      <c r="LCJ1724" s="227"/>
      <c r="LCK1724" s="227"/>
      <c r="LCL1724" s="227"/>
      <c r="LCM1724" s="227"/>
      <c r="LCN1724" s="227"/>
      <c r="LCO1724" s="227"/>
      <c r="LCP1724" s="227"/>
      <c r="LCQ1724" s="227"/>
      <c r="LCR1724" s="227"/>
      <c r="LCS1724" s="227"/>
      <c r="LCT1724" s="227"/>
      <c r="LCU1724" s="227"/>
      <c r="LCV1724" s="227"/>
      <c r="LCW1724" s="227"/>
      <c r="LCX1724" s="227"/>
      <c r="LCY1724" s="227"/>
      <c r="LCZ1724" s="227"/>
      <c r="LDA1724" s="227"/>
      <c r="LDB1724" s="227"/>
      <c r="LDC1724" s="227"/>
      <c r="LDD1724" s="227"/>
      <c r="LDE1724" s="227"/>
      <c r="LDF1724" s="227"/>
      <c r="LDG1724" s="227"/>
      <c r="LDH1724" s="227"/>
      <c r="LDI1724" s="227"/>
      <c r="LDJ1724" s="227"/>
      <c r="LDK1724" s="227"/>
      <c r="LDL1724" s="227"/>
      <c r="LDM1724" s="227"/>
      <c r="LDN1724" s="227"/>
      <c r="LDO1724" s="227"/>
      <c r="LDP1724" s="227"/>
      <c r="LDQ1724" s="227"/>
      <c r="LDR1724" s="227"/>
      <c r="LDS1724" s="227"/>
      <c r="LDT1724" s="227"/>
      <c r="LDU1724" s="227"/>
      <c r="LDV1724" s="227"/>
      <c r="LDW1724" s="227"/>
      <c r="LDX1724" s="227"/>
      <c r="LDY1724" s="227"/>
      <c r="LDZ1724" s="227"/>
      <c r="LEA1724" s="227"/>
      <c r="LEB1724" s="227"/>
      <c r="LEC1724" s="227"/>
      <c r="LED1724" s="227"/>
      <c r="LEE1724" s="227"/>
      <c r="LEF1724" s="227"/>
      <c r="LEG1724" s="227"/>
      <c r="LEH1724" s="227"/>
      <c r="LEI1724" s="227"/>
      <c r="LEJ1724" s="227"/>
      <c r="LEK1724" s="227"/>
      <c r="LEL1724" s="227"/>
      <c r="LEM1724" s="227"/>
      <c r="LEN1724" s="227"/>
      <c r="LEO1724" s="227"/>
      <c r="LEP1724" s="227"/>
      <c r="LEQ1724" s="227"/>
      <c r="LER1724" s="227"/>
      <c r="LES1724" s="227"/>
      <c r="LET1724" s="227"/>
      <c r="LEU1724" s="227"/>
      <c r="LEV1724" s="227"/>
      <c r="LEW1724" s="227"/>
      <c r="LEX1724" s="227"/>
      <c r="LEY1724" s="227"/>
      <c r="LEZ1724" s="227"/>
      <c r="LFA1724" s="227"/>
      <c r="LFB1724" s="227"/>
      <c r="LFC1724" s="227"/>
      <c r="LFD1724" s="227"/>
      <c r="LFE1724" s="227"/>
      <c r="LFF1724" s="227"/>
      <c r="LFG1724" s="227"/>
      <c r="LFH1724" s="227"/>
      <c r="LFI1724" s="227"/>
      <c r="LFJ1724" s="227"/>
      <c r="LFK1724" s="227"/>
      <c r="LFL1724" s="227"/>
      <c r="LFM1724" s="227"/>
      <c r="LFN1724" s="227"/>
      <c r="LFO1724" s="227"/>
      <c r="LFP1724" s="227"/>
      <c r="LFQ1724" s="227"/>
      <c r="LFR1724" s="227"/>
      <c r="LFS1724" s="227"/>
      <c r="LFT1724" s="227"/>
      <c r="LFU1724" s="227"/>
      <c r="LFV1724" s="227"/>
      <c r="LFW1724" s="227"/>
      <c r="LFX1724" s="227"/>
      <c r="LFY1724" s="227"/>
      <c r="LFZ1724" s="227"/>
      <c r="LGA1724" s="227"/>
      <c r="LGB1724" s="227"/>
      <c r="LGC1724" s="227"/>
      <c r="LGD1724" s="227"/>
      <c r="LGE1724" s="227"/>
      <c r="LGF1724" s="227"/>
      <c r="LGG1724" s="227"/>
      <c r="LGH1724" s="227"/>
      <c r="LGI1724" s="227"/>
      <c r="LGJ1724" s="227"/>
      <c r="LGK1724" s="227"/>
      <c r="LGL1724" s="227"/>
      <c r="LGM1724" s="227"/>
      <c r="LGN1724" s="227"/>
      <c r="LGO1724" s="227"/>
      <c r="LGP1724" s="227"/>
      <c r="LGQ1724" s="227"/>
      <c r="LGR1724" s="227"/>
      <c r="LGS1724" s="227"/>
      <c r="LGT1724" s="227"/>
      <c r="LGU1724" s="227"/>
      <c r="LGV1724" s="227"/>
      <c r="LGW1724" s="227"/>
      <c r="LGX1724" s="227"/>
      <c r="LGY1724" s="227"/>
      <c r="LGZ1724" s="227"/>
      <c r="LHA1724" s="227"/>
      <c r="LHB1724" s="227"/>
      <c r="LHC1724" s="227"/>
      <c r="LHD1724" s="227"/>
      <c r="LHE1724" s="227"/>
      <c r="LHF1724" s="227"/>
      <c r="LHG1724" s="227"/>
      <c r="LHH1724" s="227"/>
      <c r="LHI1724" s="227"/>
      <c r="LHJ1724" s="227"/>
      <c r="LHK1724" s="227"/>
      <c r="LHL1724" s="227"/>
      <c r="LHM1724" s="227"/>
      <c r="LHN1724" s="227"/>
      <c r="LHO1724" s="227"/>
      <c r="LHP1724" s="227"/>
      <c r="LHQ1724" s="227"/>
      <c r="LHR1724" s="227"/>
      <c r="LHS1724" s="227"/>
      <c r="LHT1724" s="227"/>
      <c r="LHU1724" s="227"/>
      <c r="LHV1724" s="227"/>
      <c r="LHW1724" s="227"/>
      <c r="LHX1724" s="227"/>
      <c r="LHY1724" s="227"/>
      <c r="LHZ1724" s="227"/>
      <c r="LIA1724" s="227"/>
      <c r="LIB1724" s="227"/>
      <c r="LIC1724" s="227"/>
      <c r="LID1724" s="227"/>
      <c r="LIE1724" s="227"/>
      <c r="LIF1724" s="227"/>
      <c r="LIG1724" s="227"/>
      <c r="LIH1724" s="227"/>
      <c r="LII1724" s="227"/>
      <c r="LIJ1724" s="227"/>
      <c r="LIK1724" s="227"/>
      <c r="LIL1724" s="227"/>
      <c r="LIM1724" s="227"/>
      <c r="LIN1724" s="227"/>
      <c r="LIO1724" s="227"/>
      <c r="LIP1724" s="227"/>
      <c r="LIQ1724" s="227"/>
      <c r="LIR1724" s="227"/>
      <c r="LIS1724" s="227"/>
      <c r="LIT1724" s="227"/>
      <c r="LIU1724" s="227"/>
      <c r="LIV1724" s="227"/>
      <c r="LIW1724" s="227"/>
      <c r="LIX1724" s="227"/>
      <c r="LIY1724" s="227"/>
      <c r="LIZ1724" s="227"/>
      <c r="LJA1724" s="227"/>
      <c r="LJB1724" s="227"/>
      <c r="LJC1724" s="227"/>
      <c r="LJD1724" s="227"/>
      <c r="LJE1724" s="227"/>
      <c r="LJF1724" s="227"/>
      <c r="LJG1724" s="227"/>
      <c r="LJH1724" s="227"/>
      <c r="LJI1724" s="227"/>
      <c r="LJJ1724" s="227"/>
      <c r="LJK1724" s="227"/>
      <c r="LJL1724" s="227"/>
      <c r="LJM1724" s="227"/>
      <c r="LJN1724" s="227"/>
      <c r="LJO1724" s="227"/>
      <c r="LJP1724" s="227"/>
      <c r="LJQ1724" s="227"/>
      <c r="LJR1724" s="227"/>
      <c r="LJS1724" s="227"/>
      <c r="LJT1724" s="227"/>
      <c r="LJU1724" s="227"/>
      <c r="LJV1724" s="227"/>
      <c r="LJW1724" s="227"/>
      <c r="LJX1724" s="227"/>
      <c r="LJY1724" s="227"/>
      <c r="LJZ1724" s="227"/>
      <c r="LKA1724" s="227"/>
      <c r="LKB1724" s="227"/>
      <c r="LKC1724" s="227"/>
      <c r="LKD1724" s="227"/>
      <c r="LKE1724" s="227"/>
      <c r="LKF1724" s="227"/>
      <c r="LKG1724" s="227"/>
      <c r="LKH1724" s="227"/>
      <c r="LKI1724" s="227"/>
      <c r="LKJ1724" s="227"/>
      <c r="LKK1724" s="227"/>
      <c r="LKL1724" s="227"/>
      <c r="LKM1724" s="227"/>
      <c r="LKN1724" s="227"/>
      <c r="LKO1724" s="227"/>
      <c r="LKP1724" s="227"/>
      <c r="LKQ1724" s="227"/>
      <c r="LKR1724" s="227"/>
      <c r="LKS1724" s="227"/>
      <c r="LKT1724" s="227"/>
      <c r="LKU1724" s="227"/>
      <c r="LKV1724" s="227"/>
      <c r="LKW1724" s="227"/>
      <c r="LKX1724" s="227"/>
      <c r="LKY1724" s="227"/>
      <c r="LKZ1724" s="227"/>
      <c r="LLA1724" s="227"/>
      <c r="LLB1724" s="227"/>
      <c r="LLC1724" s="227"/>
      <c r="LLD1724" s="227"/>
      <c r="LLE1724" s="227"/>
      <c r="LLF1724" s="227"/>
      <c r="LLG1724" s="227"/>
      <c r="LLH1724" s="227"/>
      <c r="LLI1724" s="227"/>
      <c r="LLJ1724" s="227"/>
      <c r="LLK1724" s="227"/>
      <c r="LLL1724" s="227"/>
      <c r="LLM1724" s="227"/>
      <c r="LLN1724" s="227"/>
      <c r="LLO1724" s="227"/>
      <c r="LLP1724" s="227"/>
      <c r="LLQ1724" s="227"/>
      <c r="LLR1724" s="227"/>
      <c r="LLS1724" s="227"/>
      <c r="LLT1724" s="227"/>
      <c r="LLU1724" s="227"/>
      <c r="LLV1724" s="227"/>
      <c r="LLW1724" s="227"/>
      <c r="LLX1724" s="227"/>
      <c r="LLY1724" s="227"/>
      <c r="LLZ1724" s="227"/>
      <c r="LMA1724" s="227"/>
      <c r="LMB1724" s="227"/>
      <c r="LMC1724" s="227"/>
      <c r="LMD1724" s="227"/>
      <c r="LME1724" s="227"/>
      <c r="LMF1724" s="227"/>
      <c r="LMG1724" s="227"/>
      <c r="LMH1724" s="227"/>
      <c r="LMI1724" s="227"/>
      <c r="LMJ1724" s="227"/>
      <c r="LMK1724" s="227"/>
      <c r="LML1724" s="227"/>
      <c r="LMM1724" s="227"/>
      <c r="LMN1724" s="227"/>
      <c r="LMO1724" s="227"/>
      <c r="LMP1724" s="227"/>
      <c r="LMQ1724" s="227"/>
      <c r="LMR1724" s="227"/>
      <c r="LMS1724" s="227"/>
      <c r="LMT1724" s="227"/>
      <c r="LMU1724" s="227"/>
      <c r="LMV1724" s="227"/>
      <c r="LMW1724" s="227"/>
      <c r="LMX1724" s="227"/>
      <c r="LMY1724" s="227"/>
      <c r="LMZ1724" s="227"/>
      <c r="LNA1724" s="227"/>
      <c r="LNB1724" s="227"/>
      <c r="LNC1724" s="227"/>
      <c r="LND1724" s="227"/>
      <c r="LNE1724" s="227"/>
      <c r="LNF1724" s="227"/>
      <c r="LNG1724" s="227"/>
      <c r="LNH1724" s="227"/>
      <c r="LNI1724" s="227"/>
      <c r="LNJ1724" s="227"/>
      <c r="LNK1724" s="227"/>
      <c r="LNL1724" s="227"/>
      <c r="LNM1724" s="227"/>
      <c r="LNN1724" s="227"/>
      <c r="LNO1724" s="227"/>
      <c r="LNP1724" s="227"/>
      <c r="LNQ1724" s="227"/>
      <c r="LNR1724" s="227"/>
      <c r="LNS1724" s="227"/>
      <c r="LNT1724" s="227"/>
      <c r="LNU1724" s="227"/>
      <c r="LNV1724" s="227"/>
      <c r="LNW1724" s="227"/>
      <c r="LNX1724" s="227"/>
      <c r="LNY1724" s="227"/>
      <c r="LNZ1724" s="227"/>
      <c r="LOA1724" s="227"/>
      <c r="LOB1724" s="227"/>
      <c r="LOC1724" s="227"/>
      <c r="LOD1724" s="227"/>
      <c r="LOE1724" s="227"/>
      <c r="LOF1724" s="227"/>
      <c r="LOG1724" s="227"/>
      <c r="LOH1724" s="227"/>
      <c r="LOI1724" s="227"/>
      <c r="LOJ1724" s="227"/>
      <c r="LOK1724" s="227"/>
      <c r="LOL1724" s="227"/>
      <c r="LOM1724" s="227"/>
      <c r="LON1724" s="227"/>
      <c r="LOO1724" s="227"/>
      <c r="LOP1724" s="227"/>
      <c r="LOQ1724" s="227"/>
      <c r="LOR1724" s="227"/>
      <c r="LOS1724" s="227"/>
      <c r="LOT1724" s="227"/>
      <c r="LOU1724" s="227"/>
      <c r="LOV1724" s="227"/>
      <c r="LOW1724" s="227"/>
      <c r="LOX1724" s="227"/>
      <c r="LOY1724" s="227"/>
      <c r="LOZ1724" s="227"/>
      <c r="LPA1724" s="227"/>
      <c r="LPB1724" s="227"/>
      <c r="LPC1724" s="227"/>
      <c r="LPD1724" s="227"/>
      <c r="LPE1724" s="227"/>
      <c r="LPF1724" s="227"/>
      <c r="LPG1724" s="227"/>
      <c r="LPH1724" s="227"/>
      <c r="LPI1724" s="227"/>
      <c r="LPJ1724" s="227"/>
      <c r="LPK1724" s="227"/>
      <c r="LPL1724" s="227"/>
      <c r="LPM1724" s="227"/>
      <c r="LPN1724" s="227"/>
      <c r="LPO1724" s="227"/>
      <c r="LPP1724" s="227"/>
      <c r="LPQ1724" s="227"/>
      <c r="LPR1724" s="227"/>
      <c r="LPS1724" s="227"/>
      <c r="LPT1724" s="227"/>
      <c r="LPU1724" s="227"/>
      <c r="LPV1724" s="227"/>
      <c r="LPW1724" s="227"/>
      <c r="LPX1724" s="227"/>
      <c r="LPY1724" s="227"/>
      <c r="LPZ1724" s="227"/>
      <c r="LQA1724" s="227"/>
      <c r="LQB1724" s="227"/>
      <c r="LQC1724" s="227"/>
      <c r="LQD1724" s="227"/>
      <c r="LQE1724" s="227"/>
      <c r="LQF1724" s="227"/>
      <c r="LQG1724" s="227"/>
      <c r="LQH1724" s="227"/>
      <c r="LQI1724" s="227"/>
      <c r="LQJ1724" s="227"/>
      <c r="LQK1724" s="227"/>
      <c r="LQL1724" s="227"/>
      <c r="LQM1724" s="227"/>
      <c r="LQN1724" s="227"/>
      <c r="LQO1724" s="227"/>
      <c r="LQP1724" s="227"/>
      <c r="LQQ1724" s="227"/>
      <c r="LQR1724" s="227"/>
      <c r="LQS1724" s="227"/>
      <c r="LQT1724" s="227"/>
      <c r="LQU1724" s="227"/>
      <c r="LQV1724" s="227"/>
      <c r="LQW1724" s="227"/>
      <c r="LQX1724" s="227"/>
      <c r="LQY1724" s="227"/>
      <c r="LQZ1724" s="227"/>
      <c r="LRA1724" s="227"/>
      <c r="LRB1724" s="227"/>
      <c r="LRC1724" s="227"/>
      <c r="LRD1724" s="227"/>
      <c r="LRE1724" s="227"/>
      <c r="LRF1724" s="227"/>
      <c r="LRG1724" s="227"/>
      <c r="LRH1724" s="227"/>
      <c r="LRI1724" s="227"/>
      <c r="LRJ1724" s="227"/>
      <c r="LRK1724" s="227"/>
      <c r="LRL1724" s="227"/>
      <c r="LRM1724" s="227"/>
      <c r="LRN1724" s="227"/>
      <c r="LRO1724" s="227"/>
      <c r="LRP1724" s="227"/>
      <c r="LRQ1724" s="227"/>
      <c r="LRR1724" s="227"/>
      <c r="LRS1724" s="227"/>
      <c r="LRT1724" s="227"/>
      <c r="LRU1724" s="227"/>
      <c r="LRV1724" s="227"/>
      <c r="LRW1724" s="227"/>
      <c r="LRX1724" s="227"/>
      <c r="LRY1724" s="227"/>
      <c r="LRZ1724" s="227"/>
      <c r="LSA1724" s="227"/>
      <c r="LSB1724" s="227"/>
      <c r="LSC1724" s="227"/>
      <c r="LSD1724" s="227"/>
      <c r="LSE1724" s="227"/>
      <c r="LSF1724" s="227"/>
      <c r="LSG1724" s="227"/>
      <c r="LSH1724" s="227"/>
      <c r="LSI1724" s="227"/>
      <c r="LSJ1724" s="227"/>
      <c r="LSK1724" s="227"/>
      <c r="LSL1724" s="227"/>
      <c r="LSM1724" s="227"/>
      <c r="LSN1724" s="227"/>
      <c r="LSO1724" s="227"/>
      <c r="LSP1724" s="227"/>
      <c r="LSQ1724" s="227"/>
      <c r="LSR1724" s="227"/>
      <c r="LSS1724" s="227"/>
      <c r="LST1724" s="227"/>
      <c r="LSU1724" s="227"/>
      <c r="LSV1724" s="227"/>
      <c r="LSW1724" s="227"/>
      <c r="LSX1724" s="227"/>
      <c r="LSY1724" s="227"/>
      <c r="LSZ1724" s="227"/>
      <c r="LTA1724" s="227"/>
      <c r="LTB1724" s="227"/>
      <c r="LTC1724" s="227"/>
      <c r="LTD1724" s="227"/>
      <c r="LTE1724" s="227"/>
      <c r="LTF1724" s="227"/>
      <c r="LTG1724" s="227"/>
      <c r="LTH1724" s="227"/>
      <c r="LTI1724" s="227"/>
      <c r="LTJ1724" s="227"/>
      <c r="LTK1724" s="227"/>
      <c r="LTL1724" s="227"/>
      <c r="LTM1724" s="227"/>
      <c r="LTN1724" s="227"/>
      <c r="LTO1724" s="227"/>
      <c r="LTP1724" s="227"/>
      <c r="LTQ1724" s="227"/>
      <c r="LTR1724" s="227"/>
      <c r="LTS1724" s="227"/>
      <c r="LTT1724" s="227"/>
      <c r="LTU1724" s="227"/>
      <c r="LTV1724" s="227"/>
      <c r="LTW1724" s="227"/>
      <c r="LTX1724" s="227"/>
      <c r="LTY1724" s="227"/>
      <c r="LTZ1724" s="227"/>
      <c r="LUA1724" s="227"/>
      <c r="LUB1724" s="227"/>
      <c r="LUC1724" s="227"/>
      <c r="LUD1724" s="227"/>
      <c r="LUE1724" s="227"/>
      <c r="LUF1724" s="227"/>
      <c r="LUG1724" s="227"/>
      <c r="LUH1724" s="227"/>
      <c r="LUI1724" s="227"/>
      <c r="LUJ1724" s="227"/>
      <c r="LUK1724" s="227"/>
      <c r="LUL1724" s="227"/>
      <c r="LUM1724" s="227"/>
      <c r="LUN1724" s="227"/>
      <c r="LUO1724" s="227"/>
      <c r="LUP1724" s="227"/>
      <c r="LUQ1724" s="227"/>
      <c r="LUR1724" s="227"/>
      <c r="LUS1724" s="227"/>
      <c r="LUT1724" s="227"/>
      <c r="LUU1724" s="227"/>
      <c r="LUV1724" s="227"/>
      <c r="LUW1724" s="227"/>
      <c r="LUX1724" s="227"/>
      <c r="LUY1724" s="227"/>
      <c r="LUZ1724" s="227"/>
      <c r="LVA1724" s="227"/>
      <c r="LVB1724" s="227"/>
      <c r="LVC1724" s="227"/>
      <c r="LVD1724" s="227"/>
      <c r="LVE1724" s="227"/>
      <c r="LVF1724" s="227"/>
      <c r="LVG1724" s="227"/>
      <c r="LVH1724" s="227"/>
      <c r="LVI1724" s="227"/>
      <c r="LVJ1724" s="227"/>
      <c r="LVK1724" s="227"/>
      <c r="LVL1724" s="227"/>
      <c r="LVM1724" s="227"/>
      <c r="LVN1724" s="227"/>
      <c r="LVO1724" s="227"/>
      <c r="LVP1724" s="227"/>
      <c r="LVQ1724" s="227"/>
      <c r="LVR1724" s="227"/>
      <c r="LVS1724" s="227"/>
      <c r="LVT1724" s="227"/>
      <c r="LVU1724" s="227"/>
      <c r="LVV1724" s="227"/>
      <c r="LVW1724" s="227"/>
      <c r="LVX1724" s="227"/>
      <c r="LVY1724" s="227"/>
      <c r="LVZ1724" s="227"/>
      <c r="LWA1724" s="227"/>
      <c r="LWB1724" s="227"/>
      <c r="LWC1724" s="227"/>
      <c r="LWD1724" s="227"/>
      <c r="LWE1724" s="227"/>
      <c r="LWF1724" s="227"/>
      <c r="LWG1724" s="227"/>
      <c r="LWH1724" s="227"/>
      <c r="LWI1724" s="227"/>
      <c r="LWJ1724" s="227"/>
      <c r="LWK1724" s="227"/>
      <c r="LWL1724" s="227"/>
      <c r="LWM1724" s="227"/>
      <c r="LWN1724" s="227"/>
      <c r="LWO1724" s="227"/>
      <c r="LWP1724" s="227"/>
      <c r="LWQ1724" s="227"/>
      <c r="LWR1724" s="227"/>
      <c r="LWS1724" s="227"/>
      <c r="LWT1724" s="227"/>
      <c r="LWU1724" s="227"/>
      <c r="LWV1724" s="227"/>
      <c r="LWW1724" s="227"/>
      <c r="LWX1724" s="227"/>
      <c r="LWY1724" s="227"/>
      <c r="LWZ1724" s="227"/>
      <c r="LXA1724" s="227"/>
      <c r="LXB1724" s="227"/>
      <c r="LXC1724" s="227"/>
      <c r="LXD1724" s="227"/>
      <c r="LXE1724" s="227"/>
      <c r="LXF1724" s="227"/>
      <c r="LXG1724" s="227"/>
      <c r="LXH1724" s="227"/>
      <c r="LXI1724" s="227"/>
      <c r="LXJ1724" s="227"/>
      <c r="LXK1724" s="227"/>
      <c r="LXL1724" s="227"/>
      <c r="LXM1724" s="227"/>
      <c r="LXN1724" s="227"/>
      <c r="LXO1724" s="227"/>
      <c r="LXP1724" s="227"/>
      <c r="LXQ1724" s="227"/>
      <c r="LXR1724" s="227"/>
      <c r="LXS1724" s="227"/>
      <c r="LXT1724" s="227"/>
      <c r="LXU1724" s="227"/>
      <c r="LXV1724" s="227"/>
      <c r="LXW1724" s="227"/>
      <c r="LXX1724" s="227"/>
      <c r="LXY1724" s="227"/>
      <c r="LXZ1724" s="227"/>
      <c r="LYA1724" s="227"/>
      <c r="LYB1724" s="227"/>
      <c r="LYC1724" s="227"/>
      <c r="LYD1724" s="227"/>
      <c r="LYE1724" s="227"/>
      <c r="LYF1724" s="227"/>
      <c r="LYG1724" s="227"/>
      <c r="LYH1724" s="227"/>
      <c r="LYI1724" s="227"/>
      <c r="LYJ1724" s="227"/>
      <c r="LYK1724" s="227"/>
      <c r="LYL1724" s="227"/>
      <c r="LYM1724" s="227"/>
      <c r="LYN1724" s="227"/>
      <c r="LYO1724" s="227"/>
      <c r="LYP1724" s="227"/>
      <c r="LYQ1724" s="227"/>
      <c r="LYR1724" s="227"/>
      <c r="LYS1724" s="227"/>
      <c r="LYT1724" s="227"/>
      <c r="LYU1724" s="227"/>
      <c r="LYV1724" s="227"/>
      <c r="LYW1724" s="227"/>
      <c r="LYX1724" s="227"/>
      <c r="LYY1724" s="227"/>
      <c r="LYZ1724" s="227"/>
      <c r="LZA1724" s="227"/>
      <c r="LZB1724" s="227"/>
      <c r="LZC1724" s="227"/>
      <c r="LZD1724" s="227"/>
      <c r="LZE1724" s="227"/>
      <c r="LZF1724" s="227"/>
      <c r="LZG1724" s="227"/>
      <c r="LZH1724" s="227"/>
      <c r="LZI1724" s="227"/>
      <c r="LZJ1724" s="227"/>
      <c r="LZK1724" s="227"/>
      <c r="LZL1724" s="227"/>
      <c r="LZM1724" s="227"/>
      <c r="LZN1724" s="227"/>
      <c r="LZO1724" s="227"/>
      <c r="LZP1724" s="227"/>
      <c r="LZQ1724" s="227"/>
      <c r="LZR1724" s="227"/>
      <c r="LZS1724" s="227"/>
      <c r="LZT1724" s="227"/>
      <c r="LZU1724" s="227"/>
      <c r="LZV1724" s="227"/>
      <c r="LZW1724" s="227"/>
      <c r="LZX1724" s="227"/>
      <c r="LZY1724" s="227"/>
      <c r="LZZ1724" s="227"/>
      <c r="MAA1724" s="227"/>
      <c r="MAB1724" s="227"/>
      <c r="MAC1724" s="227"/>
      <c r="MAD1724" s="227"/>
      <c r="MAE1724" s="227"/>
      <c r="MAF1724" s="227"/>
      <c r="MAG1724" s="227"/>
      <c r="MAH1724" s="227"/>
      <c r="MAI1724" s="227"/>
      <c r="MAJ1724" s="227"/>
      <c r="MAK1724" s="227"/>
      <c r="MAL1724" s="227"/>
      <c r="MAM1724" s="227"/>
      <c r="MAN1724" s="227"/>
      <c r="MAO1724" s="227"/>
      <c r="MAP1724" s="227"/>
      <c r="MAQ1724" s="227"/>
      <c r="MAR1724" s="227"/>
      <c r="MAS1724" s="227"/>
      <c r="MAT1724" s="227"/>
      <c r="MAU1724" s="227"/>
      <c r="MAV1724" s="227"/>
      <c r="MAW1724" s="227"/>
      <c r="MAX1724" s="227"/>
      <c r="MAY1724" s="227"/>
      <c r="MAZ1724" s="227"/>
      <c r="MBA1724" s="227"/>
      <c r="MBB1724" s="227"/>
      <c r="MBC1724" s="227"/>
      <c r="MBD1724" s="227"/>
      <c r="MBE1724" s="227"/>
      <c r="MBF1724" s="227"/>
      <c r="MBG1724" s="227"/>
      <c r="MBH1724" s="227"/>
      <c r="MBI1724" s="227"/>
      <c r="MBJ1724" s="227"/>
      <c r="MBK1724" s="227"/>
      <c r="MBL1724" s="227"/>
      <c r="MBM1724" s="227"/>
      <c r="MBN1724" s="227"/>
      <c r="MBO1724" s="227"/>
      <c r="MBP1724" s="227"/>
      <c r="MBQ1724" s="227"/>
      <c r="MBR1724" s="227"/>
      <c r="MBS1724" s="227"/>
      <c r="MBT1724" s="227"/>
      <c r="MBU1724" s="227"/>
      <c r="MBV1724" s="227"/>
      <c r="MBW1724" s="227"/>
      <c r="MBX1724" s="227"/>
      <c r="MBY1724" s="227"/>
      <c r="MBZ1724" s="227"/>
      <c r="MCA1724" s="227"/>
      <c r="MCB1724" s="227"/>
      <c r="MCC1724" s="227"/>
      <c r="MCD1724" s="227"/>
      <c r="MCE1724" s="227"/>
      <c r="MCF1724" s="227"/>
      <c r="MCG1724" s="227"/>
      <c r="MCH1724" s="227"/>
      <c r="MCI1724" s="227"/>
      <c r="MCJ1724" s="227"/>
      <c r="MCK1724" s="227"/>
      <c r="MCL1724" s="227"/>
      <c r="MCM1724" s="227"/>
      <c r="MCN1724" s="227"/>
      <c r="MCO1724" s="227"/>
      <c r="MCP1724" s="227"/>
      <c r="MCQ1724" s="227"/>
      <c r="MCR1724" s="227"/>
      <c r="MCS1724" s="227"/>
      <c r="MCT1724" s="227"/>
      <c r="MCU1724" s="227"/>
      <c r="MCV1724" s="227"/>
      <c r="MCW1724" s="227"/>
      <c r="MCX1724" s="227"/>
      <c r="MCY1724" s="227"/>
      <c r="MCZ1724" s="227"/>
      <c r="MDA1724" s="227"/>
      <c r="MDB1724" s="227"/>
      <c r="MDC1724" s="227"/>
      <c r="MDD1724" s="227"/>
      <c r="MDE1724" s="227"/>
      <c r="MDF1724" s="227"/>
      <c r="MDG1724" s="227"/>
      <c r="MDH1724" s="227"/>
      <c r="MDI1724" s="227"/>
      <c r="MDJ1724" s="227"/>
      <c r="MDK1724" s="227"/>
      <c r="MDL1724" s="227"/>
      <c r="MDM1724" s="227"/>
      <c r="MDN1724" s="227"/>
      <c r="MDO1724" s="227"/>
      <c r="MDP1724" s="227"/>
      <c r="MDQ1724" s="227"/>
      <c r="MDR1724" s="227"/>
      <c r="MDS1724" s="227"/>
      <c r="MDT1724" s="227"/>
      <c r="MDU1724" s="227"/>
      <c r="MDV1724" s="227"/>
      <c r="MDW1724" s="227"/>
      <c r="MDX1724" s="227"/>
      <c r="MDY1724" s="227"/>
      <c r="MDZ1724" s="227"/>
      <c r="MEA1724" s="227"/>
      <c r="MEB1724" s="227"/>
      <c r="MEC1724" s="227"/>
      <c r="MED1724" s="227"/>
      <c r="MEE1724" s="227"/>
      <c r="MEF1724" s="227"/>
      <c r="MEG1724" s="227"/>
      <c r="MEH1724" s="227"/>
      <c r="MEI1724" s="227"/>
      <c r="MEJ1724" s="227"/>
      <c r="MEK1724" s="227"/>
      <c r="MEL1724" s="227"/>
      <c r="MEM1724" s="227"/>
      <c r="MEN1724" s="227"/>
      <c r="MEO1724" s="227"/>
      <c r="MEP1724" s="227"/>
      <c r="MEQ1724" s="227"/>
      <c r="MER1724" s="227"/>
      <c r="MES1724" s="227"/>
      <c r="MET1724" s="227"/>
      <c r="MEU1724" s="227"/>
      <c r="MEV1724" s="227"/>
      <c r="MEW1724" s="227"/>
      <c r="MEX1724" s="227"/>
      <c r="MEY1724" s="227"/>
      <c r="MEZ1724" s="227"/>
      <c r="MFA1724" s="227"/>
      <c r="MFB1724" s="227"/>
      <c r="MFC1724" s="227"/>
      <c r="MFD1724" s="227"/>
      <c r="MFE1724" s="227"/>
      <c r="MFF1724" s="227"/>
      <c r="MFG1724" s="227"/>
      <c r="MFH1724" s="227"/>
      <c r="MFI1724" s="227"/>
      <c r="MFJ1724" s="227"/>
      <c r="MFK1724" s="227"/>
      <c r="MFL1724" s="227"/>
      <c r="MFM1724" s="227"/>
      <c r="MFN1724" s="227"/>
      <c r="MFO1724" s="227"/>
      <c r="MFP1724" s="227"/>
      <c r="MFQ1724" s="227"/>
      <c r="MFR1724" s="227"/>
      <c r="MFS1724" s="227"/>
      <c r="MFT1724" s="227"/>
      <c r="MFU1724" s="227"/>
      <c r="MFV1724" s="227"/>
      <c r="MFW1724" s="227"/>
      <c r="MFX1724" s="227"/>
      <c r="MFY1724" s="227"/>
      <c r="MFZ1724" s="227"/>
      <c r="MGA1724" s="227"/>
      <c r="MGB1724" s="227"/>
      <c r="MGC1724" s="227"/>
      <c r="MGD1724" s="227"/>
      <c r="MGE1724" s="227"/>
      <c r="MGF1724" s="227"/>
      <c r="MGG1724" s="227"/>
      <c r="MGH1724" s="227"/>
      <c r="MGI1724" s="227"/>
      <c r="MGJ1724" s="227"/>
      <c r="MGK1724" s="227"/>
      <c r="MGL1724" s="227"/>
      <c r="MGM1724" s="227"/>
      <c r="MGN1724" s="227"/>
      <c r="MGO1724" s="227"/>
      <c r="MGP1724" s="227"/>
      <c r="MGQ1724" s="227"/>
      <c r="MGR1724" s="227"/>
      <c r="MGS1724" s="227"/>
      <c r="MGT1724" s="227"/>
      <c r="MGU1724" s="227"/>
      <c r="MGV1724" s="227"/>
      <c r="MGW1724" s="227"/>
      <c r="MGX1724" s="227"/>
      <c r="MGY1724" s="227"/>
      <c r="MGZ1724" s="227"/>
      <c r="MHA1724" s="227"/>
      <c r="MHB1724" s="227"/>
      <c r="MHC1724" s="227"/>
      <c r="MHD1724" s="227"/>
      <c r="MHE1724" s="227"/>
      <c r="MHF1724" s="227"/>
      <c r="MHG1724" s="227"/>
      <c r="MHH1724" s="227"/>
      <c r="MHI1724" s="227"/>
      <c r="MHJ1724" s="227"/>
      <c r="MHK1724" s="227"/>
      <c r="MHL1724" s="227"/>
      <c r="MHM1724" s="227"/>
      <c r="MHN1724" s="227"/>
      <c r="MHO1724" s="227"/>
      <c r="MHP1724" s="227"/>
      <c r="MHQ1724" s="227"/>
      <c r="MHR1724" s="227"/>
      <c r="MHS1724" s="227"/>
      <c r="MHT1724" s="227"/>
      <c r="MHU1724" s="227"/>
      <c r="MHV1724" s="227"/>
      <c r="MHW1724" s="227"/>
      <c r="MHX1724" s="227"/>
      <c r="MHY1724" s="227"/>
      <c r="MHZ1724" s="227"/>
      <c r="MIA1724" s="227"/>
      <c r="MIB1724" s="227"/>
      <c r="MIC1724" s="227"/>
      <c r="MID1724" s="227"/>
      <c r="MIE1724" s="227"/>
      <c r="MIF1724" s="227"/>
      <c r="MIG1724" s="227"/>
      <c r="MIH1724" s="227"/>
      <c r="MII1724" s="227"/>
      <c r="MIJ1724" s="227"/>
      <c r="MIK1724" s="227"/>
      <c r="MIL1724" s="227"/>
      <c r="MIM1724" s="227"/>
      <c r="MIN1724" s="227"/>
      <c r="MIO1724" s="227"/>
      <c r="MIP1724" s="227"/>
      <c r="MIQ1724" s="227"/>
      <c r="MIR1724" s="227"/>
      <c r="MIS1724" s="227"/>
      <c r="MIT1724" s="227"/>
      <c r="MIU1724" s="227"/>
      <c r="MIV1724" s="227"/>
      <c r="MIW1724" s="227"/>
      <c r="MIX1724" s="227"/>
      <c r="MIY1724" s="227"/>
      <c r="MIZ1724" s="227"/>
      <c r="MJA1724" s="227"/>
      <c r="MJB1724" s="227"/>
      <c r="MJC1724" s="227"/>
      <c r="MJD1724" s="227"/>
      <c r="MJE1724" s="227"/>
      <c r="MJF1724" s="227"/>
      <c r="MJG1724" s="227"/>
      <c r="MJH1724" s="227"/>
      <c r="MJI1724" s="227"/>
      <c r="MJJ1724" s="227"/>
      <c r="MJK1724" s="227"/>
      <c r="MJL1724" s="227"/>
      <c r="MJM1724" s="227"/>
      <c r="MJN1724" s="227"/>
      <c r="MJO1724" s="227"/>
      <c r="MJP1724" s="227"/>
      <c r="MJQ1724" s="227"/>
      <c r="MJR1724" s="227"/>
      <c r="MJS1724" s="227"/>
      <c r="MJT1724" s="227"/>
      <c r="MJU1724" s="227"/>
      <c r="MJV1724" s="227"/>
      <c r="MJW1724" s="227"/>
      <c r="MJX1724" s="227"/>
      <c r="MJY1724" s="227"/>
      <c r="MJZ1724" s="227"/>
      <c r="MKA1724" s="227"/>
      <c r="MKB1724" s="227"/>
      <c r="MKC1724" s="227"/>
      <c r="MKD1724" s="227"/>
      <c r="MKE1724" s="227"/>
      <c r="MKF1724" s="227"/>
      <c r="MKG1724" s="227"/>
      <c r="MKH1724" s="227"/>
      <c r="MKI1724" s="227"/>
      <c r="MKJ1724" s="227"/>
      <c r="MKK1724" s="227"/>
      <c r="MKL1724" s="227"/>
      <c r="MKM1724" s="227"/>
      <c r="MKN1724" s="227"/>
      <c r="MKO1724" s="227"/>
      <c r="MKP1724" s="227"/>
      <c r="MKQ1724" s="227"/>
      <c r="MKR1724" s="227"/>
      <c r="MKS1724" s="227"/>
      <c r="MKT1724" s="227"/>
      <c r="MKU1724" s="227"/>
      <c r="MKV1724" s="227"/>
      <c r="MKW1724" s="227"/>
      <c r="MKX1724" s="227"/>
      <c r="MKY1724" s="227"/>
      <c r="MKZ1724" s="227"/>
      <c r="MLA1724" s="227"/>
      <c r="MLB1724" s="227"/>
      <c r="MLC1724" s="227"/>
      <c r="MLD1724" s="227"/>
      <c r="MLE1724" s="227"/>
      <c r="MLF1724" s="227"/>
      <c r="MLG1724" s="227"/>
      <c r="MLH1724" s="227"/>
      <c r="MLI1724" s="227"/>
      <c r="MLJ1724" s="227"/>
      <c r="MLK1724" s="227"/>
      <c r="MLL1724" s="227"/>
      <c r="MLM1724" s="227"/>
      <c r="MLN1724" s="227"/>
      <c r="MLO1724" s="227"/>
      <c r="MLP1724" s="227"/>
      <c r="MLQ1724" s="227"/>
      <c r="MLR1724" s="227"/>
      <c r="MLS1724" s="227"/>
      <c r="MLT1724" s="227"/>
      <c r="MLU1724" s="227"/>
      <c r="MLV1724" s="227"/>
      <c r="MLW1724" s="227"/>
      <c r="MLX1724" s="227"/>
      <c r="MLY1724" s="227"/>
      <c r="MLZ1724" s="227"/>
      <c r="MMA1724" s="227"/>
      <c r="MMB1724" s="227"/>
      <c r="MMC1724" s="227"/>
      <c r="MMD1724" s="227"/>
      <c r="MME1724" s="227"/>
      <c r="MMF1724" s="227"/>
      <c r="MMG1724" s="227"/>
      <c r="MMH1724" s="227"/>
      <c r="MMI1724" s="227"/>
      <c r="MMJ1724" s="227"/>
      <c r="MMK1724" s="227"/>
      <c r="MML1724" s="227"/>
      <c r="MMM1724" s="227"/>
      <c r="MMN1724" s="227"/>
      <c r="MMO1724" s="227"/>
      <c r="MMP1724" s="227"/>
      <c r="MMQ1724" s="227"/>
      <c r="MMR1724" s="227"/>
      <c r="MMS1724" s="227"/>
      <c r="MMT1724" s="227"/>
      <c r="MMU1724" s="227"/>
      <c r="MMV1724" s="227"/>
      <c r="MMW1724" s="227"/>
      <c r="MMX1724" s="227"/>
      <c r="MMY1724" s="227"/>
      <c r="MMZ1724" s="227"/>
      <c r="MNA1724" s="227"/>
      <c r="MNB1724" s="227"/>
      <c r="MNC1724" s="227"/>
      <c r="MND1724" s="227"/>
      <c r="MNE1724" s="227"/>
      <c r="MNF1724" s="227"/>
      <c r="MNG1724" s="227"/>
      <c r="MNH1724" s="227"/>
      <c r="MNI1724" s="227"/>
      <c r="MNJ1724" s="227"/>
      <c r="MNK1724" s="227"/>
      <c r="MNL1724" s="227"/>
      <c r="MNM1724" s="227"/>
      <c r="MNN1724" s="227"/>
      <c r="MNO1724" s="227"/>
      <c r="MNP1724" s="227"/>
      <c r="MNQ1724" s="227"/>
      <c r="MNR1724" s="227"/>
      <c r="MNS1724" s="227"/>
      <c r="MNT1724" s="227"/>
      <c r="MNU1724" s="227"/>
      <c r="MNV1724" s="227"/>
      <c r="MNW1724" s="227"/>
      <c r="MNX1724" s="227"/>
      <c r="MNY1724" s="227"/>
      <c r="MNZ1724" s="227"/>
      <c r="MOA1724" s="227"/>
      <c r="MOB1724" s="227"/>
      <c r="MOC1724" s="227"/>
      <c r="MOD1724" s="227"/>
      <c r="MOE1724" s="227"/>
      <c r="MOF1724" s="227"/>
      <c r="MOG1724" s="227"/>
      <c r="MOH1724" s="227"/>
      <c r="MOI1724" s="227"/>
      <c r="MOJ1724" s="227"/>
      <c r="MOK1724" s="227"/>
      <c r="MOL1724" s="227"/>
      <c r="MOM1724" s="227"/>
      <c r="MON1724" s="227"/>
      <c r="MOO1724" s="227"/>
      <c r="MOP1724" s="227"/>
      <c r="MOQ1724" s="227"/>
      <c r="MOR1724" s="227"/>
      <c r="MOS1724" s="227"/>
      <c r="MOT1724" s="227"/>
      <c r="MOU1724" s="227"/>
      <c r="MOV1724" s="227"/>
      <c r="MOW1724" s="227"/>
      <c r="MOX1724" s="227"/>
      <c r="MOY1724" s="227"/>
      <c r="MOZ1724" s="227"/>
      <c r="MPA1724" s="227"/>
      <c r="MPB1724" s="227"/>
      <c r="MPC1724" s="227"/>
      <c r="MPD1724" s="227"/>
      <c r="MPE1724" s="227"/>
      <c r="MPF1724" s="227"/>
      <c r="MPG1724" s="227"/>
      <c r="MPH1724" s="227"/>
      <c r="MPI1724" s="227"/>
      <c r="MPJ1724" s="227"/>
      <c r="MPK1724" s="227"/>
      <c r="MPL1724" s="227"/>
      <c r="MPM1724" s="227"/>
      <c r="MPN1724" s="227"/>
      <c r="MPO1724" s="227"/>
      <c r="MPP1724" s="227"/>
      <c r="MPQ1724" s="227"/>
      <c r="MPR1724" s="227"/>
      <c r="MPS1724" s="227"/>
      <c r="MPT1724" s="227"/>
      <c r="MPU1724" s="227"/>
      <c r="MPV1724" s="227"/>
      <c r="MPW1724" s="227"/>
      <c r="MPX1724" s="227"/>
      <c r="MPY1724" s="227"/>
      <c r="MPZ1724" s="227"/>
      <c r="MQA1724" s="227"/>
      <c r="MQB1724" s="227"/>
      <c r="MQC1724" s="227"/>
      <c r="MQD1724" s="227"/>
      <c r="MQE1724" s="227"/>
      <c r="MQF1724" s="227"/>
      <c r="MQG1724" s="227"/>
      <c r="MQH1724" s="227"/>
      <c r="MQI1724" s="227"/>
      <c r="MQJ1724" s="227"/>
      <c r="MQK1724" s="227"/>
      <c r="MQL1724" s="227"/>
      <c r="MQM1724" s="227"/>
      <c r="MQN1724" s="227"/>
      <c r="MQO1724" s="227"/>
      <c r="MQP1724" s="227"/>
      <c r="MQQ1724" s="227"/>
      <c r="MQR1724" s="227"/>
      <c r="MQS1724" s="227"/>
      <c r="MQT1724" s="227"/>
      <c r="MQU1724" s="227"/>
      <c r="MQV1724" s="227"/>
      <c r="MQW1724" s="227"/>
      <c r="MQX1724" s="227"/>
      <c r="MQY1724" s="227"/>
      <c r="MQZ1724" s="227"/>
      <c r="MRA1724" s="227"/>
      <c r="MRB1724" s="227"/>
      <c r="MRC1724" s="227"/>
      <c r="MRD1724" s="227"/>
      <c r="MRE1724" s="227"/>
      <c r="MRF1724" s="227"/>
      <c r="MRG1724" s="227"/>
      <c r="MRH1724" s="227"/>
      <c r="MRI1724" s="227"/>
      <c r="MRJ1724" s="227"/>
      <c r="MRK1724" s="227"/>
      <c r="MRL1724" s="227"/>
      <c r="MRM1724" s="227"/>
      <c r="MRN1724" s="227"/>
      <c r="MRO1724" s="227"/>
      <c r="MRP1724" s="227"/>
      <c r="MRQ1724" s="227"/>
      <c r="MRR1724" s="227"/>
      <c r="MRS1724" s="227"/>
      <c r="MRT1724" s="227"/>
      <c r="MRU1724" s="227"/>
      <c r="MRV1724" s="227"/>
      <c r="MRW1724" s="227"/>
      <c r="MRX1724" s="227"/>
      <c r="MRY1724" s="227"/>
      <c r="MRZ1724" s="227"/>
      <c r="MSA1724" s="227"/>
      <c r="MSB1724" s="227"/>
      <c r="MSC1724" s="227"/>
      <c r="MSD1724" s="227"/>
      <c r="MSE1724" s="227"/>
      <c r="MSF1724" s="227"/>
      <c r="MSG1724" s="227"/>
      <c r="MSH1724" s="227"/>
      <c r="MSI1724" s="227"/>
      <c r="MSJ1724" s="227"/>
      <c r="MSK1724" s="227"/>
      <c r="MSL1724" s="227"/>
      <c r="MSM1724" s="227"/>
      <c r="MSN1724" s="227"/>
      <c r="MSO1724" s="227"/>
      <c r="MSP1724" s="227"/>
      <c r="MSQ1724" s="227"/>
      <c r="MSR1724" s="227"/>
      <c r="MSS1724" s="227"/>
      <c r="MST1724" s="227"/>
      <c r="MSU1724" s="227"/>
      <c r="MSV1724" s="227"/>
      <c r="MSW1724" s="227"/>
      <c r="MSX1724" s="227"/>
      <c r="MSY1724" s="227"/>
      <c r="MSZ1724" s="227"/>
      <c r="MTA1724" s="227"/>
      <c r="MTB1724" s="227"/>
      <c r="MTC1724" s="227"/>
      <c r="MTD1724" s="227"/>
      <c r="MTE1724" s="227"/>
      <c r="MTF1724" s="227"/>
      <c r="MTG1724" s="227"/>
      <c r="MTH1724" s="227"/>
      <c r="MTI1724" s="227"/>
      <c r="MTJ1724" s="227"/>
      <c r="MTK1724" s="227"/>
      <c r="MTL1724" s="227"/>
      <c r="MTM1724" s="227"/>
      <c r="MTN1724" s="227"/>
      <c r="MTO1724" s="227"/>
      <c r="MTP1724" s="227"/>
      <c r="MTQ1724" s="227"/>
      <c r="MTR1724" s="227"/>
      <c r="MTS1724" s="227"/>
      <c r="MTT1724" s="227"/>
      <c r="MTU1724" s="227"/>
      <c r="MTV1724" s="227"/>
      <c r="MTW1724" s="227"/>
      <c r="MTX1724" s="227"/>
      <c r="MTY1724" s="227"/>
      <c r="MTZ1724" s="227"/>
      <c r="MUA1724" s="227"/>
      <c r="MUB1724" s="227"/>
      <c r="MUC1724" s="227"/>
      <c r="MUD1724" s="227"/>
      <c r="MUE1724" s="227"/>
      <c r="MUF1724" s="227"/>
      <c r="MUG1724" s="227"/>
      <c r="MUH1724" s="227"/>
      <c r="MUI1724" s="227"/>
      <c r="MUJ1724" s="227"/>
      <c r="MUK1724" s="227"/>
      <c r="MUL1724" s="227"/>
      <c r="MUM1724" s="227"/>
      <c r="MUN1724" s="227"/>
      <c r="MUO1724" s="227"/>
      <c r="MUP1724" s="227"/>
      <c r="MUQ1724" s="227"/>
      <c r="MUR1724" s="227"/>
      <c r="MUS1724" s="227"/>
      <c r="MUT1724" s="227"/>
      <c r="MUU1724" s="227"/>
      <c r="MUV1724" s="227"/>
      <c r="MUW1724" s="227"/>
      <c r="MUX1724" s="227"/>
      <c r="MUY1724" s="227"/>
      <c r="MUZ1724" s="227"/>
      <c r="MVA1724" s="227"/>
      <c r="MVB1724" s="227"/>
      <c r="MVC1724" s="227"/>
      <c r="MVD1724" s="227"/>
      <c r="MVE1724" s="227"/>
      <c r="MVF1724" s="227"/>
      <c r="MVG1724" s="227"/>
      <c r="MVH1724" s="227"/>
      <c r="MVI1724" s="227"/>
      <c r="MVJ1724" s="227"/>
      <c r="MVK1724" s="227"/>
      <c r="MVL1724" s="227"/>
      <c r="MVM1724" s="227"/>
      <c r="MVN1724" s="227"/>
      <c r="MVO1724" s="227"/>
      <c r="MVP1724" s="227"/>
      <c r="MVQ1724" s="227"/>
      <c r="MVR1724" s="227"/>
      <c r="MVS1724" s="227"/>
      <c r="MVT1724" s="227"/>
      <c r="MVU1724" s="227"/>
      <c r="MVV1724" s="227"/>
      <c r="MVW1724" s="227"/>
      <c r="MVX1724" s="227"/>
      <c r="MVY1724" s="227"/>
      <c r="MVZ1724" s="227"/>
      <c r="MWA1724" s="227"/>
      <c r="MWB1724" s="227"/>
      <c r="MWC1724" s="227"/>
      <c r="MWD1724" s="227"/>
      <c r="MWE1724" s="227"/>
      <c r="MWF1724" s="227"/>
      <c r="MWG1724" s="227"/>
      <c r="MWH1724" s="227"/>
      <c r="MWI1724" s="227"/>
      <c r="MWJ1724" s="227"/>
      <c r="MWK1724" s="227"/>
      <c r="MWL1724" s="227"/>
      <c r="MWM1724" s="227"/>
      <c r="MWN1724" s="227"/>
      <c r="MWO1724" s="227"/>
      <c r="MWP1724" s="227"/>
      <c r="MWQ1724" s="227"/>
      <c r="MWR1724" s="227"/>
      <c r="MWS1724" s="227"/>
      <c r="MWT1724" s="227"/>
      <c r="MWU1724" s="227"/>
      <c r="MWV1724" s="227"/>
      <c r="MWW1724" s="227"/>
      <c r="MWX1724" s="227"/>
      <c r="MWY1724" s="227"/>
      <c r="MWZ1724" s="227"/>
      <c r="MXA1724" s="227"/>
      <c r="MXB1724" s="227"/>
      <c r="MXC1724" s="227"/>
      <c r="MXD1724" s="227"/>
      <c r="MXE1724" s="227"/>
      <c r="MXF1724" s="227"/>
      <c r="MXG1724" s="227"/>
      <c r="MXH1724" s="227"/>
      <c r="MXI1724" s="227"/>
      <c r="MXJ1724" s="227"/>
      <c r="MXK1724" s="227"/>
      <c r="MXL1724" s="227"/>
      <c r="MXM1724" s="227"/>
      <c r="MXN1724" s="227"/>
      <c r="MXO1724" s="227"/>
      <c r="MXP1724" s="227"/>
      <c r="MXQ1724" s="227"/>
      <c r="MXR1724" s="227"/>
      <c r="MXS1724" s="227"/>
      <c r="MXT1724" s="227"/>
      <c r="MXU1724" s="227"/>
      <c r="MXV1724" s="227"/>
      <c r="MXW1724" s="227"/>
      <c r="MXX1724" s="227"/>
      <c r="MXY1724" s="227"/>
      <c r="MXZ1724" s="227"/>
      <c r="MYA1724" s="227"/>
      <c r="MYB1724" s="227"/>
      <c r="MYC1724" s="227"/>
      <c r="MYD1724" s="227"/>
      <c r="MYE1724" s="227"/>
      <c r="MYF1724" s="227"/>
      <c r="MYG1724" s="227"/>
      <c r="MYH1724" s="227"/>
      <c r="MYI1724" s="227"/>
      <c r="MYJ1724" s="227"/>
      <c r="MYK1724" s="227"/>
      <c r="MYL1724" s="227"/>
      <c r="MYM1724" s="227"/>
      <c r="MYN1724" s="227"/>
      <c r="MYO1724" s="227"/>
      <c r="MYP1724" s="227"/>
      <c r="MYQ1724" s="227"/>
      <c r="MYR1724" s="227"/>
      <c r="MYS1724" s="227"/>
      <c r="MYT1724" s="227"/>
      <c r="MYU1724" s="227"/>
      <c r="MYV1724" s="227"/>
      <c r="MYW1724" s="227"/>
      <c r="MYX1724" s="227"/>
      <c r="MYY1724" s="227"/>
      <c r="MYZ1724" s="227"/>
      <c r="MZA1724" s="227"/>
      <c r="MZB1724" s="227"/>
      <c r="MZC1724" s="227"/>
      <c r="MZD1724" s="227"/>
      <c r="MZE1724" s="227"/>
      <c r="MZF1724" s="227"/>
      <c r="MZG1724" s="227"/>
      <c r="MZH1724" s="227"/>
      <c r="MZI1724" s="227"/>
      <c r="MZJ1724" s="227"/>
      <c r="MZK1724" s="227"/>
      <c r="MZL1724" s="227"/>
      <c r="MZM1724" s="227"/>
      <c r="MZN1724" s="227"/>
      <c r="MZO1724" s="227"/>
      <c r="MZP1724" s="227"/>
      <c r="MZQ1724" s="227"/>
      <c r="MZR1724" s="227"/>
      <c r="MZS1724" s="227"/>
      <c r="MZT1724" s="227"/>
      <c r="MZU1724" s="227"/>
      <c r="MZV1724" s="227"/>
      <c r="MZW1724" s="227"/>
      <c r="MZX1724" s="227"/>
      <c r="MZY1724" s="227"/>
      <c r="MZZ1724" s="227"/>
      <c r="NAA1724" s="227"/>
      <c r="NAB1724" s="227"/>
      <c r="NAC1724" s="227"/>
      <c r="NAD1724" s="227"/>
      <c r="NAE1724" s="227"/>
      <c r="NAF1724" s="227"/>
      <c r="NAG1724" s="227"/>
      <c r="NAH1724" s="227"/>
      <c r="NAI1724" s="227"/>
      <c r="NAJ1724" s="227"/>
      <c r="NAK1724" s="227"/>
      <c r="NAL1724" s="227"/>
      <c r="NAM1724" s="227"/>
      <c r="NAN1724" s="227"/>
      <c r="NAO1724" s="227"/>
      <c r="NAP1724" s="227"/>
      <c r="NAQ1724" s="227"/>
      <c r="NAR1724" s="227"/>
      <c r="NAS1724" s="227"/>
      <c r="NAT1724" s="227"/>
      <c r="NAU1724" s="227"/>
      <c r="NAV1724" s="227"/>
      <c r="NAW1724" s="227"/>
      <c r="NAX1724" s="227"/>
      <c r="NAY1724" s="227"/>
      <c r="NAZ1724" s="227"/>
      <c r="NBA1724" s="227"/>
      <c r="NBB1724" s="227"/>
      <c r="NBC1724" s="227"/>
      <c r="NBD1724" s="227"/>
      <c r="NBE1724" s="227"/>
      <c r="NBF1724" s="227"/>
      <c r="NBG1724" s="227"/>
      <c r="NBH1724" s="227"/>
      <c r="NBI1724" s="227"/>
      <c r="NBJ1724" s="227"/>
      <c r="NBK1724" s="227"/>
      <c r="NBL1724" s="227"/>
      <c r="NBM1724" s="227"/>
      <c r="NBN1724" s="227"/>
      <c r="NBO1724" s="227"/>
      <c r="NBP1724" s="227"/>
      <c r="NBQ1724" s="227"/>
      <c r="NBR1724" s="227"/>
      <c r="NBS1724" s="227"/>
      <c r="NBT1724" s="227"/>
      <c r="NBU1724" s="227"/>
      <c r="NBV1724" s="227"/>
      <c r="NBW1724" s="227"/>
      <c r="NBX1724" s="227"/>
      <c r="NBY1724" s="227"/>
      <c r="NBZ1724" s="227"/>
      <c r="NCA1724" s="227"/>
      <c r="NCB1724" s="227"/>
      <c r="NCC1724" s="227"/>
      <c r="NCD1724" s="227"/>
      <c r="NCE1724" s="227"/>
      <c r="NCF1724" s="227"/>
      <c r="NCG1724" s="227"/>
      <c r="NCH1724" s="227"/>
      <c r="NCI1724" s="227"/>
      <c r="NCJ1724" s="227"/>
      <c r="NCK1724" s="227"/>
      <c r="NCL1724" s="227"/>
      <c r="NCM1724" s="227"/>
      <c r="NCN1724" s="227"/>
      <c r="NCO1724" s="227"/>
      <c r="NCP1724" s="227"/>
      <c r="NCQ1724" s="227"/>
      <c r="NCR1724" s="227"/>
      <c r="NCS1724" s="227"/>
      <c r="NCT1724" s="227"/>
      <c r="NCU1724" s="227"/>
      <c r="NCV1724" s="227"/>
      <c r="NCW1724" s="227"/>
      <c r="NCX1724" s="227"/>
      <c r="NCY1724" s="227"/>
      <c r="NCZ1724" s="227"/>
      <c r="NDA1724" s="227"/>
      <c r="NDB1724" s="227"/>
      <c r="NDC1724" s="227"/>
      <c r="NDD1724" s="227"/>
      <c r="NDE1724" s="227"/>
      <c r="NDF1724" s="227"/>
      <c r="NDG1724" s="227"/>
      <c r="NDH1724" s="227"/>
      <c r="NDI1724" s="227"/>
      <c r="NDJ1724" s="227"/>
      <c r="NDK1724" s="227"/>
      <c r="NDL1724" s="227"/>
      <c r="NDM1724" s="227"/>
      <c r="NDN1724" s="227"/>
      <c r="NDO1724" s="227"/>
      <c r="NDP1724" s="227"/>
      <c r="NDQ1724" s="227"/>
      <c r="NDR1724" s="227"/>
      <c r="NDS1724" s="227"/>
      <c r="NDT1724" s="227"/>
      <c r="NDU1724" s="227"/>
      <c r="NDV1724" s="227"/>
      <c r="NDW1724" s="227"/>
      <c r="NDX1724" s="227"/>
      <c r="NDY1724" s="227"/>
      <c r="NDZ1724" s="227"/>
      <c r="NEA1724" s="227"/>
      <c r="NEB1724" s="227"/>
      <c r="NEC1724" s="227"/>
      <c r="NED1724" s="227"/>
      <c r="NEE1724" s="227"/>
      <c r="NEF1724" s="227"/>
      <c r="NEG1724" s="227"/>
      <c r="NEH1724" s="227"/>
      <c r="NEI1724" s="227"/>
      <c r="NEJ1724" s="227"/>
      <c r="NEK1724" s="227"/>
      <c r="NEL1724" s="227"/>
      <c r="NEM1724" s="227"/>
      <c r="NEN1724" s="227"/>
      <c r="NEO1724" s="227"/>
      <c r="NEP1724" s="227"/>
      <c r="NEQ1724" s="227"/>
      <c r="NER1724" s="227"/>
      <c r="NES1724" s="227"/>
      <c r="NET1724" s="227"/>
      <c r="NEU1724" s="227"/>
      <c r="NEV1724" s="227"/>
      <c r="NEW1724" s="227"/>
      <c r="NEX1724" s="227"/>
      <c r="NEY1724" s="227"/>
      <c r="NEZ1724" s="227"/>
      <c r="NFA1724" s="227"/>
      <c r="NFB1724" s="227"/>
      <c r="NFC1724" s="227"/>
      <c r="NFD1724" s="227"/>
      <c r="NFE1724" s="227"/>
      <c r="NFF1724" s="227"/>
      <c r="NFG1724" s="227"/>
      <c r="NFH1724" s="227"/>
      <c r="NFI1724" s="227"/>
      <c r="NFJ1724" s="227"/>
      <c r="NFK1724" s="227"/>
      <c r="NFL1724" s="227"/>
      <c r="NFM1724" s="227"/>
      <c r="NFN1724" s="227"/>
      <c r="NFO1724" s="227"/>
      <c r="NFP1724" s="227"/>
      <c r="NFQ1724" s="227"/>
      <c r="NFR1724" s="227"/>
      <c r="NFS1724" s="227"/>
      <c r="NFT1724" s="227"/>
      <c r="NFU1724" s="227"/>
      <c r="NFV1724" s="227"/>
      <c r="NFW1724" s="227"/>
      <c r="NFX1724" s="227"/>
      <c r="NFY1724" s="227"/>
      <c r="NFZ1724" s="227"/>
      <c r="NGA1724" s="227"/>
      <c r="NGB1724" s="227"/>
      <c r="NGC1724" s="227"/>
      <c r="NGD1724" s="227"/>
      <c r="NGE1724" s="227"/>
      <c r="NGF1724" s="227"/>
      <c r="NGG1724" s="227"/>
      <c r="NGH1724" s="227"/>
      <c r="NGI1724" s="227"/>
      <c r="NGJ1724" s="227"/>
      <c r="NGK1724" s="227"/>
      <c r="NGL1724" s="227"/>
      <c r="NGM1724" s="227"/>
      <c r="NGN1724" s="227"/>
      <c r="NGO1724" s="227"/>
      <c r="NGP1724" s="227"/>
      <c r="NGQ1724" s="227"/>
      <c r="NGR1724" s="227"/>
      <c r="NGS1724" s="227"/>
      <c r="NGT1724" s="227"/>
      <c r="NGU1724" s="227"/>
      <c r="NGV1724" s="227"/>
      <c r="NGW1724" s="227"/>
      <c r="NGX1724" s="227"/>
      <c r="NGY1724" s="227"/>
      <c r="NGZ1724" s="227"/>
      <c r="NHA1724" s="227"/>
      <c r="NHB1724" s="227"/>
      <c r="NHC1724" s="227"/>
      <c r="NHD1724" s="227"/>
      <c r="NHE1724" s="227"/>
      <c r="NHF1724" s="227"/>
      <c r="NHG1724" s="227"/>
      <c r="NHH1724" s="227"/>
      <c r="NHI1724" s="227"/>
      <c r="NHJ1724" s="227"/>
      <c r="NHK1724" s="227"/>
      <c r="NHL1724" s="227"/>
      <c r="NHM1724" s="227"/>
      <c r="NHN1724" s="227"/>
      <c r="NHO1724" s="227"/>
      <c r="NHP1724" s="227"/>
      <c r="NHQ1724" s="227"/>
      <c r="NHR1724" s="227"/>
      <c r="NHS1724" s="227"/>
      <c r="NHT1724" s="227"/>
      <c r="NHU1724" s="227"/>
      <c r="NHV1724" s="227"/>
      <c r="NHW1724" s="227"/>
      <c r="NHX1724" s="227"/>
      <c r="NHY1724" s="227"/>
      <c r="NHZ1724" s="227"/>
      <c r="NIA1724" s="227"/>
      <c r="NIB1724" s="227"/>
      <c r="NIC1724" s="227"/>
      <c r="NID1724" s="227"/>
      <c r="NIE1724" s="227"/>
      <c r="NIF1724" s="227"/>
      <c r="NIG1724" s="227"/>
      <c r="NIH1724" s="227"/>
      <c r="NII1724" s="227"/>
      <c r="NIJ1724" s="227"/>
      <c r="NIK1724" s="227"/>
      <c r="NIL1724" s="227"/>
      <c r="NIM1724" s="227"/>
      <c r="NIN1724" s="227"/>
      <c r="NIO1724" s="227"/>
      <c r="NIP1724" s="227"/>
      <c r="NIQ1724" s="227"/>
      <c r="NIR1724" s="227"/>
      <c r="NIS1724" s="227"/>
      <c r="NIT1724" s="227"/>
      <c r="NIU1724" s="227"/>
      <c r="NIV1724" s="227"/>
      <c r="NIW1724" s="227"/>
      <c r="NIX1724" s="227"/>
      <c r="NIY1724" s="227"/>
      <c r="NIZ1724" s="227"/>
      <c r="NJA1724" s="227"/>
      <c r="NJB1724" s="227"/>
      <c r="NJC1724" s="227"/>
      <c r="NJD1724" s="227"/>
      <c r="NJE1724" s="227"/>
      <c r="NJF1724" s="227"/>
      <c r="NJG1724" s="227"/>
      <c r="NJH1724" s="227"/>
      <c r="NJI1724" s="227"/>
      <c r="NJJ1724" s="227"/>
      <c r="NJK1724" s="227"/>
      <c r="NJL1724" s="227"/>
      <c r="NJM1724" s="227"/>
      <c r="NJN1724" s="227"/>
      <c r="NJO1724" s="227"/>
      <c r="NJP1724" s="227"/>
      <c r="NJQ1724" s="227"/>
      <c r="NJR1724" s="227"/>
      <c r="NJS1724" s="227"/>
      <c r="NJT1724" s="227"/>
      <c r="NJU1724" s="227"/>
      <c r="NJV1724" s="227"/>
      <c r="NJW1724" s="227"/>
      <c r="NJX1724" s="227"/>
      <c r="NJY1724" s="227"/>
      <c r="NJZ1724" s="227"/>
      <c r="NKA1724" s="227"/>
      <c r="NKB1724" s="227"/>
      <c r="NKC1724" s="227"/>
      <c r="NKD1724" s="227"/>
      <c r="NKE1724" s="227"/>
      <c r="NKF1724" s="227"/>
      <c r="NKG1724" s="227"/>
      <c r="NKH1724" s="227"/>
      <c r="NKI1724" s="227"/>
      <c r="NKJ1724" s="227"/>
      <c r="NKK1724" s="227"/>
      <c r="NKL1724" s="227"/>
      <c r="NKM1724" s="227"/>
      <c r="NKN1724" s="227"/>
      <c r="NKO1724" s="227"/>
      <c r="NKP1724" s="227"/>
      <c r="NKQ1724" s="227"/>
      <c r="NKR1724" s="227"/>
      <c r="NKS1724" s="227"/>
      <c r="NKT1724" s="227"/>
      <c r="NKU1724" s="227"/>
      <c r="NKV1724" s="227"/>
      <c r="NKW1724" s="227"/>
      <c r="NKX1724" s="227"/>
      <c r="NKY1724" s="227"/>
      <c r="NKZ1724" s="227"/>
      <c r="NLA1724" s="227"/>
      <c r="NLB1724" s="227"/>
      <c r="NLC1724" s="227"/>
      <c r="NLD1724" s="227"/>
      <c r="NLE1724" s="227"/>
      <c r="NLF1724" s="227"/>
      <c r="NLG1724" s="227"/>
      <c r="NLH1724" s="227"/>
      <c r="NLI1724" s="227"/>
      <c r="NLJ1724" s="227"/>
      <c r="NLK1724" s="227"/>
      <c r="NLL1724" s="227"/>
      <c r="NLM1724" s="227"/>
      <c r="NLN1724" s="227"/>
      <c r="NLO1724" s="227"/>
      <c r="NLP1724" s="227"/>
      <c r="NLQ1724" s="227"/>
      <c r="NLR1724" s="227"/>
      <c r="NLS1724" s="227"/>
      <c r="NLT1724" s="227"/>
      <c r="NLU1724" s="227"/>
      <c r="NLV1724" s="227"/>
      <c r="NLW1724" s="227"/>
      <c r="NLX1724" s="227"/>
      <c r="NLY1724" s="227"/>
      <c r="NLZ1724" s="227"/>
      <c r="NMA1724" s="227"/>
      <c r="NMB1724" s="227"/>
      <c r="NMC1724" s="227"/>
      <c r="NMD1724" s="227"/>
      <c r="NME1724" s="227"/>
      <c r="NMF1724" s="227"/>
      <c r="NMG1724" s="227"/>
      <c r="NMH1724" s="227"/>
      <c r="NMI1724" s="227"/>
      <c r="NMJ1724" s="227"/>
      <c r="NMK1724" s="227"/>
      <c r="NML1724" s="227"/>
      <c r="NMM1724" s="227"/>
      <c r="NMN1724" s="227"/>
      <c r="NMO1724" s="227"/>
      <c r="NMP1724" s="227"/>
      <c r="NMQ1724" s="227"/>
      <c r="NMR1724" s="227"/>
      <c r="NMS1724" s="227"/>
      <c r="NMT1724" s="227"/>
      <c r="NMU1724" s="227"/>
      <c r="NMV1724" s="227"/>
      <c r="NMW1724" s="227"/>
      <c r="NMX1724" s="227"/>
      <c r="NMY1724" s="227"/>
      <c r="NMZ1724" s="227"/>
      <c r="NNA1724" s="227"/>
      <c r="NNB1724" s="227"/>
      <c r="NNC1724" s="227"/>
      <c r="NND1724" s="227"/>
      <c r="NNE1724" s="227"/>
      <c r="NNF1724" s="227"/>
      <c r="NNG1724" s="227"/>
      <c r="NNH1724" s="227"/>
      <c r="NNI1724" s="227"/>
      <c r="NNJ1724" s="227"/>
      <c r="NNK1724" s="227"/>
      <c r="NNL1724" s="227"/>
      <c r="NNM1724" s="227"/>
      <c r="NNN1724" s="227"/>
      <c r="NNO1724" s="227"/>
      <c r="NNP1724" s="227"/>
      <c r="NNQ1724" s="227"/>
      <c r="NNR1724" s="227"/>
      <c r="NNS1724" s="227"/>
      <c r="NNT1724" s="227"/>
      <c r="NNU1724" s="227"/>
      <c r="NNV1724" s="227"/>
      <c r="NNW1724" s="227"/>
      <c r="NNX1724" s="227"/>
      <c r="NNY1724" s="227"/>
      <c r="NNZ1724" s="227"/>
      <c r="NOA1724" s="227"/>
      <c r="NOB1724" s="227"/>
      <c r="NOC1724" s="227"/>
      <c r="NOD1724" s="227"/>
      <c r="NOE1724" s="227"/>
      <c r="NOF1724" s="227"/>
      <c r="NOG1724" s="227"/>
      <c r="NOH1724" s="227"/>
      <c r="NOI1724" s="227"/>
      <c r="NOJ1724" s="227"/>
      <c r="NOK1724" s="227"/>
      <c r="NOL1724" s="227"/>
      <c r="NOM1724" s="227"/>
      <c r="NON1724" s="227"/>
      <c r="NOO1724" s="227"/>
      <c r="NOP1724" s="227"/>
      <c r="NOQ1724" s="227"/>
      <c r="NOR1724" s="227"/>
      <c r="NOS1724" s="227"/>
      <c r="NOT1724" s="227"/>
      <c r="NOU1724" s="227"/>
      <c r="NOV1724" s="227"/>
      <c r="NOW1724" s="227"/>
      <c r="NOX1724" s="227"/>
      <c r="NOY1724" s="227"/>
      <c r="NOZ1724" s="227"/>
      <c r="NPA1724" s="227"/>
      <c r="NPB1724" s="227"/>
      <c r="NPC1724" s="227"/>
      <c r="NPD1724" s="227"/>
      <c r="NPE1724" s="227"/>
      <c r="NPF1724" s="227"/>
      <c r="NPG1724" s="227"/>
      <c r="NPH1724" s="227"/>
      <c r="NPI1724" s="227"/>
      <c r="NPJ1724" s="227"/>
      <c r="NPK1724" s="227"/>
      <c r="NPL1724" s="227"/>
      <c r="NPM1724" s="227"/>
      <c r="NPN1724" s="227"/>
      <c r="NPO1724" s="227"/>
      <c r="NPP1724" s="227"/>
      <c r="NPQ1724" s="227"/>
      <c r="NPR1724" s="227"/>
      <c r="NPS1724" s="227"/>
      <c r="NPT1724" s="227"/>
      <c r="NPU1724" s="227"/>
      <c r="NPV1724" s="227"/>
      <c r="NPW1724" s="227"/>
      <c r="NPX1724" s="227"/>
      <c r="NPY1724" s="227"/>
      <c r="NPZ1724" s="227"/>
      <c r="NQA1724" s="227"/>
      <c r="NQB1724" s="227"/>
      <c r="NQC1724" s="227"/>
      <c r="NQD1724" s="227"/>
      <c r="NQE1724" s="227"/>
      <c r="NQF1724" s="227"/>
      <c r="NQG1724" s="227"/>
      <c r="NQH1724" s="227"/>
      <c r="NQI1724" s="227"/>
      <c r="NQJ1724" s="227"/>
      <c r="NQK1724" s="227"/>
      <c r="NQL1724" s="227"/>
      <c r="NQM1724" s="227"/>
      <c r="NQN1724" s="227"/>
      <c r="NQO1724" s="227"/>
      <c r="NQP1724" s="227"/>
      <c r="NQQ1724" s="227"/>
      <c r="NQR1724" s="227"/>
      <c r="NQS1724" s="227"/>
      <c r="NQT1724" s="227"/>
      <c r="NQU1724" s="227"/>
      <c r="NQV1724" s="227"/>
      <c r="NQW1724" s="227"/>
      <c r="NQX1724" s="227"/>
      <c r="NQY1724" s="227"/>
      <c r="NQZ1724" s="227"/>
      <c r="NRA1724" s="227"/>
      <c r="NRB1724" s="227"/>
      <c r="NRC1724" s="227"/>
      <c r="NRD1724" s="227"/>
      <c r="NRE1724" s="227"/>
      <c r="NRF1724" s="227"/>
      <c r="NRG1724" s="227"/>
      <c r="NRH1724" s="227"/>
      <c r="NRI1724" s="227"/>
      <c r="NRJ1724" s="227"/>
      <c r="NRK1724" s="227"/>
      <c r="NRL1724" s="227"/>
      <c r="NRM1724" s="227"/>
      <c r="NRN1724" s="227"/>
      <c r="NRO1724" s="227"/>
      <c r="NRP1724" s="227"/>
      <c r="NRQ1724" s="227"/>
      <c r="NRR1724" s="227"/>
      <c r="NRS1724" s="227"/>
      <c r="NRT1724" s="227"/>
      <c r="NRU1724" s="227"/>
      <c r="NRV1724" s="227"/>
      <c r="NRW1724" s="227"/>
      <c r="NRX1724" s="227"/>
      <c r="NRY1724" s="227"/>
      <c r="NRZ1724" s="227"/>
      <c r="NSA1724" s="227"/>
      <c r="NSB1724" s="227"/>
      <c r="NSC1724" s="227"/>
      <c r="NSD1724" s="227"/>
      <c r="NSE1724" s="227"/>
      <c r="NSF1724" s="227"/>
      <c r="NSG1724" s="227"/>
      <c r="NSH1724" s="227"/>
      <c r="NSI1724" s="227"/>
      <c r="NSJ1724" s="227"/>
      <c r="NSK1724" s="227"/>
      <c r="NSL1724" s="227"/>
      <c r="NSM1724" s="227"/>
      <c r="NSN1724" s="227"/>
      <c r="NSO1724" s="227"/>
      <c r="NSP1724" s="227"/>
      <c r="NSQ1724" s="227"/>
      <c r="NSR1724" s="227"/>
      <c r="NSS1724" s="227"/>
      <c r="NST1724" s="227"/>
      <c r="NSU1724" s="227"/>
      <c r="NSV1724" s="227"/>
      <c r="NSW1724" s="227"/>
      <c r="NSX1724" s="227"/>
      <c r="NSY1724" s="227"/>
      <c r="NSZ1724" s="227"/>
      <c r="NTA1724" s="227"/>
      <c r="NTB1724" s="227"/>
      <c r="NTC1724" s="227"/>
      <c r="NTD1724" s="227"/>
      <c r="NTE1724" s="227"/>
      <c r="NTF1724" s="227"/>
      <c r="NTG1724" s="227"/>
      <c r="NTH1724" s="227"/>
      <c r="NTI1724" s="227"/>
      <c r="NTJ1724" s="227"/>
      <c r="NTK1724" s="227"/>
      <c r="NTL1724" s="227"/>
      <c r="NTM1724" s="227"/>
      <c r="NTN1724" s="227"/>
      <c r="NTO1724" s="227"/>
      <c r="NTP1724" s="227"/>
      <c r="NTQ1724" s="227"/>
      <c r="NTR1724" s="227"/>
      <c r="NTS1724" s="227"/>
      <c r="NTT1724" s="227"/>
      <c r="NTU1724" s="227"/>
      <c r="NTV1724" s="227"/>
      <c r="NTW1724" s="227"/>
      <c r="NTX1724" s="227"/>
      <c r="NTY1724" s="227"/>
      <c r="NTZ1724" s="227"/>
      <c r="NUA1724" s="227"/>
      <c r="NUB1724" s="227"/>
      <c r="NUC1724" s="227"/>
      <c r="NUD1724" s="227"/>
      <c r="NUE1724" s="227"/>
      <c r="NUF1724" s="227"/>
      <c r="NUG1724" s="227"/>
      <c r="NUH1724" s="227"/>
      <c r="NUI1724" s="227"/>
      <c r="NUJ1724" s="227"/>
      <c r="NUK1724" s="227"/>
      <c r="NUL1724" s="227"/>
      <c r="NUM1724" s="227"/>
      <c r="NUN1724" s="227"/>
      <c r="NUO1724" s="227"/>
      <c r="NUP1724" s="227"/>
      <c r="NUQ1724" s="227"/>
      <c r="NUR1724" s="227"/>
      <c r="NUS1724" s="227"/>
      <c r="NUT1724" s="227"/>
      <c r="NUU1724" s="227"/>
      <c r="NUV1724" s="227"/>
      <c r="NUW1724" s="227"/>
      <c r="NUX1724" s="227"/>
      <c r="NUY1724" s="227"/>
      <c r="NUZ1724" s="227"/>
      <c r="NVA1724" s="227"/>
      <c r="NVB1724" s="227"/>
      <c r="NVC1724" s="227"/>
      <c r="NVD1724" s="227"/>
      <c r="NVE1724" s="227"/>
      <c r="NVF1724" s="227"/>
      <c r="NVG1724" s="227"/>
      <c r="NVH1724" s="227"/>
      <c r="NVI1724" s="227"/>
      <c r="NVJ1724" s="227"/>
      <c r="NVK1724" s="227"/>
      <c r="NVL1724" s="227"/>
      <c r="NVM1724" s="227"/>
      <c r="NVN1724" s="227"/>
      <c r="NVO1724" s="227"/>
      <c r="NVP1724" s="227"/>
      <c r="NVQ1724" s="227"/>
      <c r="NVR1724" s="227"/>
      <c r="NVS1724" s="227"/>
      <c r="NVT1724" s="227"/>
      <c r="NVU1724" s="227"/>
      <c r="NVV1724" s="227"/>
      <c r="NVW1724" s="227"/>
      <c r="NVX1724" s="227"/>
      <c r="NVY1724" s="227"/>
      <c r="NVZ1724" s="227"/>
      <c r="NWA1724" s="227"/>
      <c r="NWB1724" s="227"/>
      <c r="NWC1724" s="227"/>
      <c r="NWD1724" s="227"/>
      <c r="NWE1724" s="227"/>
      <c r="NWF1724" s="227"/>
      <c r="NWG1724" s="227"/>
      <c r="NWH1724" s="227"/>
      <c r="NWI1724" s="227"/>
      <c r="NWJ1724" s="227"/>
      <c r="NWK1724" s="227"/>
      <c r="NWL1724" s="227"/>
      <c r="NWM1724" s="227"/>
      <c r="NWN1724" s="227"/>
      <c r="NWO1724" s="227"/>
      <c r="NWP1724" s="227"/>
      <c r="NWQ1724" s="227"/>
      <c r="NWR1724" s="227"/>
      <c r="NWS1724" s="227"/>
      <c r="NWT1724" s="227"/>
      <c r="NWU1724" s="227"/>
      <c r="NWV1724" s="227"/>
      <c r="NWW1724" s="227"/>
      <c r="NWX1724" s="227"/>
      <c r="NWY1724" s="227"/>
      <c r="NWZ1724" s="227"/>
      <c r="NXA1724" s="227"/>
      <c r="NXB1724" s="227"/>
      <c r="NXC1724" s="227"/>
      <c r="NXD1724" s="227"/>
      <c r="NXE1724" s="227"/>
      <c r="NXF1724" s="227"/>
      <c r="NXG1724" s="227"/>
      <c r="NXH1724" s="227"/>
      <c r="NXI1724" s="227"/>
      <c r="NXJ1724" s="227"/>
      <c r="NXK1724" s="227"/>
      <c r="NXL1724" s="227"/>
      <c r="NXM1724" s="227"/>
      <c r="NXN1724" s="227"/>
      <c r="NXO1724" s="227"/>
      <c r="NXP1724" s="227"/>
      <c r="NXQ1724" s="227"/>
      <c r="NXR1724" s="227"/>
      <c r="NXS1724" s="227"/>
      <c r="NXT1724" s="227"/>
      <c r="NXU1724" s="227"/>
      <c r="NXV1724" s="227"/>
      <c r="NXW1724" s="227"/>
      <c r="NXX1724" s="227"/>
      <c r="NXY1724" s="227"/>
      <c r="NXZ1724" s="227"/>
      <c r="NYA1724" s="227"/>
      <c r="NYB1724" s="227"/>
      <c r="NYC1724" s="227"/>
      <c r="NYD1724" s="227"/>
      <c r="NYE1724" s="227"/>
      <c r="NYF1724" s="227"/>
      <c r="NYG1724" s="227"/>
      <c r="NYH1724" s="227"/>
      <c r="NYI1724" s="227"/>
      <c r="NYJ1724" s="227"/>
      <c r="NYK1724" s="227"/>
      <c r="NYL1724" s="227"/>
      <c r="NYM1724" s="227"/>
      <c r="NYN1724" s="227"/>
      <c r="NYO1724" s="227"/>
      <c r="NYP1724" s="227"/>
      <c r="NYQ1724" s="227"/>
      <c r="NYR1724" s="227"/>
      <c r="NYS1724" s="227"/>
      <c r="NYT1724" s="227"/>
      <c r="NYU1724" s="227"/>
      <c r="NYV1724" s="227"/>
      <c r="NYW1724" s="227"/>
      <c r="NYX1724" s="227"/>
      <c r="NYY1724" s="227"/>
      <c r="NYZ1724" s="227"/>
      <c r="NZA1724" s="227"/>
      <c r="NZB1724" s="227"/>
      <c r="NZC1724" s="227"/>
      <c r="NZD1724" s="227"/>
      <c r="NZE1724" s="227"/>
      <c r="NZF1724" s="227"/>
      <c r="NZG1724" s="227"/>
      <c r="NZH1724" s="227"/>
      <c r="NZI1724" s="227"/>
      <c r="NZJ1724" s="227"/>
      <c r="NZK1724" s="227"/>
      <c r="NZL1724" s="227"/>
      <c r="NZM1724" s="227"/>
      <c r="NZN1724" s="227"/>
      <c r="NZO1724" s="227"/>
      <c r="NZP1724" s="227"/>
      <c r="NZQ1724" s="227"/>
      <c r="NZR1724" s="227"/>
      <c r="NZS1724" s="227"/>
      <c r="NZT1724" s="227"/>
      <c r="NZU1724" s="227"/>
      <c r="NZV1724" s="227"/>
      <c r="NZW1724" s="227"/>
      <c r="NZX1724" s="227"/>
      <c r="NZY1724" s="227"/>
      <c r="NZZ1724" s="227"/>
      <c r="OAA1724" s="227"/>
      <c r="OAB1724" s="227"/>
      <c r="OAC1724" s="227"/>
      <c r="OAD1724" s="227"/>
      <c r="OAE1724" s="227"/>
      <c r="OAF1724" s="227"/>
      <c r="OAG1724" s="227"/>
      <c r="OAH1724" s="227"/>
      <c r="OAI1724" s="227"/>
      <c r="OAJ1724" s="227"/>
      <c r="OAK1724" s="227"/>
      <c r="OAL1724" s="227"/>
      <c r="OAM1724" s="227"/>
      <c r="OAN1724" s="227"/>
      <c r="OAO1724" s="227"/>
      <c r="OAP1724" s="227"/>
      <c r="OAQ1724" s="227"/>
      <c r="OAR1724" s="227"/>
      <c r="OAS1724" s="227"/>
      <c r="OAT1724" s="227"/>
      <c r="OAU1724" s="227"/>
      <c r="OAV1724" s="227"/>
      <c r="OAW1724" s="227"/>
      <c r="OAX1724" s="227"/>
      <c r="OAY1724" s="227"/>
      <c r="OAZ1724" s="227"/>
      <c r="OBA1724" s="227"/>
      <c r="OBB1724" s="227"/>
      <c r="OBC1724" s="227"/>
      <c r="OBD1724" s="227"/>
      <c r="OBE1724" s="227"/>
      <c r="OBF1724" s="227"/>
      <c r="OBG1724" s="227"/>
      <c r="OBH1724" s="227"/>
      <c r="OBI1724" s="227"/>
      <c r="OBJ1724" s="227"/>
      <c r="OBK1724" s="227"/>
      <c r="OBL1724" s="227"/>
      <c r="OBM1724" s="227"/>
      <c r="OBN1724" s="227"/>
      <c r="OBO1724" s="227"/>
      <c r="OBP1724" s="227"/>
      <c r="OBQ1724" s="227"/>
      <c r="OBR1724" s="227"/>
      <c r="OBS1724" s="227"/>
      <c r="OBT1724" s="227"/>
      <c r="OBU1724" s="227"/>
      <c r="OBV1724" s="227"/>
      <c r="OBW1724" s="227"/>
      <c r="OBX1724" s="227"/>
      <c r="OBY1724" s="227"/>
      <c r="OBZ1724" s="227"/>
      <c r="OCA1724" s="227"/>
      <c r="OCB1724" s="227"/>
      <c r="OCC1724" s="227"/>
      <c r="OCD1724" s="227"/>
      <c r="OCE1724" s="227"/>
      <c r="OCF1724" s="227"/>
      <c r="OCG1724" s="227"/>
      <c r="OCH1724" s="227"/>
      <c r="OCI1724" s="227"/>
      <c r="OCJ1724" s="227"/>
      <c r="OCK1724" s="227"/>
      <c r="OCL1724" s="227"/>
      <c r="OCM1724" s="227"/>
      <c r="OCN1724" s="227"/>
      <c r="OCO1724" s="227"/>
      <c r="OCP1724" s="227"/>
      <c r="OCQ1724" s="227"/>
      <c r="OCR1724" s="227"/>
      <c r="OCS1724" s="227"/>
      <c r="OCT1724" s="227"/>
      <c r="OCU1724" s="227"/>
      <c r="OCV1724" s="227"/>
      <c r="OCW1724" s="227"/>
      <c r="OCX1724" s="227"/>
      <c r="OCY1724" s="227"/>
      <c r="OCZ1724" s="227"/>
      <c r="ODA1724" s="227"/>
      <c r="ODB1724" s="227"/>
      <c r="ODC1724" s="227"/>
      <c r="ODD1724" s="227"/>
      <c r="ODE1724" s="227"/>
      <c r="ODF1724" s="227"/>
      <c r="ODG1724" s="227"/>
      <c r="ODH1724" s="227"/>
      <c r="ODI1724" s="227"/>
      <c r="ODJ1724" s="227"/>
      <c r="ODK1724" s="227"/>
      <c r="ODL1724" s="227"/>
      <c r="ODM1724" s="227"/>
      <c r="ODN1724" s="227"/>
      <c r="ODO1724" s="227"/>
      <c r="ODP1724" s="227"/>
      <c r="ODQ1724" s="227"/>
      <c r="ODR1724" s="227"/>
      <c r="ODS1724" s="227"/>
      <c r="ODT1724" s="227"/>
      <c r="ODU1724" s="227"/>
      <c r="ODV1724" s="227"/>
      <c r="ODW1724" s="227"/>
      <c r="ODX1724" s="227"/>
      <c r="ODY1724" s="227"/>
      <c r="ODZ1724" s="227"/>
      <c r="OEA1724" s="227"/>
      <c r="OEB1724" s="227"/>
      <c r="OEC1724" s="227"/>
      <c r="OED1724" s="227"/>
      <c r="OEE1724" s="227"/>
      <c r="OEF1724" s="227"/>
      <c r="OEG1724" s="227"/>
      <c r="OEH1724" s="227"/>
      <c r="OEI1724" s="227"/>
      <c r="OEJ1724" s="227"/>
      <c r="OEK1724" s="227"/>
      <c r="OEL1724" s="227"/>
      <c r="OEM1724" s="227"/>
      <c r="OEN1724" s="227"/>
      <c r="OEO1724" s="227"/>
      <c r="OEP1724" s="227"/>
      <c r="OEQ1724" s="227"/>
      <c r="OER1724" s="227"/>
      <c r="OES1724" s="227"/>
      <c r="OET1724" s="227"/>
      <c r="OEU1724" s="227"/>
      <c r="OEV1724" s="227"/>
      <c r="OEW1724" s="227"/>
      <c r="OEX1724" s="227"/>
      <c r="OEY1724" s="227"/>
      <c r="OEZ1724" s="227"/>
      <c r="OFA1724" s="227"/>
      <c r="OFB1724" s="227"/>
      <c r="OFC1724" s="227"/>
      <c r="OFD1724" s="227"/>
      <c r="OFE1724" s="227"/>
      <c r="OFF1724" s="227"/>
      <c r="OFG1724" s="227"/>
      <c r="OFH1724" s="227"/>
      <c r="OFI1724" s="227"/>
      <c r="OFJ1724" s="227"/>
      <c r="OFK1724" s="227"/>
      <c r="OFL1724" s="227"/>
      <c r="OFM1724" s="227"/>
      <c r="OFN1724" s="227"/>
      <c r="OFO1724" s="227"/>
      <c r="OFP1724" s="227"/>
      <c r="OFQ1724" s="227"/>
      <c r="OFR1724" s="227"/>
      <c r="OFS1724" s="227"/>
      <c r="OFT1724" s="227"/>
      <c r="OFU1724" s="227"/>
      <c r="OFV1724" s="227"/>
      <c r="OFW1724" s="227"/>
      <c r="OFX1724" s="227"/>
      <c r="OFY1724" s="227"/>
      <c r="OFZ1724" s="227"/>
      <c r="OGA1724" s="227"/>
      <c r="OGB1724" s="227"/>
      <c r="OGC1724" s="227"/>
      <c r="OGD1724" s="227"/>
      <c r="OGE1724" s="227"/>
      <c r="OGF1724" s="227"/>
      <c r="OGG1724" s="227"/>
      <c r="OGH1724" s="227"/>
      <c r="OGI1724" s="227"/>
      <c r="OGJ1724" s="227"/>
      <c r="OGK1724" s="227"/>
      <c r="OGL1724" s="227"/>
      <c r="OGM1724" s="227"/>
      <c r="OGN1724" s="227"/>
      <c r="OGO1724" s="227"/>
      <c r="OGP1724" s="227"/>
      <c r="OGQ1724" s="227"/>
      <c r="OGR1724" s="227"/>
      <c r="OGS1724" s="227"/>
      <c r="OGT1724" s="227"/>
      <c r="OGU1724" s="227"/>
      <c r="OGV1724" s="227"/>
      <c r="OGW1724" s="227"/>
      <c r="OGX1724" s="227"/>
      <c r="OGY1724" s="227"/>
      <c r="OGZ1724" s="227"/>
      <c r="OHA1724" s="227"/>
      <c r="OHB1724" s="227"/>
      <c r="OHC1724" s="227"/>
      <c r="OHD1724" s="227"/>
      <c r="OHE1724" s="227"/>
      <c r="OHF1724" s="227"/>
      <c r="OHG1724" s="227"/>
      <c r="OHH1724" s="227"/>
      <c r="OHI1724" s="227"/>
      <c r="OHJ1724" s="227"/>
      <c r="OHK1724" s="227"/>
      <c r="OHL1724" s="227"/>
      <c r="OHM1724" s="227"/>
      <c r="OHN1724" s="227"/>
      <c r="OHO1724" s="227"/>
      <c r="OHP1724" s="227"/>
      <c r="OHQ1724" s="227"/>
      <c r="OHR1724" s="227"/>
      <c r="OHS1724" s="227"/>
      <c r="OHT1724" s="227"/>
      <c r="OHU1724" s="227"/>
      <c r="OHV1724" s="227"/>
      <c r="OHW1724" s="227"/>
      <c r="OHX1724" s="227"/>
      <c r="OHY1724" s="227"/>
      <c r="OHZ1724" s="227"/>
      <c r="OIA1724" s="227"/>
      <c r="OIB1724" s="227"/>
      <c r="OIC1724" s="227"/>
      <c r="OID1724" s="227"/>
      <c r="OIE1724" s="227"/>
      <c r="OIF1724" s="227"/>
      <c r="OIG1724" s="227"/>
      <c r="OIH1724" s="227"/>
      <c r="OII1724" s="227"/>
      <c r="OIJ1724" s="227"/>
      <c r="OIK1724" s="227"/>
      <c r="OIL1724" s="227"/>
      <c r="OIM1724" s="227"/>
      <c r="OIN1724" s="227"/>
      <c r="OIO1724" s="227"/>
      <c r="OIP1724" s="227"/>
      <c r="OIQ1724" s="227"/>
      <c r="OIR1724" s="227"/>
      <c r="OIS1724" s="227"/>
      <c r="OIT1724" s="227"/>
      <c r="OIU1724" s="227"/>
      <c r="OIV1724" s="227"/>
      <c r="OIW1724" s="227"/>
      <c r="OIX1724" s="227"/>
      <c r="OIY1724" s="227"/>
      <c r="OIZ1724" s="227"/>
      <c r="OJA1724" s="227"/>
      <c r="OJB1724" s="227"/>
      <c r="OJC1724" s="227"/>
      <c r="OJD1724" s="227"/>
      <c r="OJE1724" s="227"/>
      <c r="OJF1724" s="227"/>
      <c r="OJG1724" s="227"/>
      <c r="OJH1724" s="227"/>
      <c r="OJI1724" s="227"/>
      <c r="OJJ1724" s="227"/>
      <c r="OJK1724" s="227"/>
      <c r="OJL1724" s="227"/>
      <c r="OJM1724" s="227"/>
      <c r="OJN1724" s="227"/>
      <c r="OJO1724" s="227"/>
      <c r="OJP1724" s="227"/>
      <c r="OJQ1724" s="227"/>
      <c r="OJR1724" s="227"/>
      <c r="OJS1724" s="227"/>
      <c r="OJT1724" s="227"/>
      <c r="OJU1724" s="227"/>
      <c r="OJV1724" s="227"/>
      <c r="OJW1724" s="227"/>
      <c r="OJX1724" s="227"/>
      <c r="OJY1724" s="227"/>
      <c r="OJZ1724" s="227"/>
      <c r="OKA1724" s="227"/>
      <c r="OKB1724" s="227"/>
      <c r="OKC1724" s="227"/>
      <c r="OKD1724" s="227"/>
      <c r="OKE1724" s="227"/>
      <c r="OKF1724" s="227"/>
      <c r="OKG1724" s="227"/>
      <c r="OKH1724" s="227"/>
      <c r="OKI1724" s="227"/>
      <c r="OKJ1724" s="227"/>
      <c r="OKK1724" s="227"/>
      <c r="OKL1724" s="227"/>
      <c r="OKM1724" s="227"/>
      <c r="OKN1724" s="227"/>
      <c r="OKO1724" s="227"/>
      <c r="OKP1724" s="227"/>
      <c r="OKQ1724" s="227"/>
      <c r="OKR1724" s="227"/>
      <c r="OKS1724" s="227"/>
      <c r="OKT1724" s="227"/>
      <c r="OKU1724" s="227"/>
      <c r="OKV1724" s="227"/>
      <c r="OKW1724" s="227"/>
      <c r="OKX1724" s="227"/>
      <c r="OKY1724" s="227"/>
      <c r="OKZ1724" s="227"/>
      <c r="OLA1724" s="227"/>
      <c r="OLB1724" s="227"/>
      <c r="OLC1724" s="227"/>
      <c r="OLD1724" s="227"/>
      <c r="OLE1724" s="227"/>
      <c r="OLF1724" s="227"/>
      <c r="OLG1724" s="227"/>
      <c r="OLH1724" s="227"/>
      <c r="OLI1724" s="227"/>
      <c r="OLJ1724" s="227"/>
      <c r="OLK1724" s="227"/>
      <c r="OLL1724" s="227"/>
      <c r="OLM1724" s="227"/>
      <c r="OLN1724" s="227"/>
      <c r="OLO1724" s="227"/>
      <c r="OLP1724" s="227"/>
      <c r="OLQ1724" s="227"/>
      <c r="OLR1724" s="227"/>
      <c r="OLS1724" s="227"/>
      <c r="OLT1724" s="227"/>
      <c r="OLU1724" s="227"/>
      <c r="OLV1724" s="227"/>
      <c r="OLW1724" s="227"/>
      <c r="OLX1724" s="227"/>
      <c r="OLY1724" s="227"/>
      <c r="OLZ1724" s="227"/>
      <c r="OMA1724" s="227"/>
      <c r="OMB1724" s="227"/>
      <c r="OMC1724" s="227"/>
      <c r="OMD1724" s="227"/>
      <c r="OME1724" s="227"/>
      <c r="OMF1724" s="227"/>
      <c r="OMG1724" s="227"/>
      <c r="OMH1724" s="227"/>
      <c r="OMI1724" s="227"/>
      <c r="OMJ1724" s="227"/>
      <c r="OMK1724" s="227"/>
      <c r="OML1724" s="227"/>
      <c r="OMM1724" s="227"/>
      <c r="OMN1724" s="227"/>
      <c r="OMO1724" s="227"/>
      <c r="OMP1724" s="227"/>
      <c r="OMQ1724" s="227"/>
      <c r="OMR1724" s="227"/>
      <c r="OMS1724" s="227"/>
      <c r="OMT1724" s="227"/>
      <c r="OMU1724" s="227"/>
      <c r="OMV1724" s="227"/>
      <c r="OMW1724" s="227"/>
      <c r="OMX1724" s="227"/>
      <c r="OMY1724" s="227"/>
      <c r="OMZ1724" s="227"/>
      <c r="ONA1724" s="227"/>
      <c r="ONB1724" s="227"/>
      <c r="ONC1724" s="227"/>
      <c r="OND1724" s="227"/>
      <c r="ONE1724" s="227"/>
      <c r="ONF1724" s="227"/>
      <c r="ONG1724" s="227"/>
      <c r="ONH1724" s="227"/>
      <c r="ONI1724" s="227"/>
      <c r="ONJ1724" s="227"/>
      <c r="ONK1724" s="227"/>
      <c r="ONL1724" s="227"/>
      <c r="ONM1724" s="227"/>
      <c r="ONN1724" s="227"/>
      <c r="ONO1724" s="227"/>
      <c r="ONP1724" s="227"/>
      <c r="ONQ1724" s="227"/>
      <c r="ONR1724" s="227"/>
      <c r="ONS1724" s="227"/>
      <c r="ONT1724" s="227"/>
      <c r="ONU1724" s="227"/>
      <c r="ONV1724" s="227"/>
      <c r="ONW1724" s="227"/>
      <c r="ONX1724" s="227"/>
      <c r="ONY1724" s="227"/>
      <c r="ONZ1724" s="227"/>
      <c r="OOA1724" s="227"/>
      <c r="OOB1724" s="227"/>
      <c r="OOC1724" s="227"/>
      <c r="OOD1724" s="227"/>
      <c r="OOE1724" s="227"/>
      <c r="OOF1724" s="227"/>
      <c r="OOG1724" s="227"/>
      <c r="OOH1724" s="227"/>
      <c r="OOI1724" s="227"/>
      <c r="OOJ1724" s="227"/>
      <c r="OOK1724" s="227"/>
      <c r="OOL1724" s="227"/>
      <c r="OOM1724" s="227"/>
      <c r="OON1724" s="227"/>
      <c r="OOO1724" s="227"/>
      <c r="OOP1724" s="227"/>
      <c r="OOQ1724" s="227"/>
      <c r="OOR1724" s="227"/>
      <c r="OOS1724" s="227"/>
      <c r="OOT1724" s="227"/>
      <c r="OOU1724" s="227"/>
      <c r="OOV1724" s="227"/>
      <c r="OOW1724" s="227"/>
      <c r="OOX1724" s="227"/>
      <c r="OOY1724" s="227"/>
      <c r="OOZ1724" s="227"/>
      <c r="OPA1724" s="227"/>
      <c r="OPB1724" s="227"/>
      <c r="OPC1724" s="227"/>
      <c r="OPD1724" s="227"/>
      <c r="OPE1724" s="227"/>
      <c r="OPF1724" s="227"/>
      <c r="OPG1724" s="227"/>
      <c r="OPH1724" s="227"/>
      <c r="OPI1724" s="227"/>
      <c r="OPJ1724" s="227"/>
      <c r="OPK1724" s="227"/>
      <c r="OPL1724" s="227"/>
      <c r="OPM1724" s="227"/>
      <c r="OPN1724" s="227"/>
      <c r="OPO1724" s="227"/>
      <c r="OPP1724" s="227"/>
      <c r="OPQ1724" s="227"/>
      <c r="OPR1724" s="227"/>
      <c r="OPS1724" s="227"/>
      <c r="OPT1724" s="227"/>
      <c r="OPU1724" s="227"/>
      <c r="OPV1724" s="227"/>
      <c r="OPW1724" s="227"/>
      <c r="OPX1724" s="227"/>
      <c r="OPY1724" s="227"/>
      <c r="OPZ1724" s="227"/>
      <c r="OQA1724" s="227"/>
      <c r="OQB1724" s="227"/>
      <c r="OQC1724" s="227"/>
      <c r="OQD1724" s="227"/>
      <c r="OQE1724" s="227"/>
      <c r="OQF1724" s="227"/>
      <c r="OQG1724" s="227"/>
      <c r="OQH1724" s="227"/>
      <c r="OQI1724" s="227"/>
      <c r="OQJ1724" s="227"/>
      <c r="OQK1724" s="227"/>
      <c r="OQL1724" s="227"/>
      <c r="OQM1724" s="227"/>
      <c r="OQN1724" s="227"/>
      <c r="OQO1724" s="227"/>
      <c r="OQP1724" s="227"/>
      <c r="OQQ1724" s="227"/>
      <c r="OQR1724" s="227"/>
      <c r="OQS1724" s="227"/>
      <c r="OQT1724" s="227"/>
      <c r="OQU1724" s="227"/>
      <c r="OQV1724" s="227"/>
      <c r="OQW1724" s="227"/>
      <c r="OQX1724" s="227"/>
      <c r="OQY1724" s="227"/>
      <c r="OQZ1724" s="227"/>
      <c r="ORA1724" s="227"/>
      <c r="ORB1724" s="227"/>
      <c r="ORC1724" s="227"/>
      <c r="ORD1724" s="227"/>
      <c r="ORE1724" s="227"/>
      <c r="ORF1724" s="227"/>
      <c r="ORG1724" s="227"/>
      <c r="ORH1724" s="227"/>
      <c r="ORI1724" s="227"/>
      <c r="ORJ1724" s="227"/>
      <c r="ORK1724" s="227"/>
      <c r="ORL1724" s="227"/>
      <c r="ORM1724" s="227"/>
      <c r="ORN1724" s="227"/>
      <c r="ORO1724" s="227"/>
      <c r="ORP1724" s="227"/>
      <c r="ORQ1724" s="227"/>
      <c r="ORR1724" s="227"/>
      <c r="ORS1724" s="227"/>
      <c r="ORT1724" s="227"/>
      <c r="ORU1724" s="227"/>
      <c r="ORV1724" s="227"/>
      <c r="ORW1724" s="227"/>
      <c r="ORX1724" s="227"/>
      <c r="ORY1724" s="227"/>
      <c r="ORZ1724" s="227"/>
      <c r="OSA1724" s="227"/>
      <c r="OSB1724" s="227"/>
      <c r="OSC1724" s="227"/>
      <c r="OSD1724" s="227"/>
      <c r="OSE1724" s="227"/>
      <c r="OSF1724" s="227"/>
      <c r="OSG1724" s="227"/>
      <c r="OSH1724" s="227"/>
      <c r="OSI1724" s="227"/>
      <c r="OSJ1724" s="227"/>
      <c r="OSK1724" s="227"/>
      <c r="OSL1724" s="227"/>
      <c r="OSM1724" s="227"/>
      <c r="OSN1724" s="227"/>
      <c r="OSO1724" s="227"/>
      <c r="OSP1724" s="227"/>
      <c r="OSQ1724" s="227"/>
      <c r="OSR1724" s="227"/>
      <c r="OSS1724" s="227"/>
      <c r="OST1724" s="227"/>
      <c r="OSU1724" s="227"/>
      <c r="OSV1724" s="227"/>
      <c r="OSW1724" s="227"/>
      <c r="OSX1724" s="227"/>
      <c r="OSY1724" s="227"/>
      <c r="OSZ1724" s="227"/>
      <c r="OTA1724" s="227"/>
      <c r="OTB1724" s="227"/>
      <c r="OTC1724" s="227"/>
      <c r="OTD1724" s="227"/>
      <c r="OTE1724" s="227"/>
      <c r="OTF1724" s="227"/>
      <c r="OTG1724" s="227"/>
      <c r="OTH1724" s="227"/>
      <c r="OTI1724" s="227"/>
      <c r="OTJ1724" s="227"/>
      <c r="OTK1724" s="227"/>
      <c r="OTL1724" s="227"/>
      <c r="OTM1724" s="227"/>
      <c r="OTN1724" s="227"/>
      <c r="OTO1724" s="227"/>
      <c r="OTP1724" s="227"/>
      <c r="OTQ1724" s="227"/>
      <c r="OTR1724" s="227"/>
      <c r="OTS1724" s="227"/>
      <c r="OTT1724" s="227"/>
      <c r="OTU1724" s="227"/>
      <c r="OTV1724" s="227"/>
      <c r="OTW1724" s="227"/>
      <c r="OTX1724" s="227"/>
      <c r="OTY1724" s="227"/>
      <c r="OTZ1724" s="227"/>
      <c r="OUA1724" s="227"/>
      <c r="OUB1724" s="227"/>
      <c r="OUC1724" s="227"/>
      <c r="OUD1724" s="227"/>
      <c r="OUE1724" s="227"/>
      <c r="OUF1724" s="227"/>
      <c r="OUG1724" s="227"/>
      <c r="OUH1724" s="227"/>
      <c r="OUI1724" s="227"/>
      <c r="OUJ1724" s="227"/>
      <c r="OUK1724" s="227"/>
      <c r="OUL1724" s="227"/>
      <c r="OUM1724" s="227"/>
      <c r="OUN1724" s="227"/>
      <c r="OUO1724" s="227"/>
      <c r="OUP1724" s="227"/>
      <c r="OUQ1724" s="227"/>
      <c r="OUR1724" s="227"/>
      <c r="OUS1724" s="227"/>
      <c r="OUT1724" s="227"/>
      <c r="OUU1724" s="227"/>
      <c r="OUV1724" s="227"/>
      <c r="OUW1724" s="227"/>
      <c r="OUX1724" s="227"/>
      <c r="OUY1724" s="227"/>
      <c r="OUZ1724" s="227"/>
      <c r="OVA1724" s="227"/>
      <c r="OVB1724" s="227"/>
      <c r="OVC1724" s="227"/>
      <c r="OVD1724" s="227"/>
      <c r="OVE1724" s="227"/>
      <c r="OVF1724" s="227"/>
      <c r="OVG1724" s="227"/>
      <c r="OVH1724" s="227"/>
      <c r="OVI1724" s="227"/>
      <c r="OVJ1724" s="227"/>
      <c r="OVK1724" s="227"/>
      <c r="OVL1724" s="227"/>
      <c r="OVM1724" s="227"/>
      <c r="OVN1724" s="227"/>
      <c r="OVO1724" s="227"/>
      <c r="OVP1724" s="227"/>
      <c r="OVQ1724" s="227"/>
      <c r="OVR1724" s="227"/>
      <c r="OVS1724" s="227"/>
      <c r="OVT1724" s="227"/>
      <c r="OVU1724" s="227"/>
      <c r="OVV1724" s="227"/>
      <c r="OVW1724" s="227"/>
      <c r="OVX1724" s="227"/>
      <c r="OVY1724" s="227"/>
      <c r="OVZ1724" s="227"/>
      <c r="OWA1724" s="227"/>
      <c r="OWB1724" s="227"/>
      <c r="OWC1724" s="227"/>
      <c r="OWD1724" s="227"/>
      <c r="OWE1724" s="227"/>
      <c r="OWF1724" s="227"/>
      <c r="OWG1724" s="227"/>
      <c r="OWH1724" s="227"/>
      <c r="OWI1724" s="227"/>
      <c r="OWJ1724" s="227"/>
      <c r="OWK1724" s="227"/>
      <c r="OWL1724" s="227"/>
      <c r="OWM1724" s="227"/>
      <c r="OWN1724" s="227"/>
      <c r="OWO1724" s="227"/>
      <c r="OWP1724" s="227"/>
      <c r="OWQ1724" s="227"/>
      <c r="OWR1724" s="227"/>
      <c r="OWS1724" s="227"/>
      <c r="OWT1724" s="227"/>
      <c r="OWU1724" s="227"/>
      <c r="OWV1724" s="227"/>
      <c r="OWW1724" s="227"/>
      <c r="OWX1724" s="227"/>
      <c r="OWY1724" s="227"/>
      <c r="OWZ1724" s="227"/>
      <c r="OXA1724" s="227"/>
      <c r="OXB1724" s="227"/>
      <c r="OXC1724" s="227"/>
      <c r="OXD1724" s="227"/>
      <c r="OXE1724" s="227"/>
      <c r="OXF1724" s="227"/>
      <c r="OXG1724" s="227"/>
      <c r="OXH1724" s="227"/>
      <c r="OXI1724" s="227"/>
      <c r="OXJ1724" s="227"/>
      <c r="OXK1724" s="227"/>
      <c r="OXL1724" s="227"/>
      <c r="OXM1724" s="227"/>
      <c r="OXN1724" s="227"/>
      <c r="OXO1724" s="227"/>
      <c r="OXP1724" s="227"/>
      <c r="OXQ1724" s="227"/>
      <c r="OXR1724" s="227"/>
      <c r="OXS1724" s="227"/>
      <c r="OXT1724" s="227"/>
      <c r="OXU1724" s="227"/>
      <c r="OXV1724" s="227"/>
      <c r="OXW1724" s="227"/>
      <c r="OXX1724" s="227"/>
      <c r="OXY1724" s="227"/>
      <c r="OXZ1724" s="227"/>
      <c r="OYA1724" s="227"/>
      <c r="OYB1724" s="227"/>
      <c r="OYC1724" s="227"/>
      <c r="OYD1724" s="227"/>
      <c r="OYE1724" s="227"/>
      <c r="OYF1724" s="227"/>
      <c r="OYG1724" s="227"/>
      <c r="OYH1724" s="227"/>
      <c r="OYI1724" s="227"/>
      <c r="OYJ1724" s="227"/>
      <c r="OYK1724" s="227"/>
      <c r="OYL1724" s="227"/>
      <c r="OYM1724" s="227"/>
      <c r="OYN1724" s="227"/>
      <c r="OYO1724" s="227"/>
      <c r="OYP1724" s="227"/>
      <c r="OYQ1724" s="227"/>
      <c r="OYR1724" s="227"/>
      <c r="OYS1724" s="227"/>
      <c r="OYT1724" s="227"/>
      <c r="OYU1724" s="227"/>
      <c r="OYV1724" s="227"/>
      <c r="OYW1724" s="227"/>
      <c r="OYX1724" s="227"/>
      <c r="OYY1724" s="227"/>
      <c r="OYZ1724" s="227"/>
      <c r="OZA1724" s="227"/>
      <c r="OZB1724" s="227"/>
      <c r="OZC1724" s="227"/>
      <c r="OZD1724" s="227"/>
      <c r="OZE1724" s="227"/>
      <c r="OZF1724" s="227"/>
      <c r="OZG1724" s="227"/>
      <c r="OZH1724" s="227"/>
      <c r="OZI1724" s="227"/>
      <c r="OZJ1724" s="227"/>
      <c r="OZK1724" s="227"/>
      <c r="OZL1724" s="227"/>
      <c r="OZM1724" s="227"/>
      <c r="OZN1724" s="227"/>
      <c r="OZO1724" s="227"/>
      <c r="OZP1724" s="227"/>
      <c r="OZQ1724" s="227"/>
      <c r="OZR1724" s="227"/>
      <c r="OZS1724" s="227"/>
      <c r="OZT1724" s="227"/>
      <c r="OZU1724" s="227"/>
      <c r="OZV1724" s="227"/>
      <c r="OZW1724" s="227"/>
      <c r="OZX1724" s="227"/>
      <c r="OZY1724" s="227"/>
      <c r="OZZ1724" s="227"/>
      <c r="PAA1724" s="227"/>
      <c r="PAB1724" s="227"/>
      <c r="PAC1724" s="227"/>
      <c r="PAD1724" s="227"/>
      <c r="PAE1724" s="227"/>
      <c r="PAF1724" s="227"/>
      <c r="PAG1724" s="227"/>
      <c r="PAH1724" s="227"/>
      <c r="PAI1724" s="227"/>
      <c r="PAJ1724" s="227"/>
      <c r="PAK1724" s="227"/>
      <c r="PAL1724" s="227"/>
      <c r="PAM1724" s="227"/>
      <c r="PAN1724" s="227"/>
      <c r="PAO1724" s="227"/>
      <c r="PAP1724" s="227"/>
      <c r="PAQ1724" s="227"/>
      <c r="PAR1724" s="227"/>
      <c r="PAS1724" s="227"/>
      <c r="PAT1724" s="227"/>
      <c r="PAU1724" s="227"/>
      <c r="PAV1724" s="227"/>
      <c r="PAW1724" s="227"/>
      <c r="PAX1724" s="227"/>
      <c r="PAY1724" s="227"/>
      <c r="PAZ1724" s="227"/>
      <c r="PBA1724" s="227"/>
      <c r="PBB1724" s="227"/>
      <c r="PBC1724" s="227"/>
      <c r="PBD1724" s="227"/>
      <c r="PBE1724" s="227"/>
      <c r="PBF1724" s="227"/>
      <c r="PBG1724" s="227"/>
      <c r="PBH1724" s="227"/>
      <c r="PBI1724" s="227"/>
      <c r="PBJ1724" s="227"/>
      <c r="PBK1724" s="227"/>
      <c r="PBL1724" s="227"/>
      <c r="PBM1724" s="227"/>
      <c r="PBN1724" s="227"/>
      <c r="PBO1724" s="227"/>
      <c r="PBP1724" s="227"/>
      <c r="PBQ1724" s="227"/>
      <c r="PBR1724" s="227"/>
      <c r="PBS1724" s="227"/>
      <c r="PBT1724" s="227"/>
      <c r="PBU1724" s="227"/>
      <c r="PBV1724" s="227"/>
      <c r="PBW1724" s="227"/>
      <c r="PBX1724" s="227"/>
      <c r="PBY1724" s="227"/>
      <c r="PBZ1724" s="227"/>
      <c r="PCA1724" s="227"/>
      <c r="PCB1724" s="227"/>
      <c r="PCC1724" s="227"/>
      <c r="PCD1724" s="227"/>
      <c r="PCE1724" s="227"/>
      <c r="PCF1724" s="227"/>
      <c r="PCG1724" s="227"/>
      <c r="PCH1724" s="227"/>
      <c r="PCI1724" s="227"/>
      <c r="PCJ1724" s="227"/>
      <c r="PCK1724" s="227"/>
      <c r="PCL1724" s="227"/>
      <c r="PCM1724" s="227"/>
      <c r="PCN1724" s="227"/>
      <c r="PCO1724" s="227"/>
      <c r="PCP1724" s="227"/>
      <c r="PCQ1724" s="227"/>
      <c r="PCR1724" s="227"/>
      <c r="PCS1724" s="227"/>
      <c r="PCT1724" s="227"/>
      <c r="PCU1724" s="227"/>
      <c r="PCV1724" s="227"/>
      <c r="PCW1724" s="227"/>
      <c r="PCX1724" s="227"/>
      <c r="PCY1724" s="227"/>
      <c r="PCZ1724" s="227"/>
      <c r="PDA1724" s="227"/>
      <c r="PDB1724" s="227"/>
      <c r="PDC1724" s="227"/>
      <c r="PDD1724" s="227"/>
      <c r="PDE1724" s="227"/>
      <c r="PDF1724" s="227"/>
      <c r="PDG1724" s="227"/>
      <c r="PDH1724" s="227"/>
      <c r="PDI1724" s="227"/>
      <c r="PDJ1724" s="227"/>
      <c r="PDK1724" s="227"/>
      <c r="PDL1724" s="227"/>
      <c r="PDM1724" s="227"/>
      <c r="PDN1724" s="227"/>
      <c r="PDO1724" s="227"/>
      <c r="PDP1724" s="227"/>
      <c r="PDQ1724" s="227"/>
      <c r="PDR1724" s="227"/>
      <c r="PDS1724" s="227"/>
      <c r="PDT1724" s="227"/>
      <c r="PDU1724" s="227"/>
      <c r="PDV1724" s="227"/>
      <c r="PDW1724" s="227"/>
      <c r="PDX1724" s="227"/>
      <c r="PDY1724" s="227"/>
      <c r="PDZ1724" s="227"/>
      <c r="PEA1724" s="227"/>
      <c r="PEB1724" s="227"/>
      <c r="PEC1724" s="227"/>
      <c r="PED1724" s="227"/>
      <c r="PEE1724" s="227"/>
      <c r="PEF1724" s="227"/>
      <c r="PEG1724" s="227"/>
      <c r="PEH1724" s="227"/>
      <c r="PEI1724" s="227"/>
      <c r="PEJ1724" s="227"/>
      <c r="PEK1724" s="227"/>
      <c r="PEL1724" s="227"/>
      <c r="PEM1724" s="227"/>
      <c r="PEN1724" s="227"/>
      <c r="PEO1724" s="227"/>
      <c r="PEP1724" s="227"/>
      <c r="PEQ1724" s="227"/>
      <c r="PER1724" s="227"/>
      <c r="PES1724" s="227"/>
      <c r="PET1724" s="227"/>
      <c r="PEU1724" s="227"/>
      <c r="PEV1724" s="227"/>
      <c r="PEW1724" s="227"/>
      <c r="PEX1724" s="227"/>
      <c r="PEY1724" s="227"/>
      <c r="PEZ1724" s="227"/>
      <c r="PFA1724" s="227"/>
      <c r="PFB1724" s="227"/>
      <c r="PFC1724" s="227"/>
      <c r="PFD1724" s="227"/>
      <c r="PFE1724" s="227"/>
      <c r="PFF1724" s="227"/>
      <c r="PFG1724" s="227"/>
      <c r="PFH1724" s="227"/>
      <c r="PFI1724" s="227"/>
      <c r="PFJ1724" s="227"/>
      <c r="PFK1724" s="227"/>
      <c r="PFL1724" s="227"/>
      <c r="PFM1724" s="227"/>
      <c r="PFN1724" s="227"/>
      <c r="PFO1724" s="227"/>
      <c r="PFP1724" s="227"/>
      <c r="PFQ1724" s="227"/>
      <c r="PFR1724" s="227"/>
      <c r="PFS1724" s="227"/>
      <c r="PFT1724" s="227"/>
      <c r="PFU1724" s="227"/>
      <c r="PFV1724" s="227"/>
      <c r="PFW1724" s="227"/>
      <c r="PFX1724" s="227"/>
      <c r="PFY1724" s="227"/>
      <c r="PFZ1724" s="227"/>
      <c r="PGA1724" s="227"/>
      <c r="PGB1724" s="227"/>
      <c r="PGC1724" s="227"/>
      <c r="PGD1724" s="227"/>
      <c r="PGE1724" s="227"/>
      <c r="PGF1724" s="227"/>
      <c r="PGG1724" s="227"/>
      <c r="PGH1724" s="227"/>
      <c r="PGI1724" s="227"/>
      <c r="PGJ1724" s="227"/>
      <c r="PGK1724" s="227"/>
      <c r="PGL1724" s="227"/>
      <c r="PGM1724" s="227"/>
      <c r="PGN1724" s="227"/>
      <c r="PGO1724" s="227"/>
      <c r="PGP1724" s="227"/>
      <c r="PGQ1724" s="227"/>
      <c r="PGR1724" s="227"/>
      <c r="PGS1724" s="227"/>
      <c r="PGT1724" s="227"/>
      <c r="PGU1724" s="227"/>
      <c r="PGV1724" s="227"/>
      <c r="PGW1724" s="227"/>
      <c r="PGX1724" s="227"/>
      <c r="PGY1724" s="227"/>
      <c r="PGZ1724" s="227"/>
      <c r="PHA1724" s="227"/>
      <c r="PHB1724" s="227"/>
      <c r="PHC1724" s="227"/>
      <c r="PHD1724" s="227"/>
      <c r="PHE1724" s="227"/>
      <c r="PHF1724" s="227"/>
      <c r="PHG1724" s="227"/>
      <c r="PHH1724" s="227"/>
      <c r="PHI1724" s="227"/>
      <c r="PHJ1724" s="227"/>
      <c r="PHK1724" s="227"/>
      <c r="PHL1724" s="227"/>
      <c r="PHM1724" s="227"/>
      <c r="PHN1724" s="227"/>
      <c r="PHO1724" s="227"/>
      <c r="PHP1724" s="227"/>
      <c r="PHQ1724" s="227"/>
      <c r="PHR1724" s="227"/>
      <c r="PHS1724" s="227"/>
      <c r="PHT1724" s="227"/>
      <c r="PHU1724" s="227"/>
      <c r="PHV1724" s="227"/>
      <c r="PHW1724" s="227"/>
      <c r="PHX1724" s="227"/>
      <c r="PHY1724" s="227"/>
      <c r="PHZ1724" s="227"/>
      <c r="PIA1724" s="227"/>
      <c r="PIB1724" s="227"/>
      <c r="PIC1724" s="227"/>
      <c r="PID1724" s="227"/>
      <c r="PIE1724" s="227"/>
      <c r="PIF1724" s="227"/>
      <c r="PIG1724" s="227"/>
      <c r="PIH1724" s="227"/>
      <c r="PII1724" s="227"/>
      <c r="PIJ1724" s="227"/>
      <c r="PIK1724" s="227"/>
      <c r="PIL1724" s="227"/>
      <c r="PIM1724" s="227"/>
      <c r="PIN1724" s="227"/>
      <c r="PIO1724" s="227"/>
      <c r="PIP1724" s="227"/>
      <c r="PIQ1724" s="227"/>
      <c r="PIR1724" s="227"/>
      <c r="PIS1724" s="227"/>
      <c r="PIT1724" s="227"/>
      <c r="PIU1724" s="227"/>
      <c r="PIV1724" s="227"/>
      <c r="PIW1724" s="227"/>
      <c r="PIX1724" s="227"/>
      <c r="PIY1724" s="227"/>
      <c r="PIZ1724" s="227"/>
      <c r="PJA1724" s="227"/>
      <c r="PJB1724" s="227"/>
      <c r="PJC1724" s="227"/>
      <c r="PJD1724" s="227"/>
      <c r="PJE1724" s="227"/>
      <c r="PJF1724" s="227"/>
      <c r="PJG1724" s="227"/>
      <c r="PJH1724" s="227"/>
      <c r="PJI1724" s="227"/>
      <c r="PJJ1724" s="227"/>
      <c r="PJK1724" s="227"/>
      <c r="PJL1724" s="227"/>
      <c r="PJM1724" s="227"/>
      <c r="PJN1724" s="227"/>
      <c r="PJO1724" s="227"/>
      <c r="PJP1724" s="227"/>
      <c r="PJQ1724" s="227"/>
      <c r="PJR1724" s="227"/>
      <c r="PJS1724" s="227"/>
      <c r="PJT1724" s="227"/>
      <c r="PJU1724" s="227"/>
      <c r="PJV1724" s="227"/>
      <c r="PJW1724" s="227"/>
      <c r="PJX1724" s="227"/>
      <c r="PJY1724" s="227"/>
      <c r="PJZ1724" s="227"/>
      <c r="PKA1724" s="227"/>
      <c r="PKB1724" s="227"/>
      <c r="PKC1724" s="227"/>
      <c r="PKD1724" s="227"/>
      <c r="PKE1724" s="227"/>
      <c r="PKF1724" s="227"/>
      <c r="PKG1724" s="227"/>
      <c r="PKH1724" s="227"/>
      <c r="PKI1724" s="227"/>
      <c r="PKJ1724" s="227"/>
      <c r="PKK1724" s="227"/>
      <c r="PKL1724" s="227"/>
      <c r="PKM1724" s="227"/>
      <c r="PKN1724" s="227"/>
      <c r="PKO1724" s="227"/>
      <c r="PKP1724" s="227"/>
      <c r="PKQ1724" s="227"/>
      <c r="PKR1724" s="227"/>
      <c r="PKS1724" s="227"/>
      <c r="PKT1724" s="227"/>
      <c r="PKU1724" s="227"/>
      <c r="PKV1724" s="227"/>
      <c r="PKW1724" s="227"/>
      <c r="PKX1724" s="227"/>
      <c r="PKY1724" s="227"/>
      <c r="PKZ1724" s="227"/>
      <c r="PLA1724" s="227"/>
      <c r="PLB1724" s="227"/>
      <c r="PLC1724" s="227"/>
      <c r="PLD1724" s="227"/>
      <c r="PLE1724" s="227"/>
      <c r="PLF1724" s="227"/>
      <c r="PLG1724" s="227"/>
      <c r="PLH1724" s="227"/>
      <c r="PLI1724" s="227"/>
      <c r="PLJ1724" s="227"/>
      <c r="PLK1724" s="227"/>
      <c r="PLL1724" s="227"/>
      <c r="PLM1724" s="227"/>
      <c r="PLN1724" s="227"/>
      <c r="PLO1724" s="227"/>
      <c r="PLP1724" s="227"/>
      <c r="PLQ1724" s="227"/>
      <c r="PLR1724" s="227"/>
      <c r="PLS1724" s="227"/>
      <c r="PLT1724" s="227"/>
      <c r="PLU1724" s="227"/>
      <c r="PLV1724" s="227"/>
      <c r="PLW1724" s="227"/>
      <c r="PLX1724" s="227"/>
      <c r="PLY1724" s="227"/>
      <c r="PLZ1724" s="227"/>
      <c r="PMA1724" s="227"/>
      <c r="PMB1724" s="227"/>
      <c r="PMC1724" s="227"/>
      <c r="PMD1724" s="227"/>
      <c r="PME1724" s="227"/>
      <c r="PMF1724" s="227"/>
      <c r="PMG1724" s="227"/>
      <c r="PMH1724" s="227"/>
      <c r="PMI1724" s="227"/>
      <c r="PMJ1724" s="227"/>
      <c r="PMK1724" s="227"/>
      <c r="PML1724" s="227"/>
      <c r="PMM1724" s="227"/>
      <c r="PMN1724" s="227"/>
      <c r="PMO1724" s="227"/>
      <c r="PMP1724" s="227"/>
      <c r="PMQ1724" s="227"/>
      <c r="PMR1724" s="227"/>
      <c r="PMS1724" s="227"/>
      <c r="PMT1724" s="227"/>
      <c r="PMU1724" s="227"/>
      <c r="PMV1724" s="227"/>
      <c r="PMW1724" s="227"/>
      <c r="PMX1724" s="227"/>
      <c r="PMY1724" s="227"/>
      <c r="PMZ1724" s="227"/>
      <c r="PNA1724" s="227"/>
      <c r="PNB1724" s="227"/>
      <c r="PNC1724" s="227"/>
      <c r="PND1724" s="227"/>
      <c r="PNE1724" s="227"/>
      <c r="PNF1724" s="227"/>
      <c r="PNG1724" s="227"/>
      <c r="PNH1724" s="227"/>
      <c r="PNI1724" s="227"/>
      <c r="PNJ1724" s="227"/>
      <c r="PNK1724" s="227"/>
      <c r="PNL1724" s="227"/>
      <c r="PNM1724" s="227"/>
      <c r="PNN1724" s="227"/>
      <c r="PNO1724" s="227"/>
      <c r="PNP1724" s="227"/>
      <c r="PNQ1724" s="227"/>
      <c r="PNR1724" s="227"/>
      <c r="PNS1724" s="227"/>
      <c r="PNT1724" s="227"/>
      <c r="PNU1724" s="227"/>
      <c r="PNV1724" s="227"/>
      <c r="PNW1724" s="227"/>
      <c r="PNX1724" s="227"/>
      <c r="PNY1724" s="227"/>
      <c r="PNZ1724" s="227"/>
      <c r="POA1724" s="227"/>
      <c r="POB1724" s="227"/>
      <c r="POC1724" s="227"/>
      <c r="POD1724" s="227"/>
      <c r="POE1724" s="227"/>
      <c r="POF1724" s="227"/>
      <c r="POG1724" s="227"/>
      <c r="POH1724" s="227"/>
      <c r="POI1724" s="227"/>
      <c r="POJ1724" s="227"/>
      <c r="POK1724" s="227"/>
      <c r="POL1724" s="227"/>
      <c r="POM1724" s="227"/>
      <c r="PON1724" s="227"/>
      <c r="POO1724" s="227"/>
      <c r="POP1724" s="227"/>
      <c r="POQ1724" s="227"/>
      <c r="POR1724" s="227"/>
      <c r="POS1724" s="227"/>
      <c r="POT1724" s="227"/>
      <c r="POU1724" s="227"/>
      <c r="POV1724" s="227"/>
      <c r="POW1724" s="227"/>
      <c r="POX1724" s="227"/>
      <c r="POY1724" s="227"/>
      <c r="POZ1724" s="227"/>
      <c r="PPA1724" s="227"/>
      <c r="PPB1724" s="227"/>
      <c r="PPC1724" s="227"/>
      <c r="PPD1724" s="227"/>
      <c r="PPE1724" s="227"/>
      <c r="PPF1724" s="227"/>
      <c r="PPG1724" s="227"/>
      <c r="PPH1724" s="227"/>
      <c r="PPI1724" s="227"/>
      <c r="PPJ1724" s="227"/>
      <c r="PPK1724" s="227"/>
      <c r="PPL1724" s="227"/>
      <c r="PPM1724" s="227"/>
      <c r="PPN1724" s="227"/>
      <c r="PPO1724" s="227"/>
      <c r="PPP1724" s="227"/>
      <c r="PPQ1724" s="227"/>
      <c r="PPR1724" s="227"/>
      <c r="PPS1724" s="227"/>
      <c r="PPT1724" s="227"/>
      <c r="PPU1724" s="227"/>
      <c r="PPV1724" s="227"/>
      <c r="PPW1724" s="227"/>
      <c r="PPX1724" s="227"/>
      <c r="PPY1724" s="227"/>
      <c r="PPZ1724" s="227"/>
      <c r="PQA1724" s="227"/>
      <c r="PQB1724" s="227"/>
      <c r="PQC1724" s="227"/>
      <c r="PQD1724" s="227"/>
      <c r="PQE1724" s="227"/>
      <c r="PQF1724" s="227"/>
      <c r="PQG1724" s="227"/>
      <c r="PQH1724" s="227"/>
      <c r="PQI1724" s="227"/>
      <c r="PQJ1724" s="227"/>
      <c r="PQK1724" s="227"/>
      <c r="PQL1724" s="227"/>
      <c r="PQM1724" s="227"/>
      <c r="PQN1724" s="227"/>
      <c r="PQO1724" s="227"/>
      <c r="PQP1724" s="227"/>
      <c r="PQQ1724" s="227"/>
      <c r="PQR1724" s="227"/>
      <c r="PQS1724" s="227"/>
      <c r="PQT1724" s="227"/>
      <c r="PQU1724" s="227"/>
      <c r="PQV1724" s="227"/>
      <c r="PQW1724" s="227"/>
      <c r="PQX1724" s="227"/>
      <c r="PQY1724" s="227"/>
      <c r="PQZ1724" s="227"/>
      <c r="PRA1724" s="227"/>
      <c r="PRB1724" s="227"/>
      <c r="PRC1724" s="227"/>
      <c r="PRD1724" s="227"/>
      <c r="PRE1724" s="227"/>
      <c r="PRF1724" s="227"/>
      <c r="PRG1724" s="227"/>
      <c r="PRH1724" s="227"/>
      <c r="PRI1724" s="227"/>
      <c r="PRJ1724" s="227"/>
      <c r="PRK1724" s="227"/>
      <c r="PRL1724" s="227"/>
      <c r="PRM1724" s="227"/>
      <c r="PRN1724" s="227"/>
      <c r="PRO1724" s="227"/>
      <c r="PRP1724" s="227"/>
      <c r="PRQ1724" s="227"/>
      <c r="PRR1724" s="227"/>
      <c r="PRS1724" s="227"/>
      <c r="PRT1724" s="227"/>
      <c r="PRU1724" s="227"/>
      <c r="PRV1724" s="227"/>
      <c r="PRW1724" s="227"/>
      <c r="PRX1724" s="227"/>
      <c r="PRY1724" s="227"/>
      <c r="PRZ1724" s="227"/>
      <c r="PSA1724" s="227"/>
      <c r="PSB1724" s="227"/>
      <c r="PSC1724" s="227"/>
      <c r="PSD1724" s="227"/>
      <c r="PSE1724" s="227"/>
      <c r="PSF1724" s="227"/>
      <c r="PSG1724" s="227"/>
      <c r="PSH1724" s="227"/>
      <c r="PSI1724" s="227"/>
      <c r="PSJ1724" s="227"/>
      <c r="PSK1724" s="227"/>
      <c r="PSL1724" s="227"/>
      <c r="PSM1724" s="227"/>
      <c r="PSN1724" s="227"/>
      <c r="PSO1724" s="227"/>
      <c r="PSP1724" s="227"/>
      <c r="PSQ1724" s="227"/>
      <c r="PSR1724" s="227"/>
      <c r="PSS1724" s="227"/>
      <c r="PST1724" s="227"/>
      <c r="PSU1724" s="227"/>
      <c r="PSV1724" s="227"/>
      <c r="PSW1724" s="227"/>
      <c r="PSX1724" s="227"/>
      <c r="PSY1724" s="227"/>
      <c r="PSZ1724" s="227"/>
      <c r="PTA1724" s="227"/>
      <c r="PTB1724" s="227"/>
      <c r="PTC1724" s="227"/>
      <c r="PTD1724" s="227"/>
      <c r="PTE1724" s="227"/>
      <c r="PTF1724" s="227"/>
      <c r="PTG1724" s="227"/>
      <c r="PTH1724" s="227"/>
      <c r="PTI1724" s="227"/>
      <c r="PTJ1724" s="227"/>
      <c r="PTK1724" s="227"/>
      <c r="PTL1724" s="227"/>
      <c r="PTM1724" s="227"/>
      <c r="PTN1724" s="227"/>
      <c r="PTO1724" s="227"/>
      <c r="PTP1724" s="227"/>
      <c r="PTQ1724" s="227"/>
      <c r="PTR1724" s="227"/>
      <c r="PTS1724" s="227"/>
      <c r="PTT1724" s="227"/>
      <c r="PTU1724" s="227"/>
      <c r="PTV1724" s="227"/>
      <c r="PTW1724" s="227"/>
      <c r="PTX1724" s="227"/>
      <c r="PTY1724" s="227"/>
      <c r="PTZ1724" s="227"/>
      <c r="PUA1724" s="227"/>
      <c r="PUB1724" s="227"/>
      <c r="PUC1724" s="227"/>
      <c r="PUD1724" s="227"/>
      <c r="PUE1724" s="227"/>
      <c r="PUF1724" s="227"/>
      <c r="PUG1724" s="227"/>
      <c r="PUH1724" s="227"/>
      <c r="PUI1724" s="227"/>
      <c r="PUJ1724" s="227"/>
      <c r="PUK1724" s="227"/>
      <c r="PUL1724" s="227"/>
      <c r="PUM1724" s="227"/>
      <c r="PUN1724" s="227"/>
      <c r="PUO1724" s="227"/>
      <c r="PUP1724" s="227"/>
      <c r="PUQ1724" s="227"/>
      <c r="PUR1724" s="227"/>
      <c r="PUS1724" s="227"/>
      <c r="PUT1724" s="227"/>
      <c r="PUU1724" s="227"/>
      <c r="PUV1724" s="227"/>
      <c r="PUW1724" s="227"/>
      <c r="PUX1724" s="227"/>
      <c r="PUY1724" s="227"/>
      <c r="PUZ1724" s="227"/>
      <c r="PVA1724" s="227"/>
      <c r="PVB1724" s="227"/>
      <c r="PVC1724" s="227"/>
      <c r="PVD1724" s="227"/>
      <c r="PVE1724" s="227"/>
      <c r="PVF1724" s="227"/>
      <c r="PVG1724" s="227"/>
      <c r="PVH1724" s="227"/>
      <c r="PVI1724" s="227"/>
      <c r="PVJ1724" s="227"/>
      <c r="PVK1724" s="227"/>
      <c r="PVL1724" s="227"/>
      <c r="PVM1724" s="227"/>
      <c r="PVN1724" s="227"/>
      <c r="PVO1724" s="227"/>
      <c r="PVP1724" s="227"/>
      <c r="PVQ1724" s="227"/>
      <c r="PVR1724" s="227"/>
      <c r="PVS1724" s="227"/>
      <c r="PVT1724" s="227"/>
      <c r="PVU1724" s="227"/>
      <c r="PVV1724" s="227"/>
      <c r="PVW1724" s="227"/>
      <c r="PVX1724" s="227"/>
      <c r="PVY1724" s="227"/>
      <c r="PVZ1724" s="227"/>
      <c r="PWA1724" s="227"/>
      <c r="PWB1724" s="227"/>
      <c r="PWC1724" s="227"/>
      <c r="PWD1724" s="227"/>
      <c r="PWE1724" s="227"/>
      <c r="PWF1724" s="227"/>
      <c r="PWG1724" s="227"/>
      <c r="PWH1724" s="227"/>
      <c r="PWI1724" s="227"/>
      <c r="PWJ1724" s="227"/>
      <c r="PWK1724" s="227"/>
      <c r="PWL1724" s="227"/>
      <c r="PWM1724" s="227"/>
      <c r="PWN1724" s="227"/>
      <c r="PWO1724" s="227"/>
      <c r="PWP1724" s="227"/>
      <c r="PWQ1724" s="227"/>
      <c r="PWR1724" s="227"/>
      <c r="PWS1724" s="227"/>
      <c r="PWT1724" s="227"/>
      <c r="PWU1724" s="227"/>
      <c r="PWV1724" s="227"/>
      <c r="PWW1724" s="227"/>
      <c r="PWX1724" s="227"/>
      <c r="PWY1724" s="227"/>
      <c r="PWZ1724" s="227"/>
      <c r="PXA1724" s="227"/>
      <c r="PXB1724" s="227"/>
      <c r="PXC1724" s="227"/>
      <c r="PXD1724" s="227"/>
      <c r="PXE1724" s="227"/>
      <c r="PXF1724" s="227"/>
      <c r="PXG1724" s="227"/>
      <c r="PXH1724" s="227"/>
      <c r="PXI1724" s="227"/>
      <c r="PXJ1724" s="227"/>
      <c r="PXK1724" s="227"/>
      <c r="PXL1724" s="227"/>
      <c r="PXM1724" s="227"/>
      <c r="PXN1724" s="227"/>
      <c r="PXO1724" s="227"/>
      <c r="PXP1724" s="227"/>
      <c r="PXQ1724" s="227"/>
      <c r="PXR1724" s="227"/>
      <c r="PXS1724" s="227"/>
      <c r="PXT1724" s="227"/>
      <c r="PXU1724" s="227"/>
      <c r="PXV1724" s="227"/>
      <c r="PXW1724" s="227"/>
      <c r="PXX1724" s="227"/>
      <c r="PXY1724" s="227"/>
      <c r="PXZ1724" s="227"/>
      <c r="PYA1724" s="227"/>
      <c r="PYB1724" s="227"/>
      <c r="PYC1724" s="227"/>
      <c r="PYD1724" s="227"/>
      <c r="PYE1724" s="227"/>
      <c r="PYF1724" s="227"/>
      <c r="PYG1724" s="227"/>
      <c r="PYH1724" s="227"/>
      <c r="PYI1724" s="227"/>
      <c r="PYJ1724" s="227"/>
      <c r="PYK1724" s="227"/>
      <c r="PYL1724" s="227"/>
      <c r="PYM1724" s="227"/>
      <c r="PYN1724" s="227"/>
      <c r="PYO1724" s="227"/>
      <c r="PYP1724" s="227"/>
      <c r="PYQ1724" s="227"/>
      <c r="PYR1724" s="227"/>
      <c r="PYS1724" s="227"/>
      <c r="PYT1724" s="227"/>
      <c r="PYU1724" s="227"/>
      <c r="PYV1724" s="227"/>
      <c r="PYW1724" s="227"/>
      <c r="PYX1724" s="227"/>
      <c r="PYY1724" s="227"/>
      <c r="PYZ1724" s="227"/>
      <c r="PZA1724" s="227"/>
      <c r="PZB1724" s="227"/>
      <c r="PZC1724" s="227"/>
      <c r="PZD1724" s="227"/>
      <c r="PZE1724" s="227"/>
      <c r="PZF1724" s="227"/>
      <c r="PZG1724" s="227"/>
      <c r="PZH1724" s="227"/>
      <c r="PZI1724" s="227"/>
      <c r="PZJ1724" s="227"/>
      <c r="PZK1724" s="227"/>
      <c r="PZL1724" s="227"/>
      <c r="PZM1724" s="227"/>
      <c r="PZN1724" s="227"/>
      <c r="PZO1724" s="227"/>
      <c r="PZP1724" s="227"/>
      <c r="PZQ1724" s="227"/>
      <c r="PZR1724" s="227"/>
      <c r="PZS1724" s="227"/>
      <c r="PZT1724" s="227"/>
      <c r="PZU1724" s="227"/>
      <c r="PZV1724" s="227"/>
      <c r="PZW1724" s="227"/>
      <c r="PZX1724" s="227"/>
      <c r="PZY1724" s="227"/>
      <c r="PZZ1724" s="227"/>
      <c r="QAA1724" s="227"/>
      <c r="QAB1724" s="227"/>
      <c r="QAC1724" s="227"/>
      <c r="QAD1724" s="227"/>
      <c r="QAE1724" s="227"/>
      <c r="QAF1724" s="227"/>
      <c r="QAG1724" s="227"/>
      <c r="QAH1724" s="227"/>
      <c r="QAI1724" s="227"/>
      <c r="QAJ1724" s="227"/>
      <c r="QAK1724" s="227"/>
      <c r="QAL1724" s="227"/>
      <c r="QAM1724" s="227"/>
      <c r="QAN1724" s="227"/>
      <c r="QAO1724" s="227"/>
      <c r="QAP1724" s="227"/>
      <c r="QAQ1724" s="227"/>
      <c r="QAR1724" s="227"/>
      <c r="QAS1724" s="227"/>
      <c r="QAT1724" s="227"/>
      <c r="QAU1724" s="227"/>
      <c r="QAV1724" s="227"/>
      <c r="QAW1724" s="227"/>
      <c r="QAX1724" s="227"/>
      <c r="QAY1724" s="227"/>
      <c r="QAZ1724" s="227"/>
      <c r="QBA1724" s="227"/>
      <c r="QBB1724" s="227"/>
      <c r="QBC1724" s="227"/>
      <c r="QBD1724" s="227"/>
      <c r="QBE1724" s="227"/>
      <c r="QBF1724" s="227"/>
      <c r="QBG1724" s="227"/>
      <c r="QBH1724" s="227"/>
      <c r="QBI1724" s="227"/>
      <c r="QBJ1724" s="227"/>
      <c r="QBK1724" s="227"/>
      <c r="QBL1724" s="227"/>
      <c r="QBM1724" s="227"/>
      <c r="QBN1724" s="227"/>
      <c r="QBO1724" s="227"/>
      <c r="QBP1724" s="227"/>
      <c r="QBQ1724" s="227"/>
      <c r="QBR1724" s="227"/>
      <c r="QBS1724" s="227"/>
      <c r="QBT1724" s="227"/>
      <c r="QBU1724" s="227"/>
      <c r="QBV1724" s="227"/>
      <c r="QBW1724" s="227"/>
      <c r="QBX1724" s="227"/>
      <c r="QBY1724" s="227"/>
      <c r="QBZ1724" s="227"/>
      <c r="QCA1724" s="227"/>
      <c r="QCB1724" s="227"/>
      <c r="QCC1724" s="227"/>
      <c r="QCD1724" s="227"/>
      <c r="QCE1724" s="227"/>
      <c r="QCF1724" s="227"/>
      <c r="QCG1724" s="227"/>
      <c r="QCH1724" s="227"/>
      <c r="QCI1724" s="227"/>
      <c r="QCJ1724" s="227"/>
      <c r="QCK1724" s="227"/>
      <c r="QCL1724" s="227"/>
      <c r="QCM1724" s="227"/>
      <c r="QCN1724" s="227"/>
      <c r="QCO1724" s="227"/>
      <c r="QCP1724" s="227"/>
      <c r="QCQ1724" s="227"/>
      <c r="QCR1724" s="227"/>
      <c r="QCS1724" s="227"/>
      <c r="QCT1724" s="227"/>
      <c r="QCU1724" s="227"/>
      <c r="QCV1724" s="227"/>
      <c r="QCW1724" s="227"/>
      <c r="QCX1724" s="227"/>
      <c r="QCY1724" s="227"/>
      <c r="QCZ1724" s="227"/>
      <c r="QDA1724" s="227"/>
      <c r="QDB1724" s="227"/>
      <c r="QDC1724" s="227"/>
      <c r="QDD1724" s="227"/>
      <c r="QDE1724" s="227"/>
      <c r="QDF1724" s="227"/>
      <c r="QDG1724" s="227"/>
      <c r="QDH1724" s="227"/>
      <c r="QDI1724" s="227"/>
      <c r="QDJ1724" s="227"/>
      <c r="QDK1724" s="227"/>
      <c r="QDL1724" s="227"/>
      <c r="QDM1724" s="227"/>
      <c r="QDN1724" s="227"/>
      <c r="QDO1724" s="227"/>
      <c r="QDP1724" s="227"/>
      <c r="QDQ1724" s="227"/>
      <c r="QDR1724" s="227"/>
      <c r="QDS1724" s="227"/>
      <c r="QDT1724" s="227"/>
      <c r="QDU1724" s="227"/>
      <c r="QDV1724" s="227"/>
      <c r="QDW1724" s="227"/>
      <c r="QDX1724" s="227"/>
      <c r="QDY1724" s="227"/>
      <c r="QDZ1724" s="227"/>
      <c r="QEA1724" s="227"/>
      <c r="QEB1724" s="227"/>
      <c r="QEC1724" s="227"/>
      <c r="QED1724" s="227"/>
      <c r="QEE1724" s="227"/>
      <c r="QEF1724" s="227"/>
      <c r="QEG1724" s="227"/>
      <c r="QEH1724" s="227"/>
      <c r="QEI1724" s="227"/>
      <c r="QEJ1724" s="227"/>
      <c r="QEK1724" s="227"/>
      <c r="QEL1724" s="227"/>
      <c r="QEM1724" s="227"/>
      <c r="QEN1724" s="227"/>
      <c r="QEO1724" s="227"/>
      <c r="QEP1724" s="227"/>
      <c r="QEQ1724" s="227"/>
      <c r="QER1724" s="227"/>
      <c r="QES1724" s="227"/>
      <c r="QET1724" s="227"/>
      <c r="QEU1724" s="227"/>
      <c r="QEV1724" s="227"/>
      <c r="QEW1724" s="227"/>
      <c r="QEX1724" s="227"/>
      <c r="QEY1724" s="227"/>
      <c r="QEZ1724" s="227"/>
      <c r="QFA1724" s="227"/>
      <c r="QFB1724" s="227"/>
      <c r="QFC1724" s="227"/>
      <c r="QFD1724" s="227"/>
      <c r="QFE1724" s="227"/>
      <c r="QFF1724" s="227"/>
      <c r="QFG1724" s="227"/>
      <c r="QFH1724" s="227"/>
      <c r="QFI1724" s="227"/>
      <c r="QFJ1724" s="227"/>
      <c r="QFK1724" s="227"/>
      <c r="QFL1724" s="227"/>
      <c r="QFM1724" s="227"/>
      <c r="QFN1724" s="227"/>
      <c r="QFO1724" s="227"/>
      <c r="QFP1724" s="227"/>
      <c r="QFQ1724" s="227"/>
      <c r="QFR1724" s="227"/>
      <c r="QFS1724" s="227"/>
      <c r="QFT1724" s="227"/>
      <c r="QFU1724" s="227"/>
      <c r="QFV1724" s="227"/>
      <c r="QFW1724" s="227"/>
      <c r="QFX1724" s="227"/>
      <c r="QFY1724" s="227"/>
      <c r="QFZ1724" s="227"/>
      <c r="QGA1724" s="227"/>
      <c r="QGB1724" s="227"/>
      <c r="QGC1724" s="227"/>
      <c r="QGD1724" s="227"/>
      <c r="QGE1724" s="227"/>
      <c r="QGF1724" s="227"/>
      <c r="QGG1724" s="227"/>
      <c r="QGH1724" s="227"/>
      <c r="QGI1724" s="227"/>
      <c r="QGJ1724" s="227"/>
      <c r="QGK1724" s="227"/>
      <c r="QGL1724" s="227"/>
      <c r="QGM1724" s="227"/>
      <c r="QGN1724" s="227"/>
      <c r="QGO1724" s="227"/>
      <c r="QGP1724" s="227"/>
      <c r="QGQ1724" s="227"/>
      <c r="QGR1724" s="227"/>
      <c r="QGS1724" s="227"/>
      <c r="QGT1724" s="227"/>
      <c r="QGU1724" s="227"/>
      <c r="QGV1724" s="227"/>
      <c r="QGW1724" s="227"/>
      <c r="QGX1724" s="227"/>
      <c r="QGY1724" s="227"/>
      <c r="QGZ1724" s="227"/>
      <c r="QHA1724" s="227"/>
      <c r="QHB1724" s="227"/>
      <c r="QHC1724" s="227"/>
      <c r="QHD1724" s="227"/>
      <c r="QHE1724" s="227"/>
      <c r="QHF1724" s="227"/>
      <c r="QHG1724" s="227"/>
      <c r="QHH1724" s="227"/>
      <c r="QHI1724" s="227"/>
      <c r="QHJ1724" s="227"/>
      <c r="QHK1724" s="227"/>
      <c r="QHL1724" s="227"/>
      <c r="QHM1724" s="227"/>
      <c r="QHN1724" s="227"/>
      <c r="QHO1724" s="227"/>
      <c r="QHP1724" s="227"/>
      <c r="QHQ1724" s="227"/>
      <c r="QHR1724" s="227"/>
      <c r="QHS1724" s="227"/>
      <c r="QHT1724" s="227"/>
      <c r="QHU1724" s="227"/>
      <c r="QHV1724" s="227"/>
      <c r="QHW1724" s="227"/>
      <c r="QHX1724" s="227"/>
      <c r="QHY1724" s="227"/>
      <c r="QHZ1724" s="227"/>
      <c r="QIA1724" s="227"/>
      <c r="QIB1724" s="227"/>
      <c r="QIC1724" s="227"/>
      <c r="QID1724" s="227"/>
      <c r="QIE1724" s="227"/>
      <c r="QIF1724" s="227"/>
      <c r="QIG1724" s="227"/>
      <c r="QIH1724" s="227"/>
      <c r="QII1724" s="227"/>
      <c r="QIJ1724" s="227"/>
      <c r="QIK1724" s="227"/>
      <c r="QIL1724" s="227"/>
      <c r="QIM1724" s="227"/>
      <c r="QIN1724" s="227"/>
      <c r="QIO1724" s="227"/>
      <c r="QIP1724" s="227"/>
      <c r="QIQ1724" s="227"/>
      <c r="QIR1724" s="227"/>
      <c r="QIS1724" s="227"/>
      <c r="QIT1724" s="227"/>
      <c r="QIU1724" s="227"/>
      <c r="QIV1724" s="227"/>
      <c r="QIW1724" s="227"/>
      <c r="QIX1724" s="227"/>
      <c r="QIY1724" s="227"/>
      <c r="QIZ1724" s="227"/>
      <c r="QJA1724" s="227"/>
      <c r="QJB1724" s="227"/>
      <c r="QJC1724" s="227"/>
      <c r="QJD1724" s="227"/>
      <c r="QJE1724" s="227"/>
      <c r="QJF1724" s="227"/>
      <c r="QJG1724" s="227"/>
      <c r="QJH1724" s="227"/>
      <c r="QJI1724" s="227"/>
      <c r="QJJ1724" s="227"/>
      <c r="QJK1724" s="227"/>
      <c r="QJL1724" s="227"/>
      <c r="QJM1724" s="227"/>
      <c r="QJN1724" s="227"/>
      <c r="QJO1724" s="227"/>
      <c r="QJP1724" s="227"/>
      <c r="QJQ1724" s="227"/>
      <c r="QJR1724" s="227"/>
      <c r="QJS1724" s="227"/>
      <c r="QJT1724" s="227"/>
      <c r="QJU1724" s="227"/>
      <c r="QJV1724" s="227"/>
      <c r="QJW1724" s="227"/>
      <c r="QJX1724" s="227"/>
      <c r="QJY1724" s="227"/>
      <c r="QJZ1724" s="227"/>
      <c r="QKA1724" s="227"/>
      <c r="QKB1724" s="227"/>
      <c r="QKC1724" s="227"/>
      <c r="QKD1724" s="227"/>
      <c r="QKE1724" s="227"/>
      <c r="QKF1724" s="227"/>
      <c r="QKG1724" s="227"/>
      <c r="QKH1724" s="227"/>
      <c r="QKI1724" s="227"/>
      <c r="QKJ1724" s="227"/>
      <c r="QKK1724" s="227"/>
      <c r="QKL1724" s="227"/>
      <c r="QKM1724" s="227"/>
      <c r="QKN1724" s="227"/>
      <c r="QKO1724" s="227"/>
      <c r="QKP1724" s="227"/>
      <c r="QKQ1724" s="227"/>
      <c r="QKR1724" s="227"/>
      <c r="QKS1724" s="227"/>
      <c r="QKT1724" s="227"/>
      <c r="QKU1724" s="227"/>
      <c r="QKV1724" s="227"/>
      <c r="QKW1724" s="227"/>
      <c r="QKX1724" s="227"/>
      <c r="QKY1724" s="227"/>
      <c r="QKZ1724" s="227"/>
      <c r="QLA1724" s="227"/>
      <c r="QLB1724" s="227"/>
      <c r="QLC1724" s="227"/>
      <c r="QLD1724" s="227"/>
      <c r="QLE1724" s="227"/>
      <c r="QLF1724" s="227"/>
      <c r="QLG1724" s="227"/>
      <c r="QLH1724" s="227"/>
      <c r="QLI1724" s="227"/>
      <c r="QLJ1724" s="227"/>
      <c r="QLK1724" s="227"/>
      <c r="QLL1724" s="227"/>
      <c r="QLM1724" s="227"/>
      <c r="QLN1724" s="227"/>
      <c r="QLO1724" s="227"/>
      <c r="QLP1724" s="227"/>
      <c r="QLQ1724" s="227"/>
      <c r="QLR1724" s="227"/>
      <c r="QLS1724" s="227"/>
      <c r="QLT1724" s="227"/>
      <c r="QLU1724" s="227"/>
      <c r="QLV1724" s="227"/>
      <c r="QLW1724" s="227"/>
      <c r="QLX1724" s="227"/>
      <c r="QLY1724" s="227"/>
      <c r="QLZ1724" s="227"/>
      <c r="QMA1724" s="227"/>
      <c r="QMB1724" s="227"/>
      <c r="QMC1724" s="227"/>
      <c r="QMD1724" s="227"/>
      <c r="QME1724" s="227"/>
      <c r="QMF1724" s="227"/>
      <c r="QMG1724" s="227"/>
      <c r="QMH1724" s="227"/>
      <c r="QMI1724" s="227"/>
      <c r="QMJ1724" s="227"/>
      <c r="QMK1724" s="227"/>
      <c r="QML1724" s="227"/>
      <c r="QMM1724" s="227"/>
      <c r="QMN1724" s="227"/>
      <c r="QMO1724" s="227"/>
      <c r="QMP1724" s="227"/>
      <c r="QMQ1724" s="227"/>
      <c r="QMR1724" s="227"/>
      <c r="QMS1724" s="227"/>
      <c r="QMT1724" s="227"/>
      <c r="QMU1724" s="227"/>
      <c r="QMV1724" s="227"/>
      <c r="QMW1724" s="227"/>
      <c r="QMX1724" s="227"/>
      <c r="QMY1724" s="227"/>
      <c r="QMZ1724" s="227"/>
      <c r="QNA1724" s="227"/>
      <c r="QNB1724" s="227"/>
      <c r="QNC1724" s="227"/>
      <c r="QND1724" s="227"/>
      <c r="QNE1724" s="227"/>
      <c r="QNF1724" s="227"/>
      <c r="QNG1724" s="227"/>
      <c r="QNH1724" s="227"/>
      <c r="QNI1724" s="227"/>
      <c r="QNJ1724" s="227"/>
      <c r="QNK1724" s="227"/>
      <c r="QNL1724" s="227"/>
      <c r="QNM1724" s="227"/>
      <c r="QNN1724" s="227"/>
      <c r="QNO1724" s="227"/>
      <c r="QNP1724" s="227"/>
      <c r="QNQ1724" s="227"/>
      <c r="QNR1724" s="227"/>
      <c r="QNS1724" s="227"/>
      <c r="QNT1724" s="227"/>
      <c r="QNU1724" s="227"/>
      <c r="QNV1724" s="227"/>
      <c r="QNW1724" s="227"/>
      <c r="QNX1724" s="227"/>
      <c r="QNY1724" s="227"/>
      <c r="QNZ1724" s="227"/>
      <c r="QOA1724" s="227"/>
      <c r="QOB1724" s="227"/>
      <c r="QOC1724" s="227"/>
      <c r="QOD1724" s="227"/>
      <c r="QOE1724" s="227"/>
      <c r="QOF1724" s="227"/>
      <c r="QOG1724" s="227"/>
      <c r="QOH1724" s="227"/>
      <c r="QOI1724" s="227"/>
      <c r="QOJ1724" s="227"/>
      <c r="QOK1724" s="227"/>
      <c r="QOL1724" s="227"/>
      <c r="QOM1724" s="227"/>
      <c r="QON1724" s="227"/>
      <c r="QOO1724" s="227"/>
      <c r="QOP1724" s="227"/>
      <c r="QOQ1724" s="227"/>
      <c r="QOR1724" s="227"/>
      <c r="QOS1724" s="227"/>
      <c r="QOT1724" s="227"/>
      <c r="QOU1724" s="227"/>
      <c r="QOV1724" s="227"/>
      <c r="QOW1724" s="227"/>
      <c r="QOX1724" s="227"/>
      <c r="QOY1724" s="227"/>
      <c r="QOZ1724" s="227"/>
      <c r="QPA1724" s="227"/>
      <c r="QPB1724" s="227"/>
      <c r="QPC1724" s="227"/>
      <c r="QPD1724" s="227"/>
      <c r="QPE1724" s="227"/>
      <c r="QPF1724" s="227"/>
      <c r="QPG1724" s="227"/>
      <c r="QPH1724" s="227"/>
      <c r="QPI1724" s="227"/>
      <c r="QPJ1724" s="227"/>
      <c r="QPK1724" s="227"/>
      <c r="QPL1724" s="227"/>
      <c r="QPM1724" s="227"/>
      <c r="QPN1724" s="227"/>
      <c r="QPO1724" s="227"/>
      <c r="QPP1724" s="227"/>
      <c r="QPQ1724" s="227"/>
      <c r="QPR1724" s="227"/>
      <c r="QPS1724" s="227"/>
      <c r="QPT1724" s="227"/>
      <c r="QPU1724" s="227"/>
      <c r="QPV1724" s="227"/>
      <c r="QPW1724" s="227"/>
      <c r="QPX1724" s="227"/>
      <c r="QPY1724" s="227"/>
      <c r="QPZ1724" s="227"/>
      <c r="QQA1724" s="227"/>
      <c r="QQB1724" s="227"/>
      <c r="QQC1724" s="227"/>
      <c r="QQD1724" s="227"/>
      <c r="QQE1724" s="227"/>
      <c r="QQF1724" s="227"/>
      <c r="QQG1724" s="227"/>
      <c r="QQH1724" s="227"/>
      <c r="QQI1724" s="227"/>
      <c r="QQJ1724" s="227"/>
      <c r="QQK1724" s="227"/>
      <c r="QQL1724" s="227"/>
      <c r="QQM1724" s="227"/>
      <c r="QQN1724" s="227"/>
      <c r="QQO1724" s="227"/>
      <c r="QQP1724" s="227"/>
      <c r="QQQ1724" s="227"/>
      <c r="QQR1724" s="227"/>
      <c r="QQS1724" s="227"/>
      <c r="QQT1724" s="227"/>
      <c r="QQU1724" s="227"/>
      <c r="QQV1724" s="227"/>
      <c r="QQW1724" s="227"/>
      <c r="QQX1724" s="227"/>
      <c r="QQY1724" s="227"/>
      <c r="QQZ1724" s="227"/>
      <c r="QRA1724" s="227"/>
      <c r="QRB1724" s="227"/>
      <c r="QRC1724" s="227"/>
      <c r="QRD1724" s="227"/>
      <c r="QRE1724" s="227"/>
      <c r="QRF1724" s="227"/>
      <c r="QRG1724" s="227"/>
      <c r="QRH1724" s="227"/>
      <c r="QRI1724" s="227"/>
      <c r="QRJ1724" s="227"/>
      <c r="QRK1724" s="227"/>
      <c r="QRL1724" s="227"/>
      <c r="QRM1724" s="227"/>
      <c r="QRN1724" s="227"/>
      <c r="QRO1724" s="227"/>
      <c r="QRP1724" s="227"/>
      <c r="QRQ1724" s="227"/>
      <c r="QRR1724" s="227"/>
      <c r="QRS1724" s="227"/>
      <c r="QRT1724" s="227"/>
      <c r="QRU1724" s="227"/>
      <c r="QRV1724" s="227"/>
      <c r="QRW1724" s="227"/>
      <c r="QRX1724" s="227"/>
      <c r="QRY1724" s="227"/>
      <c r="QRZ1724" s="227"/>
      <c r="QSA1724" s="227"/>
      <c r="QSB1724" s="227"/>
      <c r="QSC1724" s="227"/>
      <c r="QSD1724" s="227"/>
      <c r="QSE1724" s="227"/>
      <c r="QSF1724" s="227"/>
      <c r="QSG1724" s="227"/>
      <c r="QSH1724" s="227"/>
      <c r="QSI1724" s="227"/>
      <c r="QSJ1724" s="227"/>
      <c r="QSK1724" s="227"/>
      <c r="QSL1724" s="227"/>
      <c r="QSM1724" s="227"/>
      <c r="QSN1724" s="227"/>
      <c r="QSO1724" s="227"/>
      <c r="QSP1724" s="227"/>
      <c r="QSQ1724" s="227"/>
      <c r="QSR1724" s="227"/>
      <c r="QSS1724" s="227"/>
      <c r="QST1724" s="227"/>
      <c r="QSU1724" s="227"/>
      <c r="QSV1724" s="227"/>
      <c r="QSW1724" s="227"/>
      <c r="QSX1724" s="227"/>
      <c r="QSY1724" s="227"/>
      <c r="QSZ1724" s="227"/>
      <c r="QTA1724" s="227"/>
      <c r="QTB1724" s="227"/>
      <c r="QTC1724" s="227"/>
      <c r="QTD1724" s="227"/>
      <c r="QTE1724" s="227"/>
      <c r="QTF1724" s="227"/>
      <c r="QTG1724" s="227"/>
      <c r="QTH1724" s="227"/>
      <c r="QTI1724" s="227"/>
      <c r="QTJ1724" s="227"/>
      <c r="QTK1724" s="227"/>
      <c r="QTL1724" s="227"/>
      <c r="QTM1724" s="227"/>
      <c r="QTN1724" s="227"/>
      <c r="QTO1724" s="227"/>
      <c r="QTP1724" s="227"/>
      <c r="QTQ1724" s="227"/>
      <c r="QTR1724" s="227"/>
      <c r="QTS1724" s="227"/>
      <c r="QTT1724" s="227"/>
      <c r="QTU1724" s="227"/>
      <c r="QTV1724" s="227"/>
      <c r="QTW1724" s="227"/>
      <c r="QTX1724" s="227"/>
      <c r="QTY1724" s="227"/>
      <c r="QTZ1724" s="227"/>
      <c r="QUA1724" s="227"/>
      <c r="QUB1724" s="227"/>
      <c r="QUC1724" s="227"/>
      <c r="QUD1724" s="227"/>
      <c r="QUE1724" s="227"/>
      <c r="QUF1724" s="227"/>
      <c r="QUG1724" s="227"/>
      <c r="QUH1724" s="227"/>
      <c r="QUI1724" s="227"/>
      <c r="QUJ1724" s="227"/>
      <c r="QUK1724" s="227"/>
      <c r="QUL1724" s="227"/>
      <c r="QUM1724" s="227"/>
      <c r="QUN1724" s="227"/>
      <c r="QUO1724" s="227"/>
      <c r="QUP1724" s="227"/>
      <c r="QUQ1724" s="227"/>
      <c r="QUR1724" s="227"/>
      <c r="QUS1724" s="227"/>
      <c r="QUT1724" s="227"/>
      <c r="QUU1724" s="227"/>
      <c r="QUV1724" s="227"/>
      <c r="QUW1724" s="227"/>
      <c r="QUX1724" s="227"/>
      <c r="QUY1724" s="227"/>
      <c r="QUZ1724" s="227"/>
      <c r="QVA1724" s="227"/>
      <c r="QVB1724" s="227"/>
      <c r="QVC1724" s="227"/>
      <c r="QVD1724" s="227"/>
      <c r="QVE1724" s="227"/>
      <c r="QVF1724" s="227"/>
      <c r="QVG1724" s="227"/>
      <c r="QVH1724" s="227"/>
      <c r="QVI1724" s="227"/>
      <c r="QVJ1724" s="227"/>
      <c r="QVK1724" s="227"/>
      <c r="QVL1724" s="227"/>
      <c r="QVM1724" s="227"/>
      <c r="QVN1724" s="227"/>
      <c r="QVO1724" s="227"/>
      <c r="QVP1724" s="227"/>
      <c r="QVQ1724" s="227"/>
      <c r="QVR1724" s="227"/>
      <c r="QVS1724" s="227"/>
      <c r="QVT1724" s="227"/>
      <c r="QVU1724" s="227"/>
      <c r="QVV1724" s="227"/>
      <c r="QVW1724" s="227"/>
      <c r="QVX1724" s="227"/>
      <c r="QVY1724" s="227"/>
      <c r="QVZ1724" s="227"/>
      <c r="QWA1724" s="227"/>
      <c r="QWB1724" s="227"/>
      <c r="QWC1724" s="227"/>
      <c r="QWD1724" s="227"/>
      <c r="QWE1724" s="227"/>
      <c r="QWF1724" s="227"/>
      <c r="QWG1724" s="227"/>
      <c r="QWH1724" s="227"/>
      <c r="QWI1724" s="227"/>
      <c r="QWJ1724" s="227"/>
      <c r="QWK1724" s="227"/>
      <c r="QWL1724" s="227"/>
      <c r="QWM1724" s="227"/>
      <c r="QWN1724" s="227"/>
      <c r="QWO1724" s="227"/>
      <c r="QWP1724" s="227"/>
      <c r="QWQ1724" s="227"/>
      <c r="QWR1724" s="227"/>
      <c r="QWS1724" s="227"/>
      <c r="QWT1724" s="227"/>
      <c r="QWU1724" s="227"/>
      <c r="QWV1724" s="227"/>
      <c r="QWW1724" s="227"/>
      <c r="QWX1724" s="227"/>
      <c r="QWY1724" s="227"/>
      <c r="QWZ1724" s="227"/>
      <c r="QXA1724" s="227"/>
      <c r="QXB1724" s="227"/>
      <c r="QXC1724" s="227"/>
      <c r="QXD1724" s="227"/>
      <c r="QXE1724" s="227"/>
      <c r="QXF1724" s="227"/>
      <c r="QXG1724" s="227"/>
      <c r="QXH1724" s="227"/>
      <c r="QXI1724" s="227"/>
      <c r="QXJ1724" s="227"/>
      <c r="QXK1724" s="227"/>
      <c r="QXL1724" s="227"/>
      <c r="QXM1724" s="227"/>
      <c r="QXN1724" s="227"/>
      <c r="QXO1724" s="227"/>
      <c r="QXP1724" s="227"/>
      <c r="QXQ1724" s="227"/>
      <c r="QXR1724" s="227"/>
      <c r="QXS1724" s="227"/>
      <c r="QXT1724" s="227"/>
      <c r="QXU1724" s="227"/>
      <c r="QXV1724" s="227"/>
      <c r="QXW1724" s="227"/>
      <c r="QXX1724" s="227"/>
      <c r="QXY1724" s="227"/>
      <c r="QXZ1724" s="227"/>
      <c r="QYA1724" s="227"/>
      <c r="QYB1724" s="227"/>
      <c r="QYC1724" s="227"/>
      <c r="QYD1724" s="227"/>
      <c r="QYE1724" s="227"/>
      <c r="QYF1724" s="227"/>
      <c r="QYG1724" s="227"/>
      <c r="QYH1724" s="227"/>
      <c r="QYI1724" s="227"/>
      <c r="QYJ1724" s="227"/>
      <c r="QYK1724" s="227"/>
      <c r="QYL1724" s="227"/>
      <c r="QYM1724" s="227"/>
      <c r="QYN1724" s="227"/>
      <c r="QYO1724" s="227"/>
      <c r="QYP1724" s="227"/>
      <c r="QYQ1724" s="227"/>
      <c r="QYR1724" s="227"/>
      <c r="QYS1724" s="227"/>
      <c r="QYT1724" s="227"/>
      <c r="QYU1724" s="227"/>
      <c r="QYV1724" s="227"/>
      <c r="QYW1724" s="227"/>
      <c r="QYX1724" s="227"/>
      <c r="QYY1724" s="227"/>
      <c r="QYZ1724" s="227"/>
      <c r="QZA1724" s="227"/>
      <c r="QZB1724" s="227"/>
      <c r="QZC1724" s="227"/>
      <c r="QZD1724" s="227"/>
      <c r="QZE1724" s="227"/>
      <c r="QZF1724" s="227"/>
      <c r="QZG1724" s="227"/>
      <c r="QZH1724" s="227"/>
      <c r="QZI1724" s="227"/>
      <c r="QZJ1724" s="227"/>
      <c r="QZK1724" s="227"/>
      <c r="QZL1724" s="227"/>
      <c r="QZM1724" s="227"/>
      <c r="QZN1724" s="227"/>
      <c r="QZO1724" s="227"/>
      <c r="QZP1724" s="227"/>
      <c r="QZQ1724" s="227"/>
      <c r="QZR1724" s="227"/>
      <c r="QZS1724" s="227"/>
      <c r="QZT1724" s="227"/>
      <c r="QZU1724" s="227"/>
      <c r="QZV1724" s="227"/>
      <c r="QZW1724" s="227"/>
      <c r="QZX1724" s="227"/>
      <c r="QZY1724" s="227"/>
      <c r="QZZ1724" s="227"/>
      <c r="RAA1724" s="227"/>
      <c r="RAB1724" s="227"/>
      <c r="RAC1724" s="227"/>
      <c r="RAD1724" s="227"/>
      <c r="RAE1724" s="227"/>
      <c r="RAF1724" s="227"/>
      <c r="RAG1724" s="227"/>
      <c r="RAH1724" s="227"/>
      <c r="RAI1724" s="227"/>
      <c r="RAJ1724" s="227"/>
      <c r="RAK1724" s="227"/>
      <c r="RAL1724" s="227"/>
      <c r="RAM1724" s="227"/>
      <c r="RAN1724" s="227"/>
      <c r="RAO1724" s="227"/>
      <c r="RAP1724" s="227"/>
      <c r="RAQ1724" s="227"/>
      <c r="RAR1724" s="227"/>
      <c r="RAS1724" s="227"/>
      <c r="RAT1724" s="227"/>
      <c r="RAU1724" s="227"/>
      <c r="RAV1724" s="227"/>
      <c r="RAW1724" s="227"/>
      <c r="RAX1724" s="227"/>
      <c r="RAY1724" s="227"/>
      <c r="RAZ1724" s="227"/>
      <c r="RBA1724" s="227"/>
      <c r="RBB1724" s="227"/>
      <c r="RBC1724" s="227"/>
      <c r="RBD1724" s="227"/>
      <c r="RBE1724" s="227"/>
      <c r="RBF1724" s="227"/>
      <c r="RBG1724" s="227"/>
      <c r="RBH1724" s="227"/>
      <c r="RBI1724" s="227"/>
      <c r="RBJ1724" s="227"/>
      <c r="RBK1724" s="227"/>
      <c r="RBL1724" s="227"/>
      <c r="RBM1724" s="227"/>
      <c r="RBN1724" s="227"/>
      <c r="RBO1724" s="227"/>
      <c r="RBP1724" s="227"/>
      <c r="RBQ1724" s="227"/>
      <c r="RBR1724" s="227"/>
      <c r="RBS1724" s="227"/>
      <c r="RBT1724" s="227"/>
      <c r="RBU1724" s="227"/>
      <c r="RBV1724" s="227"/>
      <c r="RBW1724" s="227"/>
      <c r="RBX1724" s="227"/>
      <c r="RBY1724" s="227"/>
      <c r="RBZ1724" s="227"/>
      <c r="RCA1724" s="227"/>
      <c r="RCB1724" s="227"/>
      <c r="RCC1724" s="227"/>
      <c r="RCD1724" s="227"/>
      <c r="RCE1724" s="227"/>
      <c r="RCF1724" s="227"/>
      <c r="RCG1724" s="227"/>
      <c r="RCH1724" s="227"/>
      <c r="RCI1724" s="227"/>
      <c r="RCJ1724" s="227"/>
      <c r="RCK1724" s="227"/>
      <c r="RCL1724" s="227"/>
      <c r="RCM1724" s="227"/>
      <c r="RCN1724" s="227"/>
      <c r="RCO1724" s="227"/>
      <c r="RCP1724" s="227"/>
      <c r="RCQ1724" s="227"/>
      <c r="RCR1724" s="227"/>
      <c r="RCS1724" s="227"/>
      <c r="RCT1724" s="227"/>
      <c r="RCU1724" s="227"/>
      <c r="RCV1724" s="227"/>
      <c r="RCW1724" s="227"/>
      <c r="RCX1724" s="227"/>
      <c r="RCY1724" s="227"/>
      <c r="RCZ1724" s="227"/>
      <c r="RDA1724" s="227"/>
      <c r="RDB1724" s="227"/>
      <c r="RDC1724" s="227"/>
      <c r="RDD1724" s="227"/>
      <c r="RDE1724" s="227"/>
      <c r="RDF1724" s="227"/>
      <c r="RDG1724" s="227"/>
      <c r="RDH1724" s="227"/>
      <c r="RDI1724" s="227"/>
      <c r="RDJ1724" s="227"/>
      <c r="RDK1724" s="227"/>
      <c r="RDL1724" s="227"/>
      <c r="RDM1724" s="227"/>
      <c r="RDN1724" s="227"/>
      <c r="RDO1724" s="227"/>
      <c r="RDP1724" s="227"/>
      <c r="RDQ1724" s="227"/>
      <c r="RDR1724" s="227"/>
      <c r="RDS1724" s="227"/>
      <c r="RDT1724" s="227"/>
      <c r="RDU1724" s="227"/>
      <c r="RDV1724" s="227"/>
      <c r="RDW1724" s="227"/>
      <c r="RDX1724" s="227"/>
      <c r="RDY1724" s="227"/>
      <c r="RDZ1724" s="227"/>
      <c r="REA1724" s="227"/>
      <c r="REB1724" s="227"/>
      <c r="REC1724" s="227"/>
      <c r="RED1724" s="227"/>
      <c r="REE1724" s="227"/>
      <c r="REF1724" s="227"/>
      <c r="REG1724" s="227"/>
      <c r="REH1724" s="227"/>
      <c r="REI1724" s="227"/>
      <c r="REJ1724" s="227"/>
      <c r="REK1724" s="227"/>
      <c r="REL1724" s="227"/>
      <c r="REM1724" s="227"/>
      <c r="REN1724" s="227"/>
      <c r="REO1724" s="227"/>
      <c r="REP1724" s="227"/>
      <c r="REQ1724" s="227"/>
      <c r="RER1724" s="227"/>
      <c r="RES1724" s="227"/>
      <c r="RET1724" s="227"/>
      <c r="REU1724" s="227"/>
      <c r="REV1724" s="227"/>
      <c r="REW1724" s="227"/>
      <c r="REX1724" s="227"/>
      <c r="REY1724" s="227"/>
      <c r="REZ1724" s="227"/>
      <c r="RFA1724" s="227"/>
      <c r="RFB1724" s="227"/>
      <c r="RFC1724" s="227"/>
      <c r="RFD1724" s="227"/>
      <c r="RFE1724" s="227"/>
      <c r="RFF1724" s="227"/>
      <c r="RFG1724" s="227"/>
      <c r="RFH1724" s="227"/>
      <c r="RFI1724" s="227"/>
      <c r="RFJ1724" s="227"/>
      <c r="RFK1724" s="227"/>
      <c r="RFL1724" s="227"/>
      <c r="RFM1724" s="227"/>
      <c r="RFN1724" s="227"/>
      <c r="RFO1724" s="227"/>
      <c r="RFP1724" s="227"/>
      <c r="RFQ1724" s="227"/>
      <c r="RFR1724" s="227"/>
      <c r="RFS1724" s="227"/>
      <c r="RFT1724" s="227"/>
      <c r="RFU1724" s="227"/>
      <c r="RFV1724" s="227"/>
      <c r="RFW1724" s="227"/>
      <c r="RFX1724" s="227"/>
      <c r="RFY1724" s="227"/>
      <c r="RFZ1724" s="227"/>
      <c r="RGA1724" s="227"/>
      <c r="RGB1724" s="227"/>
      <c r="RGC1724" s="227"/>
      <c r="RGD1724" s="227"/>
      <c r="RGE1724" s="227"/>
      <c r="RGF1724" s="227"/>
      <c r="RGG1724" s="227"/>
      <c r="RGH1724" s="227"/>
      <c r="RGI1724" s="227"/>
      <c r="RGJ1724" s="227"/>
      <c r="RGK1724" s="227"/>
      <c r="RGL1724" s="227"/>
      <c r="RGM1724" s="227"/>
      <c r="RGN1724" s="227"/>
      <c r="RGO1724" s="227"/>
      <c r="RGP1724" s="227"/>
      <c r="RGQ1724" s="227"/>
      <c r="RGR1724" s="227"/>
      <c r="RGS1724" s="227"/>
      <c r="RGT1724" s="227"/>
      <c r="RGU1724" s="227"/>
      <c r="RGV1724" s="227"/>
      <c r="RGW1724" s="227"/>
      <c r="RGX1724" s="227"/>
      <c r="RGY1724" s="227"/>
      <c r="RGZ1724" s="227"/>
      <c r="RHA1724" s="227"/>
      <c r="RHB1724" s="227"/>
      <c r="RHC1724" s="227"/>
      <c r="RHD1724" s="227"/>
      <c r="RHE1724" s="227"/>
      <c r="RHF1724" s="227"/>
      <c r="RHG1724" s="227"/>
      <c r="RHH1724" s="227"/>
      <c r="RHI1724" s="227"/>
      <c r="RHJ1724" s="227"/>
      <c r="RHK1724" s="227"/>
      <c r="RHL1724" s="227"/>
      <c r="RHM1724" s="227"/>
      <c r="RHN1724" s="227"/>
      <c r="RHO1724" s="227"/>
      <c r="RHP1724" s="227"/>
      <c r="RHQ1724" s="227"/>
      <c r="RHR1724" s="227"/>
      <c r="RHS1724" s="227"/>
      <c r="RHT1724" s="227"/>
      <c r="RHU1724" s="227"/>
      <c r="RHV1724" s="227"/>
      <c r="RHW1724" s="227"/>
      <c r="RHX1724" s="227"/>
      <c r="RHY1724" s="227"/>
      <c r="RHZ1724" s="227"/>
      <c r="RIA1724" s="227"/>
      <c r="RIB1724" s="227"/>
      <c r="RIC1724" s="227"/>
      <c r="RID1724" s="227"/>
      <c r="RIE1724" s="227"/>
      <c r="RIF1724" s="227"/>
      <c r="RIG1724" s="227"/>
      <c r="RIH1724" s="227"/>
      <c r="RII1724" s="227"/>
      <c r="RIJ1724" s="227"/>
      <c r="RIK1724" s="227"/>
      <c r="RIL1724" s="227"/>
      <c r="RIM1724" s="227"/>
      <c r="RIN1724" s="227"/>
      <c r="RIO1724" s="227"/>
      <c r="RIP1724" s="227"/>
      <c r="RIQ1724" s="227"/>
      <c r="RIR1724" s="227"/>
      <c r="RIS1724" s="227"/>
      <c r="RIT1724" s="227"/>
      <c r="RIU1724" s="227"/>
      <c r="RIV1724" s="227"/>
      <c r="RIW1724" s="227"/>
      <c r="RIX1724" s="227"/>
      <c r="RIY1724" s="227"/>
      <c r="RIZ1724" s="227"/>
      <c r="RJA1724" s="227"/>
      <c r="RJB1724" s="227"/>
      <c r="RJC1724" s="227"/>
      <c r="RJD1724" s="227"/>
      <c r="RJE1724" s="227"/>
      <c r="RJF1724" s="227"/>
      <c r="RJG1724" s="227"/>
      <c r="RJH1724" s="227"/>
      <c r="RJI1724" s="227"/>
      <c r="RJJ1724" s="227"/>
      <c r="RJK1724" s="227"/>
      <c r="RJL1724" s="227"/>
      <c r="RJM1724" s="227"/>
      <c r="RJN1724" s="227"/>
      <c r="RJO1724" s="227"/>
      <c r="RJP1724" s="227"/>
      <c r="RJQ1724" s="227"/>
      <c r="RJR1724" s="227"/>
      <c r="RJS1724" s="227"/>
      <c r="RJT1724" s="227"/>
      <c r="RJU1724" s="227"/>
      <c r="RJV1724" s="227"/>
      <c r="RJW1724" s="227"/>
      <c r="RJX1724" s="227"/>
      <c r="RJY1724" s="227"/>
      <c r="RJZ1724" s="227"/>
      <c r="RKA1724" s="227"/>
      <c r="RKB1724" s="227"/>
      <c r="RKC1724" s="227"/>
      <c r="RKD1724" s="227"/>
      <c r="RKE1724" s="227"/>
      <c r="RKF1724" s="227"/>
      <c r="RKG1724" s="227"/>
      <c r="RKH1724" s="227"/>
      <c r="RKI1724" s="227"/>
      <c r="RKJ1724" s="227"/>
      <c r="RKK1724" s="227"/>
      <c r="RKL1724" s="227"/>
      <c r="RKM1724" s="227"/>
      <c r="RKN1724" s="227"/>
      <c r="RKO1724" s="227"/>
      <c r="RKP1724" s="227"/>
      <c r="RKQ1724" s="227"/>
      <c r="RKR1724" s="227"/>
      <c r="RKS1724" s="227"/>
      <c r="RKT1724" s="227"/>
      <c r="RKU1724" s="227"/>
      <c r="RKV1724" s="227"/>
      <c r="RKW1724" s="227"/>
      <c r="RKX1724" s="227"/>
      <c r="RKY1724" s="227"/>
      <c r="RKZ1724" s="227"/>
      <c r="RLA1724" s="227"/>
      <c r="RLB1724" s="227"/>
      <c r="RLC1724" s="227"/>
      <c r="RLD1724" s="227"/>
      <c r="RLE1724" s="227"/>
      <c r="RLF1724" s="227"/>
      <c r="RLG1724" s="227"/>
      <c r="RLH1724" s="227"/>
      <c r="RLI1724" s="227"/>
      <c r="RLJ1724" s="227"/>
      <c r="RLK1724" s="227"/>
      <c r="RLL1724" s="227"/>
      <c r="RLM1724" s="227"/>
      <c r="RLN1724" s="227"/>
      <c r="RLO1724" s="227"/>
      <c r="RLP1724" s="227"/>
      <c r="RLQ1724" s="227"/>
      <c r="RLR1724" s="227"/>
      <c r="RLS1724" s="227"/>
      <c r="RLT1724" s="227"/>
      <c r="RLU1724" s="227"/>
      <c r="RLV1724" s="227"/>
      <c r="RLW1724" s="227"/>
      <c r="RLX1724" s="227"/>
      <c r="RLY1724" s="227"/>
      <c r="RLZ1724" s="227"/>
      <c r="RMA1724" s="227"/>
      <c r="RMB1724" s="227"/>
      <c r="RMC1724" s="227"/>
      <c r="RMD1724" s="227"/>
      <c r="RME1724" s="227"/>
      <c r="RMF1724" s="227"/>
      <c r="RMG1724" s="227"/>
      <c r="RMH1724" s="227"/>
      <c r="RMI1724" s="227"/>
      <c r="RMJ1724" s="227"/>
      <c r="RMK1724" s="227"/>
      <c r="RML1724" s="227"/>
      <c r="RMM1724" s="227"/>
      <c r="RMN1724" s="227"/>
      <c r="RMO1724" s="227"/>
      <c r="RMP1724" s="227"/>
      <c r="RMQ1724" s="227"/>
      <c r="RMR1724" s="227"/>
      <c r="RMS1724" s="227"/>
      <c r="RMT1724" s="227"/>
      <c r="RMU1724" s="227"/>
      <c r="RMV1724" s="227"/>
      <c r="RMW1724" s="227"/>
      <c r="RMX1724" s="227"/>
      <c r="RMY1724" s="227"/>
      <c r="RMZ1724" s="227"/>
      <c r="RNA1724" s="227"/>
      <c r="RNB1724" s="227"/>
      <c r="RNC1724" s="227"/>
      <c r="RND1724" s="227"/>
      <c r="RNE1724" s="227"/>
      <c r="RNF1724" s="227"/>
      <c r="RNG1724" s="227"/>
      <c r="RNH1724" s="227"/>
      <c r="RNI1724" s="227"/>
      <c r="RNJ1724" s="227"/>
      <c r="RNK1724" s="227"/>
      <c r="RNL1724" s="227"/>
      <c r="RNM1724" s="227"/>
      <c r="RNN1724" s="227"/>
      <c r="RNO1724" s="227"/>
      <c r="RNP1724" s="227"/>
      <c r="RNQ1724" s="227"/>
      <c r="RNR1724" s="227"/>
      <c r="RNS1724" s="227"/>
      <c r="RNT1724" s="227"/>
      <c r="RNU1724" s="227"/>
      <c r="RNV1724" s="227"/>
      <c r="RNW1724" s="227"/>
      <c r="RNX1724" s="227"/>
      <c r="RNY1724" s="227"/>
      <c r="RNZ1724" s="227"/>
      <c r="ROA1724" s="227"/>
      <c r="ROB1724" s="227"/>
      <c r="ROC1724" s="227"/>
      <c r="ROD1724" s="227"/>
      <c r="ROE1724" s="227"/>
      <c r="ROF1724" s="227"/>
      <c r="ROG1724" s="227"/>
      <c r="ROH1724" s="227"/>
      <c r="ROI1724" s="227"/>
      <c r="ROJ1724" s="227"/>
      <c r="ROK1724" s="227"/>
      <c r="ROL1724" s="227"/>
      <c r="ROM1724" s="227"/>
      <c r="RON1724" s="227"/>
      <c r="ROO1724" s="227"/>
      <c r="ROP1724" s="227"/>
      <c r="ROQ1724" s="227"/>
      <c r="ROR1724" s="227"/>
      <c r="ROS1724" s="227"/>
      <c r="ROT1724" s="227"/>
      <c r="ROU1724" s="227"/>
      <c r="ROV1724" s="227"/>
      <c r="ROW1724" s="227"/>
      <c r="ROX1724" s="227"/>
      <c r="ROY1724" s="227"/>
      <c r="ROZ1724" s="227"/>
      <c r="RPA1724" s="227"/>
      <c r="RPB1724" s="227"/>
      <c r="RPC1724" s="227"/>
      <c r="RPD1724" s="227"/>
      <c r="RPE1724" s="227"/>
      <c r="RPF1724" s="227"/>
      <c r="RPG1724" s="227"/>
      <c r="RPH1724" s="227"/>
      <c r="RPI1724" s="227"/>
      <c r="RPJ1724" s="227"/>
      <c r="RPK1724" s="227"/>
      <c r="RPL1724" s="227"/>
      <c r="RPM1724" s="227"/>
      <c r="RPN1724" s="227"/>
      <c r="RPO1724" s="227"/>
      <c r="RPP1724" s="227"/>
      <c r="RPQ1724" s="227"/>
      <c r="RPR1724" s="227"/>
      <c r="RPS1724" s="227"/>
      <c r="RPT1724" s="227"/>
      <c r="RPU1724" s="227"/>
      <c r="RPV1724" s="227"/>
      <c r="RPW1724" s="227"/>
      <c r="RPX1724" s="227"/>
      <c r="RPY1724" s="227"/>
      <c r="RPZ1724" s="227"/>
      <c r="RQA1724" s="227"/>
      <c r="RQB1724" s="227"/>
      <c r="RQC1724" s="227"/>
      <c r="RQD1724" s="227"/>
      <c r="RQE1724" s="227"/>
      <c r="RQF1724" s="227"/>
      <c r="RQG1724" s="227"/>
      <c r="RQH1724" s="227"/>
      <c r="RQI1724" s="227"/>
      <c r="RQJ1724" s="227"/>
      <c r="RQK1724" s="227"/>
      <c r="RQL1724" s="227"/>
      <c r="RQM1724" s="227"/>
      <c r="RQN1724" s="227"/>
      <c r="RQO1724" s="227"/>
      <c r="RQP1724" s="227"/>
      <c r="RQQ1724" s="227"/>
      <c r="RQR1724" s="227"/>
      <c r="RQS1724" s="227"/>
      <c r="RQT1724" s="227"/>
      <c r="RQU1724" s="227"/>
      <c r="RQV1724" s="227"/>
      <c r="RQW1724" s="227"/>
      <c r="RQX1724" s="227"/>
      <c r="RQY1724" s="227"/>
      <c r="RQZ1724" s="227"/>
      <c r="RRA1724" s="227"/>
      <c r="RRB1724" s="227"/>
      <c r="RRC1724" s="227"/>
      <c r="RRD1724" s="227"/>
      <c r="RRE1724" s="227"/>
      <c r="RRF1724" s="227"/>
      <c r="RRG1724" s="227"/>
      <c r="RRH1724" s="227"/>
      <c r="RRI1724" s="227"/>
      <c r="RRJ1724" s="227"/>
      <c r="RRK1724" s="227"/>
      <c r="RRL1724" s="227"/>
      <c r="RRM1724" s="227"/>
      <c r="RRN1724" s="227"/>
      <c r="RRO1724" s="227"/>
      <c r="RRP1724" s="227"/>
      <c r="RRQ1724" s="227"/>
      <c r="RRR1724" s="227"/>
      <c r="RRS1724" s="227"/>
      <c r="RRT1724" s="227"/>
      <c r="RRU1724" s="227"/>
      <c r="RRV1724" s="227"/>
      <c r="RRW1724" s="227"/>
      <c r="RRX1724" s="227"/>
      <c r="RRY1724" s="227"/>
      <c r="RRZ1724" s="227"/>
      <c r="RSA1724" s="227"/>
      <c r="RSB1724" s="227"/>
      <c r="RSC1724" s="227"/>
      <c r="RSD1724" s="227"/>
      <c r="RSE1724" s="227"/>
      <c r="RSF1724" s="227"/>
      <c r="RSG1724" s="227"/>
      <c r="RSH1724" s="227"/>
      <c r="RSI1724" s="227"/>
      <c r="RSJ1724" s="227"/>
      <c r="RSK1724" s="227"/>
      <c r="RSL1724" s="227"/>
      <c r="RSM1724" s="227"/>
      <c r="RSN1724" s="227"/>
      <c r="RSO1724" s="227"/>
      <c r="RSP1724" s="227"/>
      <c r="RSQ1724" s="227"/>
      <c r="RSR1724" s="227"/>
      <c r="RSS1724" s="227"/>
      <c r="RST1724" s="227"/>
      <c r="RSU1724" s="227"/>
      <c r="RSV1724" s="227"/>
      <c r="RSW1724" s="227"/>
      <c r="RSX1724" s="227"/>
      <c r="RSY1724" s="227"/>
      <c r="RSZ1724" s="227"/>
      <c r="RTA1724" s="227"/>
      <c r="RTB1724" s="227"/>
      <c r="RTC1724" s="227"/>
      <c r="RTD1724" s="227"/>
      <c r="RTE1724" s="227"/>
      <c r="RTF1724" s="227"/>
      <c r="RTG1724" s="227"/>
      <c r="RTH1724" s="227"/>
      <c r="RTI1724" s="227"/>
      <c r="RTJ1724" s="227"/>
      <c r="RTK1724" s="227"/>
      <c r="RTL1724" s="227"/>
      <c r="RTM1724" s="227"/>
      <c r="RTN1724" s="227"/>
      <c r="RTO1724" s="227"/>
      <c r="RTP1724" s="227"/>
      <c r="RTQ1724" s="227"/>
      <c r="RTR1724" s="227"/>
      <c r="RTS1724" s="227"/>
      <c r="RTT1724" s="227"/>
      <c r="RTU1724" s="227"/>
      <c r="RTV1724" s="227"/>
      <c r="RTW1724" s="227"/>
      <c r="RTX1724" s="227"/>
      <c r="RTY1724" s="227"/>
      <c r="RTZ1724" s="227"/>
      <c r="RUA1724" s="227"/>
      <c r="RUB1724" s="227"/>
      <c r="RUC1724" s="227"/>
      <c r="RUD1724" s="227"/>
      <c r="RUE1724" s="227"/>
      <c r="RUF1724" s="227"/>
      <c r="RUG1724" s="227"/>
      <c r="RUH1724" s="227"/>
      <c r="RUI1724" s="227"/>
      <c r="RUJ1724" s="227"/>
      <c r="RUK1724" s="227"/>
      <c r="RUL1724" s="227"/>
      <c r="RUM1724" s="227"/>
      <c r="RUN1724" s="227"/>
      <c r="RUO1724" s="227"/>
      <c r="RUP1724" s="227"/>
      <c r="RUQ1724" s="227"/>
      <c r="RUR1724" s="227"/>
      <c r="RUS1724" s="227"/>
      <c r="RUT1724" s="227"/>
      <c r="RUU1724" s="227"/>
      <c r="RUV1724" s="227"/>
      <c r="RUW1724" s="227"/>
      <c r="RUX1724" s="227"/>
      <c r="RUY1724" s="227"/>
      <c r="RUZ1724" s="227"/>
      <c r="RVA1724" s="227"/>
      <c r="RVB1724" s="227"/>
      <c r="RVC1724" s="227"/>
      <c r="RVD1724" s="227"/>
      <c r="RVE1724" s="227"/>
      <c r="RVF1724" s="227"/>
      <c r="RVG1724" s="227"/>
      <c r="RVH1724" s="227"/>
      <c r="RVI1724" s="227"/>
      <c r="RVJ1724" s="227"/>
      <c r="RVK1724" s="227"/>
      <c r="RVL1724" s="227"/>
      <c r="RVM1724" s="227"/>
      <c r="RVN1724" s="227"/>
      <c r="RVO1724" s="227"/>
      <c r="RVP1724" s="227"/>
      <c r="RVQ1724" s="227"/>
      <c r="RVR1724" s="227"/>
      <c r="RVS1724" s="227"/>
      <c r="RVT1724" s="227"/>
      <c r="RVU1724" s="227"/>
      <c r="RVV1724" s="227"/>
      <c r="RVW1724" s="227"/>
      <c r="RVX1724" s="227"/>
      <c r="RVY1724" s="227"/>
      <c r="RVZ1724" s="227"/>
      <c r="RWA1724" s="227"/>
      <c r="RWB1724" s="227"/>
      <c r="RWC1724" s="227"/>
      <c r="RWD1724" s="227"/>
      <c r="RWE1724" s="227"/>
      <c r="RWF1724" s="227"/>
      <c r="RWG1724" s="227"/>
      <c r="RWH1724" s="227"/>
      <c r="RWI1724" s="227"/>
      <c r="RWJ1724" s="227"/>
      <c r="RWK1724" s="227"/>
      <c r="RWL1724" s="227"/>
      <c r="RWM1724" s="227"/>
      <c r="RWN1724" s="227"/>
      <c r="RWO1724" s="227"/>
      <c r="RWP1724" s="227"/>
      <c r="RWQ1724" s="227"/>
      <c r="RWR1724" s="227"/>
      <c r="RWS1724" s="227"/>
      <c r="RWT1724" s="227"/>
      <c r="RWU1724" s="227"/>
      <c r="RWV1724" s="227"/>
      <c r="RWW1724" s="227"/>
      <c r="RWX1724" s="227"/>
      <c r="RWY1724" s="227"/>
      <c r="RWZ1724" s="227"/>
      <c r="RXA1724" s="227"/>
      <c r="RXB1724" s="227"/>
      <c r="RXC1724" s="227"/>
      <c r="RXD1724" s="227"/>
      <c r="RXE1724" s="227"/>
      <c r="RXF1724" s="227"/>
      <c r="RXG1724" s="227"/>
      <c r="RXH1724" s="227"/>
      <c r="RXI1724" s="227"/>
      <c r="RXJ1724" s="227"/>
      <c r="RXK1724" s="227"/>
      <c r="RXL1724" s="227"/>
      <c r="RXM1724" s="227"/>
      <c r="RXN1724" s="227"/>
      <c r="RXO1724" s="227"/>
      <c r="RXP1724" s="227"/>
      <c r="RXQ1724" s="227"/>
      <c r="RXR1724" s="227"/>
      <c r="RXS1724" s="227"/>
      <c r="RXT1724" s="227"/>
      <c r="RXU1724" s="227"/>
      <c r="RXV1724" s="227"/>
      <c r="RXW1724" s="227"/>
      <c r="RXX1724" s="227"/>
      <c r="RXY1724" s="227"/>
      <c r="RXZ1724" s="227"/>
      <c r="RYA1724" s="227"/>
      <c r="RYB1724" s="227"/>
      <c r="RYC1724" s="227"/>
      <c r="RYD1724" s="227"/>
      <c r="RYE1724" s="227"/>
      <c r="RYF1724" s="227"/>
      <c r="RYG1724" s="227"/>
      <c r="RYH1724" s="227"/>
      <c r="RYI1724" s="227"/>
      <c r="RYJ1724" s="227"/>
      <c r="RYK1724" s="227"/>
      <c r="RYL1724" s="227"/>
      <c r="RYM1724" s="227"/>
      <c r="RYN1724" s="227"/>
      <c r="RYO1724" s="227"/>
      <c r="RYP1724" s="227"/>
      <c r="RYQ1724" s="227"/>
      <c r="RYR1724" s="227"/>
      <c r="RYS1724" s="227"/>
      <c r="RYT1724" s="227"/>
      <c r="RYU1724" s="227"/>
      <c r="RYV1724" s="227"/>
      <c r="RYW1724" s="227"/>
      <c r="RYX1724" s="227"/>
      <c r="RYY1724" s="227"/>
      <c r="RYZ1724" s="227"/>
      <c r="RZA1724" s="227"/>
      <c r="RZB1724" s="227"/>
      <c r="RZC1724" s="227"/>
      <c r="RZD1724" s="227"/>
      <c r="RZE1724" s="227"/>
      <c r="RZF1724" s="227"/>
      <c r="RZG1724" s="227"/>
      <c r="RZH1724" s="227"/>
      <c r="RZI1724" s="227"/>
      <c r="RZJ1724" s="227"/>
      <c r="RZK1724" s="227"/>
      <c r="RZL1724" s="227"/>
      <c r="RZM1724" s="227"/>
      <c r="RZN1724" s="227"/>
      <c r="RZO1724" s="227"/>
      <c r="RZP1724" s="227"/>
      <c r="RZQ1724" s="227"/>
      <c r="RZR1724" s="227"/>
      <c r="RZS1724" s="227"/>
      <c r="RZT1724" s="227"/>
      <c r="RZU1724" s="227"/>
      <c r="RZV1724" s="227"/>
      <c r="RZW1724" s="227"/>
      <c r="RZX1724" s="227"/>
      <c r="RZY1724" s="227"/>
      <c r="RZZ1724" s="227"/>
      <c r="SAA1724" s="227"/>
      <c r="SAB1724" s="227"/>
      <c r="SAC1724" s="227"/>
      <c r="SAD1724" s="227"/>
      <c r="SAE1724" s="227"/>
      <c r="SAF1724" s="227"/>
      <c r="SAG1724" s="227"/>
      <c r="SAH1724" s="227"/>
      <c r="SAI1724" s="227"/>
      <c r="SAJ1724" s="227"/>
      <c r="SAK1724" s="227"/>
      <c r="SAL1724" s="227"/>
      <c r="SAM1724" s="227"/>
      <c r="SAN1724" s="227"/>
      <c r="SAO1724" s="227"/>
      <c r="SAP1724" s="227"/>
      <c r="SAQ1724" s="227"/>
      <c r="SAR1724" s="227"/>
      <c r="SAS1724" s="227"/>
      <c r="SAT1724" s="227"/>
      <c r="SAU1724" s="227"/>
      <c r="SAV1724" s="227"/>
      <c r="SAW1724" s="227"/>
      <c r="SAX1724" s="227"/>
      <c r="SAY1724" s="227"/>
      <c r="SAZ1724" s="227"/>
      <c r="SBA1724" s="227"/>
      <c r="SBB1724" s="227"/>
      <c r="SBC1724" s="227"/>
      <c r="SBD1724" s="227"/>
      <c r="SBE1724" s="227"/>
      <c r="SBF1724" s="227"/>
      <c r="SBG1724" s="227"/>
      <c r="SBH1724" s="227"/>
      <c r="SBI1724" s="227"/>
      <c r="SBJ1724" s="227"/>
      <c r="SBK1724" s="227"/>
      <c r="SBL1724" s="227"/>
      <c r="SBM1724" s="227"/>
      <c r="SBN1724" s="227"/>
      <c r="SBO1724" s="227"/>
      <c r="SBP1724" s="227"/>
      <c r="SBQ1724" s="227"/>
      <c r="SBR1724" s="227"/>
      <c r="SBS1724" s="227"/>
      <c r="SBT1724" s="227"/>
      <c r="SBU1724" s="227"/>
      <c r="SBV1724" s="227"/>
      <c r="SBW1724" s="227"/>
      <c r="SBX1724" s="227"/>
      <c r="SBY1724" s="227"/>
      <c r="SBZ1724" s="227"/>
      <c r="SCA1724" s="227"/>
      <c r="SCB1724" s="227"/>
      <c r="SCC1724" s="227"/>
      <c r="SCD1724" s="227"/>
      <c r="SCE1724" s="227"/>
      <c r="SCF1724" s="227"/>
      <c r="SCG1724" s="227"/>
      <c r="SCH1724" s="227"/>
      <c r="SCI1724" s="227"/>
      <c r="SCJ1724" s="227"/>
      <c r="SCK1724" s="227"/>
      <c r="SCL1724" s="227"/>
      <c r="SCM1724" s="227"/>
      <c r="SCN1724" s="227"/>
      <c r="SCO1724" s="227"/>
      <c r="SCP1724" s="227"/>
      <c r="SCQ1724" s="227"/>
      <c r="SCR1724" s="227"/>
      <c r="SCS1724" s="227"/>
      <c r="SCT1724" s="227"/>
      <c r="SCU1724" s="227"/>
      <c r="SCV1724" s="227"/>
      <c r="SCW1724" s="227"/>
      <c r="SCX1724" s="227"/>
      <c r="SCY1724" s="227"/>
      <c r="SCZ1724" s="227"/>
      <c r="SDA1724" s="227"/>
      <c r="SDB1724" s="227"/>
      <c r="SDC1724" s="227"/>
      <c r="SDD1724" s="227"/>
      <c r="SDE1724" s="227"/>
      <c r="SDF1724" s="227"/>
      <c r="SDG1724" s="227"/>
      <c r="SDH1724" s="227"/>
      <c r="SDI1724" s="227"/>
      <c r="SDJ1724" s="227"/>
      <c r="SDK1724" s="227"/>
      <c r="SDL1724" s="227"/>
      <c r="SDM1724" s="227"/>
      <c r="SDN1724" s="227"/>
      <c r="SDO1724" s="227"/>
      <c r="SDP1724" s="227"/>
      <c r="SDQ1724" s="227"/>
      <c r="SDR1724" s="227"/>
      <c r="SDS1724" s="227"/>
      <c r="SDT1724" s="227"/>
      <c r="SDU1724" s="227"/>
      <c r="SDV1724" s="227"/>
      <c r="SDW1724" s="227"/>
      <c r="SDX1724" s="227"/>
      <c r="SDY1724" s="227"/>
      <c r="SDZ1724" s="227"/>
      <c r="SEA1724" s="227"/>
      <c r="SEB1724" s="227"/>
      <c r="SEC1724" s="227"/>
      <c r="SED1724" s="227"/>
      <c r="SEE1724" s="227"/>
      <c r="SEF1724" s="227"/>
      <c r="SEG1724" s="227"/>
      <c r="SEH1724" s="227"/>
      <c r="SEI1724" s="227"/>
      <c r="SEJ1724" s="227"/>
      <c r="SEK1724" s="227"/>
      <c r="SEL1724" s="227"/>
      <c r="SEM1724" s="227"/>
      <c r="SEN1724" s="227"/>
      <c r="SEO1724" s="227"/>
      <c r="SEP1724" s="227"/>
      <c r="SEQ1724" s="227"/>
      <c r="SER1724" s="227"/>
      <c r="SES1724" s="227"/>
      <c r="SET1724" s="227"/>
      <c r="SEU1724" s="227"/>
      <c r="SEV1724" s="227"/>
      <c r="SEW1724" s="227"/>
      <c r="SEX1724" s="227"/>
      <c r="SEY1724" s="227"/>
      <c r="SEZ1724" s="227"/>
      <c r="SFA1724" s="227"/>
      <c r="SFB1724" s="227"/>
      <c r="SFC1724" s="227"/>
      <c r="SFD1724" s="227"/>
      <c r="SFE1724" s="227"/>
      <c r="SFF1724" s="227"/>
      <c r="SFG1724" s="227"/>
      <c r="SFH1724" s="227"/>
      <c r="SFI1724" s="227"/>
      <c r="SFJ1724" s="227"/>
      <c r="SFK1724" s="227"/>
      <c r="SFL1724" s="227"/>
      <c r="SFM1724" s="227"/>
      <c r="SFN1724" s="227"/>
      <c r="SFO1724" s="227"/>
      <c r="SFP1724" s="227"/>
      <c r="SFQ1724" s="227"/>
      <c r="SFR1724" s="227"/>
      <c r="SFS1724" s="227"/>
      <c r="SFT1724" s="227"/>
      <c r="SFU1724" s="227"/>
      <c r="SFV1724" s="227"/>
      <c r="SFW1724" s="227"/>
      <c r="SFX1724" s="227"/>
      <c r="SFY1724" s="227"/>
      <c r="SFZ1724" s="227"/>
      <c r="SGA1724" s="227"/>
      <c r="SGB1724" s="227"/>
      <c r="SGC1724" s="227"/>
      <c r="SGD1724" s="227"/>
      <c r="SGE1724" s="227"/>
      <c r="SGF1724" s="227"/>
      <c r="SGG1724" s="227"/>
      <c r="SGH1724" s="227"/>
      <c r="SGI1724" s="227"/>
      <c r="SGJ1724" s="227"/>
      <c r="SGK1724" s="227"/>
      <c r="SGL1724" s="227"/>
      <c r="SGM1724" s="227"/>
      <c r="SGN1724" s="227"/>
      <c r="SGO1724" s="227"/>
      <c r="SGP1724" s="227"/>
      <c r="SGQ1724" s="227"/>
      <c r="SGR1724" s="227"/>
      <c r="SGS1724" s="227"/>
      <c r="SGT1724" s="227"/>
      <c r="SGU1724" s="227"/>
      <c r="SGV1724" s="227"/>
      <c r="SGW1724" s="227"/>
      <c r="SGX1724" s="227"/>
      <c r="SGY1724" s="227"/>
      <c r="SGZ1724" s="227"/>
      <c r="SHA1724" s="227"/>
      <c r="SHB1724" s="227"/>
      <c r="SHC1724" s="227"/>
      <c r="SHD1724" s="227"/>
      <c r="SHE1724" s="227"/>
      <c r="SHF1724" s="227"/>
      <c r="SHG1724" s="227"/>
      <c r="SHH1724" s="227"/>
      <c r="SHI1724" s="227"/>
      <c r="SHJ1724" s="227"/>
      <c r="SHK1724" s="227"/>
      <c r="SHL1724" s="227"/>
      <c r="SHM1724" s="227"/>
      <c r="SHN1724" s="227"/>
      <c r="SHO1724" s="227"/>
      <c r="SHP1724" s="227"/>
      <c r="SHQ1724" s="227"/>
      <c r="SHR1724" s="227"/>
      <c r="SHS1724" s="227"/>
      <c r="SHT1724" s="227"/>
      <c r="SHU1724" s="227"/>
      <c r="SHV1724" s="227"/>
      <c r="SHW1724" s="227"/>
      <c r="SHX1724" s="227"/>
      <c r="SHY1724" s="227"/>
      <c r="SHZ1724" s="227"/>
      <c r="SIA1724" s="227"/>
      <c r="SIB1724" s="227"/>
      <c r="SIC1724" s="227"/>
      <c r="SID1724" s="227"/>
      <c r="SIE1724" s="227"/>
      <c r="SIF1724" s="227"/>
      <c r="SIG1724" s="227"/>
      <c r="SIH1724" s="227"/>
      <c r="SII1724" s="227"/>
      <c r="SIJ1724" s="227"/>
      <c r="SIK1724" s="227"/>
      <c r="SIL1724" s="227"/>
      <c r="SIM1724" s="227"/>
      <c r="SIN1724" s="227"/>
      <c r="SIO1724" s="227"/>
      <c r="SIP1724" s="227"/>
      <c r="SIQ1724" s="227"/>
      <c r="SIR1724" s="227"/>
      <c r="SIS1724" s="227"/>
      <c r="SIT1724" s="227"/>
      <c r="SIU1724" s="227"/>
      <c r="SIV1724" s="227"/>
      <c r="SIW1724" s="227"/>
      <c r="SIX1724" s="227"/>
      <c r="SIY1724" s="227"/>
      <c r="SIZ1724" s="227"/>
      <c r="SJA1724" s="227"/>
      <c r="SJB1724" s="227"/>
      <c r="SJC1724" s="227"/>
      <c r="SJD1724" s="227"/>
      <c r="SJE1724" s="227"/>
      <c r="SJF1724" s="227"/>
      <c r="SJG1724" s="227"/>
      <c r="SJH1724" s="227"/>
      <c r="SJI1724" s="227"/>
      <c r="SJJ1724" s="227"/>
      <c r="SJK1724" s="227"/>
      <c r="SJL1724" s="227"/>
      <c r="SJM1724" s="227"/>
      <c r="SJN1724" s="227"/>
      <c r="SJO1724" s="227"/>
      <c r="SJP1724" s="227"/>
      <c r="SJQ1724" s="227"/>
      <c r="SJR1724" s="227"/>
      <c r="SJS1724" s="227"/>
      <c r="SJT1724" s="227"/>
      <c r="SJU1724" s="227"/>
      <c r="SJV1724" s="227"/>
      <c r="SJW1724" s="227"/>
      <c r="SJX1724" s="227"/>
      <c r="SJY1724" s="227"/>
      <c r="SJZ1724" s="227"/>
      <c r="SKA1724" s="227"/>
      <c r="SKB1724" s="227"/>
      <c r="SKC1724" s="227"/>
      <c r="SKD1724" s="227"/>
      <c r="SKE1724" s="227"/>
      <c r="SKF1724" s="227"/>
      <c r="SKG1724" s="227"/>
      <c r="SKH1724" s="227"/>
      <c r="SKI1724" s="227"/>
      <c r="SKJ1724" s="227"/>
      <c r="SKK1724" s="227"/>
      <c r="SKL1724" s="227"/>
      <c r="SKM1724" s="227"/>
      <c r="SKN1724" s="227"/>
      <c r="SKO1724" s="227"/>
      <c r="SKP1724" s="227"/>
      <c r="SKQ1724" s="227"/>
      <c r="SKR1724" s="227"/>
      <c r="SKS1724" s="227"/>
      <c r="SKT1724" s="227"/>
      <c r="SKU1724" s="227"/>
      <c r="SKV1724" s="227"/>
      <c r="SKW1724" s="227"/>
      <c r="SKX1724" s="227"/>
      <c r="SKY1724" s="227"/>
      <c r="SKZ1724" s="227"/>
      <c r="SLA1724" s="227"/>
      <c r="SLB1724" s="227"/>
      <c r="SLC1724" s="227"/>
      <c r="SLD1724" s="227"/>
      <c r="SLE1724" s="227"/>
      <c r="SLF1724" s="227"/>
      <c r="SLG1724" s="227"/>
      <c r="SLH1724" s="227"/>
      <c r="SLI1724" s="227"/>
      <c r="SLJ1724" s="227"/>
      <c r="SLK1724" s="227"/>
      <c r="SLL1724" s="227"/>
      <c r="SLM1724" s="227"/>
      <c r="SLN1724" s="227"/>
      <c r="SLO1724" s="227"/>
      <c r="SLP1724" s="227"/>
      <c r="SLQ1724" s="227"/>
      <c r="SLR1724" s="227"/>
      <c r="SLS1724" s="227"/>
      <c r="SLT1724" s="227"/>
      <c r="SLU1724" s="227"/>
      <c r="SLV1724" s="227"/>
      <c r="SLW1724" s="227"/>
      <c r="SLX1724" s="227"/>
      <c r="SLY1724" s="227"/>
      <c r="SLZ1724" s="227"/>
      <c r="SMA1724" s="227"/>
      <c r="SMB1724" s="227"/>
      <c r="SMC1724" s="227"/>
      <c r="SMD1724" s="227"/>
      <c r="SME1724" s="227"/>
      <c r="SMF1724" s="227"/>
      <c r="SMG1724" s="227"/>
      <c r="SMH1724" s="227"/>
      <c r="SMI1724" s="227"/>
      <c r="SMJ1724" s="227"/>
      <c r="SMK1724" s="227"/>
      <c r="SML1724" s="227"/>
      <c r="SMM1724" s="227"/>
      <c r="SMN1724" s="227"/>
      <c r="SMO1724" s="227"/>
      <c r="SMP1724" s="227"/>
      <c r="SMQ1724" s="227"/>
      <c r="SMR1724" s="227"/>
      <c r="SMS1724" s="227"/>
      <c r="SMT1724" s="227"/>
      <c r="SMU1724" s="227"/>
      <c r="SMV1724" s="227"/>
      <c r="SMW1724" s="227"/>
      <c r="SMX1724" s="227"/>
      <c r="SMY1724" s="227"/>
      <c r="SMZ1724" s="227"/>
      <c r="SNA1724" s="227"/>
      <c r="SNB1724" s="227"/>
      <c r="SNC1724" s="227"/>
      <c r="SND1724" s="227"/>
      <c r="SNE1724" s="227"/>
      <c r="SNF1724" s="227"/>
      <c r="SNG1724" s="227"/>
      <c r="SNH1724" s="227"/>
      <c r="SNI1724" s="227"/>
      <c r="SNJ1724" s="227"/>
      <c r="SNK1724" s="227"/>
      <c r="SNL1724" s="227"/>
      <c r="SNM1724" s="227"/>
      <c r="SNN1724" s="227"/>
      <c r="SNO1724" s="227"/>
      <c r="SNP1724" s="227"/>
      <c r="SNQ1724" s="227"/>
      <c r="SNR1724" s="227"/>
      <c r="SNS1724" s="227"/>
      <c r="SNT1724" s="227"/>
      <c r="SNU1724" s="227"/>
      <c r="SNV1724" s="227"/>
      <c r="SNW1724" s="227"/>
      <c r="SNX1724" s="227"/>
      <c r="SNY1724" s="227"/>
      <c r="SNZ1724" s="227"/>
      <c r="SOA1724" s="227"/>
      <c r="SOB1724" s="227"/>
      <c r="SOC1724" s="227"/>
      <c r="SOD1724" s="227"/>
      <c r="SOE1724" s="227"/>
      <c r="SOF1724" s="227"/>
      <c r="SOG1724" s="227"/>
      <c r="SOH1724" s="227"/>
      <c r="SOI1724" s="227"/>
      <c r="SOJ1724" s="227"/>
      <c r="SOK1724" s="227"/>
      <c r="SOL1724" s="227"/>
      <c r="SOM1724" s="227"/>
      <c r="SON1724" s="227"/>
      <c r="SOO1724" s="227"/>
      <c r="SOP1724" s="227"/>
      <c r="SOQ1724" s="227"/>
      <c r="SOR1724" s="227"/>
      <c r="SOS1724" s="227"/>
      <c r="SOT1724" s="227"/>
      <c r="SOU1724" s="227"/>
      <c r="SOV1724" s="227"/>
      <c r="SOW1724" s="227"/>
      <c r="SOX1724" s="227"/>
      <c r="SOY1724" s="227"/>
      <c r="SOZ1724" s="227"/>
      <c r="SPA1724" s="227"/>
      <c r="SPB1724" s="227"/>
      <c r="SPC1724" s="227"/>
      <c r="SPD1724" s="227"/>
      <c r="SPE1724" s="227"/>
      <c r="SPF1724" s="227"/>
      <c r="SPG1724" s="227"/>
      <c r="SPH1724" s="227"/>
      <c r="SPI1724" s="227"/>
      <c r="SPJ1724" s="227"/>
      <c r="SPK1724" s="227"/>
      <c r="SPL1724" s="227"/>
      <c r="SPM1724" s="227"/>
      <c r="SPN1724" s="227"/>
      <c r="SPO1724" s="227"/>
      <c r="SPP1724" s="227"/>
      <c r="SPQ1724" s="227"/>
      <c r="SPR1724" s="227"/>
      <c r="SPS1724" s="227"/>
      <c r="SPT1724" s="227"/>
      <c r="SPU1724" s="227"/>
      <c r="SPV1724" s="227"/>
      <c r="SPW1724" s="227"/>
      <c r="SPX1724" s="227"/>
      <c r="SPY1724" s="227"/>
      <c r="SPZ1724" s="227"/>
      <c r="SQA1724" s="227"/>
      <c r="SQB1724" s="227"/>
      <c r="SQC1724" s="227"/>
      <c r="SQD1724" s="227"/>
      <c r="SQE1724" s="227"/>
      <c r="SQF1724" s="227"/>
      <c r="SQG1724" s="227"/>
      <c r="SQH1724" s="227"/>
      <c r="SQI1724" s="227"/>
      <c r="SQJ1724" s="227"/>
      <c r="SQK1724" s="227"/>
      <c r="SQL1724" s="227"/>
      <c r="SQM1724" s="227"/>
      <c r="SQN1724" s="227"/>
      <c r="SQO1724" s="227"/>
      <c r="SQP1724" s="227"/>
      <c r="SQQ1724" s="227"/>
      <c r="SQR1724" s="227"/>
      <c r="SQS1724" s="227"/>
      <c r="SQT1724" s="227"/>
      <c r="SQU1724" s="227"/>
      <c r="SQV1724" s="227"/>
      <c r="SQW1724" s="227"/>
      <c r="SQX1724" s="227"/>
      <c r="SQY1724" s="227"/>
      <c r="SQZ1724" s="227"/>
      <c r="SRA1724" s="227"/>
      <c r="SRB1724" s="227"/>
      <c r="SRC1724" s="227"/>
      <c r="SRD1724" s="227"/>
      <c r="SRE1724" s="227"/>
      <c r="SRF1724" s="227"/>
      <c r="SRG1724" s="227"/>
      <c r="SRH1724" s="227"/>
      <c r="SRI1724" s="227"/>
      <c r="SRJ1724" s="227"/>
      <c r="SRK1724" s="227"/>
      <c r="SRL1724" s="227"/>
      <c r="SRM1724" s="227"/>
      <c r="SRN1724" s="227"/>
      <c r="SRO1724" s="227"/>
      <c r="SRP1724" s="227"/>
      <c r="SRQ1724" s="227"/>
      <c r="SRR1724" s="227"/>
      <c r="SRS1724" s="227"/>
      <c r="SRT1724" s="227"/>
      <c r="SRU1724" s="227"/>
      <c r="SRV1724" s="227"/>
      <c r="SRW1724" s="227"/>
      <c r="SRX1724" s="227"/>
      <c r="SRY1724" s="227"/>
      <c r="SRZ1724" s="227"/>
      <c r="SSA1724" s="227"/>
      <c r="SSB1724" s="227"/>
      <c r="SSC1724" s="227"/>
      <c r="SSD1724" s="227"/>
      <c r="SSE1724" s="227"/>
      <c r="SSF1724" s="227"/>
      <c r="SSG1724" s="227"/>
      <c r="SSH1724" s="227"/>
      <c r="SSI1724" s="227"/>
      <c r="SSJ1724" s="227"/>
      <c r="SSK1724" s="227"/>
      <c r="SSL1724" s="227"/>
      <c r="SSM1724" s="227"/>
      <c r="SSN1724" s="227"/>
      <c r="SSO1724" s="227"/>
      <c r="SSP1724" s="227"/>
      <c r="SSQ1724" s="227"/>
      <c r="SSR1724" s="227"/>
      <c r="SSS1724" s="227"/>
      <c r="SST1724" s="227"/>
      <c r="SSU1724" s="227"/>
      <c r="SSV1724" s="227"/>
      <c r="SSW1724" s="227"/>
      <c r="SSX1724" s="227"/>
      <c r="SSY1724" s="227"/>
      <c r="SSZ1724" s="227"/>
      <c r="STA1724" s="227"/>
      <c r="STB1724" s="227"/>
      <c r="STC1724" s="227"/>
      <c r="STD1724" s="227"/>
      <c r="STE1724" s="227"/>
      <c r="STF1724" s="227"/>
      <c r="STG1724" s="227"/>
      <c r="STH1724" s="227"/>
      <c r="STI1724" s="227"/>
      <c r="STJ1724" s="227"/>
      <c r="STK1724" s="227"/>
      <c r="STL1724" s="227"/>
      <c r="STM1724" s="227"/>
      <c r="STN1724" s="227"/>
      <c r="STO1724" s="227"/>
      <c r="STP1724" s="227"/>
      <c r="STQ1724" s="227"/>
      <c r="STR1724" s="227"/>
      <c r="STS1724" s="227"/>
      <c r="STT1724" s="227"/>
      <c r="STU1724" s="227"/>
      <c r="STV1724" s="227"/>
      <c r="STW1724" s="227"/>
      <c r="STX1724" s="227"/>
      <c r="STY1724" s="227"/>
      <c r="STZ1724" s="227"/>
      <c r="SUA1724" s="227"/>
      <c r="SUB1724" s="227"/>
      <c r="SUC1724" s="227"/>
      <c r="SUD1724" s="227"/>
      <c r="SUE1724" s="227"/>
      <c r="SUF1724" s="227"/>
      <c r="SUG1724" s="227"/>
      <c r="SUH1724" s="227"/>
      <c r="SUI1724" s="227"/>
      <c r="SUJ1724" s="227"/>
      <c r="SUK1724" s="227"/>
      <c r="SUL1724" s="227"/>
      <c r="SUM1724" s="227"/>
      <c r="SUN1724" s="227"/>
      <c r="SUO1724" s="227"/>
      <c r="SUP1724" s="227"/>
      <c r="SUQ1724" s="227"/>
      <c r="SUR1724" s="227"/>
      <c r="SUS1724" s="227"/>
      <c r="SUT1724" s="227"/>
      <c r="SUU1724" s="227"/>
      <c r="SUV1724" s="227"/>
      <c r="SUW1724" s="227"/>
      <c r="SUX1724" s="227"/>
      <c r="SUY1724" s="227"/>
      <c r="SUZ1724" s="227"/>
      <c r="SVA1724" s="227"/>
      <c r="SVB1724" s="227"/>
      <c r="SVC1724" s="227"/>
      <c r="SVD1724" s="227"/>
      <c r="SVE1724" s="227"/>
      <c r="SVF1724" s="227"/>
      <c r="SVG1724" s="227"/>
      <c r="SVH1724" s="227"/>
      <c r="SVI1724" s="227"/>
      <c r="SVJ1724" s="227"/>
      <c r="SVK1724" s="227"/>
      <c r="SVL1724" s="227"/>
      <c r="SVM1724" s="227"/>
      <c r="SVN1724" s="227"/>
      <c r="SVO1724" s="227"/>
      <c r="SVP1724" s="227"/>
      <c r="SVQ1724" s="227"/>
      <c r="SVR1724" s="227"/>
      <c r="SVS1724" s="227"/>
      <c r="SVT1724" s="227"/>
      <c r="SVU1724" s="227"/>
      <c r="SVV1724" s="227"/>
      <c r="SVW1724" s="227"/>
      <c r="SVX1724" s="227"/>
      <c r="SVY1724" s="227"/>
      <c r="SVZ1724" s="227"/>
      <c r="SWA1724" s="227"/>
      <c r="SWB1724" s="227"/>
      <c r="SWC1724" s="227"/>
      <c r="SWD1724" s="227"/>
      <c r="SWE1724" s="227"/>
      <c r="SWF1724" s="227"/>
      <c r="SWG1724" s="227"/>
      <c r="SWH1724" s="227"/>
      <c r="SWI1724" s="227"/>
      <c r="SWJ1724" s="227"/>
      <c r="SWK1724" s="227"/>
      <c r="SWL1724" s="227"/>
      <c r="SWM1724" s="227"/>
      <c r="SWN1724" s="227"/>
      <c r="SWO1724" s="227"/>
      <c r="SWP1724" s="227"/>
      <c r="SWQ1724" s="227"/>
      <c r="SWR1724" s="227"/>
      <c r="SWS1724" s="227"/>
      <c r="SWT1724" s="227"/>
      <c r="SWU1724" s="227"/>
      <c r="SWV1724" s="227"/>
      <c r="SWW1724" s="227"/>
      <c r="SWX1724" s="227"/>
      <c r="SWY1724" s="227"/>
      <c r="SWZ1724" s="227"/>
      <c r="SXA1724" s="227"/>
      <c r="SXB1724" s="227"/>
      <c r="SXC1724" s="227"/>
      <c r="SXD1724" s="227"/>
      <c r="SXE1724" s="227"/>
      <c r="SXF1724" s="227"/>
      <c r="SXG1724" s="227"/>
      <c r="SXH1724" s="227"/>
      <c r="SXI1724" s="227"/>
      <c r="SXJ1724" s="227"/>
      <c r="SXK1724" s="227"/>
      <c r="SXL1724" s="227"/>
      <c r="SXM1724" s="227"/>
      <c r="SXN1724" s="227"/>
      <c r="SXO1724" s="227"/>
      <c r="SXP1724" s="227"/>
      <c r="SXQ1724" s="227"/>
      <c r="SXR1724" s="227"/>
      <c r="SXS1724" s="227"/>
      <c r="SXT1724" s="227"/>
      <c r="SXU1724" s="227"/>
      <c r="SXV1724" s="227"/>
      <c r="SXW1724" s="227"/>
      <c r="SXX1724" s="227"/>
      <c r="SXY1724" s="227"/>
      <c r="SXZ1724" s="227"/>
      <c r="SYA1724" s="227"/>
      <c r="SYB1724" s="227"/>
      <c r="SYC1724" s="227"/>
      <c r="SYD1724" s="227"/>
      <c r="SYE1724" s="227"/>
      <c r="SYF1724" s="227"/>
      <c r="SYG1724" s="227"/>
      <c r="SYH1724" s="227"/>
      <c r="SYI1724" s="227"/>
      <c r="SYJ1724" s="227"/>
      <c r="SYK1724" s="227"/>
      <c r="SYL1724" s="227"/>
      <c r="SYM1724" s="227"/>
      <c r="SYN1724" s="227"/>
      <c r="SYO1724" s="227"/>
      <c r="SYP1724" s="227"/>
      <c r="SYQ1724" s="227"/>
      <c r="SYR1724" s="227"/>
      <c r="SYS1724" s="227"/>
      <c r="SYT1724" s="227"/>
      <c r="SYU1724" s="227"/>
      <c r="SYV1724" s="227"/>
      <c r="SYW1724" s="227"/>
      <c r="SYX1724" s="227"/>
      <c r="SYY1724" s="227"/>
      <c r="SYZ1724" s="227"/>
      <c r="SZA1724" s="227"/>
      <c r="SZB1724" s="227"/>
      <c r="SZC1724" s="227"/>
      <c r="SZD1724" s="227"/>
      <c r="SZE1724" s="227"/>
      <c r="SZF1724" s="227"/>
      <c r="SZG1724" s="227"/>
      <c r="SZH1724" s="227"/>
      <c r="SZI1724" s="227"/>
      <c r="SZJ1724" s="227"/>
      <c r="SZK1724" s="227"/>
      <c r="SZL1724" s="227"/>
      <c r="SZM1724" s="227"/>
      <c r="SZN1724" s="227"/>
      <c r="SZO1724" s="227"/>
      <c r="SZP1724" s="227"/>
      <c r="SZQ1724" s="227"/>
      <c r="SZR1724" s="227"/>
      <c r="SZS1724" s="227"/>
      <c r="SZT1724" s="227"/>
      <c r="SZU1724" s="227"/>
      <c r="SZV1724" s="227"/>
      <c r="SZW1724" s="227"/>
      <c r="SZX1724" s="227"/>
      <c r="SZY1724" s="227"/>
      <c r="SZZ1724" s="227"/>
      <c r="TAA1724" s="227"/>
      <c r="TAB1724" s="227"/>
      <c r="TAC1724" s="227"/>
      <c r="TAD1724" s="227"/>
      <c r="TAE1724" s="227"/>
      <c r="TAF1724" s="227"/>
      <c r="TAG1724" s="227"/>
      <c r="TAH1724" s="227"/>
      <c r="TAI1724" s="227"/>
      <c r="TAJ1724" s="227"/>
      <c r="TAK1724" s="227"/>
      <c r="TAL1724" s="227"/>
      <c r="TAM1724" s="227"/>
      <c r="TAN1724" s="227"/>
      <c r="TAO1724" s="227"/>
      <c r="TAP1724" s="227"/>
      <c r="TAQ1724" s="227"/>
      <c r="TAR1724" s="227"/>
      <c r="TAS1724" s="227"/>
      <c r="TAT1724" s="227"/>
      <c r="TAU1724" s="227"/>
      <c r="TAV1724" s="227"/>
      <c r="TAW1724" s="227"/>
      <c r="TAX1724" s="227"/>
      <c r="TAY1724" s="227"/>
      <c r="TAZ1724" s="227"/>
      <c r="TBA1724" s="227"/>
      <c r="TBB1724" s="227"/>
      <c r="TBC1724" s="227"/>
      <c r="TBD1724" s="227"/>
      <c r="TBE1724" s="227"/>
      <c r="TBF1724" s="227"/>
      <c r="TBG1724" s="227"/>
      <c r="TBH1724" s="227"/>
      <c r="TBI1724" s="227"/>
      <c r="TBJ1724" s="227"/>
      <c r="TBK1724" s="227"/>
      <c r="TBL1724" s="227"/>
      <c r="TBM1724" s="227"/>
      <c r="TBN1724" s="227"/>
      <c r="TBO1724" s="227"/>
      <c r="TBP1724" s="227"/>
      <c r="TBQ1724" s="227"/>
      <c r="TBR1724" s="227"/>
      <c r="TBS1724" s="227"/>
      <c r="TBT1724" s="227"/>
      <c r="TBU1724" s="227"/>
      <c r="TBV1724" s="227"/>
      <c r="TBW1724" s="227"/>
      <c r="TBX1724" s="227"/>
      <c r="TBY1724" s="227"/>
      <c r="TBZ1724" s="227"/>
      <c r="TCA1724" s="227"/>
      <c r="TCB1724" s="227"/>
      <c r="TCC1724" s="227"/>
      <c r="TCD1724" s="227"/>
      <c r="TCE1724" s="227"/>
      <c r="TCF1724" s="227"/>
      <c r="TCG1724" s="227"/>
      <c r="TCH1724" s="227"/>
      <c r="TCI1724" s="227"/>
      <c r="TCJ1724" s="227"/>
      <c r="TCK1724" s="227"/>
      <c r="TCL1724" s="227"/>
      <c r="TCM1724" s="227"/>
      <c r="TCN1724" s="227"/>
      <c r="TCO1724" s="227"/>
      <c r="TCP1724" s="227"/>
      <c r="TCQ1724" s="227"/>
      <c r="TCR1724" s="227"/>
      <c r="TCS1724" s="227"/>
      <c r="TCT1724" s="227"/>
      <c r="TCU1724" s="227"/>
      <c r="TCV1724" s="227"/>
      <c r="TCW1724" s="227"/>
      <c r="TCX1724" s="227"/>
      <c r="TCY1724" s="227"/>
      <c r="TCZ1724" s="227"/>
      <c r="TDA1724" s="227"/>
      <c r="TDB1724" s="227"/>
      <c r="TDC1724" s="227"/>
      <c r="TDD1724" s="227"/>
      <c r="TDE1724" s="227"/>
      <c r="TDF1724" s="227"/>
      <c r="TDG1724" s="227"/>
      <c r="TDH1724" s="227"/>
      <c r="TDI1724" s="227"/>
      <c r="TDJ1724" s="227"/>
      <c r="TDK1724" s="227"/>
      <c r="TDL1724" s="227"/>
      <c r="TDM1724" s="227"/>
      <c r="TDN1724" s="227"/>
      <c r="TDO1724" s="227"/>
      <c r="TDP1724" s="227"/>
      <c r="TDQ1724" s="227"/>
      <c r="TDR1724" s="227"/>
      <c r="TDS1724" s="227"/>
      <c r="TDT1724" s="227"/>
      <c r="TDU1724" s="227"/>
      <c r="TDV1724" s="227"/>
      <c r="TDW1724" s="227"/>
      <c r="TDX1724" s="227"/>
      <c r="TDY1724" s="227"/>
      <c r="TDZ1724" s="227"/>
      <c r="TEA1724" s="227"/>
      <c r="TEB1724" s="227"/>
      <c r="TEC1724" s="227"/>
      <c r="TED1724" s="227"/>
      <c r="TEE1724" s="227"/>
      <c r="TEF1724" s="227"/>
      <c r="TEG1724" s="227"/>
      <c r="TEH1724" s="227"/>
      <c r="TEI1724" s="227"/>
      <c r="TEJ1724" s="227"/>
      <c r="TEK1724" s="227"/>
      <c r="TEL1724" s="227"/>
      <c r="TEM1724" s="227"/>
      <c r="TEN1724" s="227"/>
      <c r="TEO1724" s="227"/>
      <c r="TEP1724" s="227"/>
      <c r="TEQ1724" s="227"/>
      <c r="TER1724" s="227"/>
      <c r="TES1724" s="227"/>
      <c r="TET1724" s="227"/>
      <c r="TEU1724" s="227"/>
      <c r="TEV1724" s="227"/>
      <c r="TEW1724" s="227"/>
      <c r="TEX1724" s="227"/>
      <c r="TEY1724" s="227"/>
      <c r="TEZ1724" s="227"/>
      <c r="TFA1724" s="227"/>
      <c r="TFB1724" s="227"/>
      <c r="TFC1724" s="227"/>
      <c r="TFD1724" s="227"/>
      <c r="TFE1724" s="227"/>
      <c r="TFF1724" s="227"/>
      <c r="TFG1724" s="227"/>
      <c r="TFH1724" s="227"/>
      <c r="TFI1724" s="227"/>
      <c r="TFJ1724" s="227"/>
      <c r="TFK1724" s="227"/>
      <c r="TFL1724" s="227"/>
      <c r="TFM1724" s="227"/>
      <c r="TFN1724" s="227"/>
      <c r="TFO1724" s="227"/>
      <c r="TFP1724" s="227"/>
      <c r="TFQ1724" s="227"/>
      <c r="TFR1724" s="227"/>
      <c r="TFS1724" s="227"/>
      <c r="TFT1724" s="227"/>
      <c r="TFU1724" s="227"/>
      <c r="TFV1724" s="227"/>
      <c r="TFW1724" s="227"/>
      <c r="TFX1724" s="227"/>
      <c r="TFY1724" s="227"/>
      <c r="TFZ1724" s="227"/>
      <c r="TGA1724" s="227"/>
      <c r="TGB1724" s="227"/>
      <c r="TGC1724" s="227"/>
      <c r="TGD1724" s="227"/>
      <c r="TGE1724" s="227"/>
      <c r="TGF1724" s="227"/>
      <c r="TGG1724" s="227"/>
      <c r="TGH1724" s="227"/>
      <c r="TGI1724" s="227"/>
      <c r="TGJ1724" s="227"/>
      <c r="TGK1724" s="227"/>
      <c r="TGL1724" s="227"/>
      <c r="TGM1724" s="227"/>
      <c r="TGN1724" s="227"/>
      <c r="TGO1724" s="227"/>
      <c r="TGP1724" s="227"/>
      <c r="TGQ1724" s="227"/>
      <c r="TGR1724" s="227"/>
      <c r="TGS1724" s="227"/>
      <c r="TGT1724" s="227"/>
      <c r="TGU1724" s="227"/>
      <c r="TGV1724" s="227"/>
      <c r="TGW1724" s="227"/>
      <c r="TGX1724" s="227"/>
      <c r="TGY1724" s="227"/>
      <c r="TGZ1724" s="227"/>
      <c r="THA1724" s="227"/>
      <c r="THB1724" s="227"/>
      <c r="THC1724" s="227"/>
      <c r="THD1724" s="227"/>
      <c r="THE1724" s="227"/>
      <c r="THF1724" s="227"/>
      <c r="THG1724" s="227"/>
      <c r="THH1724" s="227"/>
      <c r="THI1724" s="227"/>
      <c r="THJ1724" s="227"/>
      <c r="THK1724" s="227"/>
      <c r="THL1724" s="227"/>
      <c r="THM1724" s="227"/>
      <c r="THN1724" s="227"/>
      <c r="THO1724" s="227"/>
      <c r="THP1724" s="227"/>
      <c r="THQ1724" s="227"/>
      <c r="THR1724" s="227"/>
      <c r="THS1724" s="227"/>
      <c r="THT1724" s="227"/>
      <c r="THU1724" s="227"/>
      <c r="THV1724" s="227"/>
      <c r="THW1724" s="227"/>
      <c r="THX1724" s="227"/>
      <c r="THY1724" s="227"/>
      <c r="THZ1724" s="227"/>
      <c r="TIA1724" s="227"/>
      <c r="TIB1724" s="227"/>
      <c r="TIC1724" s="227"/>
      <c r="TID1724" s="227"/>
      <c r="TIE1724" s="227"/>
      <c r="TIF1724" s="227"/>
      <c r="TIG1724" s="227"/>
      <c r="TIH1724" s="227"/>
      <c r="TII1724" s="227"/>
      <c r="TIJ1724" s="227"/>
      <c r="TIK1724" s="227"/>
      <c r="TIL1724" s="227"/>
      <c r="TIM1724" s="227"/>
      <c r="TIN1724" s="227"/>
      <c r="TIO1724" s="227"/>
      <c r="TIP1724" s="227"/>
      <c r="TIQ1724" s="227"/>
      <c r="TIR1724" s="227"/>
      <c r="TIS1724" s="227"/>
      <c r="TIT1724" s="227"/>
      <c r="TIU1724" s="227"/>
      <c r="TIV1724" s="227"/>
      <c r="TIW1724" s="227"/>
      <c r="TIX1724" s="227"/>
      <c r="TIY1724" s="227"/>
      <c r="TIZ1724" s="227"/>
      <c r="TJA1724" s="227"/>
      <c r="TJB1724" s="227"/>
      <c r="TJC1724" s="227"/>
      <c r="TJD1724" s="227"/>
      <c r="TJE1724" s="227"/>
      <c r="TJF1724" s="227"/>
      <c r="TJG1724" s="227"/>
      <c r="TJH1724" s="227"/>
      <c r="TJI1724" s="227"/>
      <c r="TJJ1724" s="227"/>
      <c r="TJK1724" s="227"/>
      <c r="TJL1724" s="227"/>
      <c r="TJM1724" s="227"/>
      <c r="TJN1724" s="227"/>
      <c r="TJO1724" s="227"/>
      <c r="TJP1724" s="227"/>
      <c r="TJQ1724" s="227"/>
      <c r="TJR1724" s="227"/>
      <c r="TJS1724" s="227"/>
      <c r="TJT1724" s="227"/>
      <c r="TJU1724" s="227"/>
      <c r="TJV1724" s="227"/>
      <c r="TJW1724" s="227"/>
      <c r="TJX1724" s="227"/>
      <c r="TJY1724" s="227"/>
      <c r="TJZ1724" s="227"/>
      <c r="TKA1724" s="227"/>
      <c r="TKB1724" s="227"/>
      <c r="TKC1724" s="227"/>
      <c r="TKD1724" s="227"/>
      <c r="TKE1724" s="227"/>
      <c r="TKF1724" s="227"/>
      <c r="TKG1724" s="227"/>
      <c r="TKH1724" s="227"/>
      <c r="TKI1724" s="227"/>
      <c r="TKJ1724" s="227"/>
      <c r="TKK1724" s="227"/>
      <c r="TKL1724" s="227"/>
      <c r="TKM1724" s="227"/>
      <c r="TKN1724" s="227"/>
      <c r="TKO1724" s="227"/>
      <c r="TKP1724" s="227"/>
      <c r="TKQ1724" s="227"/>
      <c r="TKR1724" s="227"/>
      <c r="TKS1724" s="227"/>
      <c r="TKT1724" s="227"/>
      <c r="TKU1724" s="227"/>
      <c r="TKV1724" s="227"/>
      <c r="TKW1724" s="227"/>
      <c r="TKX1724" s="227"/>
      <c r="TKY1724" s="227"/>
      <c r="TKZ1724" s="227"/>
      <c r="TLA1724" s="227"/>
      <c r="TLB1724" s="227"/>
      <c r="TLC1724" s="227"/>
      <c r="TLD1724" s="227"/>
      <c r="TLE1724" s="227"/>
      <c r="TLF1724" s="227"/>
      <c r="TLG1724" s="227"/>
      <c r="TLH1724" s="227"/>
      <c r="TLI1724" s="227"/>
      <c r="TLJ1724" s="227"/>
      <c r="TLK1724" s="227"/>
      <c r="TLL1724" s="227"/>
      <c r="TLM1724" s="227"/>
      <c r="TLN1724" s="227"/>
      <c r="TLO1724" s="227"/>
      <c r="TLP1724" s="227"/>
      <c r="TLQ1724" s="227"/>
      <c r="TLR1724" s="227"/>
      <c r="TLS1724" s="227"/>
      <c r="TLT1724" s="227"/>
      <c r="TLU1724" s="227"/>
      <c r="TLV1724" s="227"/>
      <c r="TLW1724" s="227"/>
      <c r="TLX1724" s="227"/>
      <c r="TLY1724" s="227"/>
      <c r="TLZ1724" s="227"/>
      <c r="TMA1724" s="227"/>
      <c r="TMB1724" s="227"/>
      <c r="TMC1724" s="227"/>
      <c r="TMD1724" s="227"/>
      <c r="TME1724" s="227"/>
      <c r="TMF1724" s="227"/>
      <c r="TMG1724" s="227"/>
      <c r="TMH1724" s="227"/>
      <c r="TMI1724" s="227"/>
      <c r="TMJ1724" s="227"/>
      <c r="TMK1724" s="227"/>
      <c r="TML1724" s="227"/>
      <c r="TMM1724" s="227"/>
      <c r="TMN1724" s="227"/>
      <c r="TMO1724" s="227"/>
      <c r="TMP1724" s="227"/>
      <c r="TMQ1724" s="227"/>
      <c r="TMR1724" s="227"/>
      <c r="TMS1724" s="227"/>
      <c r="TMT1724" s="227"/>
      <c r="TMU1724" s="227"/>
      <c r="TMV1724" s="227"/>
      <c r="TMW1724" s="227"/>
      <c r="TMX1724" s="227"/>
      <c r="TMY1724" s="227"/>
      <c r="TMZ1724" s="227"/>
      <c r="TNA1724" s="227"/>
      <c r="TNB1724" s="227"/>
      <c r="TNC1724" s="227"/>
      <c r="TND1724" s="227"/>
      <c r="TNE1724" s="227"/>
      <c r="TNF1724" s="227"/>
      <c r="TNG1724" s="227"/>
      <c r="TNH1724" s="227"/>
      <c r="TNI1724" s="227"/>
      <c r="TNJ1724" s="227"/>
      <c r="TNK1724" s="227"/>
      <c r="TNL1724" s="227"/>
      <c r="TNM1724" s="227"/>
      <c r="TNN1724" s="227"/>
      <c r="TNO1724" s="227"/>
      <c r="TNP1724" s="227"/>
      <c r="TNQ1724" s="227"/>
      <c r="TNR1724" s="227"/>
      <c r="TNS1724" s="227"/>
      <c r="TNT1724" s="227"/>
      <c r="TNU1724" s="227"/>
      <c r="TNV1724" s="227"/>
      <c r="TNW1724" s="227"/>
      <c r="TNX1724" s="227"/>
      <c r="TNY1724" s="227"/>
      <c r="TNZ1724" s="227"/>
      <c r="TOA1724" s="227"/>
      <c r="TOB1724" s="227"/>
      <c r="TOC1724" s="227"/>
      <c r="TOD1724" s="227"/>
      <c r="TOE1724" s="227"/>
      <c r="TOF1724" s="227"/>
      <c r="TOG1724" s="227"/>
      <c r="TOH1724" s="227"/>
      <c r="TOI1724" s="227"/>
      <c r="TOJ1724" s="227"/>
      <c r="TOK1724" s="227"/>
      <c r="TOL1724" s="227"/>
      <c r="TOM1724" s="227"/>
      <c r="TON1724" s="227"/>
      <c r="TOO1724" s="227"/>
      <c r="TOP1724" s="227"/>
      <c r="TOQ1724" s="227"/>
      <c r="TOR1724" s="227"/>
      <c r="TOS1724" s="227"/>
      <c r="TOT1724" s="227"/>
      <c r="TOU1724" s="227"/>
      <c r="TOV1724" s="227"/>
      <c r="TOW1724" s="227"/>
      <c r="TOX1724" s="227"/>
      <c r="TOY1724" s="227"/>
      <c r="TOZ1724" s="227"/>
      <c r="TPA1724" s="227"/>
      <c r="TPB1724" s="227"/>
      <c r="TPC1724" s="227"/>
      <c r="TPD1724" s="227"/>
      <c r="TPE1724" s="227"/>
      <c r="TPF1724" s="227"/>
      <c r="TPG1724" s="227"/>
      <c r="TPH1724" s="227"/>
      <c r="TPI1724" s="227"/>
      <c r="TPJ1724" s="227"/>
      <c r="TPK1724" s="227"/>
      <c r="TPL1724" s="227"/>
      <c r="TPM1724" s="227"/>
      <c r="TPN1724" s="227"/>
      <c r="TPO1724" s="227"/>
      <c r="TPP1724" s="227"/>
      <c r="TPQ1724" s="227"/>
      <c r="TPR1724" s="227"/>
      <c r="TPS1724" s="227"/>
      <c r="TPT1724" s="227"/>
      <c r="TPU1724" s="227"/>
      <c r="TPV1724" s="227"/>
      <c r="TPW1724" s="227"/>
      <c r="TPX1724" s="227"/>
      <c r="TPY1724" s="227"/>
      <c r="TPZ1724" s="227"/>
      <c r="TQA1724" s="227"/>
      <c r="TQB1724" s="227"/>
      <c r="TQC1724" s="227"/>
      <c r="TQD1724" s="227"/>
      <c r="TQE1724" s="227"/>
      <c r="TQF1724" s="227"/>
      <c r="TQG1724" s="227"/>
      <c r="TQH1724" s="227"/>
      <c r="TQI1724" s="227"/>
      <c r="TQJ1724" s="227"/>
      <c r="TQK1724" s="227"/>
      <c r="TQL1724" s="227"/>
      <c r="TQM1724" s="227"/>
      <c r="TQN1724" s="227"/>
      <c r="TQO1724" s="227"/>
      <c r="TQP1724" s="227"/>
      <c r="TQQ1724" s="227"/>
      <c r="TQR1724" s="227"/>
      <c r="TQS1724" s="227"/>
      <c r="TQT1724" s="227"/>
      <c r="TQU1724" s="227"/>
      <c r="TQV1724" s="227"/>
      <c r="TQW1724" s="227"/>
      <c r="TQX1724" s="227"/>
      <c r="TQY1724" s="227"/>
      <c r="TQZ1724" s="227"/>
      <c r="TRA1724" s="227"/>
      <c r="TRB1724" s="227"/>
      <c r="TRC1724" s="227"/>
      <c r="TRD1724" s="227"/>
      <c r="TRE1724" s="227"/>
      <c r="TRF1724" s="227"/>
      <c r="TRG1724" s="227"/>
      <c r="TRH1724" s="227"/>
      <c r="TRI1724" s="227"/>
      <c r="TRJ1724" s="227"/>
      <c r="TRK1724" s="227"/>
      <c r="TRL1724" s="227"/>
      <c r="TRM1724" s="227"/>
      <c r="TRN1724" s="227"/>
      <c r="TRO1724" s="227"/>
      <c r="TRP1724" s="227"/>
      <c r="TRQ1724" s="227"/>
      <c r="TRR1724" s="227"/>
      <c r="TRS1724" s="227"/>
      <c r="TRT1724" s="227"/>
      <c r="TRU1724" s="227"/>
      <c r="TRV1724" s="227"/>
      <c r="TRW1724" s="227"/>
      <c r="TRX1724" s="227"/>
      <c r="TRY1724" s="227"/>
      <c r="TRZ1724" s="227"/>
      <c r="TSA1724" s="227"/>
      <c r="TSB1724" s="227"/>
      <c r="TSC1724" s="227"/>
      <c r="TSD1724" s="227"/>
      <c r="TSE1724" s="227"/>
      <c r="TSF1724" s="227"/>
      <c r="TSG1724" s="227"/>
      <c r="TSH1724" s="227"/>
      <c r="TSI1724" s="227"/>
      <c r="TSJ1724" s="227"/>
      <c r="TSK1724" s="227"/>
      <c r="TSL1724" s="227"/>
      <c r="TSM1724" s="227"/>
      <c r="TSN1724" s="227"/>
      <c r="TSO1724" s="227"/>
      <c r="TSP1724" s="227"/>
      <c r="TSQ1724" s="227"/>
      <c r="TSR1724" s="227"/>
      <c r="TSS1724" s="227"/>
      <c r="TST1724" s="227"/>
      <c r="TSU1724" s="227"/>
      <c r="TSV1724" s="227"/>
      <c r="TSW1724" s="227"/>
      <c r="TSX1724" s="227"/>
      <c r="TSY1724" s="227"/>
      <c r="TSZ1724" s="227"/>
      <c r="TTA1724" s="227"/>
      <c r="TTB1724" s="227"/>
      <c r="TTC1724" s="227"/>
      <c r="TTD1724" s="227"/>
      <c r="TTE1724" s="227"/>
      <c r="TTF1724" s="227"/>
      <c r="TTG1724" s="227"/>
      <c r="TTH1724" s="227"/>
      <c r="TTI1724" s="227"/>
      <c r="TTJ1724" s="227"/>
      <c r="TTK1724" s="227"/>
      <c r="TTL1724" s="227"/>
      <c r="TTM1724" s="227"/>
      <c r="TTN1724" s="227"/>
      <c r="TTO1724" s="227"/>
      <c r="TTP1724" s="227"/>
      <c r="TTQ1724" s="227"/>
      <c r="TTR1724" s="227"/>
      <c r="TTS1724" s="227"/>
      <c r="TTT1724" s="227"/>
      <c r="TTU1724" s="227"/>
      <c r="TTV1724" s="227"/>
      <c r="TTW1724" s="227"/>
      <c r="TTX1724" s="227"/>
      <c r="TTY1724" s="227"/>
      <c r="TTZ1724" s="227"/>
      <c r="TUA1724" s="227"/>
      <c r="TUB1724" s="227"/>
      <c r="TUC1724" s="227"/>
      <c r="TUD1724" s="227"/>
      <c r="TUE1724" s="227"/>
      <c r="TUF1724" s="227"/>
      <c r="TUG1724" s="227"/>
      <c r="TUH1724" s="227"/>
      <c r="TUI1724" s="227"/>
      <c r="TUJ1724" s="227"/>
      <c r="TUK1724" s="227"/>
      <c r="TUL1724" s="227"/>
      <c r="TUM1724" s="227"/>
      <c r="TUN1724" s="227"/>
      <c r="TUO1724" s="227"/>
      <c r="TUP1724" s="227"/>
      <c r="TUQ1724" s="227"/>
      <c r="TUR1724" s="227"/>
      <c r="TUS1724" s="227"/>
      <c r="TUT1724" s="227"/>
      <c r="TUU1724" s="227"/>
      <c r="TUV1724" s="227"/>
      <c r="TUW1724" s="227"/>
      <c r="TUX1724" s="227"/>
      <c r="TUY1724" s="227"/>
      <c r="TUZ1724" s="227"/>
      <c r="TVA1724" s="227"/>
      <c r="TVB1724" s="227"/>
      <c r="TVC1724" s="227"/>
      <c r="TVD1724" s="227"/>
      <c r="TVE1724" s="227"/>
      <c r="TVF1724" s="227"/>
      <c r="TVG1724" s="227"/>
      <c r="TVH1724" s="227"/>
      <c r="TVI1724" s="227"/>
      <c r="TVJ1724" s="227"/>
      <c r="TVK1724" s="227"/>
      <c r="TVL1724" s="227"/>
      <c r="TVM1724" s="227"/>
      <c r="TVN1724" s="227"/>
      <c r="TVO1724" s="227"/>
      <c r="TVP1724" s="227"/>
      <c r="TVQ1724" s="227"/>
      <c r="TVR1724" s="227"/>
      <c r="TVS1724" s="227"/>
      <c r="TVT1724" s="227"/>
      <c r="TVU1724" s="227"/>
      <c r="TVV1724" s="227"/>
      <c r="TVW1724" s="227"/>
      <c r="TVX1724" s="227"/>
      <c r="TVY1724" s="227"/>
      <c r="TVZ1724" s="227"/>
      <c r="TWA1724" s="227"/>
      <c r="TWB1724" s="227"/>
      <c r="TWC1724" s="227"/>
      <c r="TWD1724" s="227"/>
      <c r="TWE1724" s="227"/>
      <c r="TWF1724" s="227"/>
      <c r="TWG1724" s="227"/>
      <c r="TWH1724" s="227"/>
      <c r="TWI1724" s="227"/>
      <c r="TWJ1724" s="227"/>
      <c r="TWK1724" s="227"/>
      <c r="TWL1724" s="227"/>
      <c r="TWM1724" s="227"/>
      <c r="TWN1724" s="227"/>
      <c r="TWO1724" s="227"/>
      <c r="TWP1724" s="227"/>
      <c r="TWQ1724" s="227"/>
      <c r="TWR1724" s="227"/>
      <c r="TWS1724" s="227"/>
      <c r="TWT1724" s="227"/>
      <c r="TWU1724" s="227"/>
      <c r="TWV1724" s="227"/>
      <c r="TWW1724" s="227"/>
      <c r="TWX1724" s="227"/>
      <c r="TWY1724" s="227"/>
      <c r="TWZ1724" s="227"/>
      <c r="TXA1724" s="227"/>
      <c r="TXB1724" s="227"/>
      <c r="TXC1724" s="227"/>
      <c r="TXD1724" s="227"/>
      <c r="TXE1724" s="227"/>
      <c r="TXF1724" s="227"/>
      <c r="TXG1724" s="227"/>
      <c r="TXH1724" s="227"/>
      <c r="TXI1724" s="227"/>
      <c r="TXJ1724" s="227"/>
      <c r="TXK1724" s="227"/>
      <c r="TXL1724" s="227"/>
      <c r="TXM1724" s="227"/>
      <c r="TXN1724" s="227"/>
      <c r="TXO1724" s="227"/>
      <c r="TXP1724" s="227"/>
      <c r="TXQ1724" s="227"/>
      <c r="TXR1724" s="227"/>
      <c r="TXS1724" s="227"/>
      <c r="TXT1724" s="227"/>
      <c r="TXU1724" s="227"/>
      <c r="TXV1724" s="227"/>
      <c r="TXW1724" s="227"/>
      <c r="TXX1724" s="227"/>
      <c r="TXY1724" s="227"/>
      <c r="TXZ1724" s="227"/>
      <c r="TYA1724" s="227"/>
      <c r="TYB1724" s="227"/>
      <c r="TYC1724" s="227"/>
      <c r="TYD1724" s="227"/>
      <c r="TYE1724" s="227"/>
      <c r="TYF1724" s="227"/>
      <c r="TYG1724" s="227"/>
      <c r="TYH1724" s="227"/>
      <c r="TYI1724" s="227"/>
      <c r="TYJ1724" s="227"/>
      <c r="TYK1724" s="227"/>
      <c r="TYL1724" s="227"/>
      <c r="TYM1724" s="227"/>
      <c r="TYN1724" s="227"/>
      <c r="TYO1724" s="227"/>
      <c r="TYP1724" s="227"/>
      <c r="TYQ1724" s="227"/>
      <c r="TYR1724" s="227"/>
      <c r="TYS1724" s="227"/>
      <c r="TYT1724" s="227"/>
      <c r="TYU1724" s="227"/>
      <c r="TYV1724" s="227"/>
      <c r="TYW1724" s="227"/>
      <c r="TYX1724" s="227"/>
      <c r="TYY1724" s="227"/>
      <c r="TYZ1724" s="227"/>
      <c r="TZA1724" s="227"/>
      <c r="TZB1724" s="227"/>
      <c r="TZC1724" s="227"/>
      <c r="TZD1724" s="227"/>
      <c r="TZE1724" s="227"/>
      <c r="TZF1724" s="227"/>
      <c r="TZG1724" s="227"/>
      <c r="TZH1724" s="227"/>
      <c r="TZI1724" s="227"/>
      <c r="TZJ1724" s="227"/>
      <c r="TZK1724" s="227"/>
      <c r="TZL1724" s="227"/>
      <c r="TZM1724" s="227"/>
      <c r="TZN1724" s="227"/>
      <c r="TZO1724" s="227"/>
      <c r="TZP1724" s="227"/>
      <c r="TZQ1724" s="227"/>
      <c r="TZR1724" s="227"/>
      <c r="TZS1724" s="227"/>
      <c r="TZT1724" s="227"/>
      <c r="TZU1724" s="227"/>
      <c r="TZV1724" s="227"/>
      <c r="TZW1724" s="227"/>
      <c r="TZX1724" s="227"/>
      <c r="TZY1724" s="227"/>
      <c r="TZZ1724" s="227"/>
      <c r="UAA1724" s="227"/>
      <c r="UAB1724" s="227"/>
      <c r="UAC1724" s="227"/>
      <c r="UAD1724" s="227"/>
      <c r="UAE1724" s="227"/>
      <c r="UAF1724" s="227"/>
      <c r="UAG1724" s="227"/>
      <c r="UAH1724" s="227"/>
      <c r="UAI1724" s="227"/>
      <c r="UAJ1724" s="227"/>
      <c r="UAK1724" s="227"/>
      <c r="UAL1724" s="227"/>
      <c r="UAM1724" s="227"/>
      <c r="UAN1724" s="227"/>
      <c r="UAO1724" s="227"/>
      <c r="UAP1724" s="227"/>
      <c r="UAQ1724" s="227"/>
      <c r="UAR1724" s="227"/>
      <c r="UAS1724" s="227"/>
      <c r="UAT1724" s="227"/>
      <c r="UAU1724" s="227"/>
      <c r="UAV1724" s="227"/>
      <c r="UAW1724" s="227"/>
      <c r="UAX1724" s="227"/>
      <c r="UAY1724" s="227"/>
      <c r="UAZ1724" s="227"/>
      <c r="UBA1724" s="227"/>
      <c r="UBB1724" s="227"/>
      <c r="UBC1724" s="227"/>
      <c r="UBD1724" s="227"/>
      <c r="UBE1724" s="227"/>
      <c r="UBF1724" s="227"/>
      <c r="UBG1724" s="227"/>
      <c r="UBH1724" s="227"/>
      <c r="UBI1724" s="227"/>
      <c r="UBJ1724" s="227"/>
      <c r="UBK1724" s="227"/>
      <c r="UBL1724" s="227"/>
      <c r="UBM1724" s="227"/>
      <c r="UBN1724" s="227"/>
      <c r="UBO1724" s="227"/>
      <c r="UBP1724" s="227"/>
      <c r="UBQ1724" s="227"/>
      <c r="UBR1724" s="227"/>
      <c r="UBS1724" s="227"/>
      <c r="UBT1724" s="227"/>
      <c r="UBU1724" s="227"/>
      <c r="UBV1724" s="227"/>
      <c r="UBW1724" s="227"/>
      <c r="UBX1724" s="227"/>
      <c r="UBY1724" s="227"/>
      <c r="UBZ1724" s="227"/>
      <c r="UCA1724" s="227"/>
      <c r="UCB1724" s="227"/>
      <c r="UCC1724" s="227"/>
      <c r="UCD1724" s="227"/>
      <c r="UCE1724" s="227"/>
      <c r="UCF1724" s="227"/>
      <c r="UCG1724" s="227"/>
      <c r="UCH1724" s="227"/>
      <c r="UCI1724" s="227"/>
      <c r="UCJ1724" s="227"/>
      <c r="UCK1724" s="227"/>
      <c r="UCL1724" s="227"/>
      <c r="UCM1724" s="227"/>
      <c r="UCN1724" s="227"/>
      <c r="UCO1724" s="227"/>
      <c r="UCP1724" s="227"/>
      <c r="UCQ1724" s="227"/>
      <c r="UCR1724" s="227"/>
      <c r="UCS1724" s="227"/>
      <c r="UCT1724" s="227"/>
      <c r="UCU1724" s="227"/>
      <c r="UCV1724" s="227"/>
      <c r="UCW1724" s="227"/>
      <c r="UCX1724" s="227"/>
      <c r="UCY1724" s="227"/>
      <c r="UCZ1724" s="227"/>
      <c r="UDA1724" s="227"/>
      <c r="UDB1724" s="227"/>
      <c r="UDC1724" s="227"/>
      <c r="UDD1724" s="227"/>
      <c r="UDE1724" s="227"/>
      <c r="UDF1724" s="227"/>
      <c r="UDG1724" s="227"/>
      <c r="UDH1724" s="227"/>
      <c r="UDI1724" s="227"/>
      <c r="UDJ1724" s="227"/>
      <c r="UDK1724" s="227"/>
      <c r="UDL1724" s="227"/>
      <c r="UDM1724" s="227"/>
      <c r="UDN1724" s="227"/>
      <c r="UDO1724" s="227"/>
      <c r="UDP1724" s="227"/>
      <c r="UDQ1724" s="227"/>
      <c r="UDR1724" s="227"/>
      <c r="UDS1724" s="227"/>
      <c r="UDT1724" s="227"/>
      <c r="UDU1724" s="227"/>
      <c r="UDV1724" s="227"/>
      <c r="UDW1724" s="227"/>
      <c r="UDX1724" s="227"/>
      <c r="UDY1724" s="227"/>
      <c r="UDZ1724" s="227"/>
      <c r="UEA1724" s="227"/>
      <c r="UEB1724" s="227"/>
      <c r="UEC1724" s="227"/>
      <c r="UED1724" s="227"/>
      <c r="UEE1724" s="227"/>
      <c r="UEF1724" s="227"/>
      <c r="UEG1724" s="227"/>
      <c r="UEH1724" s="227"/>
      <c r="UEI1724" s="227"/>
      <c r="UEJ1724" s="227"/>
      <c r="UEK1724" s="227"/>
      <c r="UEL1724" s="227"/>
      <c r="UEM1724" s="227"/>
      <c r="UEN1724" s="227"/>
      <c r="UEO1724" s="227"/>
      <c r="UEP1724" s="227"/>
      <c r="UEQ1724" s="227"/>
      <c r="UER1724" s="227"/>
      <c r="UES1724" s="227"/>
      <c r="UET1724" s="227"/>
      <c r="UEU1724" s="227"/>
      <c r="UEV1724" s="227"/>
      <c r="UEW1724" s="227"/>
      <c r="UEX1724" s="227"/>
      <c r="UEY1724" s="227"/>
      <c r="UEZ1724" s="227"/>
      <c r="UFA1724" s="227"/>
      <c r="UFB1724" s="227"/>
      <c r="UFC1724" s="227"/>
      <c r="UFD1724" s="227"/>
      <c r="UFE1724" s="227"/>
      <c r="UFF1724" s="227"/>
      <c r="UFG1724" s="227"/>
      <c r="UFH1724" s="227"/>
      <c r="UFI1724" s="227"/>
      <c r="UFJ1724" s="227"/>
      <c r="UFK1724" s="227"/>
      <c r="UFL1724" s="227"/>
      <c r="UFM1724" s="227"/>
      <c r="UFN1724" s="227"/>
      <c r="UFO1724" s="227"/>
      <c r="UFP1724" s="227"/>
      <c r="UFQ1724" s="227"/>
      <c r="UFR1724" s="227"/>
      <c r="UFS1724" s="227"/>
      <c r="UFT1724" s="227"/>
      <c r="UFU1724" s="227"/>
      <c r="UFV1724" s="227"/>
      <c r="UFW1724" s="227"/>
      <c r="UFX1724" s="227"/>
      <c r="UFY1724" s="227"/>
      <c r="UFZ1724" s="227"/>
      <c r="UGA1724" s="227"/>
      <c r="UGB1724" s="227"/>
      <c r="UGC1724" s="227"/>
      <c r="UGD1724" s="227"/>
      <c r="UGE1724" s="227"/>
      <c r="UGF1724" s="227"/>
      <c r="UGG1724" s="227"/>
      <c r="UGH1724" s="227"/>
      <c r="UGI1724" s="227"/>
      <c r="UGJ1724" s="227"/>
      <c r="UGK1724" s="227"/>
      <c r="UGL1724" s="227"/>
      <c r="UGM1724" s="227"/>
      <c r="UGN1724" s="227"/>
      <c r="UGO1724" s="227"/>
      <c r="UGP1724" s="227"/>
      <c r="UGQ1724" s="227"/>
      <c r="UGR1724" s="227"/>
      <c r="UGS1724" s="227"/>
      <c r="UGT1724" s="227"/>
      <c r="UGU1724" s="227"/>
      <c r="UGV1724" s="227"/>
      <c r="UGW1724" s="227"/>
      <c r="UGX1724" s="227"/>
      <c r="UGY1724" s="227"/>
      <c r="UGZ1724" s="227"/>
      <c r="UHA1724" s="227"/>
      <c r="UHB1724" s="227"/>
      <c r="UHC1724" s="227"/>
      <c r="UHD1724" s="227"/>
      <c r="UHE1724" s="227"/>
      <c r="UHF1724" s="227"/>
      <c r="UHG1724" s="227"/>
      <c r="UHH1724" s="227"/>
      <c r="UHI1724" s="227"/>
      <c r="UHJ1724" s="227"/>
      <c r="UHK1724" s="227"/>
      <c r="UHL1724" s="227"/>
      <c r="UHM1724" s="227"/>
      <c r="UHN1724" s="227"/>
      <c r="UHO1724" s="227"/>
      <c r="UHP1724" s="227"/>
      <c r="UHQ1724" s="227"/>
      <c r="UHR1724" s="227"/>
      <c r="UHS1724" s="227"/>
      <c r="UHT1724" s="227"/>
      <c r="UHU1724" s="227"/>
      <c r="UHV1724" s="227"/>
      <c r="UHW1724" s="227"/>
      <c r="UHX1724" s="227"/>
      <c r="UHY1724" s="227"/>
      <c r="UHZ1724" s="227"/>
      <c r="UIA1724" s="227"/>
      <c r="UIB1724" s="227"/>
      <c r="UIC1724" s="227"/>
      <c r="UID1724" s="227"/>
      <c r="UIE1724" s="227"/>
      <c r="UIF1724" s="227"/>
      <c r="UIG1724" s="227"/>
      <c r="UIH1724" s="227"/>
      <c r="UII1724" s="227"/>
      <c r="UIJ1724" s="227"/>
      <c r="UIK1724" s="227"/>
      <c r="UIL1724" s="227"/>
      <c r="UIM1724" s="227"/>
      <c r="UIN1724" s="227"/>
      <c r="UIO1724" s="227"/>
      <c r="UIP1724" s="227"/>
      <c r="UIQ1724" s="227"/>
      <c r="UIR1724" s="227"/>
      <c r="UIS1724" s="227"/>
      <c r="UIT1724" s="227"/>
      <c r="UIU1724" s="227"/>
      <c r="UIV1724" s="227"/>
      <c r="UIW1724" s="227"/>
      <c r="UIX1724" s="227"/>
      <c r="UIY1724" s="227"/>
      <c r="UIZ1724" s="227"/>
      <c r="UJA1724" s="227"/>
      <c r="UJB1724" s="227"/>
      <c r="UJC1724" s="227"/>
      <c r="UJD1724" s="227"/>
      <c r="UJE1724" s="227"/>
      <c r="UJF1724" s="227"/>
      <c r="UJG1724" s="227"/>
      <c r="UJH1724" s="227"/>
      <c r="UJI1724" s="227"/>
      <c r="UJJ1724" s="227"/>
      <c r="UJK1724" s="227"/>
      <c r="UJL1724" s="227"/>
      <c r="UJM1724" s="227"/>
      <c r="UJN1724" s="227"/>
      <c r="UJO1724" s="227"/>
      <c r="UJP1724" s="227"/>
      <c r="UJQ1724" s="227"/>
      <c r="UJR1724" s="227"/>
      <c r="UJS1724" s="227"/>
      <c r="UJT1724" s="227"/>
      <c r="UJU1724" s="227"/>
      <c r="UJV1724" s="227"/>
      <c r="UJW1724" s="227"/>
      <c r="UJX1724" s="227"/>
      <c r="UJY1724" s="227"/>
      <c r="UJZ1724" s="227"/>
      <c r="UKA1724" s="227"/>
      <c r="UKB1724" s="227"/>
      <c r="UKC1724" s="227"/>
      <c r="UKD1724" s="227"/>
      <c r="UKE1724" s="227"/>
      <c r="UKF1724" s="227"/>
      <c r="UKG1724" s="227"/>
      <c r="UKH1724" s="227"/>
      <c r="UKI1724" s="227"/>
      <c r="UKJ1724" s="227"/>
      <c r="UKK1724" s="227"/>
      <c r="UKL1724" s="227"/>
      <c r="UKM1724" s="227"/>
      <c r="UKN1724" s="227"/>
      <c r="UKO1724" s="227"/>
      <c r="UKP1724" s="227"/>
      <c r="UKQ1724" s="227"/>
      <c r="UKR1724" s="227"/>
      <c r="UKS1724" s="227"/>
      <c r="UKT1724" s="227"/>
      <c r="UKU1724" s="227"/>
      <c r="UKV1724" s="227"/>
      <c r="UKW1724" s="227"/>
      <c r="UKX1724" s="227"/>
      <c r="UKY1724" s="227"/>
      <c r="UKZ1724" s="227"/>
      <c r="ULA1724" s="227"/>
      <c r="ULB1724" s="227"/>
      <c r="ULC1724" s="227"/>
      <c r="ULD1724" s="227"/>
      <c r="ULE1724" s="227"/>
      <c r="ULF1724" s="227"/>
      <c r="ULG1724" s="227"/>
      <c r="ULH1724" s="227"/>
      <c r="ULI1724" s="227"/>
      <c r="ULJ1724" s="227"/>
      <c r="ULK1724" s="227"/>
      <c r="ULL1724" s="227"/>
      <c r="ULM1724" s="227"/>
      <c r="ULN1724" s="227"/>
      <c r="ULO1724" s="227"/>
      <c r="ULP1724" s="227"/>
      <c r="ULQ1724" s="227"/>
      <c r="ULR1724" s="227"/>
      <c r="ULS1724" s="227"/>
      <c r="ULT1724" s="227"/>
      <c r="ULU1724" s="227"/>
      <c r="ULV1724" s="227"/>
      <c r="ULW1724" s="227"/>
      <c r="ULX1724" s="227"/>
      <c r="ULY1724" s="227"/>
      <c r="ULZ1724" s="227"/>
      <c r="UMA1724" s="227"/>
      <c r="UMB1724" s="227"/>
      <c r="UMC1724" s="227"/>
      <c r="UMD1724" s="227"/>
      <c r="UME1724" s="227"/>
      <c r="UMF1724" s="227"/>
      <c r="UMG1724" s="227"/>
      <c r="UMH1724" s="227"/>
      <c r="UMI1724" s="227"/>
      <c r="UMJ1724" s="227"/>
      <c r="UMK1724" s="227"/>
      <c r="UML1724" s="227"/>
      <c r="UMM1724" s="227"/>
      <c r="UMN1724" s="227"/>
      <c r="UMO1724" s="227"/>
      <c r="UMP1724" s="227"/>
      <c r="UMQ1724" s="227"/>
      <c r="UMR1724" s="227"/>
      <c r="UMS1724" s="227"/>
      <c r="UMT1724" s="227"/>
      <c r="UMU1724" s="227"/>
      <c r="UMV1724" s="227"/>
      <c r="UMW1724" s="227"/>
      <c r="UMX1724" s="227"/>
      <c r="UMY1724" s="227"/>
      <c r="UMZ1724" s="227"/>
      <c r="UNA1724" s="227"/>
      <c r="UNB1724" s="227"/>
      <c r="UNC1724" s="227"/>
      <c r="UND1724" s="227"/>
      <c r="UNE1724" s="227"/>
      <c r="UNF1724" s="227"/>
      <c r="UNG1724" s="227"/>
      <c r="UNH1724" s="227"/>
      <c r="UNI1724" s="227"/>
      <c r="UNJ1724" s="227"/>
      <c r="UNK1724" s="227"/>
      <c r="UNL1724" s="227"/>
      <c r="UNM1724" s="227"/>
      <c r="UNN1724" s="227"/>
      <c r="UNO1724" s="227"/>
      <c r="UNP1724" s="227"/>
      <c r="UNQ1724" s="227"/>
      <c r="UNR1724" s="227"/>
      <c r="UNS1724" s="227"/>
      <c r="UNT1724" s="227"/>
      <c r="UNU1724" s="227"/>
      <c r="UNV1724" s="227"/>
      <c r="UNW1724" s="227"/>
      <c r="UNX1724" s="227"/>
      <c r="UNY1724" s="227"/>
      <c r="UNZ1724" s="227"/>
      <c r="UOA1724" s="227"/>
      <c r="UOB1724" s="227"/>
      <c r="UOC1724" s="227"/>
      <c r="UOD1724" s="227"/>
      <c r="UOE1724" s="227"/>
      <c r="UOF1724" s="227"/>
      <c r="UOG1724" s="227"/>
      <c r="UOH1724" s="227"/>
      <c r="UOI1724" s="227"/>
      <c r="UOJ1724" s="227"/>
      <c r="UOK1724" s="227"/>
      <c r="UOL1724" s="227"/>
      <c r="UOM1724" s="227"/>
      <c r="UON1724" s="227"/>
      <c r="UOO1724" s="227"/>
      <c r="UOP1724" s="227"/>
      <c r="UOQ1724" s="227"/>
      <c r="UOR1724" s="227"/>
      <c r="UOS1724" s="227"/>
      <c r="UOT1724" s="227"/>
      <c r="UOU1724" s="227"/>
      <c r="UOV1724" s="227"/>
      <c r="UOW1724" s="227"/>
      <c r="UOX1724" s="227"/>
      <c r="UOY1724" s="227"/>
      <c r="UOZ1724" s="227"/>
      <c r="UPA1724" s="227"/>
      <c r="UPB1724" s="227"/>
      <c r="UPC1724" s="227"/>
      <c r="UPD1724" s="227"/>
      <c r="UPE1724" s="227"/>
      <c r="UPF1724" s="227"/>
      <c r="UPG1724" s="227"/>
      <c r="UPH1724" s="227"/>
      <c r="UPI1724" s="227"/>
      <c r="UPJ1724" s="227"/>
      <c r="UPK1724" s="227"/>
      <c r="UPL1724" s="227"/>
      <c r="UPM1724" s="227"/>
      <c r="UPN1724" s="227"/>
      <c r="UPO1724" s="227"/>
      <c r="UPP1724" s="227"/>
      <c r="UPQ1724" s="227"/>
      <c r="UPR1724" s="227"/>
      <c r="UPS1724" s="227"/>
      <c r="UPT1724" s="227"/>
      <c r="UPU1724" s="227"/>
      <c r="UPV1724" s="227"/>
      <c r="UPW1724" s="227"/>
      <c r="UPX1724" s="227"/>
      <c r="UPY1724" s="227"/>
      <c r="UPZ1724" s="227"/>
      <c r="UQA1724" s="227"/>
      <c r="UQB1724" s="227"/>
      <c r="UQC1724" s="227"/>
      <c r="UQD1724" s="227"/>
      <c r="UQE1724" s="227"/>
      <c r="UQF1724" s="227"/>
      <c r="UQG1724" s="227"/>
      <c r="UQH1724" s="227"/>
      <c r="UQI1724" s="227"/>
      <c r="UQJ1724" s="227"/>
      <c r="UQK1724" s="227"/>
      <c r="UQL1724" s="227"/>
      <c r="UQM1724" s="227"/>
      <c r="UQN1724" s="227"/>
      <c r="UQO1724" s="227"/>
      <c r="UQP1724" s="227"/>
      <c r="UQQ1724" s="227"/>
      <c r="UQR1724" s="227"/>
      <c r="UQS1724" s="227"/>
      <c r="UQT1724" s="227"/>
      <c r="UQU1724" s="227"/>
      <c r="UQV1724" s="227"/>
      <c r="UQW1724" s="227"/>
      <c r="UQX1724" s="227"/>
      <c r="UQY1724" s="227"/>
      <c r="UQZ1724" s="227"/>
      <c r="URA1724" s="227"/>
      <c r="URB1724" s="227"/>
      <c r="URC1724" s="227"/>
      <c r="URD1724" s="227"/>
      <c r="URE1724" s="227"/>
      <c r="URF1724" s="227"/>
      <c r="URG1724" s="227"/>
      <c r="URH1724" s="227"/>
      <c r="URI1724" s="227"/>
      <c r="URJ1724" s="227"/>
      <c r="URK1724" s="227"/>
      <c r="URL1724" s="227"/>
      <c r="URM1724" s="227"/>
      <c r="URN1724" s="227"/>
      <c r="URO1724" s="227"/>
      <c r="URP1724" s="227"/>
      <c r="URQ1724" s="227"/>
      <c r="URR1724" s="227"/>
      <c r="URS1724" s="227"/>
      <c r="URT1724" s="227"/>
      <c r="URU1724" s="227"/>
      <c r="URV1724" s="227"/>
      <c r="URW1724" s="227"/>
      <c r="URX1724" s="227"/>
      <c r="URY1724" s="227"/>
      <c r="URZ1724" s="227"/>
      <c r="USA1724" s="227"/>
      <c r="USB1724" s="227"/>
      <c r="USC1724" s="227"/>
      <c r="USD1724" s="227"/>
      <c r="USE1724" s="227"/>
      <c r="USF1724" s="227"/>
      <c r="USG1724" s="227"/>
      <c r="USH1724" s="227"/>
      <c r="USI1724" s="227"/>
      <c r="USJ1724" s="227"/>
      <c r="USK1724" s="227"/>
      <c r="USL1724" s="227"/>
      <c r="USM1724" s="227"/>
      <c r="USN1724" s="227"/>
      <c r="USO1724" s="227"/>
      <c r="USP1724" s="227"/>
      <c r="USQ1724" s="227"/>
      <c r="USR1724" s="227"/>
      <c r="USS1724" s="227"/>
      <c r="UST1724" s="227"/>
      <c r="USU1724" s="227"/>
      <c r="USV1724" s="227"/>
      <c r="USW1724" s="227"/>
      <c r="USX1724" s="227"/>
      <c r="USY1724" s="227"/>
      <c r="USZ1724" s="227"/>
      <c r="UTA1724" s="227"/>
      <c r="UTB1724" s="227"/>
      <c r="UTC1724" s="227"/>
      <c r="UTD1724" s="227"/>
      <c r="UTE1724" s="227"/>
      <c r="UTF1724" s="227"/>
      <c r="UTG1724" s="227"/>
      <c r="UTH1724" s="227"/>
      <c r="UTI1724" s="227"/>
      <c r="UTJ1724" s="227"/>
      <c r="UTK1724" s="227"/>
      <c r="UTL1724" s="227"/>
      <c r="UTM1724" s="227"/>
      <c r="UTN1724" s="227"/>
      <c r="UTO1724" s="227"/>
      <c r="UTP1724" s="227"/>
      <c r="UTQ1724" s="227"/>
      <c r="UTR1724" s="227"/>
      <c r="UTS1724" s="227"/>
      <c r="UTT1724" s="227"/>
      <c r="UTU1724" s="227"/>
      <c r="UTV1724" s="227"/>
      <c r="UTW1724" s="227"/>
      <c r="UTX1724" s="227"/>
      <c r="UTY1724" s="227"/>
      <c r="UTZ1724" s="227"/>
      <c r="UUA1724" s="227"/>
      <c r="UUB1724" s="227"/>
      <c r="UUC1724" s="227"/>
      <c r="UUD1724" s="227"/>
      <c r="UUE1724" s="227"/>
      <c r="UUF1724" s="227"/>
      <c r="UUG1724" s="227"/>
      <c r="UUH1724" s="227"/>
      <c r="UUI1724" s="227"/>
      <c r="UUJ1724" s="227"/>
      <c r="UUK1724" s="227"/>
      <c r="UUL1724" s="227"/>
      <c r="UUM1724" s="227"/>
      <c r="UUN1724" s="227"/>
      <c r="UUO1724" s="227"/>
      <c r="UUP1724" s="227"/>
      <c r="UUQ1724" s="227"/>
      <c r="UUR1724" s="227"/>
      <c r="UUS1724" s="227"/>
      <c r="UUT1724" s="227"/>
      <c r="UUU1724" s="227"/>
      <c r="UUV1724" s="227"/>
      <c r="UUW1724" s="227"/>
      <c r="UUX1724" s="227"/>
      <c r="UUY1724" s="227"/>
      <c r="UUZ1724" s="227"/>
      <c r="UVA1724" s="227"/>
      <c r="UVB1724" s="227"/>
      <c r="UVC1724" s="227"/>
      <c r="UVD1724" s="227"/>
      <c r="UVE1724" s="227"/>
      <c r="UVF1724" s="227"/>
      <c r="UVG1724" s="227"/>
      <c r="UVH1724" s="227"/>
      <c r="UVI1724" s="227"/>
      <c r="UVJ1724" s="227"/>
      <c r="UVK1724" s="227"/>
      <c r="UVL1724" s="227"/>
      <c r="UVM1724" s="227"/>
      <c r="UVN1724" s="227"/>
      <c r="UVO1724" s="227"/>
      <c r="UVP1724" s="227"/>
      <c r="UVQ1724" s="227"/>
      <c r="UVR1724" s="227"/>
      <c r="UVS1724" s="227"/>
      <c r="UVT1724" s="227"/>
      <c r="UVU1724" s="227"/>
      <c r="UVV1724" s="227"/>
      <c r="UVW1724" s="227"/>
      <c r="UVX1724" s="227"/>
      <c r="UVY1724" s="227"/>
      <c r="UVZ1724" s="227"/>
      <c r="UWA1724" s="227"/>
      <c r="UWB1724" s="227"/>
      <c r="UWC1724" s="227"/>
      <c r="UWD1724" s="227"/>
      <c r="UWE1724" s="227"/>
      <c r="UWF1724" s="227"/>
      <c r="UWG1724" s="227"/>
      <c r="UWH1724" s="227"/>
      <c r="UWI1724" s="227"/>
      <c r="UWJ1724" s="227"/>
      <c r="UWK1724" s="227"/>
      <c r="UWL1724" s="227"/>
      <c r="UWM1724" s="227"/>
      <c r="UWN1724" s="227"/>
      <c r="UWO1724" s="227"/>
      <c r="UWP1724" s="227"/>
      <c r="UWQ1724" s="227"/>
      <c r="UWR1724" s="227"/>
      <c r="UWS1724" s="227"/>
      <c r="UWT1724" s="227"/>
      <c r="UWU1724" s="227"/>
      <c r="UWV1724" s="227"/>
      <c r="UWW1724" s="227"/>
      <c r="UWX1724" s="227"/>
      <c r="UWY1724" s="227"/>
      <c r="UWZ1724" s="227"/>
      <c r="UXA1724" s="227"/>
      <c r="UXB1724" s="227"/>
      <c r="UXC1724" s="227"/>
      <c r="UXD1724" s="227"/>
      <c r="UXE1724" s="227"/>
      <c r="UXF1724" s="227"/>
      <c r="UXG1724" s="227"/>
      <c r="UXH1724" s="227"/>
      <c r="UXI1724" s="227"/>
      <c r="UXJ1724" s="227"/>
      <c r="UXK1724" s="227"/>
      <c r="UXL1724" s="227"/>
      <c r="UXM1724" s="227"/>
      <c r="UXN1724" s="227"/>
      <c r="UXO1724" s="227"/>
      <c r="UXP1724" s="227"/>
      <c r="UXQ1724" s="227"/>
      <c r="UXR1724" s="227"/>
      <c r="UXS1724" s="227"/>
      <c r="UXT1724" s="227"/>
      <c r="UXU1724" s="227"/>
      <c r="UXV1724" s="227"/>
      <c r="UXW1724" s="227"/>
      <c r="UXX1724" s="227"/>
      <c r="UXY1724" s="227"/>
      <c r="UXZ1724" s="227"/>
      <c r="UYA1724" s="227"/>
      <c r="UYB1724" s="227"/>
      <c r="UYC1724" s="227"/>
      <c r="UYD1724" s="227"/>
      <c r="UYE1724" s="227"/>
      <c r="UYF1724" s="227"/>
      <c r="UYG1724" s="227"/>
      <c r="UYH1724" s="227"/>
      <c r="UYI1724" s="227"/>
      <c r="UYJ1724" s="227"/>
      <c r="UYK1724" s="227"/>
      <c r="UYL1724" s="227"/>
      <c r="UYM1724" s="227"/>
      <c r="UYN1724" s="227"/>
      <c r="UYO1724" s="227"/>
      <c r="UYP1724" s="227"/>
      <c r="UYQ1724" s="227"/>
      <c r="UYR1724" s="227"/>
      <c r="UYS1724" s="227"/>
      <c r="UYT1724" s="227"/>
      <c r="UYU1724" s="227"/>
      <c r="UYV1724" s="227"/>
      <c r="UYW1724" s="227"/>
      <c r="UYX1724" s="227"/>
      <c r="UYY1724" s="227"/>
      <c r="UYZ1724" s="227"/>
      <c r="UZA1724" s="227"/>
      <c r="UZB1724" s="227"/>
      <c r="UZC1724" s="227"/>
      <c r="UZD1724" s="227"/>
      <c r="UZE1724" s="227"/>
      <c r="UZF1724" s="227"/>
      <c r="UZG1724" s="227"/>
      <c r="UZH1724" s="227"/>
      <c r="UZI1724" s="227"/>
      <c r="UZJ1724" s="227"/>
      <c r="UZK1724" s="227"/>
      <c r="UZL1724" s="227"/>
      <c r="UZM1724" s="227"/>
      <c r="UZN1724" s="227"/>
      <c r="UZO1724" s="227"/>
      <c r="UZP1724" s="227"/>
      <c r="UZQ1724" s="227"/>
      <c r="UZR1724" s="227"/>
      <c r="UZS1724" s="227"/>
      <c r="UZT1724" s="227"/>
      <c r="UZU1724" s="227"/>
      <c r="UZV1724" s="227"/>
      <c r="UZW1724" s="227"/>
      <c r="UZX1724" s="227"/>
      <c r="UZY1724" s="227"/>
      <c r="UZZ1724" s="227"/>
      <c r="VAA1724" s="227"/>
      <c r="VAB1724" s="227"/>
      <c r="VAC1724" s="227"/>
      <c r="VAD1724" s="227"/>
      <c r="VAE1724" s="227"/>
      <c r="VAF1724" s="227"/>
      <c r="VAG1724" s="227"/>
      <c r="VAH1724" s="227"/>
      <c r="VAI1724" s="227"/>
      <c r="VAJ1724" s="227"/>
      <c r="VAK1724" s="227"/>
      <c r="VAL1724" s="227"/>
      <c r="VAM1724" s="227"/>
      <c r="VAN1724" s="227"/>
      <c r="VAO1724" s="227"/>
      <c r="VAP1724" s="227"/>
      <c r="VAQ1724" s="227"/>
      <c r="VAR1724" s="227"/>
      <c r="VAS1724" s="227"/>
      <c r="VAT1724" s="227"/>
      <c r="VAU1724" s="227"/>
      <c r="VAV1724" s="227"/>
      <c r="VAW1724" s="227"/>
      <c r="VAX1724" s="227"/>
      <c r="VAY1724" s="227"/>
      <c r="VAZ1724" s="227"/>
      <c r="VBA1724" s="227"/>
      <c r="VBB1724" s="227"/>
      <c r="VBC1724" s="227"/>
      <c r="VBD1724" s="227"/>
      <c r="VBE1724" s="227"/>
      <c r="VBF1724" s="227"/>
      <c r="VBG1724" s="227"/>
      <c r="VBH1724" s="227"/>
      <c r="VBI1724" s="227"/>
      <c r="VBJ1724" s="227"/>
      <c r="VBK1724" s="227"/>
      <c r="VBL1724" s="227"/>
      <c r="VBM1724" s="227"/>
      <c r="VBN1724" s="227"/>
      <c r="VBO1724" s="227"/>
      <c r="VBP1724" s="227"/>
      <c r="VBQ1724" s="227"/>
      <c r="VBR1724" s="227"/>
      <c r="VBS1724" s="227"/>
      <c r="VBT1724" s="227"/>
      <c r="VBU1724" s="227"/>
      <c r="VBV1724" s="227"/>
      <c r="VBW1724" s="227"/>
      <c r="VBX1724" s="227"/>
      <c r="VBY1724" s="227"/>
      <c r="VBZ1724" s="227"/>
      <c r="VCA1724" s="227"/>
      <c r="VCB1724" s="227"/>
      <c r="VCC1724" s="227"/>
      <c r="VCD1724" s="227"/>
      <c r="VCE1724" s="227"/>
      <c r="VCF1724" s="227"/>
      <c r="VCG1724" s="227"/>
      <c r="VCH1724" s="227"/>
      <c r="VCI1724" s="227"/>
      <c r="VCJ1724" s="227"/>
      <c r="VCK1724" s="227"/>
      <c r="VCL1724" s="227"/>
      <c r="VCM1724" s="227"/>
      <c r="VCN1724" s="227"/>
      <c r="VCO1724" s="227"/>
      <c r="VCP1724" s="227"/>
      <c r="VCQ1724" s="227"/>
      <c r="VCR1724" s="227"/>
      <c r="VCS1724" s="227"/>
      <c r="VCT1724" s="227"/>
      <c r="VCU1724" s="227"/>
      <c r="VCV1724" s="227"/>
      <c r="VCW1724" s="227"/>
      <c r="VCX1724" s="227"/>
      <c r="VCY1724" s="227"/>
      <c r="VCZ1724" s="227"/>
      <c r="VDA1724" s="227"/>
      <c r="VDB1724" s="227"/>
      <c r="VDC1724" s="227"/>
      <c r="VDD1724" s="227"/>
      <c r="VDE1724" s="227"/>
      <c r="VDF1724" s="227"/>
      <c r="VDG1724" s="227"/>
      <c r="VDH1724" s="227"/>
      <c r="VDI1724" s="227"/>
      <c r="VDJ1724" s="227"/>
      <c r="VDK1724" s="227"/>
      <c r="VDL1724" s="227"/>
      <c r="VDM1724" s="227"/>
      <c r="VDN1724" s="227"/>
      <c r="VDO1724" s="227"/>
      <c r="VDP1724" s="227"/>
      <c r="VDQ1724" s="227"/>
      <c r="VDR1724" s="227"/>
      <c r="VDS1724" s="227"/>
      <c r="VDT1724" s="227"/>
      <c r="VDU1724" s="227"/>
      <c r="VDV1724" s="227"/>
      <c r="VDW1724" s="227"/>
      <c r="VDX1724" s="227"/>
      <c r="VDY1724" s="227"/>
      <c r="VDZ1724" s="227"/>
      <c r="VEA1724" s="227"/>
      <c r="VEB1724" s="227"/>
      <c r="VEC1724" s="227"/>
      <c r="VED1724" s="227"/>
      <c r="VEE1724" s="227"/>
      <c r="VEF1724" s="227"/>
      <c r="VEG1724" s="227"/>
      <c r="VEH1724" s="227"/>
      <c r="VEI1724" s="227"/>
      <c r="VEJ1724" s="227"/>
      <c r="VEK1724" s="227"/>
      <c r="VEL1724" s="227"/>
      <c r="VEM1724" s="227"/>
      <c r="VEN1724" s="227"/>
      <c r="VEO1724" s="227"/>
      <c r="VEP1724" s="227"/>
      <c r="VEQ1724" s="227"/>
      <c r="VER1724" s="227"/>
      <c r="VES1724" s="227"/>
      <c r="VET1724" s="227"/>
      <c r="VEU1724" s="227"/>
      <c r="VEV1724" s="227"/>
      <c r="VEW1724" s="227"/>
      <c r="VEX1724" s="227"/>
      <c r="VEY1724" s="227"/>
      <c r="VEZ1724" s="227"/>
      <c r="VFA1724" s="227"/>
      <c r="VFB1724" s="227"/>
      <c r="VFC1724" s="227"/>
      <c r="VFD1724" s="227"/>
      <c r="VFE1724" s="227"/>
      <c r="VFF1724" s="227"/>
      <c r="VFG1724" s="227"/>
      <c r="VFH1724" s="227"/>
      <c r="VFI1724" s="227"/>
      <c r="VFJ1724" s="227"/>
      <c r="VFK1724" s="227"/>
      <c r="VFL1724" s="227"/>
      <c r="VFM1724" s="227"/>
      <c r="VFN1724" s="227"/>
      <c r="VFO1724" s="227"/>
      <c r="VFP1724" s="227"/>
      <c r="VFQ1724" s="227"/>
      <c r="VFR1724" s="227"/>
      <c r="VFS1724" s="227"/>
      <c r="VFT1724" s="227"/>
      <c r="VFU1724" s="227"/>
      <c r="VFV1724" s="227"/>
      <c r="VFW1724" s="227"/>
      <c r="VFX1724" s="227"/>
      <c r="VFY1724" s="227"/>
      <c r="VFZ1724" s="227"/>
      <c r="VGA1724" s="227"/>
      <c r="VGB1724" s="227"/>
      <c r="VGC1724" s="227"/>
      <c r="VGD1724" s="227"/>
      <c r="VGE1724" s="227"/>
      <c r="VGF1724" s="227"/>
      <c r="VGG1724" s="227"/>
      <c r="VGH1724" s="227"/>
      <c r="VGI1724" s="227"/>
      <c r="VGJ1724" s="227"/>
      <c r="VGK1724" s="227"/>
      <c r="VGL1724" s="227"/>
      <c r="VGM1724" s="227"/>
      <c r="VGN1724" s="227"/>
      <c r="VGO1724" s="227"/>
      <c r="VGP1724" s="227"/>
      <c r="VGQ1724" s="227"/>
      <c r="VGR1724" s="227"/>
      <c r="VGS1724" s="227"/>
      <c r="VGT1724" s="227"/>
      <c r="VGU1724" s="227"/>
      <c r="VGV1724" s="227"/>
      <c r="VGW1724" s="227"/>
      <c r="VGX1724" s="227"/>
      <c r="VGY1724" s="227"/>
      <c r="VGZ1724" s="227"/>
      <c r="VHA1724" s="227"/>
      <c r="VHB1724" s="227"/>
      <c r="VHC1724" s="227"/>
      <c r="VHD1724" s="227"/>
      <c r="VHE1724" s="227"/>
      <c r="VHF1724" s="227"/>
      <c r="VHG1724" s="227"/>
      <c r="VHH1724" s="227"/>
      <c r="VHI1724" s="227"/>
      <c r="VHJ1724" s="227"/>
      <c r="VHK1724" s="227"/>
      <c r="VHL1724" s="227"/>
      <c r="VHM1724" s="227"/>
      <c r="VHN1724" s="227"/>
      <c r="VHO1724" s="227"/>
      <c r="VHP1724" s="227"/>
      <c r="VHQ1724" s="227"/>
      <c r="VHR1724" s="227"/>
      <c r="VHS1724" s="227"/>
      <c r="VHT1724" s="227"/>
      <c r="VHU1724" s="227"/>
      <c r="VHV1724" s="227"/>
      <c r="VHW1724" s="227"/>
      <c r="VHX1724" s="227"/>
      <c r="VHY1724" s="227"/>
      <c r="VHZ1724" s="227"/>
      <c r="VIA1724" s="227"/>
      <c r="VIB1724" s="227"/>
      <c r="VIC1724" s="227"/>
      <c r="VID1724" s="227"/>
      <c r="VIE1724" s="227"/>
      <c r="VIF1724" s="227"/>
      <c r="VIG1724" s="227"/>
      <c r="VIH1724" s="227"/>
      <c r="VII1724" s="227"/>
      <c r="VIJ1724" s="227"/>
      <c r="VIK1724" s="227"/>
      <c r="VIL1724" s="227"/>
      <c r="VIM1724" s="227"/>
      <c r="VIN1724" s="227"/>
      <c r="VIO1724" s="227"/>
      <c r="VIP1724" s="227"/>
      <c r="VIQ1724" s="227"/>
      <c r="VIR1724" s="227"/>
      <c r="VIS1724" s="227"/>
      <c r="VIT1724" s="227"/>
      <c r="VIU1724" s="227"/>
      <c r="VIV1724" s="227"/>
      <c r="VIW1724" s="227"/>
      <c r="VIX1724" s="227"/>
      <c r="VIY1724" s="227"/>
      <c r="VIZ1724" s="227"/>
      <c r="VJA1724" s="227"/>
      <c r="VJB1724" s="227"/>
      <c r="VJC1724" s="227"/>
      <c r="VJD1724" s="227"/>
      <c r="VJE1724" s="227"/>
      <c r="VJF1724" s="227"/>
      <c r="VJG1724" s="227"/>
      <c r="VJH1724" s="227"/>
      <c r="VJI1724" s="227"/>
      <c r="VJJ1724" s="227"/>
      <c r="VJK1724" s="227"/>
      <c r="VJL1724" s="227"/>
      <c r="VJM1724" s="227"/>
      <c r="VJN1724" s="227"/>
      <c r="VJO1724" s="227"/>
      <c r="VJP1724" s="227"/>
      <c r="VJQ1724" s="227"/>
      <c r="VJR1724" s="227"/>
      <c r="VJS1724" s="227"/>
      <c r="VJT1724" s="227"/>
      <c r="VJU1724" s="227"/>
      <c r="VJV1724" s="227"/>
      <c r="VJW1724" s="227"/>
      <c r="VJX1724" s="227"/>
      <c r="VJY1724" s="227"/>
      <c r="VJZ1724" s="227"/>
      <c r="VKA1724" s="227"/>
      <c r="VKB1724" s="227"/>
      <c r="VKC1724" s="227"/>
      <c r="VKD1724" s="227"/>
      <c r="VKE1724" s="227"/>
      <c r="VKF1724" s="227"/>
      <c r="VKG1724" s="227"/>
      <c r="VKH1724" s="227"/>
      <c r="VKI1724" s="227"/>
      <c r="VKJ1724" s="227"/>
      <c r="VKK1724" s="227"/>
      <c r="VKL1724" s="227"/>
      <c r="VKM1724" s="227"/>
      <c r="VKN1724" s="227"/>
      <c r="VKO1724" s="227"/>
      <c r="VKP1724" s="227"/>
      <c r="VKQ1724" s="227"/>
      <c r="VKR1724" s="227"/>
      <c r="VKS1724" s="227"/>
      <c r="VKT1724" s="227"/>
      <c r="VKU1724" s="227"/>
      <c r="VKV1724" s="227"/>
      <c r="VKW1724" s="227"/>
      <c r="VKX1724" s="227"/>
      <c r="VKY1724" s="227"/>
      <c r="VKZ1724" s="227"/>
      <c r="VLA1724" s="227"/>
      <c r="VLB1724" s="227"/>
      <c r="VLC1724" s="227"/>
      <c r="VLD1724" s="227"/>
      <c r="VLE1724" s="227"/>
      <c r="VLF1724" s="227"/>
      <c r="VLG1724" s="227"/>
      <c r="VLH1724" s="227"/>
      <c r="VLI1724" s="227"/>
      <c r="VLJ1724" s="227"/>
      <c r="VLK1724" s="227"/>
      <c r="VLL1724" s="227"/>
      <c r="VLM1724" s="227"/>
      <c r="VLN1724" s="227"/>
      <c r="VLO1724" s="227"/>
      <c r="VLP1724" s="227"/>
      <c r="VLQ1724" s="227"/>
      <c r="VLR1724" s="227"/>
      <c r="VLS1724" s="227"/>
      <c r="VLT1724" s="227"/>
      <c r="VLU1724" s="227"/>
      <c r="VLV1724" s="227"/>
      <c r="VLW1724" s="227"/>
      <c r="VLX1724" s="227"/>
      <c r="VLY1724" s="227"/>
      <c r="VLZ1724" s="227"/>
      <c r="VMA1724" s="227"/>
      <c r="VMB1724" s="227"/>
      <c r="VMC1724" s="227"/>
      <c r="VMD1724" s="227"/>
      <c r="VME1724" s="227"/>
      <c r="VMF1724" s="227"/>
      <c r="VMG1724" s="227"/>
      <c r="VMH1724" s="227"/>
      <c r="VMI1724" s="227"/>
      <c r="VMJ1724" s="227"/>
      <c r="VMK1724" s="227"/>
      <c r="VML1724" s="227"/>
      <c r="VMM1724" s="227"/>
      <c r="VMN1724" s="227"/>
      <c r="VMO1724" s="227"/>
      <c r="VMP1724" s="227"/>
      <c r="VMQ1724" s="227"/>
      <c r="VMR1724" s="227"/>
      <c r="VMS1724" s="227"/>
      <c r="VMT1724" s="227"/>
      <c r="VMU1724" s="227"/>
      <c r="VMV1724" s="227"/>
      <c r="VMW1724" s="227"/>
      <c r="VMX1724" s="227"/>
      <c r="VMY1724" s="227"/>
      <c r="VMZ1724" s="227"/>
      <c r="VNA1724" s="227"/>
      <c r="VNB1724" s="227"/>
      <c r="VNC1724" s="227"/>
      <c r="VND1724" s="227"/>
      <c r="VNE1724" s="227"/>
      <c r="VNF1724" s="227"/>
      <c r="VNG1724" s="227"/>
      <c r="VNH1724" s="227"/>
      <c r="VNI1724" s="227"/>
      <c r="VNJ1724" s="227"/>
      <c r="VNK1724" s="227"/>
      <c r="VNL1724" s="227"/>
      <c r="VNM1724" s="227"/>
      <c r="VNN1724" s="227"/>
      <c r="VNO1724" s="227"/>
      <c r="VNP1724" s="227"/>
      <c r="VNQ1724" s="227"/>
      <c r="VNR1724" s="227"/>
      <c r="VNS1724" s="227"/>
      <c r="VNT1724" s="227"/>
      <c r="VNU1724" s="227"/>
      <c r="VNV1724" s="227"/>
      <c r="VNW1724" s="227"/>
      <c r="VNX1724" s="227"/>
      <c r="VNY1724" s="227"/>
      <c r="VNZ1724" s="227"/>
      <c r="VOA1724" s="227"/>
      <c r="VOB1724" s="227"/>
      <c r="VOC1724" s="227"/>
      <c r="VOD1724" s="227"/>
      <c r="VOE1724" s="227"/>
      <c r="VOF1724" s="227"/>
      <c r="VOG1724" s="227"/>
      <c r="VOH1724" s="227"/>
      <c r="VOI1724" s="227"/>
      <c r="VOJ1724" s="227"/>
      <c r="VOK1724" s="227"/>
      <c r="VOL1724" s="227"/>
      <c r="VOM1724" s="227"/>
      <c r="VON1724" s="227"/>
      <c r="VOO1724" s="227"/>
      <c r="VOP1724" s="227"/>
      <c r="VOQ1724" s="227"/>
      <c r="VOR1724" s="227"/>
      <c r="VOS1724" s="227"/>
      <c r="VOT1724" s="227"/>
      <c r="VOU1724" s="227"/>
      <c r="VOV1724" s="227"/>
      <c r="VOW1724" s="227"/>
      <c r="VOX1724" s="227"/>
      <c r="VOY1724" s="227"/>
      <c r="VOZ1724" s="227"/>
      <c r="VPA1724" s="227"/>
      <c r="VPB1724" s="227"/>
      <c r="VPC1724" s="227"/>
      <c r="VPD1724" s="227"/>
      <c r="VPE1724" s="227"/>
      <c r="VPF1724" s="227"/>
      <c r="VPG1724" s="227"/>
      <c r="VPH1724" s="227"/>
      <c r="VPI1724" s="227"/>
      <c r="VPJ1724" s="227"/>
      <c r="VPK1724" s="227"/>
      <c r="VPL1724" s="227"/>
      <c r="VPM1724" s="227"/>
      <c r="VPN1724" s="227"/>
      <c r="VPO1724" s="227"/>
      <c r="VPP1724" s="227"/>
      <c r="VPQ1724" s="227"/>
      <c r="VPR1724" s="227"/>
      <c r="VPS1724" s="227"/>
      <c r="VPT1724" s="227"/>
      <c r="VPU1724" s="227"/>
      <c r="VPV1724" s="227"/>
      <c r="VPW1724" s="227"/>
      <c r="VPX1724" s="227"/>
      <c r="VPY1724" s="227"/>
      <c r="VPZ1724" s="227"/>
      <c r="VQA1724" s="227"/>
      <c r="VQB1724" s="227"/>
      <c r="VQC1724" s="227"/>
      <c r="VQD1724" s="227"/>
      <c r="VQE1724" s="227"/>
      <c r="VQF1724" s="227"/>
      <c r="VQG1724" s="227"/>
      <c r="VQH1724" s="227"/>
      <c r="VQI1724" s="227"/>
      <c r="VQJ1724" s="227"/>
      <c r="VQK1724" s="227"/>
      <c r="VQL1724" s="227"/>
      <c r="VQM1724" s="227"/>
      <c r="VQN1724" s="227"/>
      <c r="VQO1724" s="227"/>
      <c r="VQP1724" s="227"/>
      <c r="VQQ1724" s="227"/>
      <c r="VQR1724" s="227"/>
      <c r="VQS1724" s="227"/>
      <c r="VQT1724" s="227"/>
      <c r="VQU1724" s="227"/>
      <c r="VQV1724" s="227"/>
      <c r="VQW1724" s="227"/>
      <c r="VQX1724" s="227"/>
      <c r="VQY1724" s="227"/>
      <c r="VQZ1724" s="227"/>
      <c r="VRA1724" s="227"/>
      <c r="VRB1724" s="227"/>
      <c r="VRC1724" s="227"/>
      <c r="VRD1724" s="227"/>
      <c r="VRE1724" s="227"/>
      <c r="VRF1724" s="227"/>
      <c r="VRG1724" s="227"/>
      <c r="VRH1724" s="227"/>
      <c r="VRI1724" s="227"/>
      <c r="VRJ1724" s="227"/>
      <c r="VRK1724" s="227"/>
      <c r="VRL1724" s="227"/>
      <c r="VRM1724" s="227"/>
      <c r="VRN1724" s="227"/>
      <c r="VRO1724" s="227"/>
      <c r="VRP1724" s="227"/>
      <c r="VRQ1724" s="227"/>
      <c r="VRR1724" s="227"/>
      <c r="VRS1724" s="227"/>
      <c r="VRT1724" s="227"/>
      <c r="VRU1724" s="227"/>
      <c r="VRV1724" s="227"/>
      <c r="VRW1724" s="227"/>
      <c r="VRX1724" s="227"/>
      <c r="VRY1724" s="227"/>
      <c r="VRZ1724" s="227"/>
      <c r="VSA1724" s="227"/>
      <c r="VSB1724" s="227"/>
      <c r="VSC1724" s="227"/>
      <c r="VSD1724" s="227"/>
      <c r="VSE1724" s="227"/>
      <c r="VSF1724" s="227"/>
      <c r="VSG1724" s="227"/>
      <c r="VSH1724" s="227"/>
      <c r="VSI1724" s="227"/>
      <c r="VSJ1724" s="227"/>
      <c r="VSK1724" s="227"/>
      <c r="VSL1724" s="227"/>
      <c r="VSM1724" s="227"/>
      <c r="VSN1724" s="227"/>
      <c r="VSO1724" s="227"/>
      <c r="VSP1724" s="227"/>
      <c r="VSQ1724" s="227"/>
      <c r="VSR1724" s="227"/>
      <c r="VSS1724" s="227"/>
      <c r="VST1724" s="227"/>
      <c r="VSU1724" s="227"/>
      <c r="VSV1724" s="227"/>
      <c r="VSW1724" s="227"/>
      <c r="VSX1724" s="227"/>
      <c r="VSY1724" s="227"/>
      <c r="VSZ1724" s="227"/>
      <c r="VTA1724" s="227"/>
      <c r="VTB1724" s="227"/>
      <c r="VTC1724" s="227"/>
      <c r="VTD1724" s="227"/>
      <c r="VTE1724" s="227"/>
      <c r="VTF1724" s="227"/>
      <c r="VTG1724" s="227"/>
      <c r="VTH1724" s="227"/>
      <c r="VTI1724" s="227"/>
      <c r="VTJ1724" s="227"/>
      <c r="VTK1724" s="227"/>
      <c r="VTL1724" s="227"/>
      <c r="VTM1724" s="227"/>
      <c r="VTN1724" s="227"/>
      <c r="VTO1724" s="227"/>
      <c r="VTP1724" s="227"/>
      <c r="VTQ1724" s="227"/>
      <c r="VTR1724" s="227"/>
      <c r="VTS1724" s="227"/>
      <c r="VTT1724" s="227"/>
      <c r="VTU1724" s="227"/>
      <c r="VTV1724" s="227"/>
      <c r="VTW1724" s="227"/>
      <c r="VTX1724" s="227"/>
      <c r="VTY1724" s="227"/>
      <c r="VTZ1724" s="227"/>
      <c r="VUA1724" s="227"/>
      <c r="VUB1724" s="227"/>
      <c r="VUC1724" s="227"/>
      <c r="VUD1724" s="227"/>
      <c r="VUE1724" s="227"/>
      <c r="VUF1724" s="227"/>
      <c r="VUG1724" s="227"/>
      <c r="VUH1724" s="227"/>
      <c r="VUI1724" s="227"/>
      <c r="VUJ1724" s="227"/>
      <c r="VUK1724" s="227"/>
      <c r="VUL1724" s="227"/>
      <c r="VUM1724" s="227"/>
      <c r="VUN1724" s="227"/>
      <c r="VUO1724" s="227"/>
      <c r="VUP1724" s="227"/>
      <c r="VUQ1724" s="227"/>
      <c r="VUR1724" s="227"/>
      <c r="VUS1724" s="227"/>
      <c r="VUT1724" s="227"/>
      <c r="VUU1724" s="227"/>
      <c r="VUV1724" s="227"/>
      <c r="VUW1724" s="227"/>
      <c r="VUX1724" s="227"/>
      <c r="VUY1724" s="227"/>
      <c r="VUZ1724" s="227"/>
      <c r="VVA1724" s="227"/>
      <c r="VVB1724" s="227"/>
      <c r="VVC1724" s="227"/>
      <c r="VVD1724" s="227"/>
      <c r="VVE1724" s="227"/>
      <c r="VVF1724" s="227"/>
      <c r="VVG1724" s="227"/>
      <c r="VVH1724" s="227"/>
      <c r="VVI1724" s="227"/>
      <c r="VVJ1724" s="227"/>
      <c r="VVK1724" s="227"/>
      <c r="VVL1724" s="227"/>
      <c r="VVM1724" s="227"/>
      <c r="VVN1724" s="227"/>
      <c r="VVO1724" s="227"/>
      <c r="VVP1724" s="227"/>
      <c r="VVQ1724" s="227"/>
      <c r="VVR1724" s="227"/>
      <c r="VVS1724" s="227"/>
      <c r="VVT1724" s="227"/>
      <c r="VVU1724" s="227"/>
      <c r="VVV1724" s="227"/>
      <c r="VVW1724" s="227"/>
      <c r="VVX1724" s="227"/>
      <c r="VVY1724" s="227"/>
      <c r="VVZ1724" s="227"/>
      <c r="VWA1724" s="227"/>
      <c r="VWB1724" s="227"/>
      <c r="VWC1724" s="227"/>
      <c r="VWD1724" s="227"/>
      <c r="VWE1724" s="227"/>
      <c r="VWF1724" s="227"/>
      <c r="VWG1724" s="227"/>
      <c r="VWH1724" s="227"/>
      <c r="VWI1724" s="227"/>
      <c r="VWJ1724" s="227"/>
      <c r="VWK1724" s="227"/>
      <c r="VWL1724" s="227"/>
      <c r="VWM1724" s="227"/>
      <c r="VWN1724" s="227"/>
      <c r="VWO1724" s="227"/>
      <c r="VWP1724" s="227"/>
      <c r="VWQ1724" s="227"/>
      <c r="VWR1724" s="227"/>
      <c r="VWS1724" s="227"/>
      <c r="VWT1724" s="227"/>
      <c r="VWU1724" s="227"/>
      <c r="VWV1724" s="227"/>
      <c r="VWW1724" s="227"/>
      <c r="VWX1724" s="227"/>
      <c r="VWY1724" s="227"/>
      <c r="VWZ1724" s="227"/>
      <c r="VXA1724" s="227"/>
      <c r="VXB1724" s="227"/>
      <c r="VXC1724" s="227"/>
      <c r="VXD1724" s="227"/>
      <c r="VXE1724" s="227"/>
      <c r="VXF1724" s="227"/>
      <c r="VXG1724" s="227"/>
      <c r="VXH1724" s="227"/>
      <c r="VXI1724" s="227"/>
      <c r="VXJ1724" s="227"/>
      <c r="VXK1724" s="227"/>
      <c r="VXL1724" s="227"/>
      <c r="VXM1724" s="227"/>
      <c r="VXN1724" s="227"/>
      <c r="VXO1724" s="227"/>
      <c r="VXP1724" s="227"/>
      <c r="VXQ1724" s="227"/>
      <c r="VXR1724" s="227"/>
      <c r="VXS1724" s="227"/>
      <c r="VXT1724" s="227"/>
      <c r="VXU1724" s="227"/>
      <c r="VXV1724" s="227"/>
      <c r="VXW1724" s="227"/>
      <c r="VXX1724" s="227"/>
      <c r="VXY1724" s="227"/>
      <c r="VXZ1724" s="227"/>
      <c r="VYA1724" s="227"/>
      <c r="VYB1724" s="227"/>
      <c r="VYC1724" s="227"/>
      <c r="VYD1724" s="227"/>
      <c r="VYE1724" s="227"/>
      <c r="VYF1724" s="227"/>
      <c r="VYG1724" s="227"/>
      <c r="VYH1724" s="227"/>
      <c r="VYI1724" s="227"/>
      <c r="VYJ1724" s="227"/>
      <c r="VYK1724" s="227"/>
      <c r="VYL1724" s="227"/>
      <c r="VYM1724" s="227"/>
      <c r="VYN1724" s="227"/>
      <c r="VYO1724" s="227"/>
      <c r="VYP1724" s="227"/>
      <c r="VYQ1724" s="227"/>
      <c r="VYR1724" s="227"/>
      <c r="VYS1724" s="227"/>
      <c r="VYT1724" s="227"/>
      <c r="VYU1724" s="227"/>
      <c r="VYV1724" s="227"/>
      <c r="VYW1724" s="227"/>
      <c r="VYX1724" s="227"/>
      <c r="VYY1724" s="227"/>
      <c r="VYZ1724" s="227"/>
      <c r="VZA1724" s="227"/>
      <c r="VZB1724" s="227"/>
      <c r="VZC1724" s="227"/>
      <c r="VZD1724" s="227"/>
      <c r="VZE1724" s="227"/>
      <c r="VZF1724" s="227"/>
      <c r="VZG1724" s="227"/>
      <c r="VZH1724" s="227"/>
      <c r="VZI1724" s="227"/>
      <c r="VZJ1724" s="227"/>
      <c r="VZK1724" s="227"/>
      <c r="VZL1724" s="227"/>
      <c r="VZM1724" s="227"/>
      <c r="VZN1724" s="227"/>
      <c r="VZO1724" s="227"/>
      <c r="VZP1724" s="227"/>
      <c r="VZQ1724" s="227"/>
      <c r="VZR1724" s="227"/>
      <c r="VZS1724" s="227"/>
      <c r="VZT1724" s="227"/>
      <c r="VZU1724" s="227"/>
      <c r="VZV1724" s="227"/>
      <c r="VZW1724" s="227"/>
      <c r="VZX1724" s="227"/>
      <c r="VZY1724" s="227"/>
      <c r="VZZ1724" s="227"/>
      <c r="WAA1724" s="227"/>
      <c r="WAB1724" s="227"/>
      <c r="WAC1724" s="227"/>
      <c r="WAD1724" s="227"/>
      <c r="WAE1724" s="227"/>
      <c r="WAF1724" s="227"/>
      <c r="WAG1724" s="227"/>
      <c r="WAH1724" s="227"/>
      <c r="WAI1724" s="227"/>
      <c r="WAJ1724" s="227"/>
      <c r="WAK1724" s="227"/>
      <c r="WAL1724" s="227"/>
      <c r="WAM1724" s="227"/>
      <c r="WAN1724" s="227"/>
      <c r="WAO1724" s="227"/>
      <c r="WAP1724" s="227"/>
      <c r="WAQ1724" s="227"/>
      <c r="WAR1724" s="227"/>
      <c r="WAS1724" s="227"/>
      <c r="WAT1724" s="227"/>
      <c r="WAU1724" s="227"/>
      <c r="WAV1724" s="227"/>
      <c r="WAW1724" s="227"/>
      <c r="WAX1724" s="227"/>
      <c r="WAY1724" s="227"/>
      <c r="WAZ1724" s="227"/>
      <c r="WBA1724" s="227"/>
      <c r="WBB1724" s="227"/>
      <c r="WBC1724" s="227"/>
      <c r="WBD1724" s="227"/>
      <c r="WBE1724" s="227"/>
      <c r="WBF1724" s="227"/>
      <c r="WBG1724" s="227"/>
      <c r="WBH1724" s="227"/>
      <c r="WBI1724" s="227"/>
      <c r="WBJ1724" s="227"/>
      <c r="WBK1724" s="227"/>
      <c r="WBL1724" s="227"/>
      <c r="WBM1724" s="227"/>
      <c r="WBN1724" s="227"/>
      <c r="WBO1724" s="227"/>
      <c r="WBP1724" s="227"/>
      <c r="WBQ1724" s="227"/>
      <c r="WBR1724" s="227"/>
      <c r="WBS1724" s="227"/>
      <c r="WBT1724" s="227"/>
      <c r="WBU1724" s="227"/>
      <c r="WBV1724" s="227"/>
      <c r="WBW1724" s="227"/>
      <c r="WBX1724" s="227"/>
      <c r="WBY1724" s="227"/>
      <c r="WBZ1724" s="227"/>
      <c r="WCA1724" s="227"/>
      <c r="WCB1724" s="227"/>
      <c r="WCC1724" s="227"/>
      <c r="WCD1724" s="227"/>
      <c r="WCE1724" s="227"/>
      <c r="WCF1724" s="227"/>
      <c r="WCG1724" s="227"/>
      <c r="WCH1724" s="227"/>
      <c r="WCI1724" s="227"/>
      <c r="WCJ1724" s="227"/>
      <c r="WCK1724" s="227"/>
      <c r="WCL1724" s="227"/>
      <c r="WCM1724" s="227"/>
      <c r="WCN1724" s="227"/>
      <c r="WCO1724" s="227"/>
      <c r="WCP1724" s="227"/>
      <c r="WCQ1724" s="227"/>
      <c r="WCR1724" s="227"/>
      <c r="WCS1724" s="227"/>
      <c r="WCT1724" s="227"/>
      <c r="WCU1724" s="227"/>
      <c r="WCV1724" s="227"/>
      <c r="WCW1724" s="227"/>
      <c r="WCX1724" s="227"/>
      <c r="WCY1724" s="227"/>
      <c r="WCZ1724" s="227"/>
      <c r="WDA1724" s="227"/>
      <c r="WDB1724" s="227"/>
      <c r="WDC1724" s="227"/>
      <c r="WDD1724" s="227"/>
      <c r="WDE1724" s="227"/>
      <c r="WDF1724" s="227"/>
      <c r="WDG1724" s="227"/>
      <c r="WDH1724" s="227"/>
      <c r="WDI1724" s="227"/>
      <c r="WDJ1724" s="227"/>
      <c r="WDK1724" s="227"/>
      <c r="WDL1724" s="227"/>
      <c r="WDM1724" s="227"/>
      <c r="WDN1724" s="227"/>
      <c r="WDO1724" s="227"/>
      <c r="WDP1724" s="227"/>
      <c r="WDQ1724" s="227"/>
      <c r="WDR1724" s="227"/>
      <c r="WDS1724" s="227"/>
      <c r="WDT1724" s="227"/>
      <c r="WDU1724" s="227"/>
      <c r="WDV1724" s="227"/>
      <c r="WDW1724" s="227"/>
      <c r="WDX1724" s="227"/>
      <c r="WDY1724" s="227"/>
      <c r="WDZ1724" s="227"/>
      <c r="WEA1724" s="227"/>
      <c r="WEB1724" s="227"/>
      <c r="WEC1724" s="227"/>
      <c r="WED1724" s="227"/>
      <c r="WEE1724" s="227"/>
      <c r="WEF1724" s="227"/>
      <c r="WEG1724" s="227"/>
      <c r="WEH1724" s="227"/>
      <c r="WEI1724" s="227"/>
      <c r="WEJ1724" s="227"/>
      <c r="WEK1724" s="227"/>
      <c r="WEL1724" s="227"/>
      <c r="WEM1724" s="227"/>
      <c r="WEN1724" s="227"/>
      <c r="WEO1724" s="227"/>
      <c r="WEP1724" s="227"/>
      <c r="WEQ1724" s="227"/>
      <c r="WER1724" s="227"/>
      <c r="WES1724" s="227"/>
      <c r="WET1724" s="227"/>
      <c r="WEU1724" s="227"/>
      <c r="WEV1724" s="227"/>
      <c r="WEW1724" s="227"/>
      <c r="WEX1724" s="227"/>
      <c r="WEY1724" s="227"/>
      <c r="WEZ1724" s="227"/>
      <c r="WFA1724" s="227"/>
      <c r="WFB1724" s="227"/>
      <c r="WFC1724" s="227"/>
      <c r="WFD1724" s="227"/>
      <c r="WFE1724" s="227"/>
      <c r="WFF1724" s="227"/>
      <c r="WFG1724" s="227"/>
      <c r="WFH1724" s="227"/>
      <c r="WFI1724" s="227"/>
      <c r="WFJ1724" s="227"/>
      <c r="WFK1724" s="227"/>
      <c r="WFL1724" s="227"/>
      <c r="WFM1724" s="227"/>
      <c r="WFN1724" s="227"/>
      <c r="WFO1724" s="227"/>
      <c r="WFP1724" s="227"/>
      <c r="WFQ1724" s="227"/>
      <c r="WFR1724" s="227"/>
      <c r="WFS1724" s="227"/>
      <c r="WFT1724" s="227"/>
      <c r="WFU1724" s="227"/>
      <c r="WFV1724" s="227"/>
      <c r="WFW1724" s="227"/>
      <c r="WFX1724" s="227"/>
      <c r="WFY1724" s="227"/>
      <c r="WFZ1724" s="227"/>
      <c r="WGA1724" s="227"/>
      <c r="WGB1724" s="227"/>
      <c r="WGC1724" s="227"/>
      <c r="WGD1724" s="227"/>
      <c r="WGE1724" s="227"/>
      <c r="WGF1724" s="227"/>
      <c r="WGG1724" s="227"/>
      <c r="WGH1724" s="227"/>
      <c r="WGI1724" s="227"/>
      <c r="WGJ1724" s="227"/>
      <c r="WGK1724" s="227"/>
      <c r="WGL1724" s="227"/>
      <c r="WGM1724" s="227"/>
      <c r="WGN1724" s="227"/>
      <c r="WGO1724" s="227"/>
      <c r="WGP1724" s="227"/>
      <c r="WGQ1724" s="227"/>
      <c r="WGR1724" s="227"/>
      <c r="WGS1724" s="227"/>
      <c r="WGT1724" s="227"/>
      <c r="WGU1724" s="227"/>
      <c r="WGV1724" s="227"/>
      <c r="WGW1724" s="227"/>
      <c r="WGX1724" s="227"/>
      <c r="WGY1724" s="227"/>
      <c r="WGZ1724" s="227"/>
      <c r="WHA1724" s="227"/>
      <c r="WHB1724" s="227"/>
      <c r="WHC1724" s="227"/>
      <c r="WHD1724" s="227"/>
      <c r="WHE1724" s="227"/>
      <c r="WHF1724" s="227"/>
      <c r="WHG1724" s="227"/>
      <c r="WHH1724" s="227"/>
      <c r="WHI1724" s="227"/>
      <c r="WHJ1724" s="227"/>
      <c r="WHK1724" s="227"/>
      <c r="WHL1724" s="227"/>
      <c r="WHM1724" s="227"/>
      <c r="WHN1724" s="227"/>
      <c r="WHO1724" s="227"/>
      <c r="WHP1724" s="227"/>
      <c r="WHQ1724" s="227"/>
      <c r="WHR1724" s="227"/>
      <c r="WHS1724" s="227"/>
      <c r="WHT1724" s="227"/>
      <c r="WHU1724" s="227"/>
      <c r="WHV1724" s="227"/>
      <c r="WHW1724" s="227"/>
      <c r="WHX1724" s="227"/>
      <c r="WHY1724" s="227"/>
      <c r="WHZ1724" s="227"/>
      <c r="WIA1724" s="227"/>
      <c r="WIB1724" s="227"/>
      <c r="WIC1724" s="227"/>
      <c r="WID1724" s="227"/>
      <c r="WIE1724" s="227"/>
      <c r="WIF1724" s="227"/>
      <c r="WIG1724" s="227"/>
      <c r="WIH1724" s="227"/>
      <c r="WII1724" s="227"/>
      <c r="WIJ1724" s="227"/>
      <c r="WIK1724" s="227"/>
      <c r="WIL1724" s="227"/>
      <c r="WIM1724" s="227"/>
      <c r="WIN1724" s="227"/>
      <c r="WIO1724" s="227"/>
      <c r="WIP1724" s="227"/>
      <c r="WIQ1724" s="227"/>
      <c r="WIR1724" s="227"/>
      <c r="WIS1724" s="227"/>
      <c r="WIT1724" s="227"/>
      <c r="WIU1724" s="227"/>
      <c r="WIV1724" s="227"/>
      <c r="WIW1724" s="227"/>
      <c r="WIX1724" s="227"/>
      <c r="WIY1724" s="227"/>
      <c r="WIZ1724" s="227"/>
      <c r="WJA1724" s="227"/>
      <c r="WJB1724" s="227"/>
      <c r="WJC1724" s="227"/>
      <c r="WJD1724" s="227"/>
      <c r="WJE1724" s="227"/>
      <c r="WJF1724" s="227"/>
      <c r="WJG1724" s="227"/>
      <c r="WJH1724" s="227"/>
      <c r="WJI1724" s="227"/>
      <c r="WJJ1724" s="227"/>
      <c r="WJK1724" s="227"/>
      <c r="WJL1724" s="227"/>
      <c r="WJM1724" s="227"/>
      <c r="WJN1724" s="227"/>
      <c r="WJO1724" s="227"/>
      <c r="WJP1724" s="227"/>
      <c r="WJQ1724" s="227"/>
      <c r="WJR1724" s="227"/>
      <c r="WJS1724" s="227"/>
      <c r="WJT1724" s="227"/>
      <c r="WJU1724" s="227"/>
      <c r="WJV1724" s="227"/>
      <c r="WJW1724" s="227"/>
      <c r="WJX1724" s="227"/>
      <c r="WJY1724" s="227"/>
      <c r="WJZ1724" s="227"/>
      <c r="WKA1724" s="227"/>
      <c r="WKB1724" s="227"/>
      <c r="WKC1724" s="227"/>
      <c r="WKD1724" s="227"/>
      <c r="WKE1724" s="227"/>
      <c r="WKF1724" s="227"/>
      <c r="WKG1724" s="227"/>
      <c r="WKH1724" s="227"/>
      <c r="WKI1724" s="227"/>
      <c r="WKJ1724" s="227"/>
      <c r="WKK1724" s="227"/>
      <c r="WKL1724" s="227"/>
      <c r="WKM1724" s="227"/>
      <c r="WKN1724" s="227"/>
      <c r="WKO1724" s="227"/>
      <c r="WKP1724" s="227"/>
      <c r="WKQ1724" s="227"/>
      <c r="WKR1724" s="227"/>
      <c r="WKS1724" s="227"/>
      <c r="WKT1724" s="227"/>
      <c r="WKU1724" s="227"/>
      <c r="WKV1724" s="227"/>
      <c r="WKW1724" s="227"/>
      <c r="WKX1724" s="227"/>
      <c r="WKY1724" s="227"/>
      <c r="WKZ1724" s="227"/>
      <c r="WLA1724" s="227"/>
      <c r="WLB1724" s="227"/>
      <c r="WLC1724" s="227"/>
      <c r="WLD1724" s="227"/>
      <c r="WLE1724" s="227"/>
      <c r="WLF1724" s="227"/>
      <c r="WLG1724" s="227"/>
      <c r="WLH1724" s="227"/>
      <c r="WLI1724" s="227"/>
      <c r="WLJ1724" s="227"/>
      <c r="WLK1724" s="227"/>
      <c r="WLL1724" s="227"/>
      <c r="WLM1724" s="227"/>
      <c r="WLN1724" s="227"/>
      <c r="WLO1724" s="227"/>
      <c r="WLP1724" s="227"/>
      <c r="WLQ1724" s="227"/>
      <c r="WLR1724" s="227"/>
      <c r="WLS1724" s="227"/>
      <c r="WLT1724" s="227"/>
      <c r="WLU1724" s="227"/>
      <c r="WLV1724" s="227"/>
      <c r="WLW1724" s="227"/>
      <c r="WLX1724" s="227"/>
      <c r="WLY1724" s="227"/>
      <c r="WLZ1724" s="227"/>
      <c r="WMA1724" s="227"/>
      <c r="WMB1724" s="227"/>
      <c r="WMC1724" s="227"/>
      <c r="WMD1724" s="227"/>
      <c r="WME1724" s="227"/>
      <c r="WMF1724" s="227"/>
      <c r="WMG1724" s="227"/>
      <c r="WMH1724" s="227"/>
      <c r="WMI1724" s="227"/>
      <c r="WMJ1724" s="227"/>
      <c r="WMK1724" s="227"/>
      <c r="WML1724" s="227"/>
      <c r="WMM1724" s="227"/>
      <c r="WMN1724" s="227"/>
      <c r="WMO1724" s="227"/>
      <c r="WMP1724" s="227"/>
      <c r="WMQ1724" s="227"/>
      <c r="WMR1724" s="227"/>
      <c r="WMS1724" s="227"/>
      <c r="WMT1724" s="227"/>
      <c r="WMU1724" s="227"/>
      <c r="WMV1724" s="227"/>
      <c r="WMW1724" s="227"/>
      <c r="WMX1724" s="227"/>
      <c r="WMY1724" s="227"/>
      <c r="WMZ1724" s="227"/>
      <c r="WNA1724" s="227"/>
      <c r="WNB1724" s="227"/>
      <c r="WNC1724" s="227"/>
      <c r="WND1724" s="227"/>
      <c r="WNE1724" s="227"/>
      <c r="WNF1724" s="227"/>
      <c r="WNG1724" s="227"/>
      <c r="WNH1724" s="227"/>
      <c r="WNI1724" s="227"/>
      <c r="WNJ1724" s="227"/>
      <c r="WNK1724" s="227"/>
      <c r="WNL1724" s="227"/>
      <c r="WNM1724" s="227"/>
      <c r="WNN1724" s="227"/>
      <c r="WNO1724" s="227"/>
      <c r="WNP1724" s="227"/>
      <c r="WNQ1724" s="227"/>
      <c r="WNR1724" s="227"/>
      <c r="WNS1724" s="227"/>
      <c r="WNT1724" s="227"/>
      <c r="WNU1724" s="227"/>
      <c r="WNV1724" s="227"/>
      <c r="WNW1724" s="227"/>
      <c r="WNX1724" s="227"/>
      <c r="WNY1724" s="227"/>
      <c r="WNZ1724" s="227"/>
      <c r="WOA1724" s="227"/>
      <c r="WOB1724" s="227"/>
      <c r="WOC1724" s="227"/>
      <c r="WOD1724" s="227"/>
      <c r="WOE1724" s="227"/>
      <c r="WOF1724" s="227"/>
      <c r="WOG1724" s="227"/>
      <c r="WOH1724" s="227"/>
      <c r="WOI1724" s="227"/>
      <c r="WOJ1724" s="227"/>
      <c r="WOK1724" s="227"/>
      <c r="WOL1724" s="227"/>
      <c r="WOM1724" s="227"/>
      <c r="WON1724" s="227"/>
      <c r="WOO1724" s="227"/>
      <c r="WOP1724" s="227"/>
      <c r="WOQ1724" s="227"/>
      <c r="WOR1724" s="227"/>
      <c r="WOS1724" s="227"/>
      <c r="WOT1724" s="227"/>
      <c r="WOU1724" s="227"/>
      <c r="WOV1724" s="227"/>
      <c r="WOW1724" s="227"/>
      <c r="WOX1724" s="227"/>
      <c r="WOY1724" s="227"/>
      <c r="WOZ1724" s="227"/>
      <c r="WPA1724" s="227"/>
      <c r="WPB1724" s="227"/>
      <c r="WPC1724" s="227"/>
      <c r="WPD1724" s="227"/>
      <c r="WPE1724" s="227"/>
      <c r="WPF1724" s="227"/>
      <c r="WPG1724" s="227"/>
      <c r="WPH1724" s="227"/>
      <c r="WPI1724" s="227"/>
      <c r="WPJ1724" s="227"/>
      <c r="WPK1724" s="227"/>
      <c r="WPL1724" s="227"/>
      <c r="WPM1724" s="227"/>
      <c r="WPN1724" s="227"/>
      <c r="WPO1724" s="227"/>
      <c r="WPP1724" s="227"/>
      <c r="WPQ1724" s="227"/>
      <c r="WPR1724" s="227"/>
      <c r="WPS1724" s="227"/>
      <c r="WPT1724" s="227"/>
      <c r="WPU1724" s="227"/>
      <c r="WPV1724" s="227"/>
      <c r="WPW1724" s="227"/>
      <c r="WPX1724" s="227"/>
      <c r="WPY1724" s="227"/>
      <c r="WPZ1724" s="227"/>
      <c r="WQA1724" s="227"/>
      <c r="WQB1724" s="227"/>
      <c r="WQC1724" s="227"/>
      <c r="WQD1724" s="227"/>
      <c r="WQE1724" s="227"/>
      <c r="WQF1724" s="227"/>
      <c r="WQG1724" s="227"/>
      <c r="WQH1724" s="227"/>
      <c r="WQI1724" s="227"/>
      <c r="WQJ1724" s="227"/>
      <c r="WQK1724" s="227"/>
      <c r="WQL1724" s="227"/>
      <c r="WQM1724" s="227"/>
      <c r="WQN1724" s="227"/>
      <c r="WQO1724" s="227"/>
      <c r="WQP1724" s="227"/>
      <c r="WQQ1724" s="227"/>
      <c r="WQR1724" s="227"/>
      <c r="WQS1724" s="227"/>
      <c r="WQT1724" s="227"/>
      <c r="WQU1724" s="227"/>
      <c r="WQV1724" s="227"/>
      <c r="WQW1724" s="227"/>
      <c r="WQX1724" s="227"/>
      <c r="WQY1724" s="227"/>
      <c r="WQZ1724" s="227"/>
      <c r="WRA1724" s="227"/>
      <c r="WRB1724" s="227"/>
      <c r="WRC1724" s="227"/>
      <c r="WRD1724" s="227"/>
      <c r="WRE1724" s="227"/>
      <c r="WRF1724" s="227"/>
      <c r="WRG1724" s="227"/>
      <c r="WRH1724" s="227"/>
      <c r="WRI1724" s="227"/>
      <c r="WRJ1724" s="227"/>
      <c r="WRK1724" s="227"/>
      <c r="WRL1724" s="227"/>
      <c r="WRM1724" s="227"/>
      <c r="WRN1724" s="227"/>
      <c r="WRO1724" s="227"/>
      <c r="WRP1724" s="227"/>
      <c r="WRQ1724" s="227"/>
      <c r="WRR1724" s="227"/>
      <c r="WRS1724" s="227"/>
      <c r="WRT1724" s="227"/>
      <c r="WRU1724" s="227"/>
      <c r="WRV1724" s="227"/>
      <c r="WRW1724" s="227"/>
      <c r="WRX1724" s="227"/>
      <c r="WRY1724" s="227"/>
      <c r="WRZ1724" s="227"/>
      <c r="WSA1724" s="227"/>
      <c r="WSB1724" s="227"/>
      <c r="WSC1724" s="227"/>
      <c r="WSD1724" s="227"/>
      <c r="WSE1724" s="227"/>
      <c r="WSF1724" s="227"/>
      <c r="WSG1724" s="227"/>
      <c r="WSH1724" s="227"/>
      <c r="WSI1724" s="227"/>
      <c r="WSJ1724" s="227"/>
      <c r="WSK1724" s="227"/>
      <c r="WSL1724" s="227"/>
      <c r="WSM1724" s="227"/>
      <c r="WSN1724" s="227"/>
      <c r="WSO1724" s="227"/>
      <c r="WSP1724" s="227"/>
      <c r="WSQ1724" s="227"/>
      <c r="WSR1724" s="227"/>
      <c r="WSS1724" s="227"/>
      <c r="WST1724" s="227"/>
      <c r="WSU1724" s="227"/>
      <c r="WSV1724" s="227"/>
      <c r="WSW1724" s="227"/>
      <c r="WSX1724" s="227"/>
      <c r="WSY1724" s="227"/>
      <c r="WSZ1724" s="227"/>
      <c r="WTA1724" s="227"/>
      <c r="WTB1724" s="227"/>
      <c r="WTC1724" s="227"/>
      <c r="WTD1724" s="227"/>
      <c r="WTE1724" s="227"/>
      <c r="WTF1724" s="227"/>
      <c r="WTG1724" s="227"/>
      <c r="WTH1724" s="227"/>
      <c r="WTI1724" s="227"/>
      <c r="WTJ1724" s="227"/>
      <c r="WTK1724" s="227"/>
      <c r="WTL1724" s="227"/>
      <c r="WTM1724" s="227"/>
      <c r="WTN1724" s="227"/>
      <c r="WTO1724" s="227"/>
      <c r="WTP1724" s="227"/>
      <c r="WTQ1724" s="227"/>
      <c r="WTR1724" s="227"/>
      <c r="WTS1724" s="227"/>
      <c r="WTT1724" s="227"/>
      <c r="WTU1724" s="227"/>
      <c r="WTV1724" s="227"/>
      <c r="WTW1724" s="227"/>
      <c r="WTX1724" s="227"/>
      <c r="WTY1724" s="227"/>
      <c r="WTZ1724" s="227"/>
      <c r="WUA1724" s="227"/>
      <c r="WUB1724" s="227"/>
      <c r="WUC1724" s="227"/>
      <c r="WUD1724" s="227"/>
      <c r="WUE1724" s="227"/>
      <c r="WUF1724" s="227"/>
      <c r="WUG1724" s="227"/>
      <c r="WUH1724" s="227"/>
      <c r="WUI1724" s="227"/>
      <c r="WUJ1724" s="227"/>
      <c r="WUK1724" s="227"/>
      <c r="WUL1724" s="227"/>
      <c r="WUM1724" s="227"/>
      <c r="WUN1724" s="227"/>
      <c r="WUO1724" s="227"/>
      <c r="WUP1724" s="227"/>
      <c r="WUQ1724" s="227"/>
      <c r="WUR1724" s="227"/>
      <c r="WUS1724" s="227"/>
      <c r="WUT1724" s="227"/>
      <c r="WUU1724" s="227"/>
      <c r="WUV1724" s="227"/>
      <c r="WUW1724" s="227"/>
      <c r="WUX1724" s="227"/>
      <c r="WUY1724" s="227"/>
      <c r="WUZ1724" s="227"/>
      <c r="WVA1724" s="227"/>
      <c r="WVB1724" s="227"/>
      <c r="WVC1724" s="227"/>
      <c r="WVD1724" s="227"/>
      <c r="WVE1724" s="227"/>
      <c r="WVF1724" s="227"/>
      <c r="WVG1724" s="227"/>
      <c r="WVH1724" s="227"/>
      <c r="WVI1724" s="227"/>
      <c r="WVJ1724" s="227"/>
      <c r="WVK1724" s="227"/>
      <c r="WVL1724" s="227"/>
      <c r="WVM1724" s="227"/>
      <c r="WVN1724" s="227"/>
      <c r="WVO1724" s="227"/>
      <c r="WVP1724" s="227"/>
      <c r="WVQ1724" s="227"/>
      <c r="WVR1724" s="227"/>
      <c r="WVS1724" s="227"/>
      <c r="WVT1724" s="227"/>
      <c r="WVU1724" s="227"/>
      <c r="WVV1724" s="227"/>
      <c r="WVW1724" s="227"/>
      <c r="WVX1724" s="227"/>
      <c r="WVY1724" s="227"/>
      <c r="WVZ1724" s="227"/>
      <c r="WWA1724" s="227"/>
      <c r="WWB1724" s="227"/>
      <c r="WWC1724" s="227"/>
      <c r="WWD1724" s="227"/>
      <c r="WWE1724" s="227"/>
      <c r="WWF1724" s="227"/>
      <c r="WWG1724" s="227"/>
      <c r="WWH1724" s="227"/>
      <c r="WWI1724" s="227"/>
      <c r="WWJ1724" s="227"/>
      <c r="WWK1724" s="227"/>
      <c r="WWL1724" s="227"/>
      <c r="WWM1724" s="227"/>
      <c r="WWN1724" s="227"/>
      <c r="WWO1724" s="227"/>
      <c r="WWP1724" s="227"/>
      <c r="WWQ1724" s="227"/>
      <c r="WWR1724" s="227"/>
      <c r="WWS1724" s="227"/>
      <c r="WWT1724" s="227"/>
      <c r="WWU1724" s="227"/>
      <c r="WWV1724" s="227"/>
      <c r="WWW1724" s="227"/>
      <c r="WWX1724" s="227"/>
      <c r="WWY1724" s="227"/>
      <c r="WWZ1724" s="227"/>
      <c r="WXA1724" s="227"/>
      <c r="WXB1724" s="227"/>
      <c r="WXC1724" s="227"/>
      <c r="WXD1724" s="227"/>
      <c r="WXE1724" s="227"/>
      <c r="WXF1724" s="227"/>
      <c r="WXG1724" s="227"/>
      <c r="WXH1724" s="227"/>
      <c r="WXI1724" s="227"/>
      <c r="WXJ1724" s="227"/>
      <c r="WXK1724" s="227"/>
      <c r="WXL1724" s="227"/>
      <c r="WXM1724" s="227"/>
      <c r="WXN1724" s="227"/>
      <c r="WXO1724" s="227"/>
      <c r="WXP1724" s="227"/>
      <c r="WXQ1724" s="227"/>
      <c r="WXR1724" s="227"/>
      <c r="WXS1724" s="227"/>
      <c r="WXT1724" s="227"/>
      <c r="WXU1724" s="227"/>
      <c r="WXV1724" s="227"/>
      <c r="WXW1724" s="227"/>
      <c r="WXX1724" s="227"/>
      <c r="WXY1724" s="227"/>
      <c r="WXZ1724" s="227"/>
      <c r="WYA1724" s="227"/>
      <c r="WYB1724" s="227"/>
      <c r="WYC1724" s="227"/>
      <c r="WYD1724" s="227"/>
      <c r="WYE1724" s="227"/>
      <c r="WYF1724" s="227"/>
      <c r="WYG1724" s="227"/>
      <c r="WYH1724" s="227"/>
      <c r="WYI1724" s="227"/>
      <c r="WYJ1724" s="227"/>
      <c r="WYK1724" s="227"/>
      <c r="WYL1724" s="227"/>
      <c r="WYM1724" s="227"/>
      <c r="WYN1724" s="227"/>
      <c r="WYO1724" s="227"/>
      <c r="WYP1724" s="227"/>
      <c r="WYQ1724" s="227"/>
      <c r="WYR1724" s="227"/>
      <c r="WYS1724" s="227"/>
      <c r="WYT1724" s="227"/>
      <c r="WYU1724" s="227"/>
      <c r="WYV1724" s="227"/>
      <c r="WYW1724" s="227"/>
      <c r="WYX1724" s="227"/>
      <c r="WYY1724" s="227"/>
      <c r="WYZ1724" s="227"/>
      <c r="WZA1724" s="227"/>
      <c r="WZB1724" s="227"/>
      <c r="WZC1724" s="227"/>
      <c r="WZD1724" s="227"/>
      <c r="WZE1724" s="227"/>
      <c r="WZF1724" s="227"/>
      <c r="WZG1724" s="227"/>
      <c r="WZH1724" s="227"/>
      <c r="WZI1724" s="227"/>
      <c r="WZJ1724" s="227"/>
      <c r="WZK1724" s="227"/>
      <c r="WZL1724" s="227"/>
      <c r="WZM1724" s="227"/>
      <c r="WZN1724" s="227"/>
      <c r="WZO1724" s="227"/>
      <c r="WZP1724" s="227"/>
      <c r="WZQ1724" s="227"/>
      <c r="WZR1724" s="227"/>
      <c r="WZS1724" s="227"/>
      <c r="WZT1724" s="227"/>
      <c r="WZU1724" s="227"/>
      <c r="WZV1724" s="227"/>
      <c r="WZW1724" s="227"/>
      <c r="WZX1724" s="227"/>
      <c r="WZY1724" s="227"/>
      <c r="WZZ1724" s="227"/>
      <c r="XAA1724" s="227"/>
      <c r="XAB1724" s="227"/>
      <c r="XAC1724" s="227"/>
      <c r="XAD1724" s="227"/>
      <c r="XAE1724" s="227"/>
      <c r="XAF1724" s="227"/>
      <c r="XAG1724" s="227"/>
      <c r="XAH1724" s="227"/>
      <c r="XAI1724" s="227"/>
      <c r="XAJ1724" s="227"/>
      <c r="XAK1724" s="227"/>
      <c r="XAL1724" s="227"/>
      <c r="XAM1724" s="227"/>
      <c r="XAN1724" s="227"/>
      <c r="XAO1724" s="227"/>
      <c r="XAP1724" s="227"/>
      <c r="XAQ1724" s="227"/>
      <c r="XAR1724" s="227"/>
      <c r="XAS1724" s="227"/>
      <c r="XAT1724" s="227"/>
      <c r="XAU1724" s="227"/>
      <c r="XAV1724" s="227"/>
      <c r="XAW1724" s="227"/>
      <c r="XAX1724" s="227"/>
      <c r="XAY1724" s="227"/>
      <c r="XAZ1724" s="227"/>
      <c r="XBA1724" s="227"/>
      <c r="XBB1724" s="227"/>
      <c r="XBC1724" s="227"/>
      <c r="XBD1724" s="227"/>
      <c r="XBE1724" s="227"/>
      <c r="XBF1724" s="227"/>
      <c r="XBG1724" s="227"/>
      <c r="XBH1724" s="227"/>
      <c r="XBI1724" s="227"/>
      <c r="XBJ1724" s="227"/>
      <c r="XBK1724" s="227"/>
      <c r="XBL1724" s="227"/>
      <c r="XBM1724" s="227"/>
      <c r="XBN1724" s="227"/>
      <c r="XBO1724" s="227"/>
      <c r="XBP1724" s="227"/>
      <c r="XBQ1724" s="227"/>
      <c r="XBR1724" s="227"/>
      <c r="XBS1724" s="227"/>
      <c r="XBT1724" s="227"/>
      <c r="XBU1724" s="227"/>
      <c r="XBV1724" s="227"/>
      <c r="XBW1724" s="227"/>
      <c r="XBX1724" s="227"/>
      <c r="XBY1724" s="227"/>
      <c r="XBZ1724" s="227"/>
      <c r="XCA1724" s="227"/>
      <c r="XCB1724" s="227"/>
      <c r="XCC1724" s="227"/>
      <c r="XCD1724" s="227"/>
      <c r="XCE1724" s="227"/>
      <c r="XCF1724" s="227"/>
      <c r="XCG1724" s="227"/>
      <c r="XCH1724" s="227"/>
      <c r="XCI1724" s="227"/>
      <c r="XCJ1724" s="227"/>
      <c r="XCK1724" s="227"/>
      <c r="XCL1724" s="227"/>
      <c r="XCM1724" s="227"/>
      <c r="XCN1724" s="227"/>
      <c r="XCO1724" s="227"/>
      <c r="XCP1724" s="227"/>
      <c r="XCQ1724" s="227"/>
      <c r="XCR1724" s="227"/>
      <c r="XCS1724" s="227"/>
      <c r="XCT1724" s="227"/>
      <c r="XCU1724" s="227"/>
      <c r="XCV1724" s="227"/>
      <c r="XCW1724" s="227"/>
      <c r="XCX1724" s="227"/>
      <c r="XCY1724" s="227"/>
      <c r="XCZ1724" s="227"/>
      <c r="XDA1724" s="227"/>
      <c r="XDB1724" s="227"/>
      <c r="XDC1724" s="227"/>
      <c r="XDD1724" s="227"/>
      <c r="XDE1724" s="227"/>
      <c r="XDF1724" s="227"/>
      <c r="XDG1724" s="227"/>
      <c r="XDH1724" s="227"/>
      <c r="XDI1724" s="227"/>
      <c r="XDJ1724" s="227"/>
      <c r="XDK1724" s="227"/>
      <c r="XDL1724" s="227"/>
      <c r="XDM1724" s="227"/>
      <c r="XDN1724" s="227"/>
      <c r="XDO1724" s="227"/>
      <c r="XDP1724" s="227"/>
      <c r="XDQ1724" s="227"/>
      <c r="XDR1724" s="227"/>
      <c r="XDS1724" s="227"/>
      <c r="XDT1724" s="227"/>
      <c r="XDU1724" s="227"/>
      <c r="XDV1724" s="227"/>
      <c r="XDW1724" s="227"/>
      <c r="XDX1724" s="227"/>
      <c r="XDY1724" s="227"/>
      <c r="XDZ1724" s="227"/>
      <c r="XEA1724" s="227"/>
      <c r="XEB1724" s="227"/>
      <c r="XEC1724" s="227"/>
      <c r="XED1724" s="227"/>
      <c r="XEE1724" s="227"/>
      <c r="XEF1724" s="227"/>
      <c r="XEG1724" s="227"/>
      <c r="XEH1724" s="227"/>
      <c r="XEI1724" s="227"/>
      <c r="XEJ1724" s="227"/>
      <c r="XEK1724" s="227"/>
      <c r="XEL1724" s="227"/>
      <c r="XEM1724" s="227"/>
      <c r="XEN1724" s="227"/>
      <c r="XEO1724" s="227"/>
      <c r="XEP1724" s="227"/>
      <c r="XEQ1724" s="227"/>
      <c r="XER1724" s="227"/>
      <c r="XES1724" s="227"/>
      <c r="XET1724" s="227"/>
      <c r="XEU1724" s="227"/>
      <c r="XEV1724" s="227"/>
      <c r="XEW1724" s="227"/>
      <c r="XEX1724" s="227"/>
      <c r="XEY1724" s="227"/>
      <c r="XEZ1724" s="227"/>
      <c r="XFA1724" s="227"/>
      <c r="XFB1724" s="227"/>
      <c r="XFC1724" s="227"/>
      <c r="XFD1724" s="227"/>
    </row>
    <row r="1725" spans="1:16384" customFormat="1" x14ac:dyDescent="0.25">
      <c r="A1725" s="240">
        <v>488</v>
      </c>
      <c r="B1725" s="239">
        <v>44922.430555555555</v>
      </c>
      <c r="C1725" s="235">
        <v>0.43402777777777773</v>
      </c>
      <c r="D1725" s="235">
        <v>0.4375</v>
      </c>
      <c r="E1725" s="235">
        <v>0.44791666666666669</v>
      </c>
      <c r="F1725" s="236" t="s">
        <v>171</v>
      </c>
      <c r="G1725" s="236" t="s">
        <v>136</v>
      </c>
      <c r="H1725" s="229" t="s">
        <v>91</v>
      </c>
      <c r="I1725" s="229" t="s">
        <v>118</v>
      </c>
      <c r="J1725" s="229" t="s">
        <v>41</v>
      </c>
      <c r="K1725" s="236" t="s">
        <v>180</v>
      </c>
      <c r="L1725" s="237" t="s">
        <v>206</v>
      </c>
      <c r="M1725" s="236" t="s">
        <v>4386</v>
      </c>
      <c r="N1725" s="236" t="s">
        <v>44</v>
      </c>
      <c r="O1725" s="236">
        <v>1054970079</v>
      </c>
      <c r="P1725" s="236">
        <v>1214064901</v>
      </c>
      <c r="Q1725" s="303">
        <f t="shared" si="151"/>
        <v>1</v>
      </c>
      <c r="R1725" s="303">
        <f t="shared" si="152"/>
        <v>30</v>
      </c>
      <c r="S1725" s="236">
        <v>0</v>
      </c>
      <c r="T1725" s="236">
        <v>0</v>
      </c>
      <c r="U1725" s="236">
        <v>1</v>
      </c>
      <c r="V1725" s="236">
        <v>30</v>
      </c>
      <c r="W1725" s="236">
        <v>30</v>
      </c>
      <c r="X1725" s="236">
        <v>100</v>
      </c>
      <c r="Y1725" s="236">
        <v>77</v>
      </c>
      <c r="Z1725" s="236">
        <v>52</v>
      </c>
      <c r="AA1725" s="236">
        <v>1</v>
      </c>
      <c r="AB1725" s="300">
        <f t="shared" si="153"/>
        <v>66.733333333333334</v>
      </c>
      <c r="AC1725" s="300">
        <f t="shared" si="154"/>
        <v>0.40200803212851405</v>
      </c>
      <c r="AD1725" s="236">
        <v>11759.16</v>
      </c>
      <c r="AE1725" s="236" t="s">
        <v>111</v>
      </c>
      <c r="AF1725" s="236" t="s">
        <v>4387</v>
      </c>
      <c r="AG1725" s="236" t="s">
        <v>4336</v>
      </c>
      <c r="AH1725" s="236" t="s">
        <v>4388</v>
      </c>
      <c r="AI1725" s="309"/>
      <c r="AJ1725" s="309"/>
      <c r="AK1725" s="236" t="s">
        <v>37</v>
      </c>
      <c r="AL1725" s="236" t="s">
        <v>49</v>
      </c>
      <c r="AM1725" s="299">
        <f t="shared" ca="1" si="150"/>
        <v>3.3055555555547471</v>
      </c>
      <c r="AN1725" s="241"/>
      <c r="AO1725" s="288" t="s">
        <v>53</v>
      </c>
      <c r="AP1725" s="275" t="s">
        <v>4386</v>
      </c>
      <c r="AQ1725" s="288" t="s">
        <v>4639</v>
      </c>
      <c r="AR1725" s="277">
        <v>44925.736111111109</v>
      </c>
      <c r="AS1725" s="272" t="s">
        <v>483</v>
      </c>
      <c r="AT1725" s="288" t="s">
        <v>225</v>
      </c>
      <c r="AU1725" s="276">
        <v>0.73611111111111116</v>
      </c>
      <c r="AV1725" s="288">
        <v>2</v>
      </c>
      <c r="AW1725" s="288" t="s">
        <v>66</v>
      </c>
      <c r="AX1725" s="242"/>
      <c r="AY1725" s="242"/>
      <c r="AZ1725" s="242"/>
      <c r="BA1725" s="242"/>
      <c r="BB1725" s="227"/>
      <c r="BC1725" s="227"/>
      <c r="BD1725" s="227"/>
      <c r="BE1725" s="227"/>
      <c r="BF1725" s="227"/>
      <c r="BG1725" s="227"/>
      <c r="BH1725" s="227"/>
      <c r="BI1725" s="227"/>
      <c r="BJ1725" s="227"/>
      <c r="BK1725" s="227"/>
      <c r="BL1725" s="227"/>
      <c r="BM1725" s="227"/>
      <c r="BN1725" s="227"/>
      <c r="BO1725" s="227"/>
      <c r="BP1725" s="227"/>
      <c r="BQ1725" s="227"/>
      <c r="BR1725" s="227"/>
      <c r="BS1725" s="227"/>
      <c r="BT1725" s="227"/>
      <c r="BU1725" s="227"/>
      <c r="BV1725" s="227"/>
      <c r="BW1725" s="227"/>
      <c r="BX1725" s="227"/>
      <c r="BY1725" s="227"/>
      <c r="BZ1725" s="227"/>
      <c r="CA1725" s="227"/>
      <c r="CB1725" s="227"/>
      <c r="CC1725" s="227"/>
      <c r="CD1725" s="227"/>
      <c r="CE1725" s="227"/>
      <c r="CF1725" s="227"/>
      <c r="CG1725" s="227"/>
      <c r="CH1725" s="227"/>
      <c r="CI1725" s="227"/>
      <c r="CJ1725" s="227"/>
      <c r="CK1725" s="227"/>
      <c r="CL1725" s="227"/>
      <c r="CM1725" s="227"/>
      <c r="CN1725" s="227"/>
      <c r="CO1725" s="227"/>
      <c r="CP1725" s="227"/>
      <c r="CQ1725" s="227"/>
      <c r="CR1725" s="227"/>
      <c r="CS1725" s="227"/>
      <c r="CT1725" s="227"/>
      <c r="CU1725" s="227"/>
      <c r="CV1725" s="227"/>
      <c r="CW1725" s="227"/>
      <c r="CX1725" s="227"/>
      <c r="CY1725" s="227"/>
      <c r="CZ1725" s="227"/>
      <c r="DA1725" s="227"/>
      <c r="DB1725" s="227"/>
      <c r="DC1725" s="227"/>
      <c r="DD1725" s="227"/>
      <c r="DE1725" s="227"/>
      <c r="DF1725" s="227"/>
      <c r="DG1725" s="227"/>
      <c r="DH1725" s="227"/>
      <c r="DI1725" s="227"/>
      <c r="DJ1725" s="227"/>
      <c r="DK1725" s="227"/>
      <c r="DL1725" s="227"/>
      <c r="DM1725" s="227"/>
      <c r="DN1725" s="227"/>
      <c r="DO1725" s="227"/>
      <c r="DP1725" s="227"/>
      <c r="DQ1725" s="227"/>
      <c r="DR1725" s="227"/>
      <c r="DS1725" s="227"/>
      <c r="DT1725" s="227"/>
      <c r="DU1725" s="227"/>
      <c r="DV1725" s="227"/>
      <c r="DW1725" s="227"/>
      <c r="DX1725" s="227"/>
      <c r="DY1725" s="227"/>
      <c r="DZ1725" s="227"/>
      <c r="EA1725" s="227"/>
      <c r="EB1725" s="227"/>
      <c r="EC1725" s="227"/>
      <c r="ED1725" s="227"/>
      <c r="EE1725" s="227"/>
      <c r="EF1725" s="227"/>
      <c r="EG1725" s="227"/>
      <c r="EH1725" s="227"/>
      <c r="EI1725" s="227"/>
      <c r="EJ1725" s="227"/>
      <c r="EK1725" s="227"/>
      <c r="EL1725" s="227"/>
      <c r="EM1725" s="227"/>
      <c r="EN1725" s="227"/>
      <c r="EO1725" s="227"/>
      <c r="EP1725" s="227"/>
      <c r="EQ1725" s="227"/>
      <c r="ER1725" s="227"/>
      <c r="ES1725" s="227"/>
      <c r="ET1725" s="227"/>
      <c r="EU1725" s="227"/>
      <c r="EV1725" s="227"/>
      <c r="EW1725" s="227"/>
      <c r="EX1725" s="227"/>
      <c r="EY1725" s="227"/>
      <c r="EZ1725" s="227"/>
      <c r="FA1725" s="227"/>
      <c r="FB1725" s="227"/>
      <c r="FC1725" s="227"/>
      <c r="FD1725" s="227"/>
      <c r="FE1725" s="227"/>
      <c r="FF1725" s="227"/>
      <c r="FG1725" s="227"/>
      <c r="FH1725" s="227"/>
      <c r="FI1725" s="227"/>
      <c r="FJ1725" s="227"/>
      <c r="FK1725" s="227"/>
      <c r="FL1725" s="227"/>
      <c r="FM1725" s="227"/>
      <c r="FN1725" s="227"/>
      <c r="FO1725" s="227"/>
      <c r="FP1725" s="227"/>
      <c r="FQ1725" s="227"/>
      <c r="FR1725" s="227"/>
      <c r="FS1725" s="227"/>
      <c r="FT1725" s="227"/>
      <c r="FU1725" s="227"/>
      <c r="FV1725" s="227"/>
      <c r="FW1725" s="227"/>
      <c r="FX1725" s="227"/>
      <c r="FY1725" s="227"/>
      <c r="FZ1725" s="227"/>
      <c r="GA1725" s="227"/>
      <c r="GB1725" s="227"/>
      <c r="GC1725" s="227"/>
      <c r="GD1725" s="227"/>
      <c r="GE1725" s="227"/>
      <c r="GF1725" s="227"/>
      <c r="GG1725" s="227"/>
      <c r="GH1725" s="227"/>
      <c r="GI1725" s="227"/>
      <c r="GJ1725" s="227"/>
      <c r="GK1725" s="227"/>
      <c r="GL1725" s="227"/>
      <c r="GM1725" s="227"/>
      <c r="GN1725" s="227"/>
      <c r="GO1725" s="227"/>
      <c r="GP1725" s="227"/>
      <c r="GQ1725" s="227"/>
      <c r="GR1725" s="227"/>
      <c r="GS1725" s="227"/>
      <c r="GT1725" s="227"/>
      <c r="GU1725" s="227"/>
      <c r="GV1725" s="227"/>
      <c r="GW1725" s="227"/>
      <c r="GX1725" s="227"/>
      <c r="GY1725" s="227"/>
      <c r="GZ1725" s="227"/>
      <c r="HA1725" s="227"/>
      <c r="HB1725" s="227"/>
      <c r="HC1725" s="227"/>
      <c r="HD1725" s="227"/>
      <c r="HE1725" s="227"/>
      <c r="HF1725" s="227"/>
      <c r="HG1725" s="227"/>
      <c r="HH1725" s="227"/>
      <c r="HI1725" s="227"/>
      <c r="HJ1725" s="227"/>
      <c r="HK1725" s="227"/>
      <c r="HL1725" s="227"/>
      <c r="HM1725" s="227"/>
      <c r="HN1725" s="227"/>
      <c r="HO1725" s="227"/>
      <c r="HP1725" s="227"/>
      <c r="HQ1725" s="227"/>
      <c r="HR1725" s="227"/>
      <c r="HS1725" s="227"/>
      <c r="HT1725" s="227"/>
      <c r="HU1725" s="227"/>
      <c r="HV1725" s="227"/>
      <c r="HW1725" s="227"/>
      <c r="HX1725" s="227"/>
      <c r="HY1725" s="227"/>
      <c r="HZ1725" s="227"/>
      <c r="IA1725" s="227"/>
      <c r="IB1725" s="227"/>
      <c r="IC1725" s="227"/>
      <c r="ID1725" s="227"/>
      <c r="IE1725" s="227"/>
      <c r="IF1725" s="227"/>
      <c r="IG1725" s="227"/>
      <c r="IH1725" s="227"/>
      <c r="II1725" s="227"/>
      <c r="IJ1725" s="227"/>
      <c r="IK1725" s="227"/>
      <c r="IL1725" s="227"/>
      <c r="IM1725" s="227"/>
      <c r="IN1725" s="227"/>
      <c r="IO1725" s="227"/>
      <c r="IP1725" s="227"/>
      <c r="IQ1725" s="227"/>
      <c r="IR1725" s="227"/>
      <c r="IS1725" s="227"/>
      <c r="IT1725" s="227"/>
      <c r="IU1725" s="227"/>
      <c r="IV1725" s="227"/>
      <c r="IW1725" s="227"/>
      <c r="IX1725" s="227"/>
      <c r="IY1725" s="227"/>
      <c r="IZ1725" s="227"/>
      <c r="JA1725" s="227"/>
      <c r="JB1725" s="227"/>
      <c r="JC1725" s="227"/>
      <c r="JD1725" s="227"/>
      <c r="JE1725" s="227"/>
      <c r="JF1725" s="227"/>
      <c r="JG1725" s="227"/>
      <c r="JH1725" s="227"/>
      <c r="JI1725" s="227"/>
      <c r="JJ1725" s="227"/>
      <c r="JK1725" s="227"/>
      <c r="JL1725" s="227"/>
      <c r="JM1725" s="227"/>
      <c r="JN1725" s="227"/>
      <c r="JO1725" s="227"/>
      <c r="JP1725" s="227"/>
      <c r="JQ1725" s="227"/>
      <c r="JR1725" s="227"/>
      <c r="JS1725" s="227"/>
      <c r="JT1725" s="227"/>
      <c r="JU1725" s="227"/>
      <c r="JV1725" s="227"/>
      <c r="JW1725" s="227"/>
      <c r="JX1725" s="227"/>
      <c r="JY1725" s="227"/>
      <c r="JZ1725" s="227"/>
      <c r="KA1725" s="227"/>
      <c r="KB1725" s="227"/>
      <c r="KC1725" s="227"/>
      <c r="KD1725" s="227"/>
      <c r="KE1725" s="227"/>
      <c r="KF1725" s="227"/>
      <c r="KG1725" s="227"/>
      <c r="KH1725" s="227"/>
      <c r="KI1725" s="227"/>
      <c r="KJ1725" s="227"/>
      <c r="KK1725" s="227"/>
      <c r="KL1725" s="227"/>
      <c r="KM1725" s="227"/>
      <c r="KN1725" s="227"/>
      <c r="KO1725" s="227"/>
      <c r="KP1725" s="227"/>
      <c r="KQ1725" s="227"/>
      <c r="KR1725" s="227"/>
      <c r="KS1725" s="227"/>
      <c r="KT1725" s="227"/>
      <c r="KU1725" s="227"/>
      <c r="KV1725" s="227"/>
      <c r="KW1725" s="227"/>
      <c r="KX1725" s="227"/>
      <c r="KY1725" s="227"/>
      <c r="KZ1725" s="227"/>
      <c r="LA1725" s="227"/>
      <c r="LB1725" s="227"/>
      <c r="LC1725" s="227"/>
      <c r="LD1725" s="227"/>
      <c r="LE1725" s="227"/>
      <c r="LF1725" s="227"/>
      <c r="LG1725" s="227"/>
      <c r="LH1725" s="227"/>
      <c r="LI1725" s="227"/>
      <c r="LJ1725" s="227"/>
      <c r="LK1725" s="227"/>
      <c r="LL1725" s="227"/>
      <c r="LM1725" s="227"/>
      <c r="LN1725" s="227"/>
      <c r="LO1725" s="227"/>
      <c r="LP1725" s="227"/>
      <c r="LQ1725" s="227"/>
      <c r="LR1725" s="227"/>
      <c r="LS1725" s="227"/>
      <c r="LT1725" s="227"/>
      <c r="LU1725" s="227"/>
      <c r="LV1725" s="227"/>
      <c r="LW1725" s="227"/>
      <c r="LX1725" s="227"/>
      <c r="LY1725" s="227"/>
      <c r="LZ1725" s="227"/>
      <c r="MA1725" s="227"/>
      <c r="MB1725" s="227"/>
      <c r="MC1725" s="227"/>
      <c r="MD1725" s="227"/>
      <c r="ME1725" s="227"/>
      <c r="MF1725" s="227"/>
      <c r="MG1725" s="227"/>
      <c r="MH1725" s="227"/>
      <c r="MI1725" s="227"/>
      <c r="MJ1725" s="227"/>
      <c r="MK1725" s="227"/>
      <c r="ML1725" s="227"/>
      <c r="MM1725" s="227"/>
      <c r="MN1725" s="227"/>
      <c r="MO1725" s="227"/>
      <c r="MP1725" s="227"/>
      <c r="MQ1725" s="227"/>
      <c r="MR1725" s="227"/>
      <c r="MS1725" s="227"/>
      <c r="MT1725" s="227"/>
      <c r="MU1725" s="227"/>
      <c r="MV1725" s="227"/>
      <c r="MW1725" s="227"/>
      <c r="MX1725" s="227"/>
      <c r="MY1725" s="227"/>
      <c r="MZ1725" s="227"/>
      <c r="NA1725" s="227"/>
      <c r="NB1725" s="227"/>
      <c r="NC1725" s="227"/>
      <c r="ND1725" s="227"/>
      <c r="NE1725" s="227"/>
      <c r="NF1725" s="227"/>
      <c r="NG1725" s="227"/>
      <c r="NH1725" s="227"/>
      <c r="NI1725" s="227"/>
      <c r="NJ1725" s="227"/>
      <c r="NK1725" s="227"/>
      <c r="NL1725" s="227"/>
      <c r="NM1725" s="227"/>
      <c r="NN1725" s="227"/>
      <c r="NO1725" s="227"/>
      <c r="NP1725" s="227"/>
      <c r="NQ1725" s="227"/>
      <c r="NR1725" s="227"/>
      <c r="NS1725" s="227"/>
      <c r="NT1725" s="227"/>
      <c r="NU1725" s="227"/>
      <c r="NV1725" s="227"/>
      <c r="NW1725" s="227"/>
      <c r="NX1725" s="227"/>
      <c r="NY1725" s="227"/>
      <c r="NZ1725" s="227"/>
      <c r="OA1725" s="227"/>
      <c r="OB1725" s="227"/>
      <c r="OC1725" s="227"/>
      <c r="OD1725" s="227"/>
      <c r="OE1725" s="227"/>
      <c r="OF1725" s="227"/>
      <c r="OG1725" s="227"/>
      <c r="OH1725" s="227"/>
      <c r="OI1725" s="227"/>
      <c r="OJ1725" s="227"/>
      <c r="OK1725" s="227"/>
      <c r="OL1725" s="227"/>
      <c r="OM1725" s="227"/>
      <c r="ON1725" s="227"/>
      <c r="OO1725" s="227"/>
      <c r="OP1725" s="227"/>
      <c r="OQ1725" s="227"/>
      <c r="OR1725" s="227"/>
      <c r="OS1725" s="227"/>
      <c r="OT1725" s="227"/>
      <c r="OU1725" s="227"/>
      <c r="OV1725" s="227"/>
      <c r="OW1725" s="227"/>
      <c r="OX1725" s="227"/>
      <c r="OY1725" s="227"/>
      <c r="OZ1725" s="227"/>
      <c r="PA1725" s="227"/>
      <c r="PB1725" s="227"/>
      <c r="PC1725" s="227"/>
      <c r="PD1725" s="227"/>
      <c r="PE1725" s="227"/>
      <c r="PF1725" s="227"/>
      <c r="PG1725" s="227"/>
      <c r="PH1725" s="227"/>
      <c r="PI1725" s="227"/>
      <c r="PJ1725" s="227"/>
      <c r="PK1725" s="227"/>
      <c r="PL1725" s="227"/>
      <c r="PM1725" s="227"/>
      <c r="PN1725" s="227"/>
      <c r="PO1725" s="227"/>
      <c r="PP1725" s="227"/>
      <c r="PQ1725" s="227"/>
      <c r="PR1725" s="227"/>
      <c r="PS1725" s="227"/>
      <c r="PT1725" s="227"/>
      <c r="PU1725" s="227"/>
      <c r="PV1725" s="227"/>
      <c r="PW1725" s="227"/>
      <c r="PX1725" s="227"/>
      <c r="PY1725" s="227"/>
      <c r="PZ1725" s="227"/>
      <c r="QA1725" s="227"/>
      <c r="QB1725" s="227"/>
      <c r="QC1725" s="227"/>
      <c r="QD1725" s="227"/>
      <c r="QE1725" s="227"/>
      <c r="QF1725" s="227"/>
      <c r="QG1725" s="227"/>
      <c r="QH1725" s="227"/>
      <c r="QI1725" s="227"/>
      <c r="QJ1725" s="227"/>
      <c r="QK1725" s="227"/>
      <c r="QL1725" s="227"/>
      <c r="QM1725" s="227"/>
      <c r="QN1725" s="227"/>
      <c r="QO1725" s="227"/>
      <c r="QP1725" s="227"/>
      <c r="QQ1725" s="227"/>
      <c r="QR1725" s="227"/>
      <c r="QS1725" s="227"/>
      <c r="QT1725" s="227"/>
      <c r="QU1725" s="227"/>
      <c r="QV1725" s="227"/>
      <c r="QW1725" s="227"/>
      <c r="QX1725" s="227"/>
      <c r="QY1725" s="227"/>
      <c r="QZ1725" s="227"/>
      <c r="RA1725" s="227"/>
      <c r="RB1725" s="227"/>
      <c r="RC1725" s="227"/>
      <c r="RD1725" s="227"/>
      <c r="RE1725" s="227"/>
      <c r="RF1725" s="227"/>
      <c r="RG1725" s="227"/>
      <c r="RH1725" s="227"/>
      <c r="RI1725" s="227"/>
      <c r="RJ1725" s="227"/>
      <c r="RK1725" s="227"/>
      <c r="RL1725" s="227"/>
      <c r="RM1725" s="227"/>
      <c r="RN1725" s="227"/>
      <c r="RO1725" s="227"/>
      <c r="RP1725" s="227"/>
      <c r="RQ1725" s="227"/>
      <c r="RR1725" s="227"/>
      <c r="RS1725" s="227"/>
      <c r="RT1725" s="227"/>
      <c r="RU1725" s="227"/>
      <c r="RV1725" s="227"/>
      <c r="RW1725" s="227"/>
      <c r="RX1725" s="227"/>
      <c r="RY1725" s="227"/>
      <c r="RZ1725" s="227"/>
      <c r="SA1725" s="227"/>
      <c r="SB1725" s="227"/>
      <c r="SC1725" s="227"/>
      <c r="SD1725" s="227"/>
      <c r="SE1725" s="227"/>
      <c r="SF1725" s="227"/>
      <c r="SG1725" s="227"/>
      <c r="SH1725" s="227"/>
      <c r="SI1725" s="227"/>
      <c r="SJ1725" s="227"/>
      <c r="SK1725" s="227"/>
      <c r="SL1725" s="227"/>
      <c r="SM1725" s="227"/>
      <c r="SN1725" s="227"/>
      <c r="SO1725" s="227"/>
      <c r="SP1725" s="227"/>
      <c r="SQ1725" s="227"/>
      <c r="SR1725" s="227"/>
      <c r="SS1725" s="227"/>
      <c r="ST1725" s="227"/>
      <c r="SU1725" s="227"/>
      <c r="SV1725" s="227"/>
      <c r="SW1725" s="227"/>
      <c r="SX1725" s="227"/>
      <c r="SY1725" s="227"/>
      <c r="SZ1725" s="227"/>
      <c r="TA1725" s="227"/>
      <c r="TB1725" s="227"/>
      <c r="TC1725" s="227"/>
      <c r="TD1725" s="227"/>
      <c r="TE1725" s="227"/>
      <c r="TF1725" s="227"/>
      <c r="TG1725" s="227"/>
      <c r="TH1725" s="227"/>
      <c r="TI1725" s="227"/>
      <c r="TJ1725" s="227"/>
      <c r="TK1725" s="227"/>
      <c r="TL1725" s="227"/>
      <c r="TM1725" s="227"/>
      <c r="TN1725" s="227"/>
      <c r="TO1725" s="227"/>
      <c r="TP1725" s="227"/>
      <c r="TQ1725" s="227"/>
      <c r="TR1725" s="227"/>
      <c r="TS1725" s="227"/>
      <c r="TT1725" s="227"/>
      <c r="TU1725" s="227"/>
      <c r="TV1725" s="227"/>
      <c r="TW1725" s="227"/>
      <c r="TX1725" s="227"/>
      <c r="TY1725" s="227"/>
      <c r="TZ1725" s="227"/>
      <c r="UA1725" s="227"/>
      <c r="UB1725" s="227"/>
      <c r="UC1725" s="227"/>
      <c r="UD1725" s="227"/>
      <c r="UE1725" s="227"/>
      <c r="UF1725" s="227"/>
      <c r="UG1725" s="227"/>
      <c r="UH1725" s="227"/>
      <c r="UI1725" s="227"/>
      <c r="UJ1725" s="227"/>
      <c r="UK1725" s="227"/>
      <c r="UL1725" s="227"/>
      <c r="UM1725" s="227"/>
      <c r="UN1725" s="227"/>
      <c r="UO1725" s="227"/>
      <c r="UP1725" s="227"/>
      <c r="UQ1725" s="227"/>
      <c r="UR1725" s="227"/>
      <c r="US1725" s="227"/>
      <c r="UT1725" s="227"/>
      <c r="UU1725" s="227"/>
      <c r="UV1725" s="227"/>
      <c r="UW1725" s="227"/>
      <c r="UX1725" s="227"/>
      <c r="UY1725" s="227"/>
      <c r="UZ1725" s="227"/>
      <c r="VA1725" s="227"/>
      <c r="VB1725" s="227"/>
      <c r="VC1725" s="227"/>
      <c r="VD1725" s="227"/>
      <c r="VE1725" s="227"/>
      <c r="VF1725" s="227"/>
      <c r="VG1725" s="227"/>
      <c r="VH1725" s="227"/>
      <c r="VI1725" s="227"/>
      <c r="VJ1725" s="227"/>
      <c r="VK1725" s="227"/>
      <c r="VL1725" s="227"/>
      <c r="VM1725" s="227"/>
      <c r="VN1725" s="227"/>
      <c r="VO1725" s="227"/>
      <c r="VP1725" s="227"/>
      <c r="VQ1725" s="227"/>
      <c r="VR1725" s="227"/>
      <c r="VS1725" s="227"/>
      <c r="VT1725" s="227"/>
      <c r="VU1725" s="227"/>
      <c r="VV1725" s="227"/>
      <c r="VW1725" s="227"/>
      <c r="VX1725" s="227"/>
      <c r="VY1725" s="227"/>
      <c r="VZ1725" s="227"/>
      <c r="WA1725" s="227"/>
      <c r="WB1725" s="227"/>
      <c r="WC1725" s="227"/>
      <c r="WD1725" s="227"/>
      <c r="WE1725" s="227"/>
      <c r="WF1725" s="227"/>
      <c r="WG1725" s="227"/>
      <c r="WH1725" s="227"/>
      <c r="WI1725" s="227"/>
      <c r="WJ1725" s="227"/>
      <c r="WK1725" s="227"/>
      <c r="WL1725" s="227"/>
      <c r="WM1725" s="227"/>
      <c r="WN1725" s="227"/>
      <c r="WO1725" s="227"/>
      <c r="WP1725" s="227"/>
      <c r="WQ1725" s="227"/>
      <c r="WR1725" s="227"/>
      <c r="WS1725" s="227"/>
      <c r="WT1725" s="227"/>
      <c r="WU1725" s="227"/>
      <c r="WV1725" s="227"/>
      <c r="WW1725" s="227"/>
      <c r="WX1725" s="227"/>
      <c r="WY1725" s="227"/>
      <c r="WZ1725" s="227"/>
      <c r="XA1725" s="227"/>
      <c r="XB1725" s="227"/>
      <c r="XC1725" s="227"/>
      <c r="XD1725" s="227"/>
      <c r="XE1725" s="227"/>
      <c r="XF1725" s="227"/>
      <c r="XG1725" s="227"/>
      <c r="XH1725" s="227"/>
      <c r="XI1725" s="227"/>
      <c r="XJ1725" s="227"/>
      <c r="XK1725" s="227"/>
      <c r="XL1725" s="227"/>
      <c r="XM1725" s="227"/>
      <c r="XN1725" s="227"/>
      <c r="XO1725" s="227"/>
      <c r="XP1725" s="227"/>
      <c r="XQ1725" s="227"/>
      <c r="XR1725" s="227"/>
      <c r="XS1725" s="227"/>
      <c r="XT1725" s="227"/>
      <c r="XU1725" s="227"/>
      <c r="XV1725" s="227"/>
      <c r="XW1725" s="227"/>
      <c r="XX1725" s="227"/>
      <c r="XY1725" s="227"/>
      <c r="XZ1725" s="227"/>
      <c r="YA1725" s="227"/>
      <c r="YB1725" s="227"/>
      <c r="YC1725" s="227"/>
      <c r="YD1725" s="227"/>
      <c r="YE1725" s="227"/>
      <c r="YF1725" s="227"/>
      <c r="YG1725" s="227"/>
      <c r="YH1725" s="227"/>
      <c r="YI1725" s="227"/>
      <c r="YJ1725" s="227"/>
      <c r="YK1725" s="227"/>
      <c r="YL1725" s="227"/>
      <c r="YM1725" s="227"/>
      <c r="YN1725" s="227"/>
      <c r="YO1725" s="227"/>
      <c r="YP1725" s="227"/>
      <c r="YQ1725" s="227"/>
      <c r="YR1725" s="227"/>
      <c r="YS1725" s="227"/>
      <c r="YT1725" s="227"/>
      <c r="YU1725" s="227"/>
      <c r="YV1725" s="227"/>
      <c r="YW1725" s="227"/>
      <c r="YX1725" s="227"/>
      <c r="YY1725" s="227"/>
      <c r="YZ1725" s="227"/>
      <c r="ZA1725" s="227"/>
      <c r="ZB1725" s="227"/>
      <c r="ZC1725" s="227"/>
      <c r="ZD1725" s="227"/>
      <c r="ZE1725" s="227"/>
      <c r="ZF1725" s="227"/>
      <c r="ZG1725" s="227"/>
      <c r="ZH1725" s="227"/>
      <c r="ZI1725" s="227"/>
      <c r="ZJ1725" s="227"/>
      <c r="ZK1725" s="227"/>
      <c r="ZL1725" s="227"/>
      <c r="ZM1725" s="227"/>
      <c r="ZN1725" s="227"/>
      <c r="ZO1725" s="227"/>
      <c r="ZP1725" s="227"/>
      <c r="ZQ1725" s="227"/>
      <c r="ZR1725" s="227"/>
      <c r="ZS1725" s="227"/>
      <c r="ZT1725" s="227"/>
      <c r="ZU1725" s="227"/>
      <c r="ZV1725" s="227"/>
      <c r="ZW1725" s="227"/>
      <c r="ZX1725" s="227"/>
      <c r="ZY1725" s="227"/>
      <c r="ZZ1725" s="227"/>
      <c r="AAA1725" s="227"/>
      <c r="AAB1725" s="227"/>
      <c r="AAC1725" s="227"/>
      <c r="AAD1725" s="227"/>
      <c r="AAE1725" s="227"/>
      <c r="AAF1725" s="227"/>
      <c r="AAG1725" s="227"/>
      <c r="AAH1725" s="227"/>
      <c r="AAI1725" s="227"/>
      <c r="AAJ1725" s="227"/>
      <c r="AAK1725" s="227"/>
      <c r="AAL1725" s="227"/>
      <c r="AAM1725" s="227"/>
      <c r="AAN1725" s="227"/>
      <c r="AAO1725" s="227"/>
      <c r="AAP1725" s="227"/>
      <c r="AAQ1725" s="227"/>
      <c r="AAR1725" s="227"/>
      <c r="AAS1725" s="227"/>
      <c r="AAT1725" s="227"/>
      <c r="AAU1725" s="227"/>
      <c r="AAV1725" s="227"/>
      <c r="AAW1725" s="227"/>
      <c r="AAX1725" s="227"/>
      <c r="AAY1725" s="227"/>
      <c r="AAZ1725" s="227"/>
      <c r="ABA1725" s="227"/>
      <c r="ABB1725" s="227"/>
      <c r="ABC1725" s="227"/>
      <c r="ABD1725" s="227"/>
      <c r="ABE1725" s="227"/>
      <c r="ABF1725" s="227"/>
      <c r="ABG1725" s="227"/>
      <c r="ABH1725" s="227"/>
      <c r="ABI1725" s="227"/>
      <c r="ABJ1725" s="227"/>
      <c r="ABK1725" s="227"/>
      <c r="ABL1725" s="227"/>
      <c r="ABM1725" s="227"/>
      <c r="ABN1725" s="227"/>
      <c r="ABO1725" s="227"/>
      <c r="ABP1725" s="227"/>
      <c r="ABQ1725" s="227"/>
      <c r="ABR1725" s="227"/>
      <c r="ABS1725" s="227"/>
      <c r="ABT1725" s="227"/>
      <c r="ABU1725" s="227"/>
      <c r="ABV1725" s="227"/>
      <c r="ABW1725" s="227"/>
      <c r="ABX1725" s="227"/>
      <c r="ABY1725" s="227"/>
      <c r="ABZ1725" s="227"/>
      <c r="ACA1725" s="227"/>
      <c r="ACB1725" s="227"/>
      <c r="ACC1725" s="227"/>
      <c r="ACD1725" s="227"/>
      <c r="ACE1725" s="227"/>
      <c r="ACF1725" s="227"/>
      <c r="ACG1725" s="227"/>
      <c r="ACH1725" s="227"/>
      <c r="ACI1725" s="227"/>
      <c r="ACJ1725" s="227"/>
      <c r="ACK1725" s="227"/>
      <c r="ACL1725" s="227"/>
      <c r="ACM1725" s="227"/>
      <c r="ACN1725" s="227"/>
      <c r="ACO1725" s="227"/>
      <c r="ACP1725" s="227"/>
      <c r="ACQ1725" s="227"/>
      <c r="ACR1725" s="227"/>
      <c r="ACS1725" s="227"/>
      <c r="ACT1725" s="227"/>
      <c r="ACU1725" s="227"/>
      <c r="ACV1725" s="227"/>
      <c r="ACW1725" s="227"/>
      <c r="ACX1725" s="227"/>
      <c r="ACY1725" s="227"/>
      <c r="ACZ1725" s="227"/>
      <c r="ADA1725" s="227"/>
      <c r="ADB1725" s="227"/>
      <c r="ADC1725" s="227"/>
      <c r="ADD1725" s="227"/>
      <c r="ADE1725" s="227"/>
      <c r="ADF1725" s="227"/>
      <c r="ADG1725" s="227"/>
      <c r="ADH1725" s="227"/>
      <c r="ADI1725" s="227"/>
      <c r="ADJ1725" s="227"/>
      <c r="ADK1725" s="227"/>
      <c r="ADL1725" s="227"/>
      <c r="ADM1725" s="227"/>
      <c r="ADN1725" s="227"/>
      <c r="ADO1725" s="227"/>
      <c r="ADP1725" s="227"/>
      <c r="ADQ1725" s="227"/>
      <c r="ADR1725" s="227"/>
      <c r="ADS1725" s="227"/>
      <c r="ADT1725" s="227"/>
      <c r="ADU1725" s="227"/>
      <c r="ADV1725" s="227"/>
      <c r="ADW1725" s="227"/>
      <c r="ADX1725" s="227"/>
      <c r="ADY1725" s="227"/>
      <c r="ADZ1725" s="227"/>
      <c r="AEA1725" s="227"/>
      <c r="AEB1725" s="227"/>
      <c r="AEC1725" s="227"/>
      <c r="AED1725" s="227"/>
      <c r="AEE1725" s="227"/>
      <c r="AEF1725" s="227"/>
      <c r="AEG1725" s="227"/>
      <c r="AEH1725" s="227"/>
      <c r="AEI1725" s="227"/>
      <c r="AEJ1725" s="227"/>
      <c r="AEK1725" s="227"/>
      <c r="AEL1725" s="227"/>
      <c r="AEM1725" s="227"/>
      <c r="AEN1725" s="227"/>
      <c r="AEO1725" s="227"/>
      <c r="AEP1725" s="227"/>
      <c r="AEQ1725" s="227"/>
      <c r="AER1725" s="227"/>
      <c r="AES1725" s="227"/>
      <c r="AET1725" s="227"/>
      <c r="AEU1725" s="227"/>
      <c r="AEV1725" s="227"/>
      <c r="AEW1725" s="227"/>
      <c r="AEX1725" s="227"/>
      <c r="AEY1725" s="227"/>
      <c r="AEZ1725" s="227"/>
      <c r="AFA1725" s="227"/>
      <c r="AFB1725" s="227"/>
      <c r="AFC1725" s="227"/>
      <c r="AFD1725" s="227"/>
      <c r="AFE1725" s="227"/>
      <c r="AFF1725" s="227"/>
      <c r="AFG1725" s="227"/>
      <c r="AFH1725" s="227"/>
      <c r="AFI1725" s="227"/>
      <c r="AFJ1725" s="227"/>
      <c r="AFK1725" s="227"/>
      <c r="AFL1725" s="227"/>
      <c r="AFM1725" s="227"/>
      <c r="AFN1725" s="227"/>
      <c r="AFO1725" s="227"/>
      <c r="AFP1725" s="227"/>
      <c r="AFQ1725" s="227"/>
      <c r="AFR1725" s="227"/>
      <c r="AFS1725" s="227"/>
      <c r="AFT1725" s="227"/>
      <c r="AFU1725" s="227"/>
      <c r="AFV1725" s="227"/>
      <c r="AFW1725" s="227"/>
      <c r="AFX1725" s="227"/>
      <c r="AFY1725" s="227"/>
      <c r="AFZ1725" s="227"/>
      <c r="AGA1725" s="227"/>
      <c r="AGB1725" s="227"/>
      <c r="AGC1725" s="227"/>
      <c r="AGD1725" s="227"/>
      <c r="AGE1725" s="227"/>
      <c r="AGF1725" s="227"/>
      <c r="AGG1725" s="227"/>
      <c r="AGH1725" s="227"/>
      <c r="AGI1725" s="227"/>
      <c r="AGJ1725" s="227"/>
      <c r="AGK1725" s="227"/>
      <c r="AGL1725" s="227"/>
      <c r="AGM1725" s="227"/>
      <c r="AGN1725" s="227"/>
      <c r="AGO1725" s="227"/>
      <c r="AGP1725" s="227"/>
      <c r="AGQ1725" s="227"/>
      <c r="AGR1725" s="227"/>
      <c r="AGS1725" s="227"/>
      <c r="AGT1725" s="227"/>
      <c r="AGU1725" s="227"/>
      <c r="AGV1725" s="227"/>
      <c r="AGW1725" s="227"/>
      <c r="AGX1725" s="227"/>
      <c r="AGY1725" s="227"/>
      <c r="AGZ1725" s="227"/>
      <c r="AHA1725" s="227"/>
      <c r="AHB1725" s="227"/>
      <c r="AHC1725" s="227"/>
      <c r="AHD1725" s="227"/>
      <c r="AHE1725" s="227"/>
      <c r="AHF1725" s="227"/>
      <c r="AHG1725" s="227"/>
      <c r="AHH1725" s="227"/>
      <c r="AHI1725" s="227"/>
      <c r="AHJ1725" s="227"/>
      <c r="AHK1725" s="227"/>
      <c r="AHL1725" s="227"/>
      <c r="AHM1725" s="227"/>
      <c r="AHN1725" s="227"/>
      <c r="AHO1725" s="227"/>
      <c r="AHP1725" s="227"/>
      <c r="AHQ1725" s="227"/>
      <c r="AHR1725" s="227"/>
      <c r="AHS1725" s="227"/>
      <c r="AHT1725" s="227"/>
      <c r="AHU1725" s="227"/>
      <c r="AHV1725" s="227"/>
      <c r="AHW1725" s="227"/>
      <c r="AHX1725" s="227"/>
      <c r="AHY1725" s="227"/>
      <c r="AHZ1725" s="227"/>
      <c r="AIA1725" s="227"/>
      <c r="AIB1725" s="227"/>
      <c r="AIC1725" s="227"/>
      <c r="AID1725" s="227"/>
      <c r="AIE1725" s="227"/>
      <c r="AIF1725" s="227"/>
      <c r="AIG1725" s="227"/>
      <c r="AIH1725" s="227"/>
      <c r="AII1725" s="227"/>
      <c r="AIJ1725" s="227"/>
      <c r="AIK1725" s="227"/>
      <c r="AIL1725" s="227"/>
      <c r="AIM1725" s="227"/>
      <c r="AIN1725" s="227"/>
      <c r="AIO1725" s="227"/>
      <c r="AIP1725" s="227"/>
      <c r="AIQ1725" s="227"/>
      <c r="AIR1725" s="227"/>
      <c r="AIS1725" s="227"/>
      <c r="AIT1725" s="227"/>
      <c r="AIU1725" s="227"/>
      <c r="AIV1725" s="227"/>
      <c r="AIW1725" s="227"/>
      <c r="AIX1725" s="227"/>
      <c r="AIY1725" s="227"/>
      <c r="AIZ1725" s="227"/>
      <c r="AJA1725" s="227"/>
      <c r="AJB1725" s="227"/>
      <c r="AJC1725" s="227"/>
      <c r="AJD1725" s="227"/>
      <c r="AJE1725" s="227"/>
      <c r="AJF1725" s="227"/>
      <c r="AJG1725" s="227"/>
      <c r="AJH1725" s="227"/>
      <c r="AJI1725" s="227"/>
      <c r="AJJ1725" s="227"/>
      <c r="AJK1725" s="227"/>
      <c r="AJL1725" s="227"/>
      <c r="AJM1725" s="227"/>
      <c r="AJN1725" s="227"/>
      <c r="AJO1725" s="227"/>
      <c r="AJP1725" s="227"/>
      <c r="AJQ1725" s="227"/>
      <c r="AJR1725" s="227"/>
      <c r="AJS1725" s="227"/>
      <c r="AJT1725" s="227"/>
      <c r="AJU1725" s="227"/>
      <c r="AJV1725" s="227"/>
      <c r="AJW1725" s="227"/>
      <c r="AJX1725" s="227"/>
      <c r="AJY1725" s="227"/>
      <c r="AJZ1725" s="227"/>
      <c r="AKA1725" s="227"/>
      <c r="AKB1725" s="227"/>
      <c r="AKC1725" s="227"/>
      <c r="AKD1725" s="227"/>
      <c r="AKE1725" s="227"/>
      <c r="AKF1725" s="227"/>
      <c r="AKG1725" s="227"/>
      <c r="AKH1725" s="227"/>
      <c r="AKI1725" s="227"/>
      <c r="AKJ1725" s="227"/>
      <c r="AKK1725" s="227"/>
      <c r="AKL1725" s="227"/>
      <c r="AKM1725" s="227"/>
      <c r="AKN1725" s="227"/>
      <c r="AKO1725" s="227"/>
      <c r="AKP1725" s="227"/>
      <c r="AKQ1725" s="227"/>
      <c r="AKR1725" s="227"/>
      <c r="AKS1725" s="227"/>
      <c r="AKT1725" s="227"/>
      <c r="AKU1725" s="227"/>
      <c r="AKV1725" s="227"/>
      <c r="AKW1725" s="227"/>
      <c r="AKX1725" s="227"/>
      <c r="AKY1725" s="227"/>
      <c r="AKZ1725" s="227"/>
      <c r="ALA1725" s="227"/>
      <c r="ALB1725" s="227"/>
      <c r="ALC1725" s="227"/>
      <c r="ALD1725" s="227"/>
      <c r="ALE1725" s="227"/>
      <c r="ALF1725" s="227"/>
      <c r="ALG1725" s="227"/>
      <c r="ALH1725" s="227"/>
      <c r="ALI1725" s="227"/>
      <c r="ALJ1725" s="227"/>
      <c r="ALK1725" s="227"/>
      <c r="ALL1725" s="227"/>
      <c r="ALM1725" s="227"/>
      <c r="ALN1725" s="227"/>
      <c r="ALO1725" s="227"/>
      <c r="ALP1725" s="227"/>
      <c r="ALQ1725" s="227"/>
      <c r="ALR1725" s="227"/>
      <c r="ALS1725" s="227"/>
      <c r="ALT1725" s="227"/>
      <c r="ALU1725" s="227"/>
      <c r="ALV1725" s="227"/>
      <c r="ALW1725" s="227"/>
      <c r="ALX1725" s="227"/>
      <c r="ALY1725" s="227"/>
      <c r="ALZ1725" s="227"/>
      <c r="AMA1725" s="227"/>
      <c r="AMB1725" s="227"/>
      <c r="AMC1725" s="227"/>
      <c r="AMD1725" s="227"/>
      <c r="AME1725" s="227"/>
      <c r="AMF1725" s="227"/>
      <c r="AMG1725" s="227"/>
      <c r="AMH1725" s="227"/>
      <c r="AMI1725" s="227"/>
      <c r="AMJ1725" s="227"/>
      <c r="AMK1725" s="227"/>
      <c r="AML1725" s="227"/>
      <c r="AMM1725" s="227"/>
      <c r="AMN1725" s="227"/>
      <c r="AMO1725" s="227"/>
      <c r="AMP1725" s="227"/>
      <c r="AMQ1725" s="227"/>
      <c r="AMR1725" s="227"/>
      <c r="AMS1725" s="227"/>
      <c r="AMT1725" s="227"/>
      <c r="AMU1725" s="227"/>
      <c r="AMV1725" s="227"/>
      <c r="AMW1725" s="227"/>
      <c r="AMX1725" s="227"/>
      <c r="AMY1725" s="227"/>
      <c r="AMZ1725" s="227"/>
      <c r="ANA1725" s="227"/>
      <c r="ANB1725" s="227"/>
      <c r="ANC1725" s="227"/>
      <c r="AND1725" s="227"/>
      <c r="ANE1725" s="227"/>
      <c r="ANF1725" s="227"/>
      <c r="ANG1725" s="227"/>
      <c r="ANH1725" s="227"/>
      <c r="ANI1725" s="227"/>
      <c r="ANJ1725" s="227"/>
      <c r="ANK1725" s="227"/>
      <c r="ANL1725" s="227"/>
      <c r="ANM1725" s="227"/>
      <c r="ANN1725" s="227"/>
      <c r="ANO1725" s="227"/>
      <c r="ANP1725" s="227"/>
      <c r="ANQ1725" s="227"/>
      <c r="ANR1725" s="227"/>
      <c r="ANS1725" s="227"/>
      <c r="ANT1725" s="227"/>
      <c r="ANU1725" s="227"/>
      <c r="ANV1725" s="227"/>
      <c r="ANW1725" s="227"/>
      <c r="ANX1725" s="227"/>
      <c r="ANY1725" s="227"/>
      <c r="ANZ1725" s="227"/>
      <c r="AOA1725" s="227"/>
      <c r="AOB1725" s="227"/>
      <c r="AOC1725" s="227"/>
      <c r="AOD1725" s="227"/>
      <c r="AOE1725" s="227"/>
      <c r="AOF1725" s="227"/>
      <c r="AOG1725" s="227"/>
      <c r="AOH1725" s="227"/>
      <c r="AOI1725" s="227"/>
      <c r="AOJ1725" s="227"/>
      <c r="AOK1725" s="227"/>
      <c r="AOL1725" s="227"/>
      <c r="AOM1725" s="227"/>
      <c r="AON1725" s="227"/>
      <c r="AOO1725" s="227"/>
      <c r="AOP1725" s="227"/>
      <c r="AOQ1725" s="227"/>
      <c r="AOR1725" s="227"/>
      <c r="AOS1725" s="227"/>
      <c r="AOT1725" s="227"/>
      <c r="AOU1725" s="227"/>
      <c r="AOV1725" s="227"/>
      <c r="AOW1725" s="227"/>
      <c r="AOX1725" s="227"/>
      <c r="AOY1725" s="227"/>
      <c r="AOZ1725" s="227"/>
      <c r="APA1725" s="227"/>
      <c r="APB1725" s="227"/>
      <c r="APC1725" s="227"/>
      <c r="APD1725" s="227"/>
      <c r="APE1725" s="227"/>
      <c r="APF1725" s="227"/>
      <c r="APG1725" s="227"/>
      <c r="APH1725" s="227"/>
      <c r="API1725" s="227"/>
      <c r="APJ1725" s="227"/>
      <c r="APK1725" s="227"/>
      <c r="APL1725" s="227"/>
      <c r="APM1725" s="227"/>
      <c r="APN1725" s="227"/>
      <c r="APO1725" s="227"/>
      <c r="APP1725" s="227"/>
      <c r="APQ1725" s="227"/>
      <c r="APR1725" s="227"/>
      <c r="APS1725" s="227"/>
      <c r="APT1725" s="227"/>
      <c r="APU1725" s="227"/>
      <c r="APV1725" s="227"/>
      <c r="APW1725" s="227"/>
      <c r="APX1725" s="227"/>
      <c r="APY1725" s="227"/>
      <c r="APZ1725" s="227"/>
      <c r="AQA1725" s="227"/>
      <c r="AQB1725" s="227"/>
      <c r="AQC1725" s="227"/>
      <c r="AQD1725" s="227"/>
      <c r="AQE1725" s="227"/>
      <c r="AQF1725" s="227"/>
      <c r="AQG1725" s="227"/>
      <c r="AQH1725" s="227"/>
      <c r="AQI1725" s="227"/>
      <c r="AQJ1725" s="227"/>
      <c r="AQK1725" s="227"/>
      <c r="AQL1725" s="227"/>
      <c r="AQM1725" s="227"/>
      <c r="AQN1725" s="227"/>
      <c r="AQO1725" s="227"/>
      <c r="AQP1725" s="227"/>
      <c r="AQQ1725" s="227"/>
      <c r="AQR1725" s="227"/>
      <c r="AQS1725" s="227"/>
      <c r="AQT1725" s="227"/>
      <c r="AQU1725" s="227"/>
      <c r="AQV1725" s="227"/>
      <c r="AQW1725" s="227"/>
      <c r="AQX1725" s="227"/>
      <c r="AQY1725" s="227"/>
      <c r="AQZ1725" s="227"/>
      <c r="ARA1725" s="227"/>
      <c r="ARB1725" s="227"/>
      <c r="ARC1725" s="227"/>
      <c r="ARD1725" s="227"/>
      <c r="ARE1725" s="227"/>
      <c r="ARF1725" s="227"/>
      <c r="ARG1725" s="227"/>
      <c r="ARH1725" s="227"/>
      <c r="ARI1725" s="227"/>
      <c r="ARJ1725" s="227"/>
      <c r="ARK1725" s="227"/>
      <c r="ARL1725" s="227"/>
      <c r="ARM1725" s="227"/>
      <c r="ARN1725" s="227"/>
      <c r="ARO1725" s="227"/>
      <c r="ARP1725" s="227"/>
      <c r="ARQ1725" s="227"/>
      <c r="ARR1725" s="227"/>
      <c r="ARS1725" s="227"/>
      <c r="ART1725" s="227"/>
      <c r="ARU1725" s="227"/>
      <c r="ARV1725" s="227"/>
      <c r="ARW1725" s="227"/>
      <c r="ARX1725" s="227"/>
      <c r="ARY1725" s="227"/>
      <c r="ARZ1725" s="227"/>
      <c r="ASA1725" s="227"/>
      <c r="ASB1725" s="227"/>
      <c r="ASC1725" s="227"/>
      <c r="ASD1725" s="227"/>
      <c r="ASE1725" s="227"/>
      <c r="ASF1725" s="227"/>
      <c r="ASG1725" s="227"/>
      <c r="ASH1725" s="227"/>
      <c r="ASI1725" s="227"/>
      <c r="ASJ1725" s="227"/>
      <c r="ASK1725" s="227"/>
      <c r="ASL1725" s="227"/>
      <c r="ASM1725" s="227"/>
      <c r="ASN1725" s="227"/>
      <c r="ASO1725" s="227"/>
      <c r="ASP1725" s="227"/>
      <c r="ASQ1725" s="227"/>
      <c r="ASR1725" s="227"/>
      <c r="ASS1725" s="227"/>
      <c r="AST1725" s="227"/>
      <c r="ASU1725" s="227"/>
      <c r="ASV1725" s="227"/>
      <c r="ASW1725" s="227"/>
      <c r="ASX1725" s="227"/>
      <c r="ASY1725" s="227"/>
      <c r="ASZ1725" s="227"/>
      <c r="ATA1725" s="227"/>
      <c r="ATB1725" s="227"/>
      <c r="ATC1725" s="227"/>
      <c r="ATD1725" s="227"/>
      <c r="ATE1725" s="227"/>
      <c r="ATF1725" s="227"/>
      <c r="ATG1725" s="227"/>
      <c r="ATH1725" s="227"/>
      <c r="ATI1725" s="227"/>
      <c r="ATJ1725" s="227"/>
      <c r="ATK1725" s="227"/>
      <c r="ATL1725" s="227"/>
      <c r="ATM1725" s="227"/>
      <c r="ATN1725" s="227"/>
      <c r="ATO1725" s="227"/>
      <c r="ATP1725" s="227"/>
      <c r="ATQ1725" s="227"/>
      <c r="ATR1725" s="227"/>
      <c r="ATS1725" s="227"/>
      <c r="ATT1725" s="227"/>
      <c r="ATU1725" s="227"/>
      <c r="ATV1725" s="227"/>
      <c r="ATW1725" s="227"/>
      <c r="ATX1725" s="227"/>
      <c r="ATY1725" s="227"/>
      <c r="ATZ1725" s="227"/>
      <c r="AUA1725" s="227"/>
      <c r="AUB1725" s="227"/>
      <c r="AUC1725" s="227"/>
      <c r="AUD1725" s="227"/>
      <c r="AUE1725" s="227"/>
      <c r="AUF1725" s="227"/>
      <c r="AUG1725" s="227"/>
      <c r="AUH1725" s="227"/>
      <c r="AUI1725" s="227"/>
      <c r="AUJ1725" s="227"/>
      <c r="AUK1725" s="227"/>
      <c r="AUL1725" s="227"/>
      <c r="AUM1725" s="227"/>
      <c r="AUN1725" s="227"/>
      <c r="AUO1725" s="227"/>
      <c r="AUP1725" s="227"/>
      <c r="AUQ1725" s="227"/>
      <c r="AUR1725" s="227"/>
      <c r="AUS1725" s="227"/>
      <c r="AUT1725" s="227"/>
      <c r="AUU1725" s="227"/>
      <c r="AUV1725" s="227"/>
      <c r="AUW1725" s="227"/>
      <c r="AUX1725" s="227"/>
      <c r="AUY1725" s="227"/>
      <c r="AUZ1725" s="227"/>
      <c r="AVA1725" s="227"/>
      <c r="AVB1725" s="227"/>
      <c r="AVC1725" s="227"/>
      <c r="AVD1725" s="227"/>
      <c r="AVE1725" s="227"/>
      <c r="AVF1725" s="227"/>
      <c r="AVG1725" s="227"/>
      <c r="AVH1725" s="227"/>
      <c r="AVI1725" s="227"/>
      <c r="AVJ1725" s="227"/>
      <c r="AVK1725" s="227"/>
      <c r="AVL1725" s="227"/>
      <c r="AVM1725" s="227"/>
      <c r="AVN1725" s="227"/>
      <c r="AVO1725" s="227"/>
      <c r="AVP1725" s="227"/>
      <c r="AVQ1725" s="227"/>
      <c r="AVR1725" s="227"/>
      <c r="AVS1725" s="227"/>
      <c r="AVT1725" s="227"/>
      <c r="AVU1725" s="227"/>
      <c r="AVV1725" s="227"/>
      <c r="AVW1725" s="227"/>
      <c r="AVX1725" s="227"/>
      <c r="AVY1725" s="227"/>
      <c r="AVZ1725" s="227"/>
      <c r="AWA1725" s="227"/>
      <c r="AWB1725" s="227"/>
      <c r="AWC1725" s="227"/>
      <c r="AWD1725" s="227"/>
      <c r="AWE1725" s="227"/>
      <c r="AWF1725" s="227"/>
      <c r="AWG1725" s="227"/>
      <c r="AWH1725" s="227"/>
      <c r="AWI1725" s="227"/>
      <c r="AWJ1725" s="227"/>
      <c r="AWK1725" s="227"/>
      <c r="AWL1725" s="227"/>
      <c r="AWM1725" s="227"/>
      <c r="AWN1725" s="227"/>
      <c r="AWO1725" s="227"/>
      <c r="AWP1725" s="227"/>
      <c r="AWQ1725" s="227"/>
      <c r="AWR1725" s="227"/>
      <c r="AWS1725" s="227"/>
      <c r="AWT1725" s="227"/>
      <c r="AWU1725" s="227"/>
      <c r="AWV1725" s="227"/>
      <c r="AWW1725" s="227"/>
      <c r="AWX1725" s="227"/>
      <c r="AWY1725" s="227"/>
      <c r="AWZ1725" s="227"/>
      <c r="AXA1725" s="227"/>
      <c r="AXB1725" s="227"/>
      <c r="AXC1725" s="227"/>
      <c r="AXD1725" s="227"/>
      <c r="AXE1725" s="227"/>
      <c r="AXF1725" s="227"/>
      <c r="AXG1725" s="227"/>
      <c r="AXH1725" s="227"/>
      <c r="AXI1725" s="227"/>
      <c r="AXJ1725" s="227"/>
      <c r="AXK1725" s="227"/>
      <c r="AXL1725" s="227"/>
      <c r="AXM1725" s="227"/>
      <c r="AXN1725" s="227"/>
      <c r="AXO1725" s="227"/>
      <c r="AXP1725" s="227"/>
      <c r="AXQ1725" s="227"/>
      <c r="AXR1725" s="227"/>
      <c r="AXS1725" s="227"/>
      <c r="AXT1725" s="227"/>
      <c r="AXU1725" s="227"/>
      <c r="AXV1725" s="227"/>
      <c r="AXW1725" s="227"/>
      <c r="AXX1725" s="227"/>
      <c r="AXY1725" s="227"/>
      <c r="AXZ1725" s="227"/>
      <c r="AYA1725" s="227"/>
      <c r="AYB1725" s="227"/>
      <c r="AYC1725" s="227"/>
      <c r="AYD1725" s="227"/>
      <c r="AYE1725" s="227"/>
      <c r="AYF1725" s="227"/>
      <c r="AYG1725" s="227"/>
      <c r="AYH1725" s="227"/>
      <c r="AYI1725" s="227"/>
      <c r="AYJ1725" s="227"/>
      <c r="AYK1725" s="227"/>
      <c r="AYL1725" s="227"/>
      <c r="AYM1725" s="227"/>
      <c r="AYN1725" s="227"/>
      <c r="AYO1725" s="227"/>
      <c r="AYP1725" s="227"/>
      <c r="AYQ1725" s="227"/>
      <c r="AYR1725" s="227"/>
      <c r="AYS1725" s="227"/>
      <c r="AYT1725" s="227"/>
      <c r="AYU1725" s="227"/>
      <c r="AYV1725" s="227"/>
      <c r="AYW1725" s="227"/>
      <c r="AYX1725" s="227"/>
      <c r="AYY1725" s="227"/>
      <c r="AYZ1725" s="227"/>
      <c r="AZA1725" s="227"/>
      <c r="AZB1725" s="227"/>
      <c r="AZC1725" s="227"/>
      <c r="AZD1725" s="227"/>
      <c r="AZE1725" s="227"/>
      <c r="AZF1725" s="227"/>
      <c r="AZG1725" s="227"/>
      <c r="AZH1725" s="227"/>
      <c r="AZI1725" s="227"/>
      <c r="AZJ1725" s="227"/>
      <c r="AZK1725" s="227"/>
      <c r="AZL1725" s="227"/>
      <c r="AZM1725" s="227"/>
      <c r="AZN1725" s="227"/>
      <c r="AZO1725" s="227"/>
      <c r="AZP1725" s="227"/>
      <c r="AZQ1725" s="227"/>
      <c r="AZR1725" s="227"/>
      <c r="AZS1725" s="227"/>
      <c r="AZT1725" s="227"/>
      <c r="AZU1725" s="227"/>
      <c r="AZV1725" s="227"/>
      <c r="AZW1725" s="227"/>
      <c r="AZX1725" s="227"/>
      <c r="AZY1725" s="227"/>
      <c r="AZZ1725" s="227"/>
      <c r="BAA1725" s="227"/>
      <c r="BAB1725" s="227"/>
      <c r="BAC1725" s="227"/>
      <c r="BAD1725" s="227"/>
      <c r="BAE1725" s="227"/>
      <c r="BAF1725" s="227"/>
      <c r="BAG1725" s="227"/>
      <c r="BAH1725" s="227"/>
      <c r="BAI1725" s="227"/>
      <c r="BAJ1725" s="227"/>
      <c r="BAK1725" s="227"/>
      <c r="BAL1725" s="227"/>
      <c r="BAM1725" s="227"/>
      <c r="BAN1725" s="227"/>
      <c r="BAO1725" s="227"/>
      <c r="BAP1725" s="227"/>
      <c r="BAQ1725" s="227"/>
      <c r="BAR1725" s="227"/>
      <c r="BAS1725" s="227"/>
      <c r="BAT1725" s="227"/>
      <c r="BAU1725" s="227"/>
      <c r="BAV1725" s="227"/>
      <c r="BAW1725" s="227"/>
      <c r="BAX1725" s="227"/>
      <c r="BAY1725" s="227"/>
      <c r="BAZ1725" s="227"/>
      <c r="BBA1725" s="227"/>
      <c r="BBB1725" s="227"/>
      <c r="BBC1725" s="227"/>
      <c r="BBD1725" s="227"/>
      <c r="BBE1725" s="227"/>
      <c r="BBF1725" s="227"/>
      <c r="BBG1725" s="227"/>
      <c r="BBH1725" s="227"/>
      <c r="BBI1725" s="227"/>
      <c r="BBJ1725" s="227"/>
      <c r="BBK1725" s="227"/>
      <c r="BBL1725" s="227"/>
      <c r="BBM1725" s="227"/>
      <c r="BBN1725" s="227"/>
      <c r="BBO1725" s="227"/>
      <c r="BBP1725" s="227"/>
      <c r="BBQ1725" s="227"/>
      <c r="BBR1725" s="227"/>
      <c r="BBS1725" s="227"/>
      <c r="BBT1725" s="227"/>
      <c r="BBU1725" s="227"/>
      <c r="BBV1725" s="227"/>
      <c r="BBW1725" s="227"/>
      <c r="BBX1725" s="227"/>
      <c r="BBY1725" s="227"/>
      <c r="BBZ1725" s="227"/>
      <c r="BCA1725" s="227"/>
      <c r="BCB1725" s="227"/>
      <c r="BCC1725" s="227"/>
      <c r="BCD1725" s="227"/>
      <c r="BCE1725" s="227"/>
      <c r="BCF1725" s="227"/>
      <c r="BCG1725" s="227"/>
      <c r="BCH1725" s="227"/>
      <c r="BCI1725" s="227"/>
      <c r="BCJ1725" s="227"/>
      <c r="BCK1725" s="227"/>
      <c r="BCL1725" s="227"/>
      <c r="BCM1725" s="227"/>
      <c r="BCN1725" s="227"/>
      <c r="BCO1725" s="227"/>
      <c r="BCP1725" s="227"/>
      <c r="BCQ1725" s="227"/>
      <c r="BCR1725" s="227"/>
      <c r="BCS1725" s="227"/>
      <c r="BCT1725" s="227"/>
      <c r="BCU1725" s="227"/>
      <c r="BCV1725" s="227"/>
      <c r="BCW1725" s="227"/>
      <c r="BCX1725" s="227"/>
      <c r="BCY1725" s="227"/>
      <c r="BCZ1725" s="227"/>
      <c r="BDA1725" s="227"/>
      <c r="BDB1725" s="227"/>
      <c r="BDC1725" s="227"/>
      <c r="BDD1725" s="227"/>
      <c r="BDE1725" s="227"/>
      <c r="BDF1725" s="227"/>
      <c r="BDG1725" s="227"/>
      <c r="BDH1725" s="227"/>
      <c r="BDI1725" s="227"/>
      <c r="BDJ1725" s="227"/>
      <c r="BDK1725" s="227"/>
      <c r="BDL1725" s="227"/>
      <c r="BDM1725" s="227"/>
      <c r="BDN1725" s="227"/>
      <c r="BDO1725" s="227"/>
      <c r="BDP1725" s="227"/>
      <c r="BDQ1725" s="227"/>
      <c r="BDR1725" s="227"/>
      <c r="BDS1725" s="227"/>
      <c r="BDT1725" s="227"/>
      <c r="BDU1725" s="227"/>
      <c r="BDV1725" s="227"/>
      <c r="BDW1725" s="227"/>
      <c r="BDX1725" s="227"/>
      <c r="BDY1725" s="227"/>
      <c r="BDZ1725" s="227"/>
      <c r="BEA1725" s="227"/>
      <c r="BEB1725" s="227"/>
      <c r="BEC1725" s="227"/>
      <c r="BED1725" s="227"/>
      <c r="BEE1725" s="227"/>
      <c r="BEF1725" s="227"/>
      <c r="BEG1725" s="227"/>
      <c r="BEH1725" s="227"/>
      <c r="BEI1725" s="227"/>
      <c r="BEJ1725" s="227"/>
      <c r="BEK1725" s="227"/>
      <c r="BEL1725" s="227"/>
      <c r="BEM1725" s="227"/>
      <c r="BEN1725" s="227"/>
      <c r="BEO1725" s="227"/>
      <c r="BEP1725" s="227"/>
      <c r="BEQ1725" s="227"/>
      <c r="BER1725" s="227"/>
      <c r="BES1725" s="227"/>
      <c r="BET1725" s="227"/>
      <c r="BEU1725" s="227"/>
      <c r="BEV1725" s="227"/>
      <c r="BEW1725" s="227"/>
      <c r="BEX1725" s="227"/>
      <c r="BEY1725" s="227"/>
      <c r="BEZ1725" s="227"/>
      <c r="BFA1725" s="227"/>
      <c r="BFB1725" s="227"/>
      <c r="BFC1725" s="227"/>
      <c r="BFD1725" s="227"/>
      <c r="BFE1725" s="227"/>
      <c r="BFF1725" s="227"/>
      <c r="BFG1725" s="227"/>
      <c r="BFH1725" s="227"/>
      <c r="BFI1725" s="227"/>
      <c r="BFJ1725" s="227"/>
      <c r="BFK1725" s="227"/>
      <c r="BFL1725" s="227"/>
      <c r="BFM1725" s="227"/>
      <c r="BFN1725" s="227"/>
      <c r="BFO1725" s="227"/>
      <c r="BFP1725" s="227"/>
      <c r="BFQ1725" s="227"/>
      <c r="BFR1725" s="227"/>
      <c r="BFS1725" s="227"/>
      <c r="BFT1725" s="227"/>
      <c r="BFU1725" s="227"/>
      <c r="BFV1725" s="227"/>
      <c r="BFW1725" s="227"/>
      <c r="BFX1725" s="227"/>
      <c r="BFY1725" s="227"/>
      <c r="BFZ1725" s="227"/>
      <c r="BGA1725" s="227"/>
      <c r="BGB1725" s="227"/>
      <c r="BGC1725" s="227"/>
      <c r="BGD1725" s="227"/>
      <c r="BGE1725" s="227"/>
      <c r="BGF1725" s="227"/>
      <c r="BGG1725" s="227"/>
      <c r="BGH1725" s="227"/>
      <c r="BGI1725" s="227"/>
      <c r="BGJ1725" s="227"/>
      <c r="BGK1725" s="227"/>
      <c r="BGL1725" s="227"/>
      <c r="BGM1725" s="227"/>
      <c r="BGN1725" s="227"/>
      <c r="BGO1725" s="227"/>
      <c r="BGP1725" s="227"/>
      <c r="BGQ1725" s="227"/>
      <c r="BGR1725" s="227"/>
      <c r="BGS1725" s="227"/>
      <c r="BGT1725" s="227"/>
      <c r="BGU1725" s="227"/>
      <c r="BGV1725" s="227"/>
      <c r="BGW1725" s="227"/>
      <c r="BGX1725" s="227"/>
      <c r="BGY1725" s="227"/>
      <c r="BGZ1725" s="227"/>
      <c r="BHA1725" s="227"/>
      <c r="BHB1725" s="227"/>
      <c r="BHC1725" s="227"/>
      <c r="BHD1725" s="227"/>
      <c r="BHE1725" s="227"/>
      <c r="BHF1725" s="227"/>
      <c r="BHG1725" s="227"/>
      <c r="BHH1725" s="227"/>
      <c r="BHI1725" s="227"/>
      <c r="BHJ1725" s="227"/>
      <c r="BHK1725" s="227"/>
      <c r="BHL1725" s="227"/>
      <c r="BHM1725" s="227"/>
      <c r="BHN1725" s="227"/>
      <c r="BHO1725" s="227"/>
      <c r="BHP1725" s="227"/>
      <c r="BHQ1725" s="227"/>
      <c r="BHR1725" s="227"/>
      <c r="BHS1725" s="227"/>
      <c r="BHT1725" s="227"/>
      <c r="BHU1725" s="227"/>
      <c r="BHV1725" s="227"/>
      <c r="BHW1725" s="227"/>
      <c r="BHX1725" s="227"/>
      <c r="BHY1725" s="227"/>
      <c r="BHZ1725" s="227"/>
      <c r="BIA1725" s="227"/>
      <c r="BIB1725" s="227"/>
      <c r="BIC1725" s="227"/>
      <c r="BID1725" s="227"/>
      <c r="BIE1725" s="227"/>
      <c r="BIF1725" s="227"/>
      <c r="BIG1725" s="227"/>
      <c r="BIH1725" s="227"/>
      <c r="BII1725" s="227"/>
      <c r="BIJ1725" s="227"/>
      <c r="BIK1725" s="227"/>
      <c r="BIL1725" s="227"/>
      <c r="BIM1725" s="227"/>
      <c r="BIN1725" s="227"/>
      <c r="BIO1725" s="227"/>
      <c r="BIP1725" s="227"/>
      <c r="BIQ1725" s="227"/>
      <c r="BIR1725" s="227"/>
      <c r="BIS1725" s="227"/>
      <c r="BIT1725" s="227"/>
      <c r="BIU1725" s="227"/>
      <c r="BIV1725" s="227"/>
      <c r="BIW1725" s="227"/>
      <c r="BIX1725" s="227"/>
      <c r="BIY1725" s="227"/>
      <c r="BIZ1725" s="227"/>
      <c r="BJA1725" s="227"/>
      <c r="BJB1725" s="227"/>
      <c r="BJC1725" s="227"/>
      <c r="BJD1725" s="227"/>
      <c r="BJE1725" s="227"/>
      <c r="BJF1725" s="227"/>
      <c r="BJG1725" s="227"/>
      <c r="BJH1725" s="227"/>
      <c r="BJI1725" s="227"/>
      <c r="BJJ1725" s="227"/>
      <c r="BJK1725" s="227"/>
      <c r="BJL1725" s="227"/>
      <c r="BJM1725" s="227"/>
      <c r="BJN1725" s="227"/>
      <c r="BJO1725" s="227"/>
      <c r="BJP1725" s="227"/>
      <c r="BJQ1725" s="227"/>
      <c r="BJR1725" s="227"/>
      <c r="BJS1725" s="227"/>
      <c r="BJT1725" s="227"/>
      <c r="BJU1725" s="227"/>
      <c r="BJV1725" s="227"/>
      <c r="BJW1725" s="227"/>
      <c r="BJX1725" s="227"/>
      <c r="BJY1725" s="227"/>
      <c r="BJZ1725" s="227"/>
      <c r="BKA1725" s="227"/>
      <c r="BKB1725" s="227"/>
      <c r="BKC1725" s="227"/>
      <c r="BKD1725" s="227"/>
      <c r="BKE1725" s="227"/>
      <c r="BKF1725" s="227"/>
      <c r="BKG1725" s="227"/>
      <c r="BKH1725" s="227"/>
      <c r="BKI1725" s="227"/>
      <c r="BKJ1725" s="227"/>
      <c r="BKK1725" s="227"/>
      <c r="BKL1725" s="227"/>
      <c r="BKM1725" s="227"/>
      <c r="BKN1725" s="227"/>
      <c r="BKO1725" s="227"/>
      <c r="BKP1725" s="227"/>
      <c r="BKQ1725" s="227"/>
      <c r="BKR1725" s="227"/>
      <c r="BKS1725" s="227"/>
      <c r="BKT1725" s="227"/>
      <c r="BKU1725" s="227"/>
      <c r="BKV1725" s="227"/>
      <c r="BKW1725" s="227"/>
      <c r="BKX1725" s="227"/>
      <c r="BKY1725" s="227"/>
      <c r="BKZ1725" s="227"/>
      <c r="BLA1725" s="227"/>
      <c r="BLB1725" s="227"/>
      <c r="BLC1725" s="227"/>
      <c r="BLD1725" s="227"/>
      <c r="BLE1725" s="227"/>
      <c r="BLF1725" s="227"/>
      <c r="BLG1725" s="227"/>
      <c r="BLH1725" s="227"/>
      <c r="BLI1725" s="227"/>
      <c r="BLJ1725" s="227"/>
      <c r="BLK1725" s="227"/>
      <c r="BLL1725" s="227"/>
      <c r="BLM1725" s="227"/>
      <c r="BLN1725" s="227"/>
      <c r="BLO1725" s="227"/>
      <c r="BLP1725" s="227"/>
      <c r="BLQ1725" s="227"/>
      <c r="BLR1725" s="227"/>
      <c r="BLS1725" s="227"/>
      <c r="BLT1725" s="227"/>
      <c r="BLU1725" s="227"/>
      <c r="BLV1725" s="227"/>
      <c r="BLW1725" s="227"/>
      <c r="BLX1725" s="227"/>
      <c r="BLY1725" s="227"/>
      <c r="BLZ1725" s="227"/>
      <c r="BMA1725" s="227"/>
      <c r="BMB1725" s="227"/>
      <c r="BMC1725" s="227"/>
      <c r="BMD1725" s="227"/>
      <c r="BME1725" s="227"/>
      <c r="BMF1725" s="227"/>
      <c r="BMG1725" s="227"/>
      <c r="BMH1725" s="227"/>
      <c r="BMI1725" s="227"/>
      <c r="BMJ1725" s="227"/>
      <c r="BMK1725" s="227"/>
      <c r="BML1725" s="227"/>
      <c r="BMM1725" s="227"/>
      <c r="BMN1725" s="227"/>
      <c r="BMO1725" s="227"/>
      <c r="BMP1725" s="227"/>
      <c r="BMQ1725" s="227"/>
      <c r="BMR1725" s="227"/>
      <c r="BMS1725" s="227"/>
      <c r="BMT1725" s="227"/>
      <c r="BMU1725" s="227"/>
      <c r="BMV1725" s="227"/>
      <c r="BMW1725" s="227"/>
      <c r="BMX1725" s="227"/>
      <c r="BMY1725" s="227"/>
      <c r="BMZ1725" s="227"/>
      <c r="BNA1725" s="227"/>
      <c r="BNB1725" s="227"/>
      <c r="BNC1725" s="227"/>
      <c r="BND1725" s="227"/>
      <c r="BNE1725" s="227"/>
      <c r="BNF1725" s="227"/>
      <c r="BNG1725" s="227"/>
      <c r="BNH1725" s="227"/>
      <c r="BNI1725" s="227"/>
      <c r="BNJ1725" s="227"/>
      <c r="BNK1725" s="227"/>
      <c r="BNL1725" s="227"/>
      <c r="BNM1725" s="227"/>
      <c r="BNN1725" s="227"/>
      <c r="BNO1725" s="227"/>
      <c r="BNP1725" s="227"/>
      <c r="BNQ1725" s="227"/>
      <c r="BNR1725" s="227"/>
      <c r="BNS1725" s="227"/>
      <c r="BNT1725" s="227"/>
      <c r="BNU1725" s="227"/>
      <c r="BNV1725" s="227"/>
      <c r="BNW1725" s="227"/>
      <c r="BNX1725" s="227"/>
      <c r="BNY1725" s="227"/>
      <c r="BNZ1725" s="227"/>
      <c r="BOA1725" s="227"/>
      <c r="BOB1725" s="227"/>
      <c r="BOC1725" s="227"/>
      <c r="BOD1725" s="227"/>
      <c r="BOE1725" s="227"/>
      <c r="BOF1725" s="227"/>
      <c r="BOG1725" s="227"/>
      <c r="BOH1725" s="227"/>
      <c r="BOI1725" s="227"/>
      <c r="BOJ1725" s="227"/>
      <c r="BOK1725" s="227"/>
      <c r="BOL1725" s="227"/>
      <c r="BOM1725" s="227"/>
      <c r="BON1725" s="227"/>
      <c r="BOO1725" s="227"/>
      <c r="BOP1725" s="227"/>
      <c r="BOQ1725" s="227"/>
      <c r="BOR1725" s="227"/>
      <c r="BOS1725" s="227"/>
      <c r="BOT1725" s="227"/>
      <c r="BOU1725" s="227"/>
      <c r="BOV1725" s="227"/>
      <c r="BOW1725" s="227"/>
      <c r="BOX1725" s="227"/>
      <c r="BOY1725" s="227"/>
      <c r="BOZ1725" s="227"/>
      <c r="BPA1725" s="227"/>
      <c r="BPB1725" s="227"/>
      <c r="BPC1725" s="227"/>
      <c r="BPD1725" s="227"/>
      <c r="BPE1725" s="227"/>
      <c r="BPF1725" s="227"/>
      <c r="BPG1725" s="227"/>
      <c r="BPH1725" s="227"/>
      <c r="BPI1725" s="227"/>
      <c r="BPJ1725" s="227"/>
      <c r="BPK1725" s="227"/>
      <c r="BPL1725" s="227"/>
      <c r="BPM1725" s="227"/>
      <c r="BPN1725" s="227"/>
      <c r="BPO1725" s="227"/>
      <c r="BPP1725" s="227"/>
      <c r="BPQ1725" s="227"/>
      <c r="BPR1725" s="227"/>
      <c r="BPS1725" s="227"/>
      <c r="BPT1725" s="227"/>
      <c r="BPU1725" s="227"/>
      <c r="BPV1725" s="227"/>
      <c r="BPW1725" s="227"/>
      <c r="BPX1725" s="227"/>
      <c r="BPY1725" s="227"/>
      <c r="BPZ1725" s="227"/>
      <c r="BQA1725" s="227"/>
      <c r="BQB1725" s="227"/>
      <c r="BQC1725" s="227"/>
      <c r="BQD1725" s="227"/>
      <c r="BQE1725" s="227"/>
      <c r="BQF1725" s="227"/>
      <c r="BQG1725" s="227"/>
      <c r="BQH1725" s="227"/>
      <c r="BQI1725" s="227"/>
      <c r="BQJ1725" s="227"/>
      <c r="BQK1725" s="227"/>
      <c r="BQL1725" s="227"/>
      <c r="BQM1725" s="227"/>
      <c r="BQN1725" s="227"/>
      <c r="BQO1725" s="227"/>
      <c r="BQP1725" s="227"/>
      <c r="BQQ1725" s="227"/>
      <c r="BQR1725" s="227"/>
      <c r="BQS1725" s="227"/>
      <c r="BQT1725" s="227"/>
      <c r="BQU1725" s="227"/>
      <c r="BQV1725" s="227"/>
      <c r="BQW1725" s="227"/>
      <c r="BQX1725" s="227"/>
      <c r="BQY1725" s="227"/>
      <c r="BQZ1725" s="227"/>
      <c r="BRA1725" s="227"/>
      <c r="BRB1725" s="227"/>
      <c r="BRC1725" s="227"/>
      <c r="BRD1725" s="227"/>
      <c r="BRE1725" s="227"/>
      <c r="BRF1725" s="227"/>
      <c r="BRG1725" s="227"/>
      <c r="BRH1725" s="227"/>
      <c r="BRI1725" s="227"/>
      <c r="BRJ1725" s="227"/>
      <c r="BRK1725" s="227"/>
      <c r="BRL1725" s="227"/>
      <c r="BRM1725" s="227"/>
      <c r="BRN1725" s="227"/>
      <c r="BRO1725" s="227"/>
      <c r="BRP1725" s="227"/>
      <c r="BRQ1725" s="227"/>
      <c r="BRR1725" s="227"/>
      <c r="BRS1725" s="227"/>
      <c r="BRT1725" s="227"/>
      <c r="BRU1725" s="227"/>
      <c r="BRV1725" s="227"/>
      <c r="BRW1725" s="227"/>
      <c r="BRX1725" s="227"/>
      <c r="BRY1725" s="227"/>
      <c r="BRZ1725" s="227"/>
      <c r="BSA1725" s="227"/>
      <c r="BSB1725" s="227"/>
      <c r="BSC1725" s="227"/>
      <c r="BSD1725" s="227"/>
      <c r="BSE1725" s="227"/>
      <c r="BSF1725" s="227"/>
      <c r="BSG1725" s="227"/>
      <c r="BSH1725" s="227"/>
      <c r="BSI1725" s="227"/>
      <c r="BSJ1725" s="227"/>
      <c r="BSK1725" s="227"/>
      <c r="BSL1725" s="227"/>
      <c r="BSM1725" s="227"/>
      <c r="BSN1725" s="227"/>
      <c r="BSO1725" s="227"/>
      <c r="BSP1725" s="227"/>
      <c r="BSQ1725" s="227"/>
      <c r="BSR1725" s="227"/>
      <c r="BSS1725" s="227"/>
      <c r="BST1725" s="227"/>
      <c r="BSU1725" s="227"/>
      <c r="BSV1725" s="227"/>
      <c r="BSW1725" s="227"/>
      <c r="BSX1725" s="227"/>
      <c r="BSY1725" s="227"/>
      <c r="BSZ1725" s="227"/>
      <c r="BTA1725" s="227"/>
      <c r="BTB1725" s="227"/>
      <c r="BTC1725" s="227"/>
      <c r="BTD1725" s="227"/>
      <c r="BTE1725" s="227"/>
      <c r="BTF1725" s="227"/>
      <c r="BTG1725" s="227"/>
      <c r="BTH1725" s="227"/>
      <c r="BTI1725" s="227"/>
      <c r="BTJ1725" s="227"/>
      <c r="BTK1725" s="227"/>
      <c r="BTL1725" s="227"/>
      <c r="BTM1725" s="227"/>
      <c r="BTN1725" s="227"/>
      <c r="BTO1725" s="227"/>
      <c r="BTP1725" s="227"/>
      <c r="BTQ1725" s="227"/>
      <c r="BTR1725" s="227"/>
      <c r="BTS1725" s="227"/>
      <c r="BTT1725" s="227"/>
      <c r="BTU1725" s="227"/>
      <c r="BTV1725" s="227"/>
      <c r="BTW1725" s="227"/>
      <c r="BTX1725" s="227"/>
      <c r="BTY1725" s="227"/>
      <c r="BTZ1725" s="227"/>
      <c r="BUA1725" s="227"/>
      <c r="BUB1725" s="227"/>
      <c r="BUC1725" s="227"/>
      <c r="BUD1725" s="227"/>
      <c r="BUE1725" s="227"/>
      <c r="BUF1725" s="227"/>
      <c r="BUG1725" s="227"/>
      <c r="BUH1725" s="227"/>
      <c r="BUI1725" s="227"/>
      <c r="BUJ1725" s="227"/>
      <c r="BUK1725" s="227"/>
      <c r="BUL1725" s="227"/>
      <c r="BUM1725" s="227"/>
      <c r="BUN1725" s="227"/>
      <c r="BUO1725" s="227"/>
      <c r="BUP1725" s="227"/>
      <c r="BUQ1725" s="227"/>
      <c r="BUR1725" s="227"/>
      <c r="BUS1725" s="227"/>
      <c r="BUT1725" s="227"/>
      <c r="BUU1725" s="227"/>
      <c r="BUV1725" s="227"/>
      <c r="BUW1725" s="227"/>
      <c r="BUX1725" s="227"/>
      <c r="BUY1725" s="227"/>
      <c r="BUZ1725" s="227"/>
      <c r="BVA1725" s="227"/>
      <c r="BVB1725" s="227"/>
      <c r="BVC1725" s="227"/>
      <c r="BVD1725" s="227"/>
      <c r="BVE1725" s="227"/>
      <c r="BVF1725" s="227"/>
      <c r="BVG1725" s="227"/>
      <c r="BVH1725" s="227"/>
      <c r="BVI1725" s="227"/>
      <c r="BVJ1725" s="227"/>
      <c r="BVK1725" s="227"/>
      <c r="BVL1725" s="227"/>
      <c r="BVM1725" s="227"/>
      <c r="BVN1725" s="227"/>
      <c r="BVO1725" s="227"/>
      <c r="BVP1725" s="227"/>
      <c r="BVQ1725" s="227"/>
      <c r="BVR1725" s="227"/>
      <c r="BVS1725" s="227"/>
      <c r="BVT1725" s="227"/>
      <c r="BVU1725" s="227"/>
      <c r="BVV1725" s="227"/>
      <c r="BVW1725" s="227"/>
      <c r="BVX1725" s="227"/>
      <c r="BVY1725" s="227"/>
      <c r="BVZ1725" s="227"/>
      <c r="BWA1725" s="227"/>
      <c r="BWB1725" s="227"/>
      <c r="BWC1725" s="227"/>
      <c r="BWD1725" s="227"/>
      <c r="BWE1725" s="227"/>
      <c r="BWF1725" s="227"/>
      <c r="BWG1725" s="227"/>
      <c r="BWH1725" s="227"/>
      <c r="BWI1725" s="227"/>
      <c r="BWJ1725" s="227"/>
      <c r="BWK1725" s="227"/>
      <c r="BWL1725" s="227"/>
      <c r="BWM1725" s="227"/>
      <c r="BWN1725" s="227"/>
      <c r="BWO1725" s="227"/>
      <c r="BWP1725" s="227"/>
      <c r="BWQ1725" s="227"/>
      <c r="BWR1725" s="227"/>
      <c r="BWS1725" s="227"/>
      <c r="BWT1725" s="227"/>
      <c r="BWU1725" s="227"/>
      <c r="BWV1725" s="227"/>
      <c r="BWW1725" s="227"/>
      <c r="BWX1725" s="227"/>
      <c r="BWY1725" s="227"/>
      <c r="BWZ1725" s="227"/>
      <c r="BXA1725" s="227"/>
      <c r="BXB1725" s="227"/>
      <c r="BXC1725" s="227"/>
      <c r="BXD1725" s="227"/>
      <c r="BXE1725" s="227"/>
      <c r="BXF1725" s="227"/>
      <c r="BXG1725" s="227"/>
      <c r="BXH1725" s="227"/>
      <c r="BXI1725" s="227"/>
      <c r="BXJ1725" s="227"/>
      <c r="BXK1725" s="227"/>
      <c r="BXL1725" s="227"/>
      <c r="BXM1725" s="227"/>
      <c r="BXN1725" s="227"/>
      <c r="BXO1725" s="227"/>
      <c r="BXP1725" s="227"/>
      <c r="BXQ1725" s="227"/>
      <c r="BXR1725" s="227"/>
      <c r="BXS1725" s="227"/>
      <c r="BXT1725" s="227"/>
      <c r="BXU1725" s="227"/>
      <c r="BXV1725" s="227"/>
      <c r="BXW1725" s="227"/>
      <c r="BXX1725" s="227"/>
      <c r="BXY1725" s="227"/>
      <c r="BXZ1725" s="227"/>
      <c r="BYA1725" s="227"/>
      <c r="BYB1725" s="227"/>
      <c r="BYC1725" s="227"/>
      <c r="BYD1725" s="227"/>
      <c r="BYE1725" s="227"/>
      <c r="BYF1725" s="227"/>
      <c r="BYG1725" s="227"/>
      <c r="BYH1725" s="227"/>
      <c r="BYI1725" s="227"/>
      <c r="BYJ1725" s="227"/>
      <c r="BYK1725" s="227"/>
      <c r="BYL1725" s="227"/>
      <c r="BYM1725" s="227"/>
      <c r="BYN1725" s="227"/>
      <c r="BYO1725" s="227"/>
      <c r="BYP1725" s="227"/>
      <c r="BYQ1725" s="227"/>
      <c r="BYR1725" s="227"/>
      <c r="BYS1725" s="227"/>
      <c r="BYT1725" s="227"/>
      <c r="BYU1725" s="227"/>
      <c r="BYV1725" s="227"/>
      <c r="BYW1725" s="227"/>
      <c r="BYX1725" s="227"/>
      <c r="BYY1725" s="227"/>
      <c r="BYZ1725" s="227"/>
      <c r="BZA1725" s="227"/>
      <c r="BZB1725" s="227"/>
      <c r="BZC1725" s="227"/>
      <c r="BZD1725" s="227"/>
      <c r="BZE1725" s="227"/>
      <c r="BZF1725" s="227"/>
      <c r="BZG1725" s="227"/>
      <c r="BZH1725" s="227"/>
      <c r="BZI1725" s="227"/>
      <c r="BZJ1725" s="227"/>
      <c r="BZK1725" s="227"/>
      <c r="BZL1725" s="227"/>
      <c r="BZM1725" s="227"/>
      <c r="BZN1725" s="227"/>
      <c r="BZO1725" s="227"/>
      <c r="BZP1725" s="227"/>
      <c r="BZQ1725" s="227"/>
      <c r="BZR1725" s="227"/>
      <c r="BZS1725" s="227"/>
      <c r="BZT1725" s="227"/>
      <c r="BZU1725" s="227"/>
      <c r="BZV1725" s="227"/>
      <c r="BZW1725" s="227"/>
      <c r="BZX1725" s="227"/>
      <c r="BZY1725" s="227"/>
      <c r="BZZ1725" s="227"/>
      <c r="CAA1725" s="227"/>
      <c r="CAB1725" s="227"/>
      <c r="CAC1725" s="227"/>
      <c r="CAD1725" s="227"/>
      <c r="CAE1725" s="227"/>
      <c r="CAF1725" s="227"/>
      <c r="CAG1725" s="227"/>
      <c r="CAH1725" s="227"/>
      <c r="CAI1725" s="227"/>
      <c r="CAJ1725" s="227"/>
      <c r="CAK1725" s="227"/>
      <c r="CAL1725" s="227"/>
      <c r="CAM1725" s="227"/>
      <c r="CAN1725" s="227"/>
      <c r="CAO1725" s="227"/>
      <c r="CAP1725" s="227"/>
      <c r="CAQ1725" s="227"/>
      <c r="CAR1725" s="227"/>
      <c r="CAS1725" s="227"/>
      <c r="CAT1725" s="227"/>
      <c r="CAU1725" s="227"/>
      <c r="CAV1725" s="227"/>
      <c r="CAW1725" s="227"/>
      <c r="CAX1725" s="227"/>
      <c r="CAY1725" s="227"/>
      <c r="CAZ1725" s="227"/>
      <c r="CBA1725" s="227"/>
      <c r="CBB1725" s="227"/>
      <c r="CBC1725" s="227"/>
      <c r="CBD1725" s="227"/>
      <c r="CBE1725" s="227"/>
      <c r="CBF1725" s="227"/>
      <c r="CBG1725" s="227"/>
      <c r="CBH1725" s="227"/>
      <c r="CBI1725" s="227"/>
      <c r="CBJ1725" s="227"/>
      <c r="CBK1725" s="227"/>
      <c r="CBL1725" s="227"/>
      <c r="CBM1725" s="227"/>
      <c r="CBN1725" s="227"/>
      <c r="CBO1725" s="227"/>
      <c r="CBP1725" s="227"/>
      <c r="CBQ1725" s="227"/>
      <c r="CBR1725" s="227"/>
      <c r="CBS1725" s="227"/>
      <c r="CBT1725" s="227"/>
      <c r="CBU1725" s="227"/>
      <c r="CBV1725" s="227"/>
      <c r="CBW1725" s="227"/>
      <c r="CBX1725" s="227"/>
      <c r="CBY1725" s="227"/>
      <c r="CBZ1725" s="227"/>
      <c r="CCA1725" s="227"/>
      <c r="CCB1725" s="227"/>
      <c r="CCC1725" s="227"/>
      <c r="CCD1725" s="227"/>
      <c r="CCE1725" s="227"/>
      <c r="CCF1725" s="227"/>
      <c r="CCG1725" s="227"/>
      <c r="CCH1725" s="227"/>
      <c r="CCI1725" s="227"/>
      <c r="CCJ1725" s="227"/>
      <c r="CCK1725" s="227"/>
      <c r="CCL1725" s="227"/>
      <c r="CCM1725" s="227"/>
      <c r="CCN1725" s="227"/>
      <c r="CCO1725" s="227"/>
      <c r="CCP1725" s="227"/>
      <c r="CCQ1725" s="227"/>
      <c r="CCR1725" s="227"/>
      <c r="CCS1725" s="227"/>
      <c r="CCT1725" s="227"/>
      <c r="CCU1725" s="227"/>
      <c r="CCV1725" s="227"/>
      <c r="CCW1725" s="227"/>
      <c r="CCX1725" s="227"/>
      <c r="CCY1725" s="227"/>
      <c r="CCZ1725" s="227"/>
      <c r="CDA1725" s="227"/>
      <c r="CDB1725" s="227"/>
      <c r="CDC1725" s="227"/>
      <c r="CDD1725" s="227"/>
      <c r="CDE1725" s="227"/>
      <c r="CDF1725" s="227"/>
      <c r="CDG1725" s="227"/>
      <c r="CDH1725" s="227"/>
      <c r="CDI1725" s="227"/>
      <c r="CDJ1725" s="227"/>
      <c r="CDK1725" s="227"/>
      <c r="CDL1725" s="227"/>
      <c r="CDM1725" s="227"/>
      <c r="CDN1725" s="227"/>
      <c r="CDO1725" s="227"/>
      <c r="CDP1725" s="227"/>
      <c r="CDQ1725" s="227"/>
      <c r="CDR1725" s="227"/>
      <c r="CDS1725" s="227"/>
      <c r="CDT1725" s="227"/>
      <c r="CDU1725" s="227"/>
      <c r="CDV1725" s="227"/>
      <c r="CDW1725" s="227"/>
      <c r="CDX1725" s="227"/>
      <c r="CDY1725" s="227"/>
      <c r="CDZ1725" s="227"/>
      <c r="CEA1725" s="227"/>
      <c r="CEB1725" s="227"/>
      <c r="CEC1725" s="227"/>
      <c r="CED1725" s="227"/>
      <c r="CEE1725" s="227"/>
      <c r="CEF1725" s="227"/>
      <c r="CEG1725" s="227"/>
      <c r="CEH1725" s="227"/>
      <c r="CEI1725" s="227"/>
      <c r="CEJ1725" s="227"/>
      <c r="CEK1725" s="227"/>
      <c r="CEL1725" s="227"/>
      <c r="CEM1725" s="227"/>
      <c r="CEN1725" s="227"/>
      <c r="CEO1725" s="227"/>
      <c r="CEP1725" s="227"/>
      <c r="CEQ1725" s="227"/>
      <c r="CER1725" s="227"/>
      <c r="CES1725" s="227"/>
      <c r="CET1725" s="227"/>
      <c r="CEU1725" s="227"/>
      <c r="CEV1725" s="227"/>
      <c r="CEW1725" s="227"/>
      <c r="CEX1725" s="227"/>
      <c r="CEY1725" s="227"/>
      <c r="CEZ1725" s="227"/>
      <c r="CFA1725" s="227"/>
      <c r="CFB1725" s="227"/>
      <c r="CFC1725" s="227"/>
      <c r="CFD1725" s="227"/>
      <c r="CFE1725" s="227"/>
      <c r="CFF1725" s="227"/>
      <c r="CFG1725" s="227"/>
      <c r="CFH1725" s="227"/>
      <c r="CFI1725" s="227"/>
      <c r="CFJ1725" s="227"/>
      <c r="CFK1725" s="227"/>
      <c r="CFL1725" s="227"/>
      <c r="CFM1725" s="227"/>
      <c r="CFN1725" s="227"/>
      <c r="CFO1725" s="227"/>
      <c r="CFP1725" s="227"/>
      <c r="CFQ1725" s="227"/>
      <c r="CFR1725" s="227"/>
      <c r="CFS1725" s="227"/>
      <c r="CFT1725" s="227"/>
      <c r="CFU1725" s="227"/>
      <c r="CFV1725" s="227"/>
      <c r="CFW1725" s="227"/>
      <c r="CFX1725" s="227"/>
      <c r="CFY1725" s="227"/>
      <c r="CFZ1725" s="227"/>
      <c r="CGA1725" s="227"/>
      <c r="CGB1725" s="227"/>
      <c r="CGC1725" s="227"/>
      <c r="CGD1725" s="227"/>
      <c r="CGE1725" s="227"/>
      <c r="CGF1725" s="227"/>
      <c r="CGG1725" s="227"/>
      <c r="CGH1725" s="227"/>
      <c r="CGI1725" s="227"/>
      <c r="CGJ1725" s="227"/>
      <c r="CGK1725" s="227"/>
      <c r="CGL1725" s="227"/>
      <c r="CGM1725" s="227"/>
      <c r="CGN1725" s="227"/>
      <c r="CGO1725" s="227"/>
      <c r="CGP1725" s="227"/>
      <c r="CGQ1725" s="227"/>
      <c r="CGR1725" s="227"/>
      <c r="CGS1725" s="227"/>
      <c r="CGT1725" s="227"/>
      <c r="CGU1725" s="227"/>
      <c r="CGV1725" s="227"/>
      <c r="CGW1725" s="227"/>
      <c r="CGX1725" s="227"/>
      <c r="CGY1725" s="227"/>
      <c r="CGZ1725" s="227"/>
      <c r="CHA1725" s="227"/>
      <c r="CHB1725" s="227"/>
      <c r="CHC1725" s="227"/>
      <c r="CHD1725" s="227"/>
      <c r="CHE1725" s="227"/>
      <c r="CHF1725" s="227"/>
      <c r="CHG1725" s="227"/>
      <c r="CHH1725" s="227"/>
      <c r="CHI1725" s="227"/>
      <c r="CHJ1725" s="227"/>
      <c r="CHK1725" s="227"/>
      <c r="CHL1725" s="227"/>
      <c r="CHM1725" s="227"/>
      <c r="CHN1725" s="227"/>
      <c r="CHO1725" s="227"/>
      <c r="CHP1725" s="227"/>
      <c r="CHQ1725" s="227"/>
      <c r="CHR1725" s="227"/>
      <c r="CHS1725" s="227"/>
      <c r="CHT1725" s="227"/>
      <c r="CHU1725" s="227"/>
      <c r="CHV1725" s="227"/>
      <c r="CHW1725" s="227"/>
      <c r="CHX1725" s="227"/>
      <c r="CHY1725" s="227"/>
      <c r="CHZ1725" s="227"/>
      <c r="CIA1725" s="227"/>
      <c r="CIB1725" s="227"/>
      <c r="CIC1725" s="227"/>
      <c r="CID1725" s="227"/>
      <c r="CIE1725" s="227"/>
      <c r="CIF1725" s="227"/>
      <c r="CIG1725" s="227"/>
      <c r="CIH1725" s="227"/>
      <c r="CII1725" s="227"/>
      <c r="CIJ1725" s="227"/>
      <c r="CIK1725" s="227"/>
      <c r="CIL1725" s="227"/>
      <c r="CIM1725" s="227"/>
      <c r="CIN1725" s="227"/>
      <c r="CIO1725" s="227"/>
      <c r="CIP1725" s="227"/>
      <c r="CIQ1725" s="227"/>
      <c r="CIR1725" s="227"/>
      <c r="CIS1725" s="227"/>
      <c r="CIT1725" s="227"/>
      <c r="CIU1725" s="227"/>
      <c r="CIV1725" s="227"/>
      <c r="CIW1725" s="227"/>
      <c r="CIX1725" s="227"/>
      <c r="CIY1725" s="227"/>
      <c r="CIZ1725" s="227"/>
      <c r="CJA1725" s="227"/>
      <c r="CJB1725" s="227"/>
      <c r="CJC1725" s="227"/>
      <c r="CJD1725" s="227"/>
      <c r="CJE1725" s="227"/>
      <c r="CJF1725" s="227"/>
      <c r="CJG1725" s="227"/>
      <c r="CJH1725" s="227"/>
      <c r="CJI1725" s="227"/>
      <c r="CJJ1725" s="227"/>
      <c r="CJK1725" s="227"/>
      <c r="CJL1725" s="227"/>
      <c r="CJM1725" s="227"/>
      <c r="CJN1725" s="227"/>
      <c r="CJO1725" s="227"/>
      <c r="CJP1725" s="227"/>
      <c r="CJQ1725" s="227"/>
      <c r="CJR1725" s="227"/>
      <c r="CJS1725" s="227"/>
      <c r="CJT1725" s="227"/>
      <c r="CJU1725" s="227"/>
      <c r="CJV1725" s="227"/>
      <c r="CJW1725" s="227"/>
      <c r="CJX1725" s="227"/>
      <c r="CJY1725" s="227"/>
      <c r="CJZ1725" s="227"/>
      <c r="CKA1725" s="227"/>
      <c r="CKB1725" s="227"/>
      <c r="CKC1725" s="227"/>
      <c r="CKD1725" s="227"/>
      <c r="CKE1725" s="227"/>
      <c r="CKF1725" s="227"/>
      <c r="CKG1725" s="227"/>
      <c r="CKH1725" s="227"/>
      <c r="CKI1725" s="227"/>
      <c r="CKJ1725" s="227"/>
      <c r="CKK1725" s="227"/>
      <c r="CKL1725" s="227"/>
      <c r="CKM1725" s="227"/>
      <c r="CKN1725" s="227"/>
      <c r="CKO1725" s="227"/>
      <c r="CKP1725" s="227"/>
      <c r="CKQ1725" s="227"/>
      <c r="CKR1725" s="227"/>
      <c r="CKS1725" s="227"/>
      <c r="CKT1725" s="227"/>
      <c r="CKU1725" s="227"/>
      <c r="CKV1725" s="227"/>
      <c r="CKW1725" s="227"/>
      <c r="CKX1725" s="227"/>
      <c r="CKY1725" s="227"/>
      <c r="CKZ1725" s="227"/>
      <c r="CLA1725" s="227"/>
      <c r="CLB1725" s="227"/>
      <c r="CLC1725" s="227"/>
      <c r="CLD1725" s="227"/>
      <c r="CLE1725" s="227"/>
      <c r="CLF1725" s="227"/>
      <c r="CLG1725" s="227"/>
      <c r="CLH1725" s="227"/>
      <c r="CLI1725" s="227"/>
      <c r="CLJ1725" s="227"/>
      <c r="CLK1725" s="227"/>
      <c r="CLL1725" s="227"/>
      <c r="CLM1725" s="227"/>
      <c r="CLN1725" s="227"/>
      <c r="CLO1725" s="227"/>
      <c r="CLP1725" s="227"/>
      <c r="CLQ1725" s="227"/>
      <c r="CLR1725" s="227"/>
      <c r="CLS1725" s="227"/>
      <c r="CLT1725" s="227"/>
      <c r="CLU1725" s="227"/>
      <c r="CLV1725" s="227"/>
      <c r="CLW1725" s="227"/>
      <c r="CLX1725" s="227"/>
      <c r="CLY1725" s="227"/>
      <c r="CLZ1725" s="227"/>
      <c r="CMA1725" s="227"/>
      <c r="CMB1725" s="227"/>
      <c r="CMC1725" s="227"/>
      <c r="CMD1725" s="227"/>
      <c r="CME1725" s="227"/>
      <c r="CMF1725" s="227"/>
      <c r="CMG1725" s="227"/>
      <c r="CMH1725" s="227"/>
      <c r="CMI1725" s="227"/>
      <c r="CMJ1725" s="227"/>
      <c r="CMK1725" s="227"/>
      <c r="CML1725" s="227"/>
      <c r="CMM1725" s="227"/>
      <c r="CMN1725" s="227"/>
      <c r="CMO1725" s="227"/>
      <c r="CMP1725" s="227"/>
      <c r="CMQ1725" s="227"/>
      <c r="CMR1725" s="227"/>
      <c r="CMS1725" s="227"/>
      <c r="CMT1725" s="227"/>
      <c r="CMU1725" s="227"/>
      <c r="CMV1725" s="227"/>
      <c r="CMW1725" s="227"/>
      <c r="CMX1725" s="227"/>
      <c r="CMY1725" s="227"/>
      <c r="CMZ1725" s="227"/>
      <c r="CNA1725" s="227"/>
      <c r="CNB1725" s="227"/>
      <c r="CNC1725" s="227"/>
      <c r="CND1725" s="227"/>
      <c r="CNE1725" s="227"/>
      <c r="CNF1725" s="227"/>
      <c r="CNG1725" s="227"/>
      <c r="CNH1725" s="227"/>
      <c r="CNI1725" s="227"/>
      <c r="CNJ1725" s="227"/>
      <c r="CNK1725" s="227"/>
      <c r="CNL1725" s="227"/>
      <c r="CNM1725" s="227"/>
      <c r="CNN1725" s="227"/>
      <c r="CNO1725" s="227"/>
      <c r="CNP1725" s="227"/>
      <c r="CNQ1725" s="227"/>
      <c r="CNR1725" s="227"/>
      <c r="CNS1725" s="227"/>
      <c r="CNT1725" s="227"/>
      <c r="CNU1725" s="227"/>
      <c r="CNV1725" s="227"/>
      <c r="CNW1725" s="227"/>
      <c r="CNX1725" s="227"/>
      <c r="CNY1725" s="227"/>
      <c r="CNZ1725" s="227"/>
      <c r="COA1725" s="227"/>
      <c r="COB1725" s="227"/>
      <c r="COC1725" s="227"/>
      <c r="COD1725" s="227"/>
      <c r="COE1725" s="227"/>
      <c r="COF1725" s="227"/>
      <c r="COG1725" s="227"/>
      <c r="COH1725" s="227"/>
      <c r="COI1725" s="227"/>
      <c r="COJ1725" s="227"/>
      <c r="COK1725" s="227"/>
      <c r="COL1725" s="227"/>
      <c r="COM1725" s="227"/>
      <c r="CON1725" s="227"/>
      <c r="COO1725" s="227"/>
      <c r="COP1725" s="227"/>
      <c r="COQ1725" s="227"/>
      <c r="COR1725" s="227"/>
      <c r="COS1725" s="227"/>
      <c r="COT1725" s="227"/>
      <c r="COU1725" s="227"/>
      <c r="COV1725" s="227"/>
      <c r="COW1725" s="227"/>
      <c r="COX1725" s="227"/>
      <c r="COY1725" s="227"/>
      <c r="COZ1725" s="227"/>
      <c r="CPA1725" s="227"/>
      <c r="CPB1725" s="227"/>
      <c r="CPC1725" s="227"/>
      <c r="CPD1725" s="227"/>
      <c r="CPE1725" s="227"/>
      <c r="CPF1725" s="227"/>
      <c r="CPG1725" s="227"/>
      <c r="CPH1725" s="227"/>
      <c r="CPI1725" s="227"/>
      <c r="CPJ1725" s="227"/>
      <c r="CPK1725" s="227"/>
      <c r="CPL1725" s="227"/>
      <c r="CPM1725" s="227"/>
      <c r="CPN1725" s="227"/>
      <c r="CPO1725" s="227"/>
      <c r="CPP1725" s="227"/>
      <c r="CPQ1725" s="227"/>
      <c r="CPR1725" s="227"/>
      <c r="CPS1725" s="227"/>
      <c r="CPT1725" s="227"/>
      <c r="CPU1725" s="227"/>
      <c r="CPV1725" s="227"/>
      <c r="CPW1725" s="227"/>
      <c r="CPX1725" s="227"/>
      <c r="CPY1725" s="227"/>
      <c r="CPZ1725" s="227"/>
      <c r="CQA1725" s="227"/>
      <c r="CQB1725" s="227"/>
      <c r="CQC1725" s="227"/>
      <c r="CQD1725" s="227"/>
      <c r="CQE1725" s="227"/>
      <c r="CQF1725" s="227"/>
      <c r="CQG1725" s="227"/>
      <c r="CQH1725" s="227"/>
      <c r="CQI1725" s="227"/>
      <c r="CQJ1725" s="227"/>
      <c r="CQK1725" s="227"/>
      <c r="CQL1725" s="227"/>
      <c r="CQM1725" s="227"/>
      <c r="CQN1725" s="227"/>
      <c r="CQO1725" s="227"/>
      <c r="CQP1725" s="227"/>
      <c r="CQQ1725" s="227"/>
      <c r="CQR1725" s="227"/>
      <c r="CQS1725" s="227"/>
      <c r="CQT1725" s="227"/>
      <c r="CQU1725" s="227"/>
      <c r="CQV1725" s="227"/>
      <c r="CQW1725" s="227"/>
      <c r="CQX1725" s="227"/>
      <c r="CQY1725" s="227"/>
      <c r="CQZ1725" s="227"/>
      <c r="CRA1725" s="227"/>
      <c r="CRB1725" s="227"/>
      <c r="CRC1725" s="227"/>
      <c r="CRD1725" s="227"/>
      <c r="CRE1725" s="227"/>
      <c r="CRF1725" s="227"/>
      <c r="CRG1725" s="227"/>
      <c r="CRH1725" s="227"/>
      <c r="CRI1725" s="227"/>
      <c r="CRJ1725" s="227"/>
      <c r="CRK1725" s="227"/>
      <c r="CRL1725" s="227"/>
      <c r="CRM1725" s="227"/>
      <c r="CRN1725" s="227"/>
      <c r="CRO1725" s="227"/>
      <c r="CRP1725" s="227"/>
      <c r="CRQ1725" s="227"/>
      <c r="CRR1725" s="227"/>
      <c r="CRS1725" s="227"/>
      <c r="CRT1725" s="227"/>
      <c r="CRU1725" s="227"/>
      <c r="CRV1725" s="227"/>
      <c r="CRW1725" s="227"/>
      <c r="CRX1725" s="227"/>
      <c r="CRY1725" s="227"/>
      <c r="CRZ1725" s="227"/>
      <c r="CSA1725" s="227"/>
      <c r="CSB1725" s="227"/>
      <c r="CSC1725" s="227"/>
      <c r="CSD1725" s="227"/>
      <c r="CSE1725" s="227"/>
      <c r="CSF1725" s="227"/>
      <c r="CSG1725" s="227"/>
      <c r="CSH1725" s="227"/>
      <c r="CSI1725" s="227"/>
      <c r="CSJ1725" s="227"/>
      <c r="CSK1725" s="227"/>
      <c r="CSL1725" s="227"/>
      <c r="CSM1725" s="227"/>
      <c r="CSN1725" s="227"/>
      <c r="CSO1725" s="227"/>
      <c r="CSP1725" s="227"/>
      <c r="CSQ1725" s="227"/>
      <c r="CSR1725" s="227"/>
      <c r="CSS1725" s="227"/>
      <c r="CST1725" s="227"/>
      <c r="CSU1725" s="227"/>
      <c r="CSV1725" s="227"/>
      <c r="CSW1725" s="227"/>
      <c r="CSX1725" s="227"/>
      <c r="CSY1725" s="227"/>
      <c r="CSZ1725" s="227"/>
      <c r="CTA1725" s="227"/>
      <c r="CTB1725" s="227"/>
      <c r="CTC1725" s="227"/>
      <c r="CTD1725" s="227"/>
      <c r="CTE1725" s="227"/>
      <c r="CTF1725" s="227"/>
      <c r="CTG1725" s="227"/>
      <c r="CTH1725" s="227"/>
      <c r="CTI1725" s="227"/>
      <c r="CTJ1725" s="227"/>
      <c r="CTK1725" s="227"/>
      <c r="CTL1725" s="227"/>
      <c r="CTM1725" s="227"/>
      <c r="CTN1725" s="227"/>
      <c r="CTO1725" s="227"/>
      <c r="CTP1725" s="227"/>
      <c r="CTQ1725" s="227"/>
      <c r="CTR1725" s="227"/>
      <c r="CTS1725" s="227"/>
      <c r="CTT1725" s="227"/>
      <c r="CTU1725" s="227"/>
      <c r="CTV1725" s="227"/>
      <c r="CTW1725" s="227"/>
      <c r="CTX1725" s="227"/>
      <c r="CTY1725" s="227"/>
      <c r="CTZ1725" s="227"/>
      <c r="CUA1725" s="227"/>
      <c r="CUB1725" s="227"/>
      <c r="CUC1725" s="227"/>
      <c r="CUD1725" s="227"/>
      <c r="CUE1725" s="227"/>
      <c r="CUF1725" s="227"/>
      <c r="CUG1725" s="227"/>
      <c r="CUH1725" s="227"/>
      <c r="CUI1725" s="227"/>
      <c r="CUJ1725" s="227"/>
      <c r="CUK1725" s="227"/>
      <c r="CUL1725" s="227"/>
      <c r="CUM1725" s="227"/>
      <c r="CUN1725" s="227"/>
      <c r="CUO1725" s="227"/>
      <c r="CUP1725" s="227"/>
      <c r="CUQ1725" s="227"/>
      <c r="CUR1725" s="227"/>
      <c r="CUS1725" s="227"/>
      <c r="CUT1725" s="227"/>
      <c r="CUU1725" s="227"/>
      <c r="CUV1725" s="227"/>
      <c r="CUW1725" s="227"/>
      <c r="CUX1725" s="227"/>
      <c r="CUY1725" s="227"/>
      <c r="CUZ1725" s="227"/>
      <c r="CVA1725" s="227"/>
      <c r="CVB1725" s="227"/>
      <c r="CVC1725" s="227"/>
      <c r="CVD1725" s="227"/>
      <c r="CVE1725" s="227"/>
      <c r="CVF1725" s="227"/>
      <c r="CVG1725" s="227"/>
      <c r="CVH1725" s="227"/>
      <c r="CVI1725" s="227"/>
      <c r="CVJ1725" s="227"/>
      <c r="CVK1725" s="227"/>
      <c r="CVL1725" s="227"/>
      <c r="CVM1725" s="227"/>
      <c r="CVN1725" s="227"/>
      <c r="CVO1725" s="227"/>
      <c r="CVP1725" s="227"/>
      <c r="CVQ1725" s="227"/>
      <c r="CVR1725" s="227"/>
      <c r="CVS1725" s="227"/>
      <c r="CVT1725" s="227"/>
      <c r="CVU1725" s="227"/>
      <c r="CVV1725" s="227"/>
      <c r="CVW1725" s="227"/>
      <c r="CVX1725" s="227"/>
      <c r="CVY1725" s="227"/>
      <c r="CVZ1725" s="227"/>
      <c r="CWA1725" s="227"/>
      <c r="CWB1725" s="227"/>
      <c r="CWC1725" s="227"/>
      <c r="CWD1725" s="227"/>
      <c r="CWE1725" s="227"/>
      <c r="CWF1725" s="227"/>
      <c r="CWG1725" s="227"/>
      <c r="CWH1725" s="227"/>
      <c r="CWI1725" s="227"/>
      <c r="CWJ1725" s="227"/>
      <c r="CWK1725" s="227"/>
      <c r="CWL1725" s="227"/>
      <c r="CWM1725" s="227"/>
      <c r="CWN1725" s="227"/>
      <c r="CWO1725" s="227"/>
      <c r="CWP1725" s="227"/>
      <c r="CWQ1725" s="227"/>
      <c r="CWR1725" s="227"/>
      <c r="CWS1725" s="227"/>
      <c r="CWT1725" s="227"/>
      <c r="CWU1725" s="227"/>
      <c r="CWV1725" s="227"/>
      <c r="CWW1725" s="227"/>
      <c r="CWX1725" s="227"/>
      <c r="CWY1725" s="227"/>
      <c r="CWZ1725" s="227"/>
      <c r="CXA1725" s="227"/>
      <c r="CXB1725" s="227"/>
      <c r="CXC1725" s="227"/>
      <c r="CXD1725" s="227"/>
      <c r="CXE1725" s="227"/>
      <c r="CXF1725" s="227"/>
      <c r="CXG1725" s="227"/>
      <c r="CXH1725" s="227"/>
      <c r="CXI1725" s="227"/>
      <c r="CXJ1725" s="227"/>
      <c r="CXK1725" s="227"/>
      <c r="CXL1725" s="227"/>
      <c r="CXM1725" s="227"/>
      <c r="CXN1725" s="227"/>
      <c r="CXO1725" s="227"/>
      <c r="CXP1725" s="227"/>
      <c r="CXQ1725" s="227"/>
      <c r="CXR1725" s="227"/>
      <c r="CXS1725" s="227"/>
      <c r="CXT1725" s="227"/>
      <c r="CXU1725" s="227"/>
      <c r="CXV1725" s="227"/>
      <c r="CXW1725" s="227"/>
      <c r="CXX1725" s="227"/>
      <c r="CXY1725" s="227"/>
      <c r="CXZ1725" s="227"/>
      <c r="CYA1725" s="227"/>
      <c r="CYB1725" s="227"/>
      <c r="CYC1725" s="227"/>
      <c r="CYD1725" s="227"/>
      <c r="CYE1725" s="227"/>
      <c r="CYF1725" s="227"/>
      <c r="CYG1725" s="227"/>
      <c r="CYH1725" s="227"/>
      <c r="CYI1725" s="227"/>
      <c r="CYJ1725" s="227"/>
      <c r="CYK1725" s="227"/>
      <c r="CYL1725" s="227"/>
      <c r="CYM1725" s="227"/>
      <c r="CYN1725" s="227"/>
      <c r="CYO1725" s="227"/>
      <c r="CYP1725" s="227"/>
      <c r="CYQ1725" s="227"/>
      <c r="CYR1725" s="227"/>
      <c r="CYS1725" s="227"/>
      <c r="CYT1725" s="227"/>
      <c r="CYU1725" s="227"/>
      <c r="CYV1725" s="227"/>
      <c r="CYW1725" s="227"/>
      <c r="CYX1725" s="227"/>
      <c r="CYY1725" s="227"/>
      <c r="CYZ1725" s="227"/>
      <c r="CZA1725" s="227"/>
      <c r="CZB1725" s="227"/>
      <c r="CZC1725" s="227"/>
      <c r="CZD1725" s="227"/>
      <c r="CZE1725" s="227"/>
      <c r="CZF1725" s="227"/>
      <c r="CZG1725" s="227"/>
      <c r="CZH1725" s="227"/>
      <c r="CZI1725" s="227"/>
      <c r="CZJ1725" s="227"/>
      <c r="CZK1725" s="227"/>
      <c r="CZL1725" s="227"/>
      <c r="CZM1725" s="227"/>
      <c r="CZN1725" s="227"/>
      <c r="CZO1725" s="227"/>
      <c r="CZP1725" s="227"/>
      <c r="CZQ1725" s="227"/>
      <c r="CZR1725" s="227"/>
      <c r="CZS1725" s="227"/>
      <c r="CZT1725" s="227"/>
      <c r="CZU1725" s="227"/>
      <c r="CZV1725" s="227"/>
      <c r="CZW1725" s="227"/>
      <c r="CZX1725" s="227"/>
      <c r="CZY1725" s="227"/>
      <c r="CZZ1725" s="227"/>
      <c r="DAA1725" s="227"/>
      <c r="DAB1725" s="227"/>
      <c r="DAC1725" s="227"/>
      <c r="DAD1725" s="227"/>
      <c r="DAE1725" s="227"/>
      <c r="DAF1725" s="227"/>
      <c r="DAG1725" s="227"/>
      <c r="DAH1725" s="227"/>
      <c r="DAI1725" s="227"/>
      <c r="DAJ1725" s="227"/>
      <c r="DAK1725" s="227"/>
      <c r="DAL1725" s="227"/>
      <c r="DAM1725" s="227"/>
      <c r="DAN1725" s="227"/>
      <c r="DAO1725" s="227"/>
      <c r="DAP1725" s="227"/>
      <c r="DAQ1725" s="227"/>
      <c r="DAR1725" s="227"/>
      <c r="DAS1725" s="227"/>
      <c r="DAT1725" s="227"/>
      <c r="DAU1725" s="227"/>
      <c r="DAV1725" s="227"/>
      <c r="DAW1725" s="227"/>
      <c r="DAX1725" s="227"/>
      <c r="DAY1725" s="227"/>
      <c r="DAZ1725" s="227"/>
      <c r="DBA1725" s="227"/>
      <c r="DBB1725" s="227"/>
      <c r="DBC1725" s="227"/>
      <c r="DBD1725" s="227"/>
      <c r="DBE1725" s="227"/>
      <c r="DBF1725" s="227"/>
      <c r="DBG1725" s="227"/>
      <c r="DBH1725" s="227"/>
      <c r="DBI1725" s="227"/>
      <c r="DBJ1725" s="227"/>
      <c r="DBK1725" s="227"/>
      <c r="DBL1725" s="227"/>
      <c r="DBM1725" s="227"/>
      <c r="DBN1725" s="227"/>
      <c r="DBO1725" s="227"/>
      <c r="DBP1725" s="227"/>
      <c r="DBQ1725" s="227"/>
      <c r="DBR1725" s="227"/>
      <c r="DBS1725" s="227"/>
      <c r="DBT1725" s="227"/>
      <c r="DBU1725" s="227"/>
      <c r="DBV1725" s="227"/>
      <c r="DBW1725" s="227"/>
      <c r="DBX1725" s="227"/>
      <c r="DBY1725" s="227"/>
      <c r="DBZ1725" s="227"/>
      <c r="DCA1725" s="227"/>
      <c r="DCB1725" s="227"/>
      <c r="DCC1725" s="227"/>
      <c r="DCD1725" s="227"/>
      <c r="DCE1725" s="227"/>
      <c r="DCF1725" s="227"/>
      <c r="DCG1725" s="227"/>
      <c r="DCH1725" s="227"/>
      <c r="DCI1725" s="227"/>
      <c r="DCJ1725" s="227"/>
      <c r="DCK1725" s="227"/>
      <c r="DCL1725" s="227"/>
      <c r="DCM1725" s="227"/>
      <c r="DCN1725" s="227"/>
      <c r="DCO1725" s="227"/>
      <c r="DCP1725" s="227"/>
      <c r="DCQ1725" s="227"/>
      <c r="DCR1725" s="227"/>
      <c r="DCS1725" s="227"/>
      <c r="DCT1725" s="227"/>
      <c r="DCU1725" s="227"/>
      <c r="DCV1725" s="227"/>
      <c r="DCW1725" s="227"/>
      <c r="DCX1725" s="227"/>
      <c r="DCY1725" s="227"/>
      <c r="DCZ1725" s="227"/>
      <c r="DDA1725" s="227"/>
      <c r="DDB1725" s="227"/>
      <c r="DDC1725" s="227"/>
      <c r="DDD1725" s="227"/>
      <c r="DDE1725" s="227"/>
      <c r="DDF1725" s="227"/>
      <c r="DDG1725" s="227"/>
      <c r="DDH1725" s="227"/>
      <c r="DDI1725" s="227"/>
      <c r="DDJ1725" s="227"/>
      <c r="DDK1725" s="227"/>
      <c r="DDL1725" s="227"/>
      <c r="DDM1725" s="227"/>
      <c r="DDN1725" s="227"/>
      <c r="DDO1725" s="227"/>
      <c r="DDP1725" s="227"/>
      <c r="DDQ1725" s="227"/>
      <c r="DDR1725" s="227"/>
      <c r="DDS1725" s="227"/>
      <c r="DDT1725" s="227"/>
      <c r="DDU1725" s="227"/>
      <c r="DDV1725" s="227"/>
      <c r="DDW1725" s="227"/>
      <c r="DDX1725" s="227"/>
      <c r="DDY1725" s="227"/>
      <c r="DDZ1725" s="227"/>
      <c r="DEA1725" s="227"/>
      <c r="DEB1725" s="227"/>
      <c r="DEC1725" s="227"/>
      <c r="DED1725" s="227"/>
      <c r="DEE1725" s="227"/>
      <c r="DEF1725" s="227"/>
      <c r="DEG1725" s="227"/>
      <c r="DEH1725" s="227"/>
      <c r="DEI1725" s="227"/>
      <c r="DEJ1725" s="227"/>
      <c r="DEK1725" s="227"/>
      <c r="DEL1725" s="227"/>
      <c r="DEM1725" s="227"/>
      <c r="DEN1725" s="227"/>
      <c r="DEO1725" s="227"/>
      <c r="DEP1725" s="227"/>
      <c r="DEQ1725" s="227"/>
      <c r="DER1725" s="227"/>
      <c r="DES1725" s="227"/>
      <c r="DET1725" s="227"/>
      <c r="DEU1725" s="227"/>
      <c r="DEV1725" s="227"/>
      <c r="DEW1725" s="227"/>
      <c r="DEX1725" s="227"/>
      <c r="DEY1725" s="227"/>
      <c r="DEZ1725" s="227"/>
      <c r="DFA1725" s="227"/>
      <c r="DFB1725" s="227"/>
      <c r="DFC1725" s="227"/>
      <c r="DFD1725" s="227"/>
      <c r="DFE1725" s="227"/>
      <c r="DFF1725" s="227"/>
      <c r="DFG1725" s="227"/>
      <c r="DFH1725" s="227"/>
      <c r="DFI1725" s="227"/>
      <c r="DFJ1725" s="227"/>
      <c r="DFK1725" s="227"/>
      <c r="DFL1725" s="227"/>
      <c r="DFM1725" s="227"/>
      <c r="DFN1725" s="227"/>
      <c r="DFO1725" s="227"/>
      <c r="DFP1725" s="227"/>
      <c r="DFQ1725" s="227"/>
      <c r="DFR1725" s="227"/>
      <c r="DFS1725" s="227"/>
      <c r="DFT1725" s="227"/>
      <c r="DFU1725" s="227"/>
      <c r="DFV1725" s="227"/>
      <c r="DFW1725" s="227"/>
      <c r="DFX1725" s="227"/>
      <c r="DFY1725" s="227"/>
      <c r="DFZ1725" s="227"/>
      <c r="DGA1725" s="227"/>
      <c r="DGB1725" s="227"/>
      <c r="DGC1725" s="227"/>
      <c r="DGD1725" s="227"/>
      <c r="DGE1725" s="227"/>
      <c r="DGF1725" s="227"/>
      <c r="DGG1725" s="227"/>
      <c r="DGH1725" s="227"/>
      <c r="DGI1725" s="227"/>
      <c r="DGJ1725" s="227"/>
      <c r="DGK1725" s="227"/>
      <c r="DGL1725" s="227"/>
      <c r="DGM1725" s="227"/>
      <c r="DGN1725" s="227"/>
      <c r="DGO1725" s="227"/>
      <c r="DGP1725" s="227"/>
      <c r="DGQ1725" s="227"/>
      <c r="DGR1725" s="227"/>
      <c r="DGS1725" s="227"/>
      <c r="DGT1725" s="227"/>
      <c r="DGU1725" s="227"/>
      <c r="DGV1725" s="227"/>
      <c r="DGW1725" s="227"/>
      <c r="DGX1725" s="227"/>
      <c r="DGY1725" s="227"/>
      <c r="DGZ1725" s="227"/>
      <c r="DHA1725" s="227"/>
      <c r="DHB1725" s="227"/>
      <c r="DHC1725" s="227"/>
      <c r="DHD1725" s="227"/>
      <c r="DHE1725" s="227"/>
      <c r="DHF1725" s="227"/>
      <c r="DHG1725" s="227"/>
      <c r="DHH1725" s="227"/>
      <c r="DHI1725" s="227"/>
      <c r="DHJ1725" s="227"/>
      <c r="DHK1725" s="227"/>
      <c r="DHL1725" s="227"/>
      <c r="DHM1725" s="227"/>
      <c r="DHN1725" s="227"/>
      <c r="DHO1725" s="227"/>
      <c r="DHP1725" s="227"/>
      <c r="DHQ1725" s="227"/>
      <c r="DHR1725" s="227"/>
      <c r="DHS1725" s="227"/>
      <c r="DHT1725" s="227"/>
      <c r="DHU1725" s="227"/>
      <c r="DHV1725" s="227"/>
      <c r="DHW1725" s="227"/>
      <c r="DHX1725" s="227"/>
      <c r="DHY1725" s="227"/>
      <c r="DHZ1725" s="227"/>
      <c r="DIA1725" s="227"/>
      <c r="DIB1725" s="227"/>
      <c r="DIC1725" s="227"/>
      <c r="DID1725" s="227"/>
      <c r="DIE1725" s="227"/>
      <c r="DIF1725" s="227"/>
      <c r="DIG1725" s="227"/>
      <c r="DIH1725" s="227"/>
      <c r="DII1725" s="227"/>
      <c r="DIJ1725" s="227"/>
      <c r="DIK1725" s="227"/>
      <c r="DIL1725" s="227"/>
      <c r="DIM1725" s="227"/>
      <c r="DIN1725" s="227"/>
      <c r="DIO1725" s="227"/>
      <c r="DIP1725" s="227"/>
      <c r="DIQ1725" s="227"/>
      <c r="DIR1725" s="227"/>
      <c r="DIS1725" s="227"/>
      <c r="DIT1725" s="227"/>
      <c r="DIU1725" s="227"/>
      <c r="DIV1725" s="227"/>
      <c r="DIW1725" s="227"/>
      <c r="DIX1725" s="227"/>
      <c r="DIY1725" s="227"/>
      <c r="DIZ1725" s="227"/>
      <c r="DJA1725" s="227"/>
      <c r="DJB1725" s="227"/>
      <c r="DJC1725" s="227"/>
      <c r="DJD1725" s="227"/>
      <c r="DJE1725" s="227"/>
      <c r="DJF1725" s="227"/>
      <c r="DJG1725" s="227"/>
      <c r="DJH1725" s="227"/>
      <c r="DJI1725" s="227"/>
      <c r="DJJ1725" s="227"/>
      <c r="DJK1725" s="227"/>
      <c r="DJL1725" s="227"/>
      <c r="DJM1725" s="227"/>
      <c r="DJN1725" s="227"/>
      <c r="DJO1725" s="227"/>
      <c r="DJP1725" s="227"/>
      <c r="DJQ1725" s="227"/>
      <c r="DJR1725" s="227"/>
      <c r="DJS1725" s="227"/>
      <c r="DJT1725" s="227"/>
      <c r="DJU1725" s="227"/>
      <c r="DJV1725" s="227"/>
      <c r="DJW1725" s="227"/>
      <c r="DJX1725" s="227"/>
      <c r="DJY1725" s="227"/>
      <c r="DJZ1725" s="227"/>
      <c r="DKA1725" s="227"/>
      <c r="DKB1725" s="227"/>
      <c r="DKC1725" s="227"/>
      <c r="DKD1725" s="227"/>
      <c r="DKE1725" s="227"/>
      <c r="DKF1725" s="227"/>
      <c r="DKG1725" s="227"/>
      <c r="DKH1725" s="227"/>
      <c r="DKI1725" s="227"/>
      <c r="DKJ1725" s="227"/>
      <c r="DKK1725" s="227"/>
      <c r="DKL1725" s="227"/>
      <c r="DKM1725" s="227"/>
      <c r="DKN1725" s="227"/>
      <c r="DKO1725" s="227"/>
      <c r="DKP1725" s="227"/>
      <c r="DKQ1725" s="227"/>
      <c r="DKR1725" s="227"/>
      <c r="DKS1725" s="227"/>
      <c r="DKT1725" s="227"/>
      <c r="DKU1725" s="227"/>
      <c r="DKV1725" s="227"/>
      <c r="DKW1725" s="227"/>
      <c r="DKX1725" s="227"/>
      <c r="DKY1725" s="227"/>
      <c r="DKZ1725" s="227"/>
      <c r="DLA1725" s="227"/>
      <c r="DLB1725" s="227"/>
      <c r="DLC1725" s="227"/>
      <c r="DLD1725" s="227"/>
      <c r="DLE1725" s="227"/>
      <c r="DLF1725" s="227"/>
      <c r="DLG1725" s="227"/>
      <c r="DLH1725" s="227"/>
      <c r="DLI1725" s="227"/>
      <c r="DLJ1725" s="227"/>
      <c r="DLK1725" s="227"/>
      <c r="DLL1725" s="227"/>
      <c r="DLM1725" s="227"/>
      <c r="DLN1725" s="227"/>
      <c r="DLO1725" s="227"/>
      <c r="DLP1725" s="227"/>
      <c r="DLQ1725" s="227"/>
      <c r="DLR1725" s="227"/>
      <c r="DLS1725" s="227"/>
      <c r="DLT1725" s="227"/>
      <c r="DLU1725" s="227"/>
      <c r="DLV1725" s="227"/>
      <c r="DLW1725" s="227"/>
      <c r="DLX1725" s="227"/>
      <c r="DLY1725" s="227"/>
      <c r="DLZ1725" s="227"/>
      <c r="DMA1725" s="227"/>
      <c r="DMB1725" s="227"/>
      <c r="DMC1725" s="227"/>
      <c r="DMD1725" s="227"/>
      <c r="DME1725" s="227"/>
      <c r="DMF1725" s="227"/>
      <c r="DMG1725" s="227"/>
      <c r="DMH1725" s="227"/>
      <c r="DMI1725" s="227"/>
      <c r="DMJ1725" s="227"/>
      <c r="DMK1725" s="227"/>
      <c r="DML1725" s="227"/>
      <c r="DMM1725" s="227"/>
      <c r="DMN1725" s="227"/>
      <c r="DMO1725" s="227"/>
      <c r="DMP1725" s="227"/>
      <c r="DMQ1725" s="227"/>
      <c r="DMR1725" s="227"/>
      <c r="DMS1725" s="227"/>
      <c r="DMT1725" s="227"/>
      <c r="DMU1725" s="227"/>
      <c r="DMV1725" s="227"/>
      <c r="DMW1725" s="227"/>
      <c r="DMX1725" s="227"/>
      <c r="DMY1725" s="227"/>
      <c r="DMZ1725" s="227"/>
      <c r="DNA1725" s="227"/>
      <c r="DNB1725" s="227"/>
      <c r="DNC1725" s="227"/>
      <c r="DND1725" s="227"/>
      <c r="DNE1725" s="227"/>
      <c r="DNF1725" s="227"/>
      <c r="DNG1725" s="227"/>
      <c r="DNH1725" s="227"/>
      <c r="DNI1725" s="227"/>
      <c r="DNJ1725" s="227"/>
      <c r="DNK1725" s="227"/>
      <c r="DNL1725" s="227"/>
      <c r="DNM1725" s="227"/>
      <c r="DNN1725" s="227"/>
      <c r="DNO1725" s="227"/>
      <c r="DNP1725" s="227"/>
      <c r="DNQ1725" s="227"/>
      <c r="DNR1725" s="227"/>
      <c r="DNS1725" s="227"/>
      <c r="DNT1725" s="227"/>
      <c r="DNU1725" s="227"/>
      <c r="DNV1725" s="227"/>
      <c r="DNW1725" s="227"/>
      <c r="DNX1725" s="227"/>
      <c r="DNY1725" s="227"/>
      <c r="DNZ1725" s="227"/>
      <c r="DOA1725" s="227"/>
      <c r="DOB1725" s="227"/>
      <c r="DOC1725" s="227"/>
      <c r="DOD1725" s="227"/>
      <c r="DOE1725" s="227"/>
      <c r="DOF1725" s="227"/>
      <c r="DOG1725" s="227"/>
      <c r="DOH1725" s="227"/>
      <c r="DOI1725" s="227"/>
      <c r="DOJ1725" s="227"/>
      <c r="DOK1725" s="227"/>
      <c r="DOL1725" s="227"/>
      <c r="DOM1725" s="227"/>
      <c r="DON1725" s="227"/>
      <c r="DOO1725" s="227"/>
      <c r="DOP1725" s="227"/>
      <c r="DOQ1725" s="227"/>
      <c r="DOR1725" s="227"/>
      <c r="DOS1725" s="227"/>
      <c r="DOT1725" s="227"/>
      <c r="DOU1725" s="227"/>
      <c r="DOV1725" s="227"/>
      <c r="DOW1725" s="227"/>
      <c r="DOX1725" s="227"/>
      <c r="DOY1725" s="227"/>
      <c r="DOZ1725" s="227"/>
      <c r="DPA1725" s="227"/>
      <c r="DPB1725" s="227"/>
      <c r="DPC1725" s="227"/>
      <c r="DPD1725" s="227"/>
      <c r="DPE1725" s="227"/>
      <c r="DPF1725" s="227"/>
      <c r="DPG1725" s="227"/>
      <c r="DPH1725" s="227"/>
      <c r="DPI1725" s="227"/>
      <c r="DPJ1725" s="227"/>
      <c r="DPK1725" s="227"/>
      <c r="DPL1725" s="227"/>
      <c r="DPM1725" s="227"/>
      <c r="DPN1725" s="227"/>
      <c r="DPO1725" s="227"/>
      <c r="DPP1725" s="227"/>
      <c r="DPQ1725" s="227"/>
      <c r="DPR1725" s="227"/>
      <c r="DPS1725" s="227"/>
      <c r="DPT1725" s="227"/>
      <c r="DPU1725" s="227"/>
      <c r="DPV1725" s="227"/>
      <c r="DPW1725" s="227"/>
      <c r="DPX1725" s="227"/>
      <c r="DPY1725" s="227"/>
      <c r="DPZ1725" s="227"/>
      <c r="DQA1725" s="227"/>
      <c r="DQB1725" s="227"/>
      <c r="DQC1725" s="227"/>
      <c r="DQD1725" s="227"/>
      <c r="DQE1725" s="227"/>
      <c r="DQF1725" s="227"/>
      <c r="DQG1725" s="227"/>
      <c r="DQH1725" s="227"/>
      <c r="DQI1725" s="227"/>
      <c r="DQJ1725" s="227"/>
      <c r="DQK1725" s="227"/>
      <c r="DQL1725" s="227"/>
      <c r="DQM1725" s="227"/>
      <c r="DQN1725" s="227"/>
      <c r="DQO1725" s="227"/>
      <c r="DQP1725" s="227"/>
      <c r="DQQ1725" s="227"/>
      <c r="DQR1725" s="227"/>
      <c r="DQS1725" s="227"/>
      <c r="DQT1725" s="227"/>
      <c r="DQU1725" s="227"/>
      <c r="DQV1725" s="227"/>
      <c r="DQW1725" s="227"/>
      <c r="DQX1725" s="227"/>
      <c r="DQY1725" s="227"/>
      <c r="DQZ1725" s="227"/>
      <c r="DRA1725" s="227"/>
      <c r="DRB1725" s="227"/>
      <c r="DRC1725" s="227"/>
      <c r="DRD1725" s="227"/>
      <c r="DRE1725" s="227"/>
      <c r="DRF1725" s="227"/>
      <c r="DRG1725" s="227"/>
      <c r="DRH1725" s="227"/>
      <c r="DRI1725" s="227"/>
      <c r="DRJ1725" s="227"/>
      <c r="DRK1725" s="227"/>
      <c r="DRL1725" s="227"/>
      <c r="DRM1725" s="227"/>
      <c r="DRN1725" s="227"/>
      <c r="DRO1725" s="227"/>
      <c r="DRP1725" s="227"/>
      <c r="DRQ1725" s="227"/>
      <c r="DRR1725" s="227"/>
      <c r="DRS1725" s="227"/>
      <c r="DRT1725" s="227"/>
      <c r="DRU1725" s="227"/>
      <c r="DRV1725" s="227"/>
      <c r="DRW1725" s="227"/>
      <c r="DRX1725" s="227"/>
      <c r="DRY1725" s="227"/>
      <c r="DRZ1725" s="227"/>
      <c r="DSA1725" s="227"/>
      <c r="DSB1725" s="227"/>
      <c r="DSC1725" s="227"/>
      <c r="DSD1725" s="227"/>
      <c r="DSE1725" s="227"/>
      <c r="DSF1725" s="227"/>
      <c r="DSG1725" s="227"/>
      <c r="DSH1725" s="227"/>
      <c r="DSI1725" s="227"/>
      <c r="DSJ1725" s="227"/>
      <c r="DSK1725" s="227"/>
      <c r="DSL1725" s="227"/>
      <c r="DSM1725" s="227"/>
      <c r="DSN1725" s="227"/>
      <c r="DSO1725" s="227"/>
      <c r="DSP1725" s="227"/>
      <c r="DSQ1725" s="227"/>
      <c r="DSR1725" s="227"/>
      <c r="DSS1725" s="227"/>
      <c r="DST1725" s="227"/>
      <c r="DSU1725" s="227"/>
      <c r="DSV1725" s="227"/>
      <c r="DSW1725" s="227"/>
      <c r="DSX1725" s="227"/>
      <c r="DSY1725" s="227"/>
      <c r="DSZ1725" s="227"/>
      <c r="DTA1725" s="227"/>
      <c r="DTB1725" s="227"/>
      <c r="DTC1725" s="227"/>
      <c r="DTD1725" s="227"/>
      <c r="DTE1725" s="227"/>
      <c r="DTF1725" s="227"/>
      <c r="DTG1725" s="227"/>
      <c r="DTH1725" s="227"/>
      <c r="DTI1725" s="227"/>
      <c r="DTJ1725" s="227"/>
      <c r="DTK1725" s="227"/>
      <c r="DTL1725" s="227"/>
      <c r="DTM1725" s="227"/>
      <c r="DTN1725" s="227"/>
      <c r="DTO1725" s="227"/>
      <c r="DTP1725" s="227"/>
      <c r="DTQ1725" s="227"/>
      <c r="DTR1725" s="227"/>
      <c r="DTS1725" s="227"/>
      <c r="DTT1725" s="227"/>
      <c r="DTU1725" s="227"/>
      <c r="DTV1725" s="227"/>
      <c r="DTW1725" s="227"/>
      <c r="DTX1725" s="227"/>
      <c r="DTY1725" s="227"/>
      <c r="DTZ1725" s="227"/>
      <c r="DUA1725" s="227"/>
      <c r="DUB1725" s="227"/>
      <c r="DUC1725" s="227"/>
      <c r="DUD1725" s="227"/>
      <c r="DUE1725" s="227"/>
      <c r="DUF1725" s="227"/>
      <c r="DUG1725" s="227"/>
      <c r="DUH1725" s="227"/>
      <c r="DUI1725" s="227"/>
      <c r="DUJ1725" s="227"/>
      <c r="DUK1725" s="227"/>
      <c r="DUL1725" s="227"/>
      <c r="DUM1725" s="227"/>
      <c r="DUN1725" s="227"/>
      <c r="DUO1725" s="227"/>
      <c r="DUP1725" s="227"/>
      <c r="DUQ1725" s="227"/>
      <c r="DUR1725" s="227"/>
      <c r="DUS1725" s="227"/>
      <c r="DUT1725" s="227"/>
      <c r="DUU1725" s="227"/>
      <c r="DUV1725" s="227"/>
      <c r="DUW1725" s="227"/>
      <c r="DUX1725" s="227"/>
      <c r="DUY1725" s="227"/>
      <c r="DUZ1725" s="227"/>
      <c r="DVA1725" s="227"/>
      <c r="DVB1725" s="227"/>
      <c r="DVC1725" s="227"/>
      <c r="DVD1725" s="227"/>
      <c r="DVE1725" s="227"/>
      <c r="DVF1725" s="227"/>
      <c r="DVG1725" s="227"/>
      <c r="DVH1725" s="227"/>
      <c r="DVI1725" s="227"/>
      <c r="DVJ1725" s="227"/>
      <c r="DVK1725" s="227"/>
      <c r="DVL1725" s="227"/>
      <c r="DVM1725" s="227"/>
      <c r="DVN1725" s="227"/>
      <c r="DVO1725" s="227"/>
      <c r="DVP1725" s="227"/>
      <c r="DVQ1725" s="227"/>
      <c r="DVR1725" s="227"/>
      <c r="DVS1725" s="227"/>
      <c r="DVT1725" s="227"/>
      <c r="DVU1725" s="227"/>
      <c r="DVV1725" s="227"/>
      <c r="DVW1725" s="227"/>
      <c r="DVX1725" s="227"/>
      <c r="DVY1725" s="227"/>
      <c r="DVZ1725" s="227"/>
      <c r="DWA1725" s="227"/>
      <c r="DWB1725" s="227"/>
      <c r="DWC1725" s="227"/>
      <c r="DWD1725" s="227"/>
      <c r="DWE1725" s="227"/>
      <c r="DWF1725" s="227"/>
      <c r="DWG1725" s="227"/>
      <c r="DWH1725" s="227"/>
      <c r="DWI1725" s="227"/>
      <c r="DWJ1725" s="227"/>
      <c r="DWK1725" s="227"/>
      <c r="DWL1725" s="227"/>
      <c r="DWM1725" s="227"/>
      <c r="DWN1725" s="227"/>
      <c r="DWO1725" s="227"/>
      <c r="DWP1725" s="227"/>
      <c r="DWQ1725" s="227"/>
      <c r="DWR1725" s="227"/>
      <c r="DWS1725" s="227"/>
      <c r="DWT1725" s="227"/>
      <c r="DWU1725" s="227"/>
      <c r="DWV1725" s="227"/>
      <c r="DWW1725" s="227"/>
      <c r="DWX1725" s="227"/>
      <c r="DWY1725" s="227"/>
      <c r="DWZ1725" s="227"/>
      <c r="DXA1725" s="227"/>
      <c r="DXB1725" s="227"/>
      <c r="DXC1725" s="227"/>
      <c r="DXD1725" s="227"/>
      <c r="DXE1725" s="227"/>
      <c r="DXF1725" s="227"/>
      <c r="DXG1725" s="227"/>
      <c r="DXH1725" s="227"/>
      <c r="DXI1725" s="227"/>
      <c r="DXJ1725" s="227"/>
      <c r="DXK1725" s="227"/>
      <c r="DXL1725" s="227"/>
      <c r="DXM1725" s="227"/>
      <c r="DXN1725" s="227"/>
      <c r="DXO1725" s="227"/>
      <c r="DXP1725" s="227"/>
      <c r="DXQ1725" s="227"/>
      <c r="DXR1725" s="227"/>
      <c r="DXS1725" s="227"/>
      <c r="DXT1725" s="227"/>
      <c r="DXU1725" s="227"/>
      <c r="DXV1725" s="227"/>
      <c r="DXW1725" s="227"/>
      <c r="DXX1725" s="227"/>
      <c r="DXY1725" s="227"/>
      <c r="DXZ1725" s="227"/>
      <c r="DYA1725" s="227"/>
      <c r="DYB1725" s="227"/>
      <c r="DYC1725" s="227"/>
      <c r="DYD1725" s="227"/>
      <c r="DYE1725" s="227"/>
      <c r="DYF1725" s="227"/>
      <c r="DYG1725" s="227"/>
      <c r="DYH1725" s="227"/>
      <c r="DYI1725" s="227"/>
      <c r="DYJ1725" s="227"/>
      <c r="DYK1725" s="227"/>
      <c r="DYL1725" s="227"/>
      <c r="DYM1725" s="227"/>
      <c r="DYN1725" s="227"/>
      <c r="DYO1725" s="227"/>
      <c r="DYP1725" s="227"/>
      <c r="DYQ1725" s="227"/>
      <c r="DYR1725" s="227"/>
      <c r="DYS1725" s="227"/>
      <c r="DYT1725" s="227"/>
      <c r="DYU1725" s="227"/>
      <c r="DYV1725" s="227"/>
      <c r="DYW1725" s="227"/>
      <c r="DYX1725" s="227"/>
      <c r="DYY1725" s="227"/>
      <c r="DYZ1725" s="227"/>
      <c r="DZA1725" s="227"/>
      <c r="DZB1725" s="227"/>
      <c r="DZC1725" s="227"/>
      <c r="DZD1725" s="227"/>
      <c r="DZE1725" s="227"/>
      <c r="DZF1725" s="227"/>
      <c r="DZG1725" s="227"/>
      <c r="DZH1725" s="227"/>
      <c r="DZI1725" s="227"/>
      <c r="DZJ1725" s="227"/>
      <c r="DZK1725" s="227"/>
      <c r="DZL1725" s="227"/>
      <c r="DZM1725" s="227"/>
      <c r="DZN1725" s="227"/>
      <c r="DZO1725" s="227"/>
      <c r="DZP1725" s="227"/>
      <c r="DZQ1725" s="227"/>
      <c r="DZR1725" s="227"/>
      <c r="DZS1725" s="227"/>
      <c r="DZT1725" s="227"/>
      <c r="DZU1725" s="227"/>
      <c r="DZV1725" s="227"/>
      <c r="DZW1725" s="227"/>
      <c r="DZX1725" s="227"/>
      <c r="DZY1725" s="227"/>
      <c r="DZZ1725" s="227"/>
      <c r="EAA1725" s="227"/>
      <c r="EAB1725" s="227"/>
      <c r="EAC1725" s="227"/>
      <c r="EAD1725" s="227"/>
      <c r="EAE1725" s="227"/>
      <c r="EAF1725" s="227"/>
      <c r="EAG1725" s="227"/>
      <c r="EAH1725" s="227"/>
      <c r="EAI1725" s="227"/>
      <c r="EAJ1725" s="227"/>
      <c r="EAK1725" s="227"/>
      <c r="EAL1725" s="227"/>
      <c r="EAM1725" s="227"/>
      <c r="EAN1725" s="227"/>
      <c r="EAO1725" s="227"/>
      <c r="EAP1725" s="227"/>
      <c r="EAQ1725" s="227"/>
      <c r="EAR1725" s="227"/>
      <c r="EAS1725" s="227"/>
      <c r="EAT1725" s="227"/>
      <c r="EAU1725" s="227"/>
      <c r="EAV1725" s="227"/>
      <c r="EAW1725" s="227"/>
      <c r="EAX1725" s="227"/>
      <c r="EAY1725" s="227"/>
      <c r="EAZ1725" s="227"/>
      <c r="EBA1725" s="227"/>
      <c r="EBB1725" s="227"/>
      <c r="EBC1725" s="227"/>
      <c r="EBD1725" s="227"/>
      <c r="EBE1725" s="227"/>
      <c r="EBF1725" s="227"/>
      <c r="EBG1725" s="227"/>
      <c r="EBH1725" s="227"/>
      <c r="EBI1725" s="227"/>
      <c r="EBJ1725" s="227"/>
      <c r="EBK1725" s="227"/>
      <c r="EBL1725" s="227"/>
      <c r="EBM1725" s="227"/>
      <c r="EBN1725" s="227"/>
      <c r="EBO1725" s="227"/>
      <c r="EBP1725" s="227"/>
      <c r="EBQ1725" s="227"/>
      <c r="EBR1725" s="227"/>
      <c r="EBS1725" s="227"/>
      <c r="EBT1725" s="227"/>
      <c r="EBU1725" s="227"/>
      <c r="EBV1725" s="227"/>
      <c r="EBW1725" s="227"/>
      <c r="EBX1725" s="227"/>
      <c r="EBY1725" s="227"/>
      <c r="EBZ1725" s="227"/>
      <c r="ECA1725" s="227"/>
      <c r="ECB1725" s="227"/>
      <c r="ECC1725" s="227"/>
      <c r="ECD1725" s="227"/>
      <c r="ECE1725" s="227"/>
      <c r="ECF1725" s="227"/>
      <c r="ECG1725" s="227"/>
      <c r="ECH1725" s="227"/>
      <c r="ECI1725" s="227"/>
      <c r="ECJ1725" s="227"/>
      <c r="ECK1725" s="227"/>
      <c r="ECL1725" s="227"/>
      <c r="ECM1725" s="227"/>
      <c r="ECN1725" s="227"/>
      <c r="ECO1725" s="227"/>
      <c r="ECP1725" s="227"/>
      <c r="ECQ1725" s="227"/>
      <c r="ECR1725" s="227"/>
      <c r="ECS1725" s="227"/>
      <c r="ECT1725" s="227"/>
      <c r="ECU1725" s="227"/>
      <c r="ECV1725" s="227"/>
      <c r="ECW1725" s="227"/>
      <c r="ECX1725" s="227"/>
      <c r="ECY1725" s="227"/>
      <c r="ECZ1725" s="227"/>
      <c r="EDA1725" s="227"/>
      <c r="EDB1725" s="227"/>
      <c r="EDC1725" s="227"/>
      <c r="EDD1725" s="227"/>
      <c r="EDE1725" s="227"/>
      <c r="EDF1725" s="227"/>
      <c r="EDG1725" s="227"/>
      <c r="EDH1725" s="227"/>
      <c r="EDI1725" s="227"/>
      <c r="EDJ1725" s="227"/>
      <c r="EDK1725" s="227"/>
      <c r="EDL1725" s="227"/>
      <c r="EDM1725" s="227"/>
      <c r="EDN1725" s="227"/>
      <c r="EDO1725" s="227"/>
      <c r="EDP1725" s="227"/>
      <c r="EDQ1725" s="227"/>
      <c r="EDR1725" s="227"/>
      <c r="EDS1725" s="227"/>
      <c r="EDT1725" s="227"/>
      <c r="EDU1725" s="227"/>
      <c r="EDV1725" s="227"/>
      <c r="EDW1725" s="227"/>
      <c r="EDX1725" s="227"/>
      <c r="EDY1725" s="227"/>
      <c r="EDZ1725" s="227"/>
      <c r="EEA1725" s="227"/>
      <c r="EEB1725" s="227"/>
      <c r="EEC1725" s="227"/>
      <c r="EED1725" s="227"/>
      <c r="EEE1725" s="227"/>
      <c r="EEF1725" s="227"/>
      <c r="EEG1725" s="227"/>
      <c r="EEH1725" s="227"/>
      <c r="EEI1725" s="227"/>
      <c r="EEJ1725" s="227"/>
      <c r="EEK1725" s="227"/>
      <c r="EEL1725" s="227"/>
      <c r="EEM1725" s="227"/>
      <c r="EEN1725" s="227"/>
      <c r="EEO1725" s="227"/>
      <c r="EEP1725" s="227"/>
      <c r="EEQ1725" s="227"/>
      <c r="EER1725" s="227"/>
      <c r="EES1725" s="227"/>
      <c r="EET1725" s="227"/>
      <c r="EEU1725" s="227"/>
      <c r="EEV1725" s="227"/>
      <c r="EEW1725" s="227"/>
      <c r="EEX1725" s="227"/>
      <c r="EEY1725" s="227"/>
      <c r="EEZ1725" s="227"/>
      <c r="EFA1725" s="227"/>
      <c r="EFB1725" s="227"/>
      <c r="EFC1725" s="227"/>
      <c r="EFD1725" s="227"/>
      <c r="EFE1725" s="227"/>
      <c r="EFF1725" s="227"/>
      <c r="EFG1725" s="227"/>
      <c r="EFH1725" s="227"/>
      <c r="EFI1725" s="227"/>
      <c r="EFJ1725" s="227"/>
      <c r="EFK1725" s="227"/>
      <c r="EFL1725" s="227"/>
      <c r="EFM1725" s="227"/>
      <c r="EFN1725" s="227"/>
      <c r="EFO1725" s="227"/>
      <c r="EFP1725" s="227"/>
      <c r="EFQ1725" s="227"/>
      <c r="EFR1725" s="227"/>
      <c r="EFS1725" s="227"/>
      <c r="EFT1725" s="227"/>
      <c r="EFU1725" s="227"/>
      <c r="EFV1725" s="227"/>
      <c r="EFW1725" s="227"/>
      <c r="EFX1725" s="227"/>
      <c r="EFY1725" s="227"/>
      <c r="EFZ1725" s="227"/>
      <c r="EGA1725" s="227"/>
      <c r="EGB1725" s="227"/>
      <c r="EGC1725" s="227"/>
      <c r="EGD1725" s="227"/>
      <c r="EGE1725" s="227"/>
      <c r="EGF1725" s="227"/>
      <c r="EGG1725" s="227"/>
      <c r="EGH1725" s="227"/>
      <c r="EGI1725" s="227"/>
      <c r="EGJ1725" s="227"/>
      <c r="EGK1725" s="227"/>
      <c r="EGL1725" s="227"/>
      <c r="EGM1725" s="227"/>
      <c r="EGN1725" s="227"/>
      <c r="EGO1725" s="227"/>
      <c r="EGP1725" s="227"/>
      <c r="EGQ1725" s="227"/>
      <c r="EGR1725" s="227"/>
      <c r="EGS1725" s="227"/>
      <c r="EGT1725" s="227"/>
      <c r="EGU1725" s="227"/>
      <c r="EGV1725" s="227"/>
      <c r="EGW1725" s="227"/>
      <c r="EGX1725" s="227"/>
      <c r="EGY1725" s="227"/>
      <c r="EGZ1725" s="227"/>
      <c r="EHA1725" s="227"/>
      <c r="EHB1725" s="227"/>
      <c r="EHC1725" s="227"/>
      <c r="EHD1725" s="227"/>
      <c r="EHE1725" s="227"/>
      <c r="EHF1725" s="227"/>
      <c r="EHG1725" s="227"/>
      <c r="EHH1725" s="227"/>
      <c r="EHI1725" s="227"/>
      <c r="EHJ1725" s="227"/>
      <c r="EHK1725" s="227"/>
      <c r="EHL1725" s="227"/>
      <c r="EHM1725" s="227"/>
      <c r="EHN1725" s="227"/>
      <c r="EHO1725" s="227"/>
      <c r="EHP1725" s="227"/>
      <c r="EHQ1725" s="227"/>
      <c r="EHR1725" s="227"/>
      <c r="EHS1725" s="227"/>
      <c r="EHT1725" s="227"/>
      <c r="EHU1725" s="227"/>
      <c r="EHV1725" s="227"/>
      <c r="EHW1725" s="227"/>
      <c r="EHX1725" s="227"/>
      <c r="EHY1725" s="227"/>
      <c r="EHZ1725" s="227"/>
      <c r="EIA1725" s="227"/>
      <c r="EIB1725" s="227"/>
      <c r="EIC1725" s="227"/>
      <c r="EID1725" s="227"/>
      <c r="EIE1725" s="227"/>
      <c r="EIF1725" s="227"/>
      <c r="EIG1725" s="227"/>
      <c r="EIH1725" s="227"/>
      <c r="EII1725" s="227"/>
      <c r="EIJ1725" s="227"/>
      <c r="EIK1725" s="227"/>
      <c r="EIL1725" s="227"/>
      <c r="EIM1725" s="227"/>
      <c r="EIN1725" s="227"/>
      <c r="EIO1725" s="227"/>
      <c r="EIP1725" s="227"/>
      <c r="EIQ1725" s="227"/>
      <c r="EIR1725" s="227"/>
      <c r="EIS1725" s="227"/>
      <c r="EIT1725" s="227"/>
      <c r="EIU1725" s="227"/>
      <c r="EIV1725" s="227"/>
      <c r="EIW1725" s="227"/>
      <c r="EIX1725" s="227"/>
      <c r="EIY1725" s="227"/>
      <c r="EIZ1725" s="227"/>
      <c r="EJA1725" s="227"/>
      <c r="EJB1725" s="227"/>
      <c r="EJC1725" s="227"/>
      <c r="EJD1725" s="227"/>
      <c r="EJE1725" s="227"/>
      <c r="EJF1725" s="227"/>
      <c r="EJG1725" s="227"/>
      <c r="EJH1725" s="227"/>
      <c r="EJI1725" s="227"/>
      <c r="EJJ1725" s="227"/>
      <c r="EJK1725" s="227"/>
      <c r="EJL1725" s="227"/>
      <c r="EJM1725" s="227"/>
      <c r="EJN1725" s="227"/>
      <c r="EJO1725" s="227"/>
      <c r="EJP1725" s="227"/>
      <c r="EJQ1725" s="227"/>
      <c r="EJR1725" s="227"/>
      <c r="EJS1725" s="227"/>
      <c r="EJT1725" s="227"/>
      <c r="EJU1725" s="227"/>
      <c r="EJV1725" s="227"/>
      <c r="EJW1725" s="227"/>
      <c r="EJX1725" s="227"/>
      <c r="EJY1725" s="227"/>
      <c r="EJZ1725" s="227"/>
      <c r="EKA1725" s="227"/>
      <c r="EKB1725" s="227"/>
      <c r="EKC1725" s="227"/>
      <c r="EKD1725" s="227"/>
      <c r="EKE1725" s="227"/>
      <c r="EKF1725" s="227"/>
      <c r="EKG1725" s="227"/>
      <c r="EKH1725" s="227"/>
      <c r="EKI1725" s="227"/>
      <c r="EKJ1725" s="227"/>
      <c r="EKK1725" s="227"/>
      <c r="EKL1725" s="227"/>
      <c r="EKM1725" s="227"/>
      <c r="EKN1725" s="227"/>
      <c r="EKO1725" s="227"/>
      <c r="EKP1725" s="227"/>
      <c r="EKQ1725" s="227"/>
      <c r="EKR1725" s="227"/>
      <c r="EKS1725" s="227"/>
      <c r="EKT1725" s="227"/>
      <c r="EKU1725" s="227"/>
      <c r="EKV1725" s="227"/>
      <c r="EKW1725" s="227"/>
      <c r="EKX1725" s="227"/>
      <c r="EKY1725" s="227"/>
      <c r="EKZ1725" s="227"/>
      <c r="ELA1725" s="227"/>
      <c r="ELB1725" s="227"/>
      <c r="ELC1725" s="227"/>
      <c r="ELD1725" s="227"/>
      <c r="ELE1725" s="227"/>
      <c r="ELF1725" s="227"/>
      <c r="ELG1725" s="227"/>
      <c r="ELH1725" s="227"/>
      <c r="ELI1725" s="227"/>
      <c r="ELJ1725" s="227"/>
      <c r="ELK1725" s="227"/>
      <c r="ELL1725" s="227"/>
      <c r="ELM1725" s="227"/>
      <c r="ELN1725" s="227"/>
      <c r="ELO1725" s="227"/>
      <c r="ELP1725" s="227"/>
      <c r="ELQ1725" s="227"/>
      <c r="ELR1725" s="227"/>
      <c r="ELS1725" s="227"/>
      <c r="ELT1725" s="227"/>
      <c r="ELU1725" s="227"/>
      <c r="ELV1725" s="227"/>
      <c r="ELW1725" s="227"/>
      <c r="ELX1725" s="227"/>
      <c r="ELY1725" s="227"/>
      <c r="ELZ1725" s="227"/>
      <c r="EMA1725" s="227"/>
      <c r="EMB1725" s="227"/>
      <c r="EMC1725" s="227"/>
      <c r="EMD1725" s="227"/>
      <c r="EME1725" s="227"/>
      <c r="EMF1725" s="227"/>
      <c r="EMG1725" s="227"/>
      <c r="EMH1725" s="227"/>
      <c r="EMI1725" s="227"/>
      <c r="EMJ1725" s="227"/>
      <c r="EMK1725" s="227"/>
      <c r="EML1725" s="227"/>
      <c r="EMM1725" s="227"/>
      <c r="EMN1725" s="227"/>
      <c r="EMO1725" s="227"/>
      <c r="EMP1725" s="227"/>
      <c r="EMQ1725" s="227"/>
      <c r="EMR1725" s="227"/>
      <c r="EMS1725" s="227"/>
      <c r="EMT1725" s="227"/>
      <c r="EMU1725" s="227"/>
      <c r="EMV1725" s="227"/>
      <c r="EMW1725" s="227"/>
      <c r="EMX1725" s="227"/>
      <c r="EMY1725" s="227"/>
      <c r="EMZ1725" s="227"/>
      <c r="ENA1725" s="227"/>
      <c r="ENB1725" s="227"/>
      <c r="ENC1725" s="227"/>
      <c r="END1725" s="227"/>
      <c r="ENE1725" s="227"/>
      <c r="ENF1725" s="227"/>
      <c r="ENG1725" s="227"/>
      <c r="ENH1725" s="227"/>
      <c r="ENI1725" s="227"/>
      <c r="ENJ1725" s="227"/>
      <c r="ENK1725" s="227"/>
      <c r="ENL1725" s="227"/>
      <c r="ENM1725" s="227"/>
      <c r="ENN1725" s="227"/>
      <c r="ENO1725" s="227"/>
      <c r="ENP1725" s="227"/>
      <c r="ENQ1725" s="227"/>
      <c r="ENR1725" s="227"/>
      <c r="ENS1725" s="227"/>
      <c r="ENT1725" s="227"/>
      <c r="ENU1725" s="227"/>
      <c r="ENV1725" s="227"/>
      <c r="ENW1725" s="227"/>
      <c r="ENX1725" s="227"/>
      <c r="ENY1725" s="227"/>
      <c r="ENZ1725" s="227"/>
      <c r="EOA1725" s="227"/>
      <c r="EOB1725" s="227"/>
      <c r="EOC1725" s="227"/>
      <c r="EOD1725" s="227"/>
      <c r="EOE1725" s="227"/>
      <c r="EOF1725" s="227"/>
      <c r="EOG1725" s="227"/>
      <c r="EOH1725" s="227"/>
      <c r="EOI1725" s="227"/>
      <c r="EOJ1725" s="227"/>
      <c r="EOK1725" s="227"/>
      <c r="EOL1725" s="227"/>
      <c r="EOM1725" s="227"/>
      <c r="EON1725" s="227"/>
      <c r="EOO1725" s="227"/>
      <c r="EOP1725" s="227"/>
      <c r="EOQ1725" s="227"/>
      <c r="EOR1725" s="227"/>
      <c r="EOS1725" s="227"/>
      <c r="EOT1725" s="227"/>
      <c r="EOU1725" s="227"/>
      <c r="EOV1725" s="227"/>
      <c r="EOW1725" s="227"/>
      <c r="EOX1725" s="227"/>
      <c r="EOY1725" s="227"/>
      <c r="EOZ1725" s="227"/>
      <c r="EPA1725" s="227"/>
      <c r="EPB1725" s="227"/>
      <c r="EPC1725" s="227"/>
      <c r="EPD1725" s="227"/>
      <c r="EPE1725" s="227"/>
      <c r="EPF1725" s="227"/>
      <c r="EPG1725" s="227"/>
      <c r="EPH1725" s="227"/>
      <c r="EPI1725" s="227"/>
      <c r="EPJ1725" s="227"/>
      <c r="EPK1725" s="227"/>
      <c r="EPL1725" s="227"/>
      <c r="EPM1725" s="227"/>
      <c r="EPN1725" s="227"/>
      <c r="EPO1725" s="227"/>
      <c r="EPP1725" s="227"/>
      <c r="EPQ1725" s="227"/>
      <c r="EPR1725" s="227"/>
      <c r="EPS1725" s="227"/>
      <c r="EPT1725" s="227"/>
      <c r="EPU1725" s="227"/>
      <c r="EPV1725" s="227"/>
      <c r="EPW1725" s="227"/>
      <c r="EPX1725" s="227"/>
      <c r="EPY1725" s="227"/>
      <c r="EPZ1725" s="227"/>
      <c r="EQA1725" s="227"/>
      <c r="EQB1725" s="227"/>
      <c r="EQC1725" s="227"/>
      <c r="EQD1725" s="227"/>
      <c r="EQE1725" s="227"/>
      <c r="EQF1725" s="227"/>
      <c r="EQG1725" s="227"/>
      <c r="EQH1725" s="227"/>
      <c r="EQI1725" s="227"/>
      <c r="EQJ1725" s="227"/>
      <c r="EQK1725" s="227"/>
      <c r="EQL1725" s="227"/>
      <c r="EQM1725" s="227"/>
      <c r="EQN1725" s="227"/>
      <c r="EQO1725" s="227"/>
      <c r="EQP1725" s="227"/>
      <c r="EQQ1725" s="227"/>
      <c r="EQR1725" s="227"/>
      <c r="EQS1725" s="227"/>
      <c r="EQT1725" s="227"/>
      <c r="EQU1725" s="227"/>
      <c r="EQV1725" s="227"/>
      <c r="EQW1725" s="227"/>
      <c r="EQX1725" s="227"/>
      <c r="EQY1725" s="227"/>
      <c r="EQZ1725" s="227"/>
      <c r="ERA1725" s="227"/>
      <c r="ERB1725" s="227"/>
      <c r="ERC1725" s="227"/>
      <c r="ERD1725" s="227"/>
      <c r="ERE1725" s="227"/>
      <c r="ERF1725" s="227"/>
      <c r="ERG1725" s="227"/>
      <c r="ERH1725" s="227"/>
      <c r="ERI1725" s="227"/>
      <c r="ERJ1725" s="227"/>
      <c r="ERK1725" s="227"/>
      <c r="ERL1725" s="227"/>
      <c r="ERM1725" s="227"/>
      <c r="ERN1725" s="227"/>
      <c r="ERO1725" s="227"/>
      <c r="ERP1725" s="227"/>
      <c r="ERQ1725" s="227"/>
      <c r="ERR1725" s="227"/>
      <c r="ERS1725" s="227"/>
      <c r="ERT1725" s="227"/>
      <c r="ERU1725" s="227"/>
      <c r="ERV1725" s="227"/>
      <c r="ERW1725" s="227"/>
      <c r="ERX1725" s="227"/>
      <c r="ERY1725" s="227"/>
      <c r="ERZ1725" s="227"/>
      <c r="ESA1725" s="227"/>
      <c r="ESB1725" s="227"/>
      <c r="ESC1725" s="227"/>
      <c r="ESD1725" s="227"/>
      <c r="ESE1725" s="227"/>
      <c r="ESF1725" s="227"/>
      <c r="ESG1725" s="227"/>
      <c r="ESH1725" s="227"/>
      <c r="ESI1725" s="227"/>
      <c r="ESJ1725" s="227"/>
      <c r="ESK1725" s="227"/>
      <c r="ESL1725" s="227"/>
      <c r="ESM1725" s="227"/>
      <c r="ESN1725" s="227"/>
      <c r="ESO1725" s="227"/>
      <c r="ESP1725" s="227"/>
      <c r="ESQ1725" s="227"/>
      <c r="ESR1725" s="227"/>
      <c r="ESS1725" s="227"/>
      <c r="EST1725" s="227"/>
      <c r="ESU1725" s="227"/>
      <c r="ESV1725" s="227"/>
      <c r="ESW1725" s="227"/>
      <c r="ESX1725" s="227"/>
      <c r="ESY1725" s="227"/>
      <c r="ESZ1725" s="227"/>
      <c r="ETA1725" s="227"/>
      <c r="ETB1725" s="227"/>
      <c r="ETC1725" s="227"/>
      <c r="ETD1725" s="227"/>
      <c r="ETE1725" s="227"/>
      <c r="ETF1725" s="227"/>
      <c r="ETG1725" s="227"/>
      <c r="ETH1725" s="227"/>
      <c r="ETI1725" s="227"/>
      <c r="ETJ1725" s="227"/>
      <c r="ETK1725" s="227"/>
      <c r="ETL1725" s="227"/>
      <c r="ETM1725" s="227"/>
      <c r="ETN1725" s="227"/>
      <c r="ETO1725" s="227"/>
      <c r="ETP1725" s="227"/>
      <c r="ETQ1725" s="227"/>
      <c r="ETR1725" s="227"/>
      <c r="ETS1725" s="227"/>
      <c r="ETT1725" s="227"/>
      <c r="ETU1725" s="227"/>
      <c r="ETV1725" s="227"/>
      <c r="ETW1725" s="227"/>
      <c r="ETX1725" s="227"/>
      <c r="ETY1725" s="227"/>
      <c r="ETZ1725" s="227"/>
      <c r="EUA1725" s="227"/>
      <c r="EUB1725" s="227"/>
      <c r="EUC1725" s="227"/>
      <c r="EUD1725" s="227"/>
      <c r="EUE1725" s="227"/>
      <c r="EUF1725" s="227"/>
      <c r="EUG1725" s="227"/>
      <c r="EUH1725" s="227"/>
      <c r="EUI1725" s="227"/>
      <c r="EUJ1725" s="227"/>
      <c r="EUK1725" s="227"/>
      <c r="EUL1725" s="227"/>
      <c r="EUM1725" s="227"/>
      <c r="EUN1725" s="227"/>
      <c r="EUO1725" s="227"/>
      <c r="EUP1725" s="227"/>
      <c r="EUQ1725" s="227"/>
      <c r="EUR1725" s="227"/>
      <c r="EUS1725" s="227"/>
      <c r="EUT1725" s="227"/>
      <c r="EUU1725" s="227"/>
      <c r="EUV1725" s="227"/>
      <c r="EUW1725" s="227"/>
      <c r="EUX1725" s="227"/>
      <c r="EUY1725" s="227"/>
      <c r="EUZ1725" s="227"/>
      <c r="EVA1725" s="227"/>
      <c r="EVB1725" s="227"/>
      <c r="EVC1725" s="227"/>
      <c r="EVD1725" s="227"/>
      <c r="EVE1725" s="227"/>
      <c r="EVF1725" s="227"/>
      <c r="EVG1725" s="227"/>
      <c r="EVH1725" s="227"/>
      <c r="EVI1725" s="227"/>
      <c r="EVJ1725" s="227"/>
      <c r="EVK1725" s="227"/>
      <c r="EVL1725" s="227"/>
      <c r="EVM1725" s="227"/>
      <c r="EVN1725" s="227"/>
      <c r="EVO1725" s="227"/>
      <c r="EVP1725" s="227"/>
      <c r="EVQ1725" s="227"/>
      <c r="EVR1725" s="227"/>
      <c r="EVS1725" s="227"/>
      <c r="EVT1725" s="227"/>
      <c r="EVU1725" s="227"/>
      <c r="EVV1725" s="227"/>
      <c r="EVW1725" s="227"/>
      <c r="EVX1725" s="227"/>
      <c r="EVY1725" s="227"/>
      <c r="EVZ1725" s="227"/>
      <c r="EWA1725" s="227"/>
      <c r="EWB1725" s="227"/>
      <c r="EWC1725" s="227"/>
      <c r="EWD1725" s="227"/>
      <c r="EWE1725" s="227"/>
      <c r="EWF1725" s="227"/>
      <c r="EWG1725" s="227"/>
      <c r="EWH1725" s="227"/>
      <c r="EWI1725" s="227"/>
      <c r="EWJ1725" s="227"/>
      <c r="EWK1725" s="227"/>
      <c r="EWL1725" s="227"/>
      <c r="EWM1725" s="227"/>
      <c r="EWN1725" s="227"/>
      <c r="EWO1725" s="227"/>
      <c r="EWP1725" s="227"/>
      <c r="EWQ1725" s="227"/>
      <c r="EWR1725" s="227"/>
      <c r="EWS1725" s="227"/>
      <c r="EWT1725" s="227"/>
      <c r="EWU1725" s="227"/>
      <c r="EWV1725" s="227"/>
      <c r="EWW1725" s="227"/>
      <c r="EWX1725" s="227"/>
      <c r="EWY1725" s="227"/>
      <c r="EWZ1725" s="227"/>
      <c r="EXA1725" s="227"/>
      <c r="EXB1725" s="227"/>
      <c r="EXC1725" s="227"/>
      <c r="EXD1725" s="227"/>
      <c r="EXE1725" s="227"/>
      <c r="EXF1725" s="227"/>
      <c r="EXG1725" s="227"/>
      <c r="EXH1725" s="227"/>
      <c r="EXI1725" s="227"/>
      <c r="EXJ1725" s="227"/>
      <c r="EXK1725" s="227"/>
      <c r="EXL1725" s="227"/>
      <c r="EXM1725" s="227"/>
      <c r="EXN1725" s="227"/>
      <c r="EXO1725" s="227"/>
      <c r="EXP1725" s="227"/>
      <c r="EXQ1725" s="227"/>
      <c r="EXR1725" s="227"/>
      <c r="EXS1725" s="227"/>
      <c r="EXT1725" s="227"/>
      <c r="EXU1725" s="227"/>
      <c r="EXV1725" s="227"/>
      <c r="EXW1725" s="227"/>
      <c r="EXX1725" s="227"/>
      <c r="EXY1725" s="227"/>
      <c r="EXZ1725" s="227"/>
      <c r="EYA1725" s="227"/>
      <c r="EYB1725" s="227"/>
      <c r="EYC1725" s="227"/>
      <c r="EYD1725" s="227"/>
      <c r="EYE1725" s="227"/>
      <c r="EYF1725" s="227"/>
      <c r="EYG1725" s="227"/>
      <c r="EYH1725" s="227"/>
      <c r="EYI1725" s="227"/>
      <c r="EYJ1725" s="227"/>
      <c r="EYK1725" s="227"/>
      <c r="EYL1725" s="227"/>
      <c r="EYM1725" s="227"/>
      <c r="EYN1725" s="227"/>
      <c r="EYO1725" s="227"/>
      <c r="EYP1725" s="227"/>
      <c r="EYQ1725" s="227"/>
      <c r="EYR1725" s="227"/>
      <c r="EYS1725" s="227"/>
      <c r="EYT1725" s="227"/>
      <c r="EYU1725" s="227"/>
      <c r="EYV1725" s="227"/>
      <c r="EYW1725" s="227"/>
      <c r="EYX1725" s="227"/>
      <c r="EYY1725" s="227"/>
      <c r="EYZ1725" s="227"/>
      <c r="EZA1725" s="227"/>
      <c r="EZB1725" s="227"/>
      <c r="EZC1725" s="227"/>
      <c r="EZD1725" s="227"/>
      <c r="EZE1725" s="227"/>
      <c r="EZF1725" s="227"/>
      <c r="EZG1725" s="227"/>
      <c r="EZH1725" s="227"/>
      <c r="EZI1725" s="227"/>
      <c r="EZJ1725" s="227"/>
      <c r="EZK1725" s="227"/>
      <c r="EZL1725" s="227"/>
      <c r="EZM1725" s="227"/>
      <c r="EZN1725" s="227"/>
      <c r="EZO1725" s="227"/>
      <c r="EZP1725" s="227"/>
      <c r="EZQ1725" s="227"/>
      <c r="EZR1725" s="227"/>
      <c r="EZS1725" s="227"/>
      <c r="EZT1725" s="227"/>
      <c r="EZU1725" s="227"/>
      <c r="EZV1725" s="227"/>
      <c r="EZW1725" s="227"/>
      <c r="EZX1725" s="227"/>
      <c r="EZY1725" s="227"/>
      <c r="EZZ1725" s="227"/>
      <c r="FAA1725" s="227"/>
      <c r="FAB1725" s="227"/>
      <c r="FAC1725" s="227"/>
      <c r="FAD1725" s="227"/>
      <c r="FAE1725" s="227"/>
      <c r="FAF1725" s="227"/>
      <c r="FAG1725" s="227"/>
      <c r="FAH1725" s="227"/>
      <c r="FAI1725" s="227"/>
      <c r="FAJ1725" s="227"/>
      <c r="FAK1725" s="227"/>
      <c r="FAL1725" s="227"/>
      <c r="FAM1725" s="227"/>
      <c r="FAN1725" s="227"/>
      <c r="FAO1725" s="227"/>
      <c r="FAP1725" s="227"/>
      <c r="FAQ1725" s="227"/>
      <c r="FAR1725" s="227"/>
      <c r="FAS1725" s="227"/>
      <c r="FAT1725" s="227"/>
      <c r="FAU1725" s="227"/>
      <c r="FAV1725" s="227"/>
      <c r="FAW1725" s="227"/>
      <c r="FAX1725" s="227"/>
      <c r="FAY1725" s="227"/>
      <c r="FAZ1725" s="227"/>
      <c r="FBA1725" s="227"/>
      <c r="FBB1725" s="227"/>
      <c r="FBC1725" s="227"/>
      <c r="FBD1725" s="227"/>
      <c r="FBE1725" s="227"/>
      <c r="FBF1725" s="227"/>
      <c r="FBG1725" s="227"/>
      <c r="FBH1725" s="227"/>
      <c r="FBI1725" s="227"/>
      <c r="FBJ1725" s="227"/>
      <c r="FBK1725" s="227"/>
      <c r="FBL1725" s="227"/>
      <c r="FBM1725" s="227"/>
      <c r="FBN1725" s="227"/>
      <c r="FBO1725" s="227"/>
      <c r="FBP1725" s="227"/>
      <c r="FBQ1725" s="227"/>
      <c r="FBR1725" s="227"/>
      <c r="FBS1725" s="227"/>
      <c r="FBT1725" s="227"/>
      <c r="FBU1725" s="227"/>
      <c r="FBV1725" s="227"/>
      <c r="FBW1725" s="227"/>
      <c r="FBX1725" s="227"/>
      <c r="FBY1725" s="227"/>
      <c r="FBZ1725" s="227"/>
      <c r="FCA1725" s="227"/>
      <c r="FCB1725" s="227"/>
      <c r="FCC1725" s="227"/>
      <c r="FCD1725" s="227"/>
      <c r="FCE1725" s="227"/>
      <c r="FCF1725" s="227"/>
      <c r="FCG1725" s="227"/>
      <c r="FCH1725" s="227"/>
      <c r="FCI1725" s="227"/>
      <c r="FCJ1725" s="227"/>
      <c r="FCK1725" s="227"/>
      <c r="FCL1725" s="227"/>
      <c r="FCM1725" s="227"/>
      <c r="FCN1725" s="227"/>
      <c r="FCO1725" s="227"/>
      <c r="FCP1725" s="227"/>
      <c r="FCQ1725" s="227"/>
      <c r="FCR1725" s="227"/>
      <c r="FCS1725" s="227"/>
      <c r="FCT1725" s="227"/>
      <c r="FCU1725" s="227"/>
      <c r="FCV1725" s="227"/>
      <c r="FCW1725" s="227"/>
      <c r="FCX1725" s="227"/>
      <c r="FCY1725" s="227"/>
      <c r="FCZ1725" s="227"/>
      <c r="FDA1725" s="227"/>
      <c r="FDB1725" s="227"/>
      <c r="FDC1725" s="227"/>
      <c r="FDD1725" s="227"/>
      <c r="FDE1725" s="227"/>
      <c r="FDF1725" s="227"/>
      <c r="FDG1725" s="227"/>
      <c r="FDH1725" s="227"/>
      <c r="FDI1725" s="227"/>
      <c r="FDJ1725" s="227"/>
      <c r="FDK1725" s="227"/>
      <c r="FDL1725" s="227"/>
      <c r="FDM1725" s="227"/>
      <c r="FDN1725" s="227"/>
      <c r="FDO1725" s="227"/>
      <c r="FDP1725" s="227"/>
      <c r="FDQ1725" s="227"/>
      <c r="FDR1725" s="227"/>
      <c r="FDS1725" s="227"/>
      <c r="FDT1725" s="227"/>
      <c r="FDU1725" s="227"/>
      <c r="FDV1725" s="227"/>
      <c r="FDW1725" s="227"/>
      <c r="FDX1725" s="227"/>
      <c r="FDY1725" s="227"/>
      <c r="FDZ1725" s="227"/>
      <c r="FEA1725" s="227"/>
      <c r="FEB1725" s="227"/>
      <c r="FEC1725" s="227"/>
      <c r="FED1725" s="227"/>
      <c r="FEE1725" s="227"/>
      <c r="FEF1725" s="227"/>
      <c r="FEG1725" s="227"/>
      <c r="FEH1725" s="227"/>
      <c r="FEI1725" s="227"/>
      <c r="FEJ1725" s="227"/>
      <c r="FEK1725" s="227"/>
      <c r="FEL1725" s="227"/>
      <c r="FEM1725" s="227"/>
      <c r="FEN1725" s="227"/>
      <c r="FEO1725" s="227"/>
      <c r="FEP1725" s="227"/>
      <c r="FEQ1725" s="227"/>
      <c r="FER1725" s="227"/>
      <c r="FES1725" s="227"/>
      <c r="FET1725" s="227"/>
      <c r="FEU1725" s="227"/>
      <c r="FEV1725" s="227"/>
      <c r="FEW1725" s="227"/>
      <c r="FEX1725" s="227"/>
      <c r="FEY1725" s="227"/>
      <c r="FEZ1725" s="227"/>
      <c r="FFA1725" s="227"/>
      <c r="FFB1725" s="227"/>
      <c r="FFC1725" s="227"/>
      <c r="FFD1725" s="227"/>
      <c r="FFE1725" s="227"/>
      <c r="FFF1725" s="227"/>
      <c r="FFG1725" s="227"/>
      <c r="FFH1725" s="227"/>
      <c r="FFI1725" s="227"/>
      <c r="FFJ1725" s="227"/>
      <c r="FFK1725" s="227"/>
      <c r="FFL1725" s="227"/>
      <c r="FFM1725" s="227"/>
      <c r="FFN1725" s="227"/>
      <c r="FFO1725" s="227"/>
      <c r="FFP1725" s="227"/>
      <c r="FFQ1725" s="227"/>
      <c r="FFR1725" s="227"/>
      <c r="FFS1725" s="227"/>
      <c r="FFT1725" s="227"/>
      <c r="FFU1725" s="227"/>
      <c r="FFV1725" s="227"/>
      <c r="FFW1725" s="227"/>
      <c r="FFX1725" s="227"/>
      <c r="FFY1725" s="227"/>
      <c r="FFZ1725" s="227"/>
      <c r="FGA1725" s="227"/>
      <c r="FGB1725" s="227"/>
      <c r="FGC1725" s="227"/>
      <c r="FGD1725" s="227"/>
      <c r="FGE1725" s="227"/>
      <c r="FGF1725" s="227"/>
      <c r="FGG1725" s="227"/>
      <c r="FGH1725" s="227"/>
      <c r="FGI1725" s="227"/>
      <c r="FGJ1725" s="227"/>
      <c r="FGK1725" s="227"/>
      <c r="FGL1725" s="227"/>
      <c r="FGM1725" s="227"/>
      <c r="FGN1725" s="227"/>
      <c r="FGO1725" s="227"/>
      <c r="FGP1725" s="227"/>
      <c r="FGQ1725" s="227"/>
      <c r="FGR1725" s="227"/>
      <c r="FGS1725" s="227"/>
      <c r="FGT1725" s="227"/>
      <c r="FGU1725" s="227"/>
      <c r="FGV1725" s="227"/>
      <c r="FGW1725" s="227"/>
      <c r="FGX1725" s="227"/>
      <c r="FGY1725" s="227"/>
      <c r="FGZ1725" s="227"/>
      <c r="FHA1725" s="227"/>
      <c r="FHB1725" s="227"/>
      <c r="FHC1725" s="227"/>
      <c r="FHD1725" s="227"/>
      <c r="FHE1725" s="227"/>
      <c r="FHF1725" s="227"/>
      <c r="FHG1725" s="227"/>
      <c r="FHH1725" s="227"/>
      <c r="FHI1725" s="227"/>
      <c r="FHJ1725" s="227"/>
      <c r="FHK1725" s="227"/>
      <c r="FHL1725" s="227"/>
      <c r="FHM1725" s="227"/>
      <c r="FHN1725" s="227"/>
      <c r="FHO1725" s="227"/>
      <c r="FHP1725" s="227"/>
      <c r="FHQ1725" s="227"/>
      <c r="FHR1725" s="227"/>
      <c r="FHS1725" s="227"/>
      <c r="FHT1725" s="227"/>
      <c r="FHU1725" s="227"/>
      <c r="FHV1725" s="227"/>
      <c r="FHW1725" s="227"/>
      <c r="FHX1725" s="227"/>
      <c r="FHY1725" s="227"/>
      <c r="FHZ1725" s="227"/>
      <c r="FIA1725" s="227"/>
      <c r="FIB1725" s="227"/>
      <c r="FIC1725" s="227"/>
      <c r="FID1725" s="227"/>
      <c r="FIE1725" s="227"/>
      <c r="FIF1725" s="227"/>
      <c r="FIG1725" s="227"/>
      <c r="FIH1725" s="227"/>
      <c r="FII1725" s="227"/>
      <c r="FIJ1725" s="227"/>
      <c r="FIK1725" s="227"/>
      <c r="FIL1725" s="227"/>
      <c r="FIM1725" s="227"/>
      <c r="FIN1725" s="227"/>
      <c r="FIO1725" s="227"/>
      <c r="FIP1725" s="227"/>
      <c r="FIQ1725" s="227"/>
      <c r="FIR1725" s="227"/>
      <c r="FIS1725" s="227"/>
      <c r="FIT1725" s="227"/>
      <c r="FIU1725" s="227"/>
      <c r="FIV1725" s="227"/>
      <c r="FIW1725" s="227"/>
      <c r="FIX1725" s="227"/>
      <c r="FIY1725" s="227"/>
      <c r="FIZ1725" s="227"/>
      <c r="FJA1725" s="227"/>
      <c r="FJB1725" s="227"/>
      <c r="FJC1725" s="227"/>
      <c r="FJD1725" s="227"/>
      <c r="FJE1725" s="227"/>
      <c r="FJF1725" s="227"/>
      <c r="FJG1725" s="227"/>
      <c r="FJH1725" s="227"/>
      <c r="FJI1725" s="227"/>
      <c r="FJJ1725" s="227"/>
      <c r="FJK1725" s="227"/>
      <c r="FJL1725" s="227"/>
      <c r="FJM1725" s="227"/>
      <c r="FJN1725" s="227"/>
      <c r="FJO1725" s="227"/>
      <c r="FJP1725" s="227"/>
      <c r="FJQ1725" s="227"/>
      <c r="FJR1725" s="227"/>
      <c r="FJS1725" s="227"/>
      <c r="FJT1725" s="227"/>
      <c r="FJU1725" s="227"/>
      <c r="FJV1725" s="227"/>
      <c r="FJW1725" s="227"/>
      <c r="FJX1725" s="227"/>
      <c r="FJY1725" s="227"/>
      <c r="FJZ1725" s="227"/>
      <c r="FKA1725" s="227"/>
      <c r="FKB1725" s="227"/>
      <c r="FKC1725" s="227"/>
      <c r="FKD1725" s="227"/>
      <c r="FKE1725" s="227"/>
      <c r="FKF1725" s="227"/>
      <c r="FKG1725" s="227"/>
      <c r="FKH1725" s="227"/>
      <c r="FKI1725" s="227"/>
      <c r="FKJ1725" s="227"/>
      <c r="FKK1725" s="227"/>
      <c r="FKL1725" s="227"/>
      <c r="FKM1725" s="227"/>
      <c r="FKN1725" s="227"/>
      <c r="FKO1725" s="227"/>
      <c r="FKP1725" s="227"/>
      <c r="FKQ1725" s="227"/>
      <c r="FKR1725" s="227"/>
      <c r="FKS1725" s="227"/>
      <c r="FKT1725" s="227"/>
      <c r="FKU1725" s="227"/>
      <c r="FKV1725" s="227"/>
      <c r="FKW1725" s="227"/>
      <c r="FKX1725" s="227"/>
      <c r="FKY1725" s="227"/>
      <c r="FKZ1725" s="227"/>
      <c r="FLA1725" s="227"/>
      <c r="FLB1725" s="227"/>
      <c r="FLC1725" s="227"/>
      <c r="FLD1725" s="227"/>
      <c r="FLE1725" s="227"/>
      <c r="FLF1725" s="227"/>
      <c r="FLG1725" s="227"/>
      <c r="FLH1725" s="227"/>
      <c r="FLI1725" s="227"/>
      <c r="FLJ1725" s="227"/>
      <c r="FLK1725" s="227"/>
      <c r="FLL1725" s="227"/>
      <c r="FLM1725" s="227"/>
      <c r="FLN1725" s="227"/>
      <c r="FLO1725" s="227"/>
      <c r="FLP1725" s="227"/>
      <c r="FLQ1725" s="227"/>
      <c r="FLR1725" s="227"/>
      <c r="FLS1725" s="227"/>
      <c r="FLT1725" s="227"/>
      <c r="FLU1725" s="227"/>
      <c r="FLV1725" s="227"/>
      <c r="FLW1725" s="227"/>
      <c r="FLX1725" s="227"/>
      <c r="FLY1725" s="227"/>
      <c r="FLZ1725" s="227"/>
      <c r="FMA1725" s="227"/>
      <c r="FMB1725" s="227"/>
      <c r="FMC1725" s="227"/>
      <c r="FMD1725" s="227"/>
      <c r="FME1725" s="227"/>
      <c r="FMF1725" s="227"/>
      <c r="FMG1725" s="227"/>
      <c r="FMH1725" s="227"/>
      <c r="FMI1725" s="227"/>
      <c r="FMJ1725" s="227"/>
      <c r="FMK1725" s="227"/>
      <c r="FML1725" s="227"/>
      <c r="FMM1725" s="227"/>
      <c r="FMN1725" s="227"/>
      <c r="FMO1725" s="227"/>
      <c r="FMP1725" s="227"/>
      <c r="FMQ1725" s="227"/>
      <c r="FMR1725" s="227"/>
      <c r="FMS1725" s="227"/>
      <c r="FMT1725" s="227"/>
      <c r="FMU1725" s="227"/>
      <c r="FMV1725" s="227"/>
      <c r="FMW1725" s="227"/>
      <c r="FMX1725" s="227"/>
      <c r="FMY1725" s="227"/>
      <c r="FMZ1725" s="227"/>
      <c r="FNA1725" s="227"/>
      <c r="FNB1725" s="227"/>
      <c r="FNC1725" s="227"/>
      <c r="FND1725" s="227"/>
      <c r="FNE1725" s="227"/>
      <c r="FNF1725" s="227"/>
      <c r="FNG1725" s="227"/>
      <c r="FNH1725" s="227"/>
      <c r="FNI1725" s="227"/>
      <c r="FNJ1725" s="227"/>
      <c r="FNK1725" s="227"/>
      <c r="FNL1725" s="227"/>
      <c r="FNM1725" s="227"/>
      <c r="FNN1725" s="227"/>
      <c r="FNO1725" s="227"/>
      <c r="FNP1725" s="227"/>
      <c r="FNQ1725" s="227"/>
      <c r="FNR1725" s="227"/>
      <c r="FNS1725" s="227"/>
      <c r="FNT1725" s="227"/>
      <c r="FNU1725" s="227"/>
      <c r="FNV1725" s="227"/>
      <c r="FNW1725" s="227"/>
      <c r="FNX1725" s="227"/>
      <c r="FNY1725" s="227"/>
      <c r="FNZ1725" s="227"/>
      <c r="FOA1725" s="227"/>
      <c r="FOB1725" s="227"/>
      <c r="FOC1725" s="227"/>
      <c r="FOD1725" s="227"/>
      <c r="FOE1725" s="227"/>
      <c r="FOF1725" s="227"/>
      <c r="FOG1725" s="227"/>
      <c r="FOH1725" s="227"/>
      <c r="FOI1725" s="227"/>
      <c r="FOJ1725" s="227"/>
      <c r="FOK1725" s="227"/>
      <c r="FOL1725" s="227"/>
      <c r="FOM1725" s="227"/>
      <c r="FON1725" s="227"/>
      <c r="FOO1725" s="227"/>
      <c r="FOP1725" s="227"/>
      <c r="FOQ1725" s="227"/>
      <c r="FOR1725" s="227"/>
      <c r="FOS1725" s="227"/>
      <c r="FOT1725" s="227"/>
      <c r="FOU1725" s="227"/>
      <c r="FOV1725" s="227"/>
      <c r="FOW1725" s="227"/>
      <c r="FOX1725" s="227"/>
      <c r="FOY1725" s="227"/>
      <c r="FOZ1725" s="227"/>
      <c r="FPA1725" s="227"/>
      <c r="FPB1725" s="227"/>
      <c r="FPC1725" s="227"/>
      <c r="FPD1725" s="227"/>
      <c r="FPE1725" s="227"/>
      <c r="FPF1725" s="227"/>
      <c r="FPG1725" s="227"/>
      <c r="FPH1725" s="227"/>
      <c r="FPI1725" s="227"/>
      <c r="FPJ1725" s="227"/>
      <c r="FPK1725" s="227"/>
      <c r="FPL1725" s="227"/>
      <c r="FPM1725" s="227"/>
      <c r="FPN1725" s="227"/>
      <c r="FPO1725" s="227"/>
      <c r="FPP1725" s="227"/>
      <c r="FPQ1725" s="227"/>
      <c r="FPR1725" s="227"/>
      <c r="FPS1725" s="227"/>
      <c r="FPT1725" s="227"/>
      <c r="FPU1725" s="227"/>
      <c r="FPV1725" s="227"/>
      <c r="FPW1725" s="227"/>
      <c r="FPX1725" s="227"/>
      <c r="FPY1725" s="227"/>
      <c r="FPZ1725" s="227"/>
      <c r="FQA1725" s="227"/>
      <c r="FQB1725" s="227"/>
      <c r="FQC1725" s="227"/>
      <c r="FQD1725" s="227"/>
      <c r="FQE1725" s="227"/>
      <c r="FQF1725" s="227"/>
      <c r="FQG1725" s="227"/>
      <c r="FQH1725" s="227"/>
      <c r="FQI1725" s="227"/>
      <c r="FQJ1725" s="227"/>
      <c r="FQK1725" s="227"/>
      <c r="FQL1725" s="227"/>
      <c r="FQM1725" s="227"/>
      <c r="FQN1725" s="227"/>
      <c r="FQO1725" s="227"/>
      <c r="FQP1725" s="227"/>
      <c r="FQQ1725" s="227"/>
      <c r="FQR1725" s="227"/>
      <c r="FQS1725" s="227"/>
      <c r="FQT1725" s="227"/>
      <c r="FQU1725" s="227"/>
      <c r="FQV1725" s="227"/>
      <c r="FQW1725" s="227"/>
      <c r="FQX1725" s="227"/>
      <c r="FQY1725" s="227"/>
      <c r="FQZ1725" s="227"/>
      <c r="FRA1725" s="227"/>
      <c r="FRB1725" s="227"/>
      <c r="FRC1725" s="227"/>
      <c r="FRD1725" s="227"/>
      <c r="FRE1725" s="227"/>
      <c r="FRF1725" s="227"/>
      <c r="FRG1725" s="227"/>
      <c r="FRH1725" s="227"/>
      <c r="FRI1725" s="227"/>
      <c r="FRJ1725" s="227"/>
      <c r="FRK1725" s="227"/>
      <c r="FRL1725" s="227"/>
      <c r="FRM1725" s="227"/>
      <c r="FRN1725" s="227"/>
      <c r="FRO1725" s="227"/>
      <c r="FRP1725" s="227"/>
      <c r="FRQ1725" s="227"/>
      <c r="FRR1725" s="227"/>
      <c r="FRS1725" s="227"/>
      <c r="FRT1725" s="227"/>
      <c r="FRU1725" s="227"/>
      <c r="FRV1725" s="227"/>
      <c r="FRW1725" s="227"/>
      <c r="FRX1725" s="227"/>
      <c r="FRY1725" s="227"/>
      <c r="FRZ1725" s="227"/>
      <c r="FSA1725" s="227"/>
      <c r="FSB1725" s="227"/>
      <c r="FSC1725" s="227"/>
      <c r="FSD1725" s="227"/>
      <c r="FSE1725" s="227"/>
      <c r="FSF1725" s="227"/>
      <c r="FSG1725" s="227"/>
      <c r="FSH1725" s="227"/>
      <c r="FSI1725" s="227"/>
      <c r="FSJ1725" s="227"/>
      <c r="FSK1725" s="227"/>
      <c r="FSL1725" s="227"/>
      <c r="FSM1725" s="227"/>
      <c r="FSN1725" s="227"/>
      <c r="FSO1725" s="227"/>
      <c r="FSP1725" s="227"/>
      <c r="FSQ1725" s="227"/>
      <c r="FSR1725" s="227"/>
      <c r="FSS1725" s="227"/>
      <c r="FST1725" s="227"/>
      <c r="FSU1725" s="227"/>
      <c r="FSV1725" s="227"/>
      <c r="FSW1725" s="227"/>
      <c r="FSX1725" s="227"/>
      <c r="FSY1725" s="227"/>
      <c r="FSZ1725" s="227"/>
      <c r="FTA1725" s="227"/>
      <c r="FTB1725" s="227"/>
      <c r="FTC1725" s="227"/>
      <c r="FTD1725" s="227"/>
      <c r="FTE1725" s="227"/>
      <c r="FTF1725" s="227"/>
      <c r="FTG1725" s="227"/>
      <c r="FTH1725" s="227"/>
      <c r="FTI1725" s="227"/>
      <c r="FTJ1725" s="227"/>
      <c r="FTK1725" s="227"/>
      <c r="FTL1725" s="227"/>
      <c r="FTM1725" s="227"/>
      <c r="FTN1725" s="227"/>
      <c r="FTO1725" s="227"/>
      <c r="FTP1725" s="227"/>
      <c r="FTQ1725" s="227"/>
      <c r="FTR1725" s="227"/>
      <c r="FTS1725" s="227"/>
      <c r="FTT1725" s="227"/>
      <c r="FTU1725" s="227"/>
      <c r="FTV1725" s="227"/>
      <c r="FTW1725" s="227"/>
      <c r="FTX1725" s="227"/>
      <c r="FTY1725" s="227"/>
      <c r="FTZ1725" s="227"/>
      <c r="FUA1725" s="227"/>
      <c r="FUB1725" s="227"/>
      <c r="FUC1725" s="227"/>
      <c r="FUD1725" s="227"/>
      <c r="FUE1725" s="227"/>
      <c r="FUF1725" s="227"/>
      <c r="FUG1725" s="227"/>
      <c r="FUH1725" s="227"/>
      <c r="FUI1725" s="227"/>
      <c r="FUJ1725" s="227"/>
      <c r="FUK1725" s="227"/>
      <c r="FUL1725" s="227"/>
      <c r="FUM1725" s="227"/>
      <c r="FUN1725" s="227"/>
      <c r="FUO1725" s="227"/>
      <c r="FUP1725" s="227"/>
      <c r="FUQ1725" s="227"/>
      <c r="FUR1725" s="227"/>
      <c r="FUS1725" s="227"/>
      <c r="FUT1725" s="227"/>
      <c r="FUU1725" s="227"/>
      <c r="FUV1725" s="227"/>
      <c r="FUW1725" s="227"/>
      <c r="FUX1725" s="227"/>
      <c r="FUY1725" s="227"/>
      <c r="FUZ1725" s="227"/>
      <c r="FVA1725" s="227"/>
      <c r="FVB1725" s="227"/>
      <c r="FVC1725" s="227"/>
      <c r="FVD1725" s="227"/>
      <c r="FVE1725" s="227"/>
      <c r="FVF1725" s="227"/>
      <c r="FVG1725" s="227"/>
      <c r="FVH1725" s="227"/>
      <c r="FVI1725" s="227"/>
      <c r="FVJ1725" s="227"/>
      <c r="FVK1725" s="227"/>
      <c r="FVL1725" s="227"/>
      <c r="FVM1725" s="227"/>
      <c r="FVN1725" s="227"/>
      <c r="FVO1725" s="227"/>
      <c r="FVP1725" s="227"/>
      <c r="FVQ1725" s="227"/>
      <c r="FVR1725" s="227"/>
      <c r="FVS1725" s="227"/>
      <c r="FVT1725" s="227"/>
      <c r="FVU1725" s="227"/>
      <c r="FVV1725" s="227"/>
      <c r="FVW1725" s="227"/>
      <c r="FVX1725" s="227"/>
      <c r="FVY1725" s="227"/>
      <c r="FVZ1725" s="227"/>
      <c r="FWA1725" s="227"/>
      <c r="FWB1725" s="227"/>
      <c r="FWC1725" s="227"/>
      <c r="FWD1725" s="227"/>
      <c r="FWE1725" s="227"/>
      <c r="FWF1725" s="227"/>
      <c r="FWG1725" s="227"/>
      <c r="FWH1725" s="227"/>
      <c r="FWI1725" s="227"/>
      <c r="FWJ1725" s="227"/>
      <c r="FWK1725" s="227"/>
      <c r="FWL1725" s="227"/>
      <c r="FWM1725" s="227"/>
      <c r="FWN1725" s="227"/>
      <c r="FWO1725" s="227"/>
      <c r="FWP1725" s="227"/>
      <c r="FWQ1725" s="227"/>
      <c r="FWR1725" s="227"/>
      <c r="FWS1725" s="227"/>
      <c r="FWT1725" s="227"/>
      <c r="FWU1725" s="227"/>
      <c r="FWV1725" s="227"/>
      <c r="FWW1725" s="227"/>
      <c r="FWX1725" s="227"/>
      <c r="FWY1725" s="227"/>
      <c r="FWZ1725" s="227"/>
      <c r="FXA1725" s="227"/>
      <c r="FXB1725" s="227"/>
      <c r="FXC1725" s="227"/>
      <c r="FXD1725" s="227"/>
      <c r="FXE1725" s="227"/>
      <c r="FXF1725" s="227"/>
      <c r="FXG1725" s="227"/>
      <c r="FXH1725" s="227"/>
      <c r="FXI1725" s="227"/>
      <c r="FXJ1725" s="227"/>
      <c r="FXK1725" s="227"/>
      <c r="FXL1725" s="227"/>
      <c r="FXM1725" s="227"/>
      <c r="FXN1725" s="227"/>
      <c r="FXO1725" s="227"/>
      <c r="FXP1725" s="227"/>
      <c r="FXQ1725" s="227"/>
      <c r="FXR1725" s="227"/>
      <c r="FXS1725" s="227"/>
      <c r="FXT1725" s="227"/>
      <c r="FXU1725" s="227"/>
      <c r="FXV1725" s="227"/>
      <c r="FXW1725" s="227"/>
      <c r="FXX1725" s="227"/>
      <c r="FXY1725" s="227"/>
      <c r="FXZ1725" s="227"/>
      <c r="FYA1725" s="227"/>
      <c r="FYB1725" s="227"/>
      <c r="FYC1725" s="227"/>
      <c r="FYD1725" s="227"/>
      <c r="FYE1725" s="227"/>
      <c r="FYF1725" s="227"/>
      <c r="FYG1725" s="227"/>
      <c r="FYH1725" s="227"/>
      <c r="FYI1725" s="227"/>
      <c r="FYJ1725" s="227"/>
      <c r="FYK1725" s="227"/>
      <c r="FYL1725" s="227"/>
      <c r="FYM1725" s="227"/>
      <c r="FYN1725" s="227"/>
      <c r="FYO1725" s="227"/>
      <c r="FYP1725" s="227"/>
      <c r="FYQ1725" s="227"/>
      <c r="FYR1725" s="227"/>
      <c r="FYS1725" s="227"/>
      <c r="FYT1725" s="227"/>
      <c r="FYU1725" s="227"/>
      <c r="FYV1725" s="227"/>
      <c r="FYW1725" s="227"/>
      <c r="FYX1725" s="227"/>
      <c r="FYY1725" s="227"/>
      <c r="FYZ1725" s="227"/>
      <c r="FZA1725" s="227"/>
      <c r="FZB1725" s="227"/>
      <c r="FZC1725" s="227"/>
      <c r="FZD1725" s="227"/>
      <c r="FZE1725" s="227"/>
      <c r="FZF1725" s="227"/>
      <c r="FZG1725" s="227"/>
      <c r="FZH1725" s="227"/>
      <c r="FZI1725" s="227"/>
      <c r="FZJ1725" s="227"/>
      <c r="FZK1725" s="227"/>
      <c r="FZL1725" s="227"/>
      <c r="FZM1725" s="227"/>
      <c r="FZN1725" s="227"/>
      <c r="FZO1725" s="227"/>
      <c r="FZP1725" s="227"/>
      <c r="FZQ1725" s="227"/>
      <c r="FZR1725" s="227"/>
      <c r="FZS1725" s="227"/>
      <c r="FZT1725" s="227"/>
      <c r="FZU1725" s="227"/>
      <c r="FZV1725" s="227"/>
      <c r="FZW1725" s="227"/>
      <c r="FZX1725" s="227"/>
      <c r="FZY1725" s="227"/>
      <c r="FZZ1725" s="227"/>
      <c r="GAA1725" s="227"/>
      <c r="GAB1725" s="227"/>
      <c r="GAC1725" s="227"/>
      <c r="GAD1725" s="227"/>
      <c r="GAE1725" s="227"/>
      <c r="GAF1725" s="227"/>
      <c r="GAG1725" s="227"/>
      <c r="GAH1725" s="227"/>
      <c r="GAI1725" s="227"/>
      <c r="GAJ1725" s="227"/>
      <c r="GAK1725" s="227"/>
      <c r="GAL1725" s="227"/>
      <c r="GAM1725" s="227"/>
      <c r="GAN1725" s="227"/>
      <c r="GAO1725" s="227"/>
      <c r="GAP1725" s="227"/>
      <c r="GAQ1725" s="227"/>
      <c r="GAR1725" s="227"/>
      <c r="GAS1725" s="227"/>
      <c r="GAT1725" s="227"/>
      <c r="GAU1725" s="227"/>
      <c r="GAV1725" s="227"/>
      <c r="GAW1725" s="227"/>
      <c r="GAX1725" s="227"/>
      <c r="GAY1725" s="227"/>
      <c r="GAZ1725" s="227"/>
      <c r="GBA1725" s="227"/>
      <c r="GBB1725" s="227"/>
      <c r="GBC1725" s="227"/>
      <c r="GBD1725" s="227"/>
      <c r="GBE1725" s="227"/>
      <c r="GBF1725" s="227"/>
      <c r="GBG1725" s="227"/>
      <c r="GBH1725" s="227"/>
      <c r="GBI1725" s="227"/>
      <c r="GBJ1725" s="227"/>
      <c r="GBK1725" s="227"/>
      <c r="GBL1725" s="227"/>
      <c r="GBM1725" s="227"/>
      <c r="GBN1725" s="227"/>
      <c r="GBO1725" s="227"/>
      <c r="GBP1725" s="227"/>
      <c r="GBQ1725" s="227"/>
      <c r="GBR1725" s="227"/>
      <c r="GBS1725" s="227"/>
      <c r="GBT1725" s="227"/>
      <c r="GBU1725" s="227"/>
      <c r="GBV1725" s="227"/>
      <c r="GBW1725" s="227"/>
      <c r="GBX1725" s="227"/>
      <c r="GBY1725" s="227"/>
      <c r="GBZ1725" s="227"/>
      <c r="GCA1725" s="227"/>
      <c r="GCB1725" s="227"/>
      <c r="GCC1725" s="227"/>
      <c r="GCD1725" s="227"/>
      <c r="GCE1725" s="227"/>
      <c r="GCF1725" s="227"/>
      <c r="GCG1725" s="227"/>
      <c r="GCH1725" s="227"/>
      <c r="GCI1725" s="227"/>
      <c r="GCJ1725" s="227"/>
      <c r="GCK1725" s="227"/>
      <c r="GCL1725" s="227"/>
      <c r="GCM1725" s="227"/>
      <c r="GCN1725" s="227"/>
      <c r="GCO1725" s="227"/>
      <c r="GCP1725" s="227"/>
      <c r="GCQ1725" s="227"/>
      <c r="GCR1725" s="227"/>
      <c r="GCS1725" s="227"/>
      <c r="GCT1725" s="227"/>
      <c r="GCU1725" s="227"/>
      <c r="GCV1725" s="227"/>
      <c r="GCW1725" s="227"/>
      <c r="GCX1725" s="227"/>
      <c r="GCY1725" s="227"/>
      <c r="GCZ1725" s="227"/>
      <c r="GDA1725" s="227"/>
      <c r="GDB1725" s="227"/>
      <c r="GDC1725" s="227"/>
      <c r="GDD1725" s="227"/>
      <c r="GDE1725" s="227"/>
      <c r="GDF1725" s="227"/>
      <c r="GDG1725" s="227"/>
      <c r="GDH1725" s="227"/>
      <c r="GDI1725" s="227"/>
      <c r="GDJ1725" s="227"/>
      <c r="GDK1725" s="227"/>
      <c r="GDL1725" s="227"/>
      <c r="GDM1725" s="227"/>
      <c r="GDN1725" s="227"/>
      <c r="GDO1725" s="227"/>
      <c r="GDP1725" s="227"/>
      <c r="GDQ1725" s="227"/>
      <c r="GDR1725" s="227"/>
      <c r="GDS1725" s="227"/>
      <c r="GDT1725" s="227"/>
      <c r="GDU1725" s="227"/>
      <c r="GDV1725" s="227"/>
      <c r="GDW1725" s="227"/>
      <c r="GDX1725" s="227"/>
      <c r="GDY1725" s="227"/>
      <c r="GDZ1725" s="227"/>
      <c r="GEA1725" s="227"/>
      <c r="GEB1725" s="227"/>
      <c r="GEC1725" s="227"/>
      <c r="GED1725" s="227"/>
      <c r="GEE1725" s="227"/>
      <c r="GEF1725" s="227"/>
      <c r="GEG1725" s="227"/>
      <c r="GEH1725" s="227"/>
      <c r="GEI1725" s="227"/>
      <c r="GEJ1725" s="227"/>
      <c r="GEK1725" s="227"/>
      <c r="GEL1725" s="227"/>
      <c r="GEM1725" s="227"/>
      <c r="GEN1725" s="227"/>
      <c r="GEO1725" s="227"/>
      <c r="GEP1725" s="227"/>
      <c r="GEQ1725" s="227"/>
      <c r="GER1725" s="227"/>
      <c r="GES1725" s="227"/>
      <c r="GET1725" s="227"/>
      <c r="GEU1725" s="227"/>
      <c r="GEV1725" s="227"/>
      <c r="GEW1725" s="227"/>
      <c r="GEX1725" s="227"/>
      <c r="GEY1725" s="227"/>
      <c r="GEZ1725" s="227"/>
      <c r="GFA1725" s="227"/>
      <c r="GFB1725" s="227"/>
      <c r="GFC1725" s="227"/>
      <c r="GFD1725" s="227"/>
      <c r="GFE1725" s="227"/>
      <c r="GFF1725" s="227"/>
      <c r="GFG1725" s="227"/>
      <c r="GFH1725" s="227"/>
      <c r="GFI1725" s="227"/>
      <c r="GFJ1725" s="227"/>
      <c r="GFK1725" s="227"/>
      <c r="GFL1725" s="227"/>
      <c r="GFM1725" s="227"/>
      <c r="GFN1725" s="227"/>
      <c r="GFO1725" s="227"/>
      <c r="GFP1725" s="227"/>
      <c r="GFQ1725" s="227"/>
      <c r="GFR1725" s="227"/>
      <c r="GFS1725" s="227"/>
      <c r="GFT1725" s="227"/>
      <c r="GFU1725" s="227"/>
      <c r="GFV1725" s="227"/>
      <c r="GFW1725" s="227"/>
      <c r="GFX1725" s="227"/>
      <c r="GFY1725" s="227"/>
      <c r="GFZ1725" s="227"/>
      <c r="GGA1725" s="227"/>
      <c r="GGB1725" s="227"/>
      <c r="GGC1725" s="227"/>
      <c r="GGD1725" s="227"/>
      <c r="GGE1725" s="227"/>
      <c r="GGF1725" s="227"/>
      <c r="GGG1725" s="227"/>
      <c r="GGH1725" s="227"/>
      <c r="GGI1725" s="227"/>
      <c r="GGJ1725" s="227"/>
      <c r="GGK1725" s="227"/>
      <c r="GGL1725" s="227"/>
      <c r="GGM1725" s="227"/>
      <c r="GGN1725" s="227"/>
      <c r="GGO1725" s="227"/>
      <c r="GGP1725" s="227"/>
      <c r="GGQ1725" s="227"/>
      <c r="GGR1725" s="227"/>
      <c r="GGS1725" s="227"/>
      <c r="GGT1725" s="227"/>
      <c r="GGU1725" s="227"/>
      <c r="GGV1725" s="227"/>
      <c r="GGW1725" s="227"/>
      <c r="GGX1725" s="227"/>
      <c r="GGY1725" s="227"/>
      <c r="GGZ1725" s="227"/>
      <c r="GHA1725" s="227"/>
      <c r="GHB1725" s="227"/>
      <c r="GHC1725" s="227"/>
      <c r="GHD1725" s="227"/>
      <c r="GHE1725" s="227"/>
      <c r="GHF1725" s="227"/>
      <c r="GHG1725" s="227"/>
      <c r="GHH1725" s="227"/>
      <c r="GHI1725" s="227"/>
      <c r="GHJ1725" s="227"/>
      <c r="GHK1725" s="227"/>
      <c r="GHL1725" s="227"/>
      <c r="GHM1725" s="227"/>
      <c r="GHN1725" s="227"/>
      <c r="GHO1725" s="227"/>
      <c r="GHP1725" s="227"/>
      <c r="GHQ1725" s="227"/>
      <c r="GHR1725" s="227"/>
      <c r="GHS1725" s="227"/>
      <c r="GHT1725" s="227"/>
      <c r="GHU1725" s="227"/>
      <c r="GHV1725" s="227"/>
      <c r="GHW1725" s="227"/>
      <c r="GHX1725" s="227"/>
      <c r="GHY1725" s="227"/>
      <c r="GHZ1725" s="227"/>
      <c r="GIA1725" s="227"/>
      <c r="GIB1725" s="227"/>
      <c r="GIC1725" s="227"/>
      <c r="GID1725" s="227"/>
      <c r="GIE1725" s="227"/>
      <c r="GIF1725" s="227"/>
      <c r="GIG1725" s="227"/>
      <c r="GIH1725" s="227"/>
      <c r="GII1725" s="227"/>
      <c r="GIJ1725" s="227"/>
      <c r="GIK1725" s="227"/>
      <c r="GIL1725" s="227"/>
      <c r="GIM1725" s="227"/>
      <c r="GIN1725" s="227"/>
      <c r="GIO1725" s="227"/>
      <c r="GIP1725" s="227"/>
      <c r="GIQ1725" s="227"/>
      <c r="GIR1725" s="227"/>
      <c r="GIS1725" s="227"/>
      <c r="GIT1725" s="227"/>
      <c r="GIU1725" s="227"/>
      <c r="GIV1725" s="227"/>
      <c r="GIW1725" s="227"/>
      <c r="GIX1725" s="227"/>
      <c r="GIY1725" s="227"/>
      <c r="GIZ1725" s="227"/>
      <c r="GJA1725" s="227"/>
      <c r="GJB1725" s="227"/>
      <c r="GJC1725" s="227"/>
      <c r="GJD1725" s="227"/>
      <c r="GJE1725" s="227"/>
      <c r="GJF1725" s="227"/>
      <c r="GJG1725" s="227"/>
      <c r="GJH1725" s="227"/>
      <c r="GJI1725" s="227"/>
      <c r="GJJ1725" s="227"/>
      <c r="GJK1725" s="227"/>
      <c r="GJL1725" s="227"/>
      <c r="GJM1725" s="227"/>
      <c r="GJN1725" s="227"/>
      <c r="GJO1725" s="227"/>
      <c r="GJP1725" s="227"/>
      <c r="GJQ1725" s="227"/>
      <c r="GJR1725" s="227"/>
      <c r="GJS1725" s="227"/>
      <c r="GJT1725" s="227"/>
      <c r="GJU1725" s="227"/>
      <c r="GJV1725" s="227"/>
      <c r="GJW1725" s="227"/>
      <c r="GJX1725" s="227"/>
      <c r="GJY1725" s="227"/>
      <c r="GJZ1725" s="227"/>
      <c r="GKA1725" s="227"/>
      <c r="GKB1725" s="227"/>
      <c r="GKC1725" s="227"/>
      <c r="GKD1725" s="227"/>
      <c r="GKE1725" s="227"/>
      <c r="GKF1725" s="227"/>
      <c r="GKG1725" s="227"/>
      <c r="GKH1725" s="227"/>
      <c r="GKI1725" s="227"/>
      <c r="GKJ1725" s="227"/>
      <c r="GKK1725" s="227"/>
      <c r="GKL1725" s="227"/>
      <c r="GKM1725" s="227"/>
      <c r="GKN1725" s="227"/>
      <c r="GKO1725" s="227"/>
      <c r="GKP1725" s="227"/>
      <c r="GKQ1725" s="227"/>
      <c r="GKR1725" s="227"/>
      <c r="GKS1725" s="227"/>
      <c r="GKT1725" s="227"/>
      <c r="GKU1725" s="227"/>
      <c r="GKV1725" s="227"/>
      <c r="GKW1725" s="227"/>
      <c r="GKX1725" s="227"/>
      <c r="GKY1725" s="227"/>
      <c r="GKZ1725" s="227"/>
      <c r="GLA1725" s="227"/>
      <c r="GLB1725" s="227"/>
      <c r="GLC1725" s="227"/>
      <c r="GLD1725" s="227"/>
      <c r="GLE1725" s="227"/>
      <c r="GLF1725" s="227"/>
      <c r="GLG1725" s="227"/>
      <c r="GLH1725" s="227"/>
      <c r="GLI1725" s="227"/>
      <c r="GLJ1725" s="227"/>
      <c r="GLK1725" s="227"/>
      <c r="GLL1725" s="227"/>
      <c r="GLM1725" s="227"/>
      <c r="GLN1725" s="227"/>
      <c r="GLO1725" s="227"/>
      <c r="GLP1725" s="227"/>
      <c r="GLQ1725" s="227"/>
      <c r="GLR1725" s="227"/>
      <c r="GLS1725" s="227"/>
      <c r="GLT1725" s="227"/>
      <c r="GLU1725" s="227"/>
      <c r="GLV1725" s="227"/>
      <c r="GLW1725" s="227"/>
      <c r="GLX1725" s="227"/>
      <c r="GLY1725" s="227"/>
      <c r="GLZ1725" s="227"/>
      <c r="GMA1725" s="227"/>
      <c r="GMB1725" s="227"/>
      <c r="GMC1725" s="227"/>
      <c r="GMD1725" s="227"/>
      <c r="GME1725" s="227"/>
      <c r="GMF1725" s="227"/>
      <c r="GMG1725" s="227"/>
      <c r="GMH1725" s="227"/>
      <c r="GMI1725" s="227"/>
      <c r="GMJ1725" s="227"/>
      <c r="GMK1725" s="227"/>
      <c r="GML1725" s="227"/>
      <c r="GMM1725" s="227"/>
      <c r="GMN1725" s="227"/>
      <c r="GMO1725" s="227"/>
      <c r="GMP1725" s="227"/>
      <c r="GMQ1725" s="227"/>
      <c r="GMR1725" s="227"/>
      <c r="GMS1725" s="227"/>
      <c r="GMT1725" s="227"/>
      <c r="GMU1725" s="227"/>
      <c r="GMV1725" s="227"/>
      <c r="GMW1725" s="227"/>
      <c r="GMX1725" s="227"/>
      <c r="GMY1725" s="227"/>
      <c r="GMZ1725" s="227"/>
      <c r="GNA1725" s="227"/>
      <c r="GNB1725" s="227"/>
      <c r="GNC1725" s="227"/>
      <c r="GND1725" s="227"/>
      <c r="GNE1725" s="227"/>
      <c r="GNF1725" s="227"/>
      <c r="GNG1725" s="227"/>
      <c r="GNH1725" s="227"/>
      <c r="GNI1725" s="227"/>
      <c r="GNJ1725" s="227"/>
      <c r="GNK1725" s="227"/>
      <c r="GNL1725" s="227"/>
      <c r="GNM1725" s="227"/>
      <c r="GNN1725" s="227"/>
      <c r="GNO1725" s="227"/>
      <c r="GNP1725" s="227"/>
      <c r="GNQ1725" s="227"/>
      <c r="GNR1725" s="227"/>
      <c r="GNS1725" s="227"/>
      <c r="GNT1725" s="227"/>
      <c r="GNU1725" s="227"/>
      <c r="GNV1725" s="227"/>
      <c r="GNW1725" s="227"/>
      <c r="GNX1725" s="227"/>
      <c r="GNY1725" s="227"/>
      <c r="GNZ1725" s="227"/>
      <c r="GOA1725" s="227"/>
      <c r="GOB1725" s="227"/>
      <c r="GOC1725" s="227"/>
      <c r="GOD1725" s="227"/>
      <c r="GOE1725" s="227"/>
      <c r="GOF1725" s="227"/>
      <c r="GOG1725" s="227"/>
      <c r="GOH1725" s="227"/>
      <c r="GOI1725" s="227"/>
      <c r="GOJ1725" s="227"/>
      <c r="GOK1725" s="227"/>
      <c r="GOL1725" s="227"/>
      <c r="GOM1725" s="227"/>
      <c r="GON1725" s="227"/>
      <c r="GOO1725" s="227"/>
      <c r="GOP1725" s="227"/>
      <c r="GOQ1725" s="227"/>
      <c r="GOR1725" s="227"/>
      <c r="GOS1725" s="227"/>
      <c r="GOT1725" s="227"/>
      <c r="GOU1725" s="227"/>
      <c r="GOV1725" s="227"/>
      <c r="GOW1725" s="227"/>
      <c r="GOX1725" s="227"/>
      <c r="GOY1725" s="227"/>
      <c r="GOZ1725" s="227"/>
      <c r="GPA1725" s="227"/>
      <c r="GPB1725" s="227"/>
      <c r="GPC1725" s="227"/>
      <c r="GPD1725" s="227"/>
      <c r="GPE1725" s="227"/>
      <c r="GPF1725" s="227"/>
      <c r="GPG1725" s="227"/>
      <c r="GPH1725" s="227"/>
      <c r="GPI1725" s="227"/>
      <c r="GPJ1725" s="227"/>
      <c r="GPK1725" s="227"/>
      <c r="GPL1725" s="227"/>
      <c r="GPM1725" s="227"/>
      <c r="GPN1725" s="227"/>
      <c r="GPO1725" s="227"/>
      <c r="GPP1725" s="227"/>
      <c r="GPQ1725" s="227"/>
      <c r="GPR1725" s="227"/>
      <c r="GPS1725" s="227"/>
      <c r="GPT1725" s="227"/>
      <c r="GPU1725" s="227"/>
      <c r="GPV1725" s="227"/>
      <c r="GPW1725" s="227"/>
      <c r="GPX1725" s="227"/>
      <c r="GPY1725" s="227"/>
      <c r="GPZ1725" s="227"/>
      <c r="GQA1725" s="227"/>
      <c r="GQB1725" s="227"/>
      <c r="GQC1725" s="227"/>
      <c r="GQD1725" s="227"/>
      <c r="GQE1725" s="227"/>
      <c r="GQF1725" s="227"/>
      <c r="GQG1725" s="227"/>
      <c r="GQH1725" s="227"/>
      <c r="GQI1725" s="227"/>
      <c r="GQJ1725" s="227"/>
      <c r="GQK1725" s="227"/>
      <c r="GQL1725" s="227"/>
      <c r="GQM1725" s="227"/>
      <c r="GQN1725" s="227"/>
      <c r="GQO1725" s="227"/>
      <c r="GQP1725" s="227"/>
      <c r="GQQ1725" s="227"/>
      <c r="GQR1725" s="227"/>
      <c r="GQS1725" s="227"/>
      <c r="GQT1725" s="227"/>
      <c r="GQU1725" s="227"/>
      <c r="GQV1725" s="227"/>
      <c r="GQW1725" s="227"/>
      <c r="GQX1725" s="227"/>
      <c r="GQY1725" s="227"/>
      <c r="GQZ1725" s="227"/>
      <c r="GRA1725" s="227"/>
      <c r="GRB1725" s="227"/>
      <c r="GRC1725" s="227"/>
      <c r="GRD1725" s="227"/>
      <c r="GRE1725" s="227"/>
      <c r="GRF1725" s="227"/>
      <c r="GRG1725" s="227"/>
      <c r="GRH1725" s="227"/>
      <c r="GRI1725" s="227"/>
      <c r="GRJ1725" s="227"/>
      <c r="GRK1725" s="227"/>
      <c r="GRL1725" s="227"/>
      <c r="GRM1725" s="227"/>
      <c r="GRN1725" s="227"/>
      <c r="GRO1725" s="227"/>
      <c r="GRP1725" s="227"/>
      <c r="GRQ1725" s="227"/>
      <c r="GRR1725" s="227"/>
      <c r="GRS1725" s="227"/>
      <c r="GRT1725" s="227"/>
      <c r="GRU1725" s="227"/>
      <c r="GRV1725" s="227"/>
      <c r="GRW1725" s="227"/>
      <c r="GRX1725" s="227"/>
      <c r="GRY1725" s="227"/>
      <c r="GRZ1725" s="227"/>
      <c r="GSA1725" s="227"/>
      <c r="GSB1725" s="227"/>
      <c r="GSC1725" s="227"/>
      <c r="GSD1725" s="227"/>
      <c r="GSE1725" s="227"/>
      <c r="GSF1725" s="227"/>
      <c r="GSG1725" s="227"/>
      <c r="GSH1725" s="227"/>
      <c r="GSI1725" s="227"/>
      <c r="GSJ1725" s="227"/>
      <c r="GSK1725" s="227"/>
      <c r="GSL1725" s="227"/>
      <c r="GSM1725" s="227"/>
      <c r="GSN1725" s="227"/>
      <c r="GSO1725" s="227"/>
      <c r="GSP1725" s="227"/>
      <c r="GSQ1725" s="227"/>
      <c r="GSR1725" s="227"/>
      <c r="GSS1725" s="227"/>
      <c r="GST1725" s="227"/>
      <c r="GSU1725" s="227"/>
      <c r="GSV1725" s="227"/>
      <c r="GSW1725" s="227"/>
      <c r="GSX1725" s="227"/>
      <c r="GSY1725" s="227"/>
      <c r="GSZ1725" s="227"/>
      <c r="GTA1725" s="227"/>
      <c r="GTB1725" s="227"/>
      <c r="GTC1725" s="227"/>
      <c r="GTD1725" s="227"/>
      <c r="GTE1725" s="227"/>
      <c r="GTF1725" s="227"/>
      <c r="GTG1725" s="227"/>
      <c r="GTH1725" s="227"/>
      <c r="GTI1725" s="227"/>
      <c r="GTJ1725" s="227"/>
      <c r="GTK1725" s="227"/>
      <c r="GTL1725" s="227"/>
      <c r="GTM1725" s="227"/>
      <c r="GTN1725" s="227"/>
      <c r="GTO1725" s="227"/>
      <c r="GTP1725" s="227"/>
      <c r="GTQ1725" s="227"/>
      <c r="GTR1725" s="227"/>
      <c r="GTS1725" s="227"/>
      <c r="GTT1725" s="227"/>
      <c r="GTU1725" s="227"/>
      <c r="GTV1725" s="227"/>
      <c r="GTW1725" s="227"/>
      <c r="GTX1725" s="227"/>
      <c r="GTY1725" s="227"/>
      <c r="GTZ1725" s="227"/>
      <c r="GUA1725" s="227"/>
      <c r="GUB1725" s="227"/>
      <c r="GUC1725" s="227"/>
      <c r="GUD1725" s="227"/>
      <c r="GUE1725" s="227"/>
      <c r="GUF1725" s="227"/>
      <c r="GUG1725" s="227"/>
      <c r="GUH1725" s="227"/>
      <c r="GUI1725" s="227"/>
      <c r="GUJ1725" s="227"/>
      <c r="GUK1725" s="227"/>
      <c r="GUL1725" s="227"/>
      <c r="GUM1725" s="227"/>
      <c r="GUN1725" s="227"/>
      <c r="GUO1725" s="227"/>
      <c r="GUP1725" s="227"/>
      <c r="GUQ1725" s="227"/>
      <c r="GUR1725" s="227"/>
      <c r="GUS1725" s="227"/>
      <c r="GUT1725" s="227"/>
      <c r="GUU1725" s="227"/>
      <c r="GUV1725" s="227"/>
      <c r="GUW1725" s="227"/>
      <c r="GUX1725" s="227"/>
      <c r="GUY1725" s="227"/>
      <c r="GUZ1725" s="227"/>
      <c r="GVA1725" s="227"/>
      <c r="GVB1725" s="227"/>
      <c r="GVC1725" s="227"/>
      <c r="GVD1725" s="227"/>
      <c r="GVE1725" s="227"/>
      <c r="GVF1725" s="227"/>
      <c r="GVG1725" s="227"/>
      <c r="GVH1725" s="227"/>
      <c r="GVI1725" s="227"/>
      <c r="GVJ1725" s="227"/>
      <c r="GVK1725" s="227"/>
      <c r="GVL1725" s="227"/>
      <c r="GVM1725" s="227"/>
      <c r="GVN1725" s="227"/>
      <c r="GVO1725" s="227"/>
      <c r="GVP1725" s="227"/>
      <c r="GVQ1725" s="227"/>
      <c r="GVR1725" s="227"/>
      <c r="GVS1725" s="227"/>
      <c r="GVT1725" s="227"/>
      <c r="GVU1725" s="227"/>
      <c r="GVV1725" s="227"/>
      <c r="GVW1725" s="227"/>
      <c r="GVX1725" s="227"/>
      <c r="GVY1725" s="227"/>
      <c r="GVZ1725" s="227"/>
      <c r="GWA1725" s="227"/>
      <c r="GWB1725" s="227"/>
      <c r="GWC1725" s="227"/>
      <c r="GWD1725" s="227"/>
      <c r="GWE1725" s="227"/>
      <c r="GWF1725" s="227"/>
      <c r="GWG1725" s="227"/>
      <c r="GWH1725" s="227"/>
      <c r="GWI1725" s="227"/>
      <c r="GWJ1725" s="227"/>
      <c r="GWK1725" s="227"/>
      <c r="GWL1725" s="227"/>
      <c r="GWM1725" s="227"/>
      <c r="GWN1725" s="227"/>
      <c r="GWO1725" s="227"/>
      <c r="GWP1725" s="227"/>
      <c r="GWQ1725" s="227"/>
      <c r="GWR1725" s="227"/>
      <c r="GWS1725" s="227"/>
      <c r="GWT1725" s="227"/>
      <c r="GWU1725" s="227"/>
      <c r="GWV1725" s="227"/>
      <c r="GWW1725" s="227"/>
      <c r="GWX1725" s="227"/>
      <c r="GWY1725" s="227"/>
      <c r="GWZ1725" s="227"/>
      <c r="GXA1725" s="227"/>
      <c r="GXB1725" s="227"/>
      <c r="GXC1725" s="227"/>
      <c r="GXD1725" s="227"/>
      <c r="GXE1725" s="227"/>
      <c r="GXF1725" s="227"/>
      <c r="GXG1725" s="227"/>
      <c r="GXH1725" s="227"/>
      <c r="GXI1725" s="227"/>
      <c r="GXJ1725" s="227"/>
      <c r="GXK1725" s="227"/>
      <c r="GXL1725" s="227"/>
      <c r="GXM1725" s="227"/>
      <c r="GXN1725" s="227"/>
      <c r="GXO1725" s="227"/>
      <c r="GXP1725" s="227"/>
      <c r="GXQ1725" s="227"/>
      <c r="GXR1725" s="227"/>
      <c r="GXS1725" s="227"/>
      <c r="GXT1725" s="227"/>
      <c r="GXU1725" s="227"/>
      <c r="GXV1725" s="227"/>
      <c r="GXW1725" s="227"/>
      <c r="GXX1725" s="227"/>
      <c r="GXY1725" s="227"/>
      <c r="GXZ1725" s="227"/>
      <c r="GYA1725" s="227"/>
      <c r="GYB1725" s="227"/>
      <c r="GYC1725" s="227"/>
      <c r="GYD1725" s="227"/>
      <c r="GYE1725" s="227"/>
      <c r="GYF1725" s="227"/>
      <c r="GYG1725" s="227"/>
      <c r="GYH1725" s="227"/>
      <c r="GYI1725" s="227"/>
      <c r="GYJ1725" s="227"/>
      <c r="GYK1725" s="227"/>
      <c r="GYL1725" s="227"/>
      <c r="GYM1725" s="227"/>
      <c r="GYN1725" s="227"/>
      <c r="GYO1725" s="227"/>
      <c r="GYP1725" s="227"/>
      <c r="GYQ1725" s="227"/>
      <c r="GYR1725" s="227"/>
      <c r="GYS1725" s="227"/>
      <c r="GYT1725" s="227"/>
      <c r="GYU1725" s="227"/>
      <c r="GYV1725" s="227"/>
      <c r="GYW1725" s="227"/>
      <c r="GYX1725" s="227"/>
      <c r="GYY1725" s="227"/>
      <c r="GYZ1725" s="227"/>
      <c r="GZA1725" s="227"/>
      <c r="GZB1725" s="227"/>
      <c r="GZC1725" s="227"/>
      <c r="GZD1725" s="227"/>
      <c r="GZE1725" s="227"/>
      <c r="GZF1725" s="227"/>
      <c r="GZG1725" s="227"/>
      <c r="GZH1725" s="227"/>
      <c r="GZI1725" s="227"/>
      <c r="GZJ1725" s="227"/>
      <c r="GZK1725" s="227"/>
      <c r="GZL1725" s="227"/>
      <c r="GZM1725" s="227"/>
      <c r="GZN1725" s="227"/>
      <c r="GZO1725" s="227"/>
      <c r="GZP1725" s="227"/>
      <c r="GZQ1725" s="227"/>
      <c r="GZR1725" s="227"/>
      <c r="GZS1725" s="227"/>
      <c r="GZT1725" s="227"/>
      <c r="GZU1725" s="227"/>
      <c r="GZV1725" s="227"/>
      <c r="GZW1725" s="227"/>
      <c r="GZX1725" s="227"/>
      <c r="GZY1725" s="227"/>
      <c r="GZZ1725" s="227"/>
      <c r="HAA1725" s="227"/>
      <c r="HAB1725" s="227"/>
      <c r="HAC1725" s="227"/>
      <c r="HAD1725" s="227"/>
      <c r="HAE1725" s="227"/>
      <c r="HAF1725" s="227"/>
      <c r="HAG1725" s="227"/>
      <c r="HAH1725" s="227"/>
      <c r="HAI1725" s="227"/>
      <c r="HAJ1725" s="227"/>
      <c r="HAK1725" s="227"/>
      <c r="HAL1725" s="227"/>
      <c r="HAM1725" s="227"/>
      <c r="HAN1725" s="227"/>
      <c r="HAO1725" s="227"/>
      <c r="HAP1725" s="227"/>
      <c r="HAQ1725" s="227"/>
      <c r="HAR1725" s="227"/>
      <c r="HAS1725" s="227"/>
      <c r="HAT1725" s="227"/>
      <c r="HAU1725" s="227"/>
      <c r="HAV1725" s="227"/>
      <c r="HAW1725" s="227"/>
      <c r="HAX1725" s="227"/>
      <c r="HAY1725" s="227"/>
      <c r="HAZ1725" s="227"/>
      <c r="HBA1725" s="227"/>
      <c r="HBB1725" s="227"/>
      <c r="HBC1725" s="227"/>
      <c r="HBD1725" s="227"/>
      <c r="HBE1725" s="227"/>
      <c r="HBF1725" s="227"/>
      <c r="HBG1725" s="227"/>
      <c r="HBH1725" s="227"/>
      <c r="HBI1725" s="227"/>
      <c r="HBJ1725" s="227"/>
      <c r="HBK1725" s="227"/>
      <c r="HBL1725" s="227"/>
      <c r="HBM1725" s="227"/>
      <c r="HBN1725" s="227"/>
      <c r="HBO1725" s="227"/>
      <c r="HBP1725" s="227"/>
      <c r="HBQ1725" s="227"/>
      <c r="HBR1725" s="227"/>
      <c r="HBS1725" s="227"/>
      <c r="HBT1725" s="227"/>
      <c r="HBU1725" s="227"/>
      <c r="HBV1725" s="227"/>
      <c r="HBW1725" s="227"/>
      <c r="HBX1725" s="227"/>
      <c r="HBY1725" s="227"/>
      <c r="HBZ1725" s="227"/>
      <c r="HCA1725" s="227"/>
      <c r="HCB1725" s="227"/>
      <c r="HCC1725" s="227"/>
      <c r="HCD1725" s="227"/>
      <c r="HCE1725" s="227"/>
      <c r="HCF1725" s="227"/>
      <c r="HCG1725" s="227"/>
      <c r="HCH1725" s="227"/>
      <c r="HCI1725" s="227"/>
      <c r="HCJ1725" s="227"/>
      <c r="HCK1725" s="227"/>
      <c r="HCL1725" s="227"/>
      <c r="HCM1725" s="227"/>
      <c r="HCN1725" s="227"/>
      <c r="HCO1725" s="227"/>
      <c r="HCP1725" s="227"/>
      <c r="HCQ1725" s="227"/>
      <c r="HCR1725" s="227"/>
      <c r="HCS1725" s="227"/>
      <c r="HCT1725" s="227"/>
      <c r="HCU1725" s="227"/>
      <c r="HCV1725" s="227"/>
      <c r="HCW1725" s="227"/>
      <c r="HCX1725" s="227"/>
      <c r="HCY1725" s="227"/>
      <c r="HCZ1725" s="227"/>
      <c r="HDA1725" s="227"/>
      <c r="HDB1725" s="227"/>
      <c r="HDC1725" s="227"/>
      <c r="HDD1725" s="227"/>
      <c r="HDE1725" s="227"/>
      <c r="HDF1725" s="227"/>
      <c r="HDG1725" s="227"/>
      <c r="HDH1725" s="227"/>
      <c r="HDI1725" s="227"/>
      <c r="HDJ1725" s="227"/>
      <c r="HDK1725" s="227"/>
      <c r="HDL1725" s="227"/>
      <c r="HDM1725" s="227"/>
      <c r="HDN1725" s="227"/>
      <c r="HDO1725" s="227"/>
      <c r="HDP1725" s="227"/>
      <c r="HDQ1725" s="227"/>
      <c r="HDR1725" s="227"/>
      <c r="HDS1725" s="227"/>
      <c r="HDT1725" s="227"/>
      <c r="HDU1725" s="227"/>
      <c r="HDV1725" s="227"/>
      <c r="HDW1725" s="227"/>
      <c r="HDX1725" s="227"/>
      <c r="HDY1725" s="227"/>
      <c r="HDZ1725" s="227"/>
      <c r="HEA1725" s="227"/>
      <c r="HEB1725" s="227"/>
      <c r="HEC1725" s="227"/>
      <c r="HED1725" s="227"/>
      <c r="HEE1725" s="227"/>
      <c r="HEF1725" s="227"/>
      <c r="HEG1725" s="227"/>
      <c r="HEH1725" s="227"/>
      <c r="HEI1725" s="227"/>
      <c r="HEJ1725" s="227"/>
      <c r="HEK1725" s="227"/>
      <c r="HEL1725" s="227"/>
      <c r="HEM1725" s="227"/>
      <c r="HEN1725" s="227"/>
      <c r="HEO1725" s="227"/>
      <c r="HEP1725" s="227"/>
      <c r="HEQ1725" s="227"/>
      <c r="HER1725" s="227"/>
      <c r="HES1725" s="227"/>
      <c r="HET1725" s="227"/>
      <c r="HEU1725" s="227"/>
      <c r="HEV1725" s="227"/>
      <c r="HEW1725" s="227"/>
      <c r="HEX1725" s="227"/>
      <c r="HEY1725" s="227"/>
      <c r="HEZ1725" s="227"/>
      <c r="HFA1725" s="227"/>
      <c r="HFB1725" s="227"/>
      <c r="HFC1725" s="227"/>
      <c r="HFD1725" s="227"/>
      <c r="HFE1725" s="227"/>
      <c r="HFF1725" s="227"/>
      <c r="HFG1725" s="227"/>
      <c r="HFH1725" s="227"/>
      <c r="HFI1725" s="227"/>
      <c r="HFJ1725" s="227"/>
      <c r="HFK1725" s="227"/>
      <c r="HFL1725" s="227"/>
      <c r="HFM1725" s="227"/>
      <c r="HFN1725" s="227"/>
      <c r="HFO1725" s="227"/>
      <c r="HFP1725" s="227"/>
      <c r="HFQ1725" s="227"/>
      <c r="HFR1725" s="227"/>
      <c r="HFS1725" s="227"/>
      <c r="HFT1725" s="227"/>
      <c r="HFU1725" s="227"/>
      <c r="HFV1725" s="227"/>
      <c r="HFW1725" s="227"/>
      <c r="HFX1725" s="227"/>
      <c r="HFY1725" s="227"/>
      <c r="HFZ1725" s="227"/>
      <c r="HGA1725" s="227"/>
      <c r="HGB1725" s="227"/>
      <c r="HGC1725" s="227"/>
      <c r="HGD1725" s="227"/>
      <c r="HGE1725" s="227"/>
      <c r="HGF1725" s="227"/>
      <c r="HGG1725" s="227"/>
      <c r="HGH1725" s="227"/>
      <c r="HGI1725" s="227"/>
      <c r="HGJ1725" s="227"/>
      <c r="HGK1725" s="227"/>
      <c r="HGL1725" s="227"/>
      <c r="HGM1725" s="227"/>
      <c r="HGN1725" s="227"/>
      <c r="HGO1725" s="227"/>
      <c r="HGP1725" s="227"/>
      <c r="HGQ1725" s="227"/>
      <c r="HGR1725" s="227"/>
      <c r="HGS1725" s="227"/>
      <c r="HGT1725" s="227"/>
      <c r="HGU1725" s="227"/>
      <c r="HGV1725" s="227"/>
      <c r="HGW1725" s="227"/>
      <c r="HGX1725" s="227"/>
      <c r="HGY1725" s="227"/>
      <c r="HGZ1725" s="227"/>
      <c r="HHA1725" s="227"/>
      <c r="HHB1725" s="227"/>
      <c r="HHC1725" s="227"/>
      <c r="HHD1725" s="227"/>
      <c r="HHE1725" s="227"/>
      <c r="HHF1725" s="227"/>
      <c r="HHG1725" s="227"/>
      <c r="HHH1725" s="227"/>
      <c r="HHI1725" s="227"/>
      <c r="HHJ1725" s="227"/>
      <c r="HHK1725" s="227"/>
      <c r="HHL1725" s="227"/>
      <c r="HHM1725" s="227"/>
      <c r="HHN1725" s="227"/>
      <c r="HHO1725" s="227"/>
      <c r="HHP1725" s="227"/>
      <c r="HHQ1725" s="227"/>
      <c r="HHR1725" s="227"/>
      <c r="HHS1725" s="227"/>
      <c r="HHT1725" s="227"/>
      <c r="HHU1725" s="227"/>
      <c r="HHV1725" s="227"/>
      <c r="HHW1725" s="227"/>
      <c r="HHX1725" s="227"/>
      <c r="HHY1725" s="227"/>
      <c r="HHZ1725" s="227"/>
      <c r="HIA1725" s="227"/>
      <c r="HIB1725" s="227"/>
      <c r="HIC1725" s="227"/>
      <c r="HID1725" s="227"/>
      <c r="HIE1725" s="227"/>
      <c r="HIF1725" s="227"/>
      <c r="HIG1725" s="227"/>
      <c r="HIH1725" s="227"/>
      <c r="HII1725" s="227"/>
      <c r="HIJ1725" s="227"/>
      <c r="HIK1725" s="227"/>
      <c r="HIL1725" s="227"/>
      <c r="HIM1725" s="227"/>
      <c r="HIN1725" s="227"/>
      <c r="HIO1725" s="227"/>
      <c r="HIP1725" s="227"/>
      <c r="HIQ1725" s="227"/>
      <c r="HIR1725" s="227"/>
      <c r="HIS1725" s="227"/>
      <c r="HIT1725" s="227"/>
      <c r="HIU1725" s="227"/>
      <c r="HIV1725" s="227"/>
      <c r="HIW1725" s="227"/>
      <c r="HIX1725" s="227"/>
      <c r="HIY1725" s="227"/>
      <c r="HIZ1725" s="227"/>
      <c r="HJA1725" s="227"/>
      <c r="HJB1725" s="227"/>
      <c r="HJC1725" s="227"/>
      <c r="HJD1725" s="227"/>
      <c r="HJE1725" s="227"/>
      <c r="HJF1725" s="227"/>
      <c r="HJG1725" s="227"/>
      <c r="HJH1725" s="227"/>
      <c r="HJI1725" s="227"/>
      <c r="HJJ1725" s="227"/>
      <c r="HJK1725" s="227"/>
      <c r="HJL1725" s="227"/>
      <c r="HJM1725" s="227"/>
      <c r="HJN1725" s="227"/>
      <c r="HJO1725" s="227"/>
      <c r="HJP1725" s="227"/>
      <c r="HJQ1725" s="227"/>
      <c r="HJR1725" s="227"/>
      <c r="HJS1725" s="227"/>
      <c r="HJT1725" s="227"/>
      <c r="HJU1725" s="227"/>
      <c r="HJV1725" s="227"/>
      <c r="HJW1725" s="227"/>
      <c r="HJX1725" s="227"/>
      <c r="HJY1725" s="227"/>
      <c r="HJZ1725" s="227"/>
      <c r="HKA1725" s="227"/>
      <c r="HKB1725" s="227"/>
      <c r="HKC1725" s="227"/>
      <c r="HKD1725" s="227"/>
      <c r="HKE1725" s="227"/>
      <c r="HKF1725" s="227"/>
      <c r="HKG1725" s="227"/>
      <c r="HKH1725" s="227"/>
      <c r="HKI1725" s="227"/>
      <c r="HKJ1725" s="227"/>
      <c r="HKK1725" s="227"/>
      <c r="HKL1725" s="227"/>
      <c r="HKM1725" s="227"/>
      <c r="HKN1725" s="227"/>
      <c r="HKO1725" s="227"/>
      <c r="HKP1725" s="227"/>
      <c r="HKQ1725" s="227"/>
      <c r="HKR1725" s="227"/>
      <c r="HKS1725" s="227"/>
      <c r="HKT1725" s="227"/>
      <c r="HKU1725" s="227"/>
      <c r="HKV1725" s="227"/>
      <c r="HKW1725" s="227"/>
      <c r="HKX1725" s="227"/>
      <c r="HKY1725" s="227"/>
      <c r="HKZ1725" s="227"/>
      <c r="HLA1725" s="227"/>
      <c r="HLB1725" s="227"/>
      <c r="HLC1725" s="227"/>
      <c r="HLD1725" s="227"/>
      <c r="HLE1725" s="227"/>
      <c r="HLF1725" s="227"/>
      <c r="HLG1725" s="227"/>
      <c r="HLH1725" s="227"/>
      <c r="HLI1725" s="227"/>
      <c r="HLJ1725" s="227"/>
      <c r="HLK1725" s="227"/>
      <c r="HLL1725" s="227"/>
      <c r="HLM1725" s="227"/>
      <c r="HLN1725" s="227"/>
      <c r="HLO1725" s="227"/>
      <c r="HLP1725" s="227"/>
      <c r="HLQ1725" s="227"/>
      <c r="HLR1725" s="227"/>
      <c r="HLS1725" s="227"/>
      <c r="HLT1725" s="227"/>
      <c r="HLU1725" s="227"/>
      <c r="HLV1725" s="227"/>
      <c r="HLW1725" s="227"/>
      <c r="HLX1725" s="227"/>
      <c r="HLY1725" s="227"/>
      <c r="HLZ1725" s="227"/>
      <c r="HMA1725" s="227"/>
      <c r="HMB1725" s="227"/>
      <c r="HMC1725" s="227"/>
      <c r="HMD1725" s="227"/>
      <c r="HME1725" s="227"/>
      <c r="HMF1725" s="227"/>
      <c r="HMG1725" s="227"/>
      <c r="HMH1725" s="227"/>
      <c r="HMI1725" s="227"/>
      <c r="HMJ1725" s="227"/>
      <c r="HMK1725" s="227"/>
      <c r="HML1725" s="227"/>
      <c r="HMM1725" s="227"/>
      <c r="HMN1725" s="227"/>
      <c r="HMO1725" s="227"/>
      <c r="HMP1725" s="227"/>
      <c r="HMQ1725" s="227"/>
      <c r="HMR1725" s="227"/>
      <c r="HMS1725" s="227"/>
      <c r="HMT1725" s="227"/>
      <c r="HMU1725" s="227"/>
      <c r="HMV1725" s="227"/>
      <c r="HMW1725" s="227"/>
      <c r="HMX1725" s="227"/>
      <c r="HMY1725" s="227"/>
      <c r="HMZ1725" s="227"/>
      <c r="HNA1725" s="227"/>
      <c r="HNB1725" s="227"/>
      <c r="HNC1725" s="227"/>
      <c r="HND1725" s="227"/>
      <c r="HNE1725" s="227"/>
      <c r="HNF1725" s="227"/>
      <c r="HNG1725" s="227"/>
      <c r="HNH1725" s="227"/>
      <c r="HNI1725" s="227"/>
      <c r="HNJ1725" s="227"/>
      <c r="HNK1725" s="227"/>
      <c r="HNL1725" s="227"/>
      <c r="HNM1725" s="227"/>
      <c r="HNN1725" s="227"/>
      <c r="HNO1725" s="227"/>
      <c r="HNP1725" s="227"/>
      <c r="HNQ1725" s="227"/>
      <c r="HNR1725" s="227"/>
      <c r="HNS1725" s="227"/>
      <c r="HNT1725" s="227"/>
      <c r="HNU1725" s="227"/>
      <c r="HNV1725" s="227"/>
      <c r="HNW1725" s="227"/>
      <c r="HNX1725" s="227"/>
      <c r="HNY1725" s="227"/>
      <c r="HNZ1725" s="227"/>
      <c r="HOA1725" s="227"/>
      <c r="HOB1725" s="227"/>
      <c r="HOC1725" s="227"/>
      <c r="HOD1725" s="227"/>
      <c r="HOE1725" s="227"/>
      <c r="HOF1725" s="227"/>
      <c r="HOG1725" s="227"/>
      <c r="HOH1725" s="227"/>
      <c r="HOI1725" s="227"/>
      <c r="HOJ1725" s="227"/>
      <c r="HOK1725" s="227"/>
      <c r="HOL1725" s="227"/>
      <c r="HOM1725" s="227"/>
      <c r="HON1725" s="227"/>
      <c r="HOO1725" s="227"/>
      <c r="HOP1725" s="227"/>
      <c r="HOQ1725" s="227"/>
      <c r="HOR1725" s="227"/>
      <c r="HOS1725" s="227"/>
      <c r="HOT1725" s="227"/>
      <c r="HOU1725" s="227"/>
      <c r="HOV1725" s="227"/>
      <c r="HOW1725" s="227"/>
      <c r="HOX1725" s="227"/>
      <c r="HOY1725" s="227"/>
      <c r="HOZ1725" s="227"/>
      <c r="HPA1725" s="227"/>
      <c r="HPB1725" s="227"/>
      <c r="HPC1725" s="227"/>
      <c r="HPD1725" s="227"/>
      <c r="HPE1725" s="227"/>
      <c r="HPF1725" s="227"/>
      <c r="HPG1725" s="227"/>
      <c r="HPH1725" s="227"/>
      <c r="HPI1725" s="227"/>
      <c r="HPJ1725" s="227"/>
      <c r="HPK1725" s="227"/>
      <c r="HPL1725" s="227"/>
      <c r="HPM1725" s="227"/>
      <c r="HPN1725" s="227"/>
      <c r="HPO1725" s="227"/>
      <c r="HPP1725" s="227"/>
      <c r="HPQ1725" s="227"/>
      <c r="HPR1725" s="227"/>
      <c r="HPS1725" s="227"/>
      <c r="HPT1725" s="227"/>
      <c r="HPU1725" s="227"/>
      <c r="HPV1725" s="227"/>
      <c r="HPW1725" s="227"/>
      <c r="HPX1725" s="227"/>
      <c r="HPY1725" s="227"/>
      <c r="HPZ1725" s="227"/>
      <c r="HQA1725" s="227"/>
      <c r="HQB1725" s="227"/>
      <c r="HQC1725" s="227"/>
      <c r="HQD1725" s="227"/>
      <c r="HQE1725" s="227"/>
      <c r="HQF1725" s="227"/>
      <c r="HQG1725" s="227"/>
      <c r="HQH1725" s="227"/>
      <c r="HQI1725" s="227"/>
      <c r="HQJ1725" s="227"/>
      <c r="HQK1725" s="227"/>
      <c r="HQL1725" s="227"/>
      <c r="HQM1725" s="227"/>
      <c r="HQN1725" s="227"/>
      <c r="HQO1725" s="227"/>
      <c r="HQP1725" s="227"/>
      <c r="HQQ1725" s="227"/>
      <c r="HQR1725" s="227"/>
      <c r="HQS1725" s="227"/>
      <c r="HQT1725" s="227"/>
      <c r="HQU1725" s="227"/>
      <c r="HQV1725" s="227"/>
      <c r="HQW1725" s="227"/>
      <c r="HQX1725" s="227"/>
      <c r="HQY1725" s="227"/>
      <c r="HQZ1725" s="227"/>
      <c r="HRA1725" s="227"/>
      <c r="HRB1725" s="227"/>
      <c r="HRC1725" s="227"/>
      <c r="HRD1725" s="227"/>
      <c r="HRE1725" s="227"/>
      <c r="HRF1725" s="227"/>
      <c r="HRG1725" s="227"/>
      <c r="HRH1725" s="227"/>
      <c r="HRI1725" s="227"/>
      <c r="HRJ1725" s="227"/>
      <c r="HRK1725" s="227"/>
      <c r="HRL1725" s="227"/>
      <c r="HRM1725" s="227"/>
      <c r="HRN1725" s="227"/>
      <c r="HRO1725" s="227"/>
      <c r="HRP1725" s="227"/>
      <c r="HRQ1725" s="227"/>
      <c r="HRR1725" s="227"/>
      <c r="HRS1725" s="227"/>
      <c r="HRT1725" s="227"/>
      <c r="HRU1725" s="227"/>
      <c r="HRV1725" s="227"/>
      <c r="HRW1725" s="227"/>
      <c r="HRX1725" s="227"/>
      <c r="HRY1725" s="227"/>
      <c r="HRZ1725" s="227"/>
      <c r="HSA1725" s="227"/>
      <c r="HSB1725" s="227"/>
      <c r="HSC1725" s="227"/>
      <c r="HSD1725" s="227"/>
      <c r="HSE1725" s="227"/>
      <c r="HSF1725" s="227"/>
      <c r="HSG1725" s="227"/>
      <c r="HSH1725" s="227"/>
      <c r="HSI1725" s="227"/>
      <c r="HSJ1725" s="227"/>
      <c r="HSK1725" s="227"/>
      <c r="HSL1725" s="227"/>
      <c r="HSM1725" s="227"/>
      <c r="HSN1725" s="227"/>
      <c r="HSO1725" s="227"/>
      <c r="HSP1725" s="227"/>
      <c r="HSQ1725" s="227"/>
      <c r="HSR1725" s="227"/>
      <c r="HSS1725" s="227"/>
      <c r="HST1725" s="227"/>
      <c r="HSU1725" s="227"/>
      <c r="HSV1725" s="227"/>
      <c r="HSW1725" s="227"/>
      <c r="HSX1725" s="227"/>
      <c r="HSY1725" s="227"/>
      <c r="HSZ1725" s="227"/>
      <c r="HTA1725" s="227"/>
      <c r="HTB1725" s="227"/>
      <c r="HTC1725" s="227"/>
      <c r="HTD1725" s="227"/>
      <c r="HTE1725" s="227"/>
      <c r="HTF1725" s="227"/>
      <c r="HTG1725" s="227"/>
      <c r="HTH1725" s="227"/>
      <c r="HTI1725" s="227"/>
      <c r="HTJ1725" s="227"/>
      <c r="HTK1725" s="227"/>
      <c r="HTL1725" s="227"/>
      <c r="HTM1725" s="227"/>
      <c r="HTN1725" s="227"/>
      <c r="HTO1725" s="227"/>
      <c r="HTP1725" s="227"/>
      <c r="HTQ1725" s="227"/>
      <c r="HTR1725" s="227"/>
      <c r="HTS1725" s="227"/>
      <c r="HTT1725" s="227"/>
      <c r="HTU1725" s="227"/>
      <c r="HTV1725" s="227"/>
      <c r="HTW1725" s="227"/>
      <c r="HTX1725" s="227"/>
      <c r="HTY1725" s="227"/>
      <c r="HTZ1725" s="227"/>
      <c r="HUA1725" s="227"/>
      <c r="HUB1725" s="227"/>
      <c r="HUC1725" s="227"/>
      <c r="HUD1725" s="227"/>
      <c r="HUE1725" s="227"/>
      <c r="HUF1725" s="227"/>
      <c r="HUG1725" s="227"/>
      <c r="HUH1725" s="227"/>
      <c r="HUI1725" s="227"/>
      <c r="HUJ1725" s="227"/>
      <c r="HUK1725" s="227"/>
      <c r="HUL1725" s="227"/>
      <c r="HUM1725" s="227"/>
      <c r="HUN1725" s="227"/>
      <c r="HUO1725" s="227"/>
      <c r="HUP1725" s="227"/>
      <c r="HUQ1725" s="227"/>
      <c r="HUR1725" s="227"/>
      <c r="HUS1725" s="227"/>
      <c r="HUT1725" s="227"/>
      <c r="HUU1725" s="227"/>
      <c r="HUV1725" s="227"/>
      <c r="HUW1725" s="227"/>
      <c r="HUX1725" s="227"/>
      <c r="HUY1725" s="227"/>
      <c r="HUZ1725" s="227"/>
      <c r="HVA1725" s="227"/>
      <c r="HVB1725" s="227"/>
      <c r="HVC1725" s="227"/>
      <c r="HVD1725" s="227"/>
      <c r="HVE1725" s="227"/>
      <c r="HVF1725" s="227"/>
      <c r="HVG1725" s="227"/>
      <c r="HVH1725" s="227"/>
      <c r="HVI1725" s="227"/>
      <c r="HVJ1725" s="227"/>
      <c r="HVK1725" s="227"/>
      <c r="HVL1725" s="227"/>
      <c r="HVM1725" s="227"/>
      <c r="HVN1725" s="227"/>
      <c r="HVO1725" s="227"/>
      <c r="HVP1725" s="227"/>
      <c r="HVQ1725" s="227"/>
      <c r="HVR1725" s="227"/>
      <c r="HVS1725" s="227"/>
      <c r="HVT1725" s="227"/>
      <c r="HVU1725" s="227"/>
      <c r="HVV1725" s="227"/>
      <c r="HVW1725" s="227"/>
      <c r="HVX1725" s="227"/>
      <c r="HVY1725" s="227"/>
      <c r="HVZ1725" s="227"/>
      <c r="HWA1725" s="227"/>
      <c r="HWB1725" s="227"/>
      <c r="HWC1725" s="227"/>
      <c r="HWD1725" s="227"/>
      <c r="HWE1725" s="227"/>
      <c r="HWF1725" s="227"/>
      <c r="HWG1725" s="227"/>
      <c r="HWH1725" s="227"/>
      <c r="HWI1725" s="227"/>
      <c r="HWJ1725" s="227"/>
      <c r="HWK1725" s="227"/>
      <c r="HWL1725" s="227"/>
      <c r="HWM1725" s="227"/>
      <c r="HWN1725" s="227"/>
      <c r="HWO1725" s="227"/>
      <c r="HWP1725" s="227"/>
      <c r="HWQ1725" s="227"/>
      <c r="HWR1725" s="227"/>
      <c r="HWS1725" s="227"/>
      <c r="HWT1725" s="227"/>
      <c r="HWU1725" s="227"/>
      <c r="HWV1725" s="227"/>
      <c r="HWW1725" s="227"/>
      <c r="HWX1725" s="227"/>
      <c r="HWY1725" s="227"/>
      <c r="HWZ1725" s="227"/>
      <c r="HXA1725" s="227"/>
      <c r="HXB1725" s="227"/>
      <c r="HXC1725" s="227"/>
      <c r="HXD1725" s="227"/>
      <c r="HXE1725" s="227"/>
      <c r="HXF1725" s="227"/>
      <c r="HXG1725" s="227"/>
      <c r="HXH1725" s="227"/>
      <c r="HXI1725" s="227"/>
      <c r="HXJ1725" s="227"/>
      <c r="HXK1725" s="227"/>
      <c r="HXL1725" s="227"/>
      <c r="HXM1725" s="227"/>
      <c r="HXN1725" s="227"/>
      <c r="HXO1725" s="227"/>
      <c r="HXP1725" s="227"/>
      <c r="HXQ1725" s="227"/>
      <c r="HXR1725" s="227"/>
      <c r="HXS1725" s="227"/>
      <c r="HXT1725" s="227"/>
      <c r="HXU1725" s="227"/>
      <c r="HXV1725" s="227"/>
      <c r="HXW1725" s="227"/>
      <c r="HXX1725" s="227"/>
      <c r="HXY1725" s="227"/>
      <c r="HXZ1725" s="227"/>
      <c r="HYA1725" s="227"/>
      <c r="HYB1725" s="227"/>
      <c r="HYC1725" s="227"/>
      <c r="HYD1725" s="227"/>
      <c r="HYE1725" s="227"/>
      <c r="HYF1725" s="227"/>
      <c r="HYG1725" s="227"/>
      <c r="HYH1725" s="227"/>
      <c r="HYI1725" s="227"/>
      <c r="HYJ1725" s="227"/>
      <c r="HYK1725" s="227"/>
      <c r="HYL1725" s="227"/>
      <c r="HYM1725" s="227"/>
      <c r="HYN1725" s="227"/>
      <c r="HYO1725" s="227"/>
      <c r="HYP1725" s="227"/>
      <c r="HYQ1725" s="227"/>
      <c r="HYR1725" s="227"/>
      <c r="HYS1725" s="227"/>
      <c r="HYT1725" s="227"/>
      <c r="HYU1725" s="227"/>
      <c r="HYV1725" s="227"/>
      <c r="HYW1725" s="227"/>
      <c r="HYX1725" s="227"/>
      <c r="HYY1725" s="227"/>
      <c r="HYZ1725" s="227"/>
      <c r="HZA1725" s="227"/>
      <c r="HZB1725" s="227"/>
      <c r="HZC1725" s="227"/>
      <c r="HZD1725" s="227"/>
      <c r="HZE1725" s="227"/>
      <c r="HZF1725" s="227"/>
      <c r="HZG1725" s="227"/>
      <c r="HZH1725" s="227"/>
      <c r="HZI1725" s="227"/>
      <c r="HZJ1725" s="227"/>
      <c r="HZK1725" s="227"/>
      <c r="HZL1725" s="227"/>
      <c r="HZM1725" s="227"/>
      <c r="HZN1725" s="227"/>
      <c r="HZO1725" s="227"/>
      <c r="HZP1725" s="227"/>
      <c r="HZQ1725" s="227"/>
      <c r="HZR1725" s="227"/>
      <c r="HZS1725" s="227"/>
      <c r="HZT1725" s="227"/>
      <c r="HZU1725" s="227"/>
      <c r="HZV1725" s="227"/>
      <c r="HZW1725" s="227"/>
      <c r="HZX1725" s="227"/>
      <c r="HZY1725" s="227"/>
      <c r="HZZ1725" s="227"/>
      <c r="IAA1725" s="227"/>
      <c r="IAB1725" s="227"/>
      <c r="IAC1725" s="227"/>
      <c r="IAD1725" s="227"/>
      <c r="IAE1725" s="227"/>
      <c r="IAF1725" s="227"/>
      <c r="IAG1725" s="227"/>
      <c r="IAH1725" s="227"/>
      <c r="IAI1725" s="227"/>
      <c r="IAJ1725" s="227"/>
      <c r="IAK1725" s="227"/>
      <c r="IAL1725" s="227"/>
      <c r="IAM1725" s="227"/>
      <c r="IAN1725" s="227"/>
      <c r="IAO1725" s="227"/>
      <c r="IAP1725" s="227"/>
      <c r="IAQ1725" s="227"/>
      <c r="IAR1725" s="227"/>
      <c r="IAS1725" s="227"/>
      <c r="IAT1725" s="227"/>
      <c r="IAU1725" s="227"/>
      <c r="IAV1725" s="227"/>
      <c r="IAW1725" s="227"/>
      <c r="IAX1725" s="227"/>
      <c r="IAY1725" s="227"/>
      <c r="IAZ1725" s="227"/>
      <c r="IBA1725" s="227"/>
      <c r="IBB1725" s="227"/>
      <c r="IBC1725" s="227"/>
      <c r="IBD1725" s="227"/>
      <c r="IBE1725" s="227"/>
      <c r="IBF1725" s="227"/>
      <c r="IBG1725" s="227"/>
      <c r="IBH1725" s="227"/>
      <c r="IBI1725" s="227"/>
      <c r="IBJ1725" s="227"/>
      <c r="IBK1725" s="227"/>
      <c r="IBL1725" s="227"/>
      <c r="IBM1725" s="227"/>
      <c r="IBN1725" s="227"/>
      <c r="IBO1725" s="227"/>
      <c r="IBP1725" s="227"/>
      <c r="IBQ1725" s="227"/>
      <c r="IBR1725" s="227"/>
      <c r="IBS1725" s="227"/>
      <c r="IBT1725" s="227"/>
      <c r="IBU1725" s="227"/>
      <c r="IBV1725" s="227"/>
      <c r="IBW1725" s="227"/>
      <c r="IBX1725" s="227"/>
      <c r="IBY1725" s="227"/>
      <c r="IBZ1725" s="227"/>
      <c r="ICA1725" s="227"/>
      <c r="ICB1725" s="227"/>
      <c r="ICC1725" s="227"/>
      <c r="ICD1725" s="227"/>
      <c r="ICE1725" s="227"/>
      <c r="ICF1725" s="227"/>
      <c r="ICG1725" s="227"/>
      <c r="ICH1725" s="227"/>
      <c r="ICI1725" s="227"/>
      <c r="ICJ1725" s="227"/>
      <c r="ICK1725" s="227"/>
      <c r="ICL1725" s="227"/>
      <c r="ICM1725" s="227"/>
      <c r="ICN1725" s="227"/>
      <c r="ICO1725" s="227"/>
      <c r="ICP1725" s="227"/>
      <c r="ICQ1725" s="227"/>
      <c r="ICR1725" s="227"/>
      <c r="ICS1725" s="227"/>
      <c r="ICT1725" s="227"/>
      <c r="ICU1725" s="227"/>
      <c r="ICV1725" s="227"/>
      <c r="ICW1725" s="227"/>
      <c r="ICX1725" s="227"/>
      <c r="ICY1725" s="227"/>
      <c r="ICZ1725" s="227"/>
      <c r="IDA1725" s="227"/>
      <c r="IDB1725" s="227"/>
      <c r="IDC1725" s="227"/>
      <c r="IDD1725" s="227"/>
      <c r="IDE1725" s="227"/>
      <c r="IDF1725" s="227"/>
      <c r="IDG1725" s="227"/>
      <c r="IDH1725" s="227"/>
      <c r="IDI1725" s="227"/>
      <c r="IDJ1725" s="227"/>
      <c r="IDK1725" s="227"/>
      <c r="IDL1725" s="227"/>
      <c r="IDM1725" s="227"/>
      <c r="IDN1725" s="227"/>
      <c r="IDO1725" s="227"/>
      <c r="IDP1725" s="227"/>
      <c r="IDQ1725" s="227"/>
      <c r="IDR1725" s="227"/>
      <c r="IDS1725" s="227"/>
      <c r="IDT1725" s="227"/>
      <c r="IDU1725" s="227"/>
      <c r="IDV1725" s="227"/>
      <c r="IDW1725" s="227"/>
      <c r="IDX1725" s="227"/>
      <c r="IDY1725" s="227"/>
      <c r="IDZ1725" s="227"/>
      <c r="IEA1725" s="227"/>
      <c r="IEB1725" s="227"/>
      <c r="IEC1725" s="227"/>
      <c r="IED1725" s="227"/>
      <c r="IEE1725" s="227"/>
      <c r="IEF1725" s="227"/>
      <c r="IEG1725" s="227"/>
      <c r="IEH1725" s="227"/>
      <c r="IEI1725" s="227"/>
      <c r="IEJ1725" s="227"/>
      <c r="IEK1725" s="227"/>
      <c r="IEL1725" s="227"/>
      <c r="IEM1725" s="227"/>
      <c r="IEN1725" s="227"/>
      <c r="IEO1725" s="227"/>
      <c r="IEP1725" s="227"/>
      <c r="IEQ1725" s="227"/>
      <c r="IER1725" s="227"/>
      <c r="IES1725" s="227"/>
      <c r="IET1725" s="227"/>
      <c r="IEU1725" s="227"/>
      <c r="IEV1725" s="227"/>
      <c r="IEW1725" s="227"/>
      <c r="IEX1725" s="227"/>
      <c r="IEY1725" s="227"/>
      <c r="IEZ1725" s="227"/>
      <c r="IFA1725" s="227"/>
      <c r="IFB1725" s="227"/>
      <c r="IFC1725" s="227"/>
      <c r="IFD1725" s="227"/>
      <c r="IFE1725" s="227"/>
      <c r="IFF1725" s="227"/>
      <c r="IFG1725" s="227"/>
      <c r="IFH1725" s="227"/>
      <c r="IFI1725" s="227"/>
      <c r="IFJ1725" s="227"/>
      <c r="IFK1725" s="227"/>
      <c r="IFL1725" s="227"/>
      <c r="IFM1725" s="227"/>
      <c r="IFN1725" s="227"/>
      <c r="IFO1725" s="227"/>
      <c r="IFP1725" s="227"/>
      <c r="IFQ1725" s="227"/>
      <c r="IFR1725" s="227"/>
      <c r="IFS1725" s="227"/>
      <c r="IFT1725" s="227"/>
      <c r="IFU1725" s="227"/>
      <c r="IFV1725" s="227"/>
      <c r="IFW1725" s="227"/>
      <c r="IFX1725" s="227"/>
      <c r="IFY1725" s="227"/>
      <c r="IFZ1725" s="227"/>
      <c r="IGA1725" s="227"/>
      <c r="IGB1725" s="227"/>
      <c r="IGC1725" s="227"/>
      <c r="IGD1725" s="227"/>
      <c r="IGE1725" s="227"/>
      <c r="IGF1725" s="227"/>
      <c r="IGG1725" s="227"/>
      <c r="IGH1725" s="227"/>
      <c r="IGI1725" s="227"/>
      <c r="IGJ1725" s="227"/>
      <c r="IGK1725" s="227"/>
      <c r="IGL1725" s="227"/>
      <c r="IGM1725" s="227"/>
      <c r="IGN1725" s="227"/>
      <c r="IGO1725" s="227"/>
      <c r="IGP1725" s="227"/>
      <c r="IGQ1725" s="227"/>
      <c r="IGR1725" s="227"/>
      <c r="IGS1725" s="227"/>
      <c r="IGT1725" s="227"/>
      <c r="IGU1725" s="227"/>
      <c r="IGV1725" s="227"/>
      <c r="IGW1725" s="227"/>
      <c r="IGX1725" s="227"/>
      <c r="IGY1725" s="227"/>
      <c r="IGZ1725" s="227"/>
      <c r="IHA1725" s="227"/>
      <c r="IHB1725" s="227"/>
      <c r="IHC1725" s="227"/>
      <c r="IHD1725" s="227"/>
      <c r="IHE1725" s="227"/>
      <c r="IHF1725" s="227"/>
      <c r="IHG1725" s="227"/>
      <c r="IHH1725" s="227"/>
      <c r="IHI1725" s="227"/>
      <c r="IHJ1725" s="227"/>
      <c r="IHK1725" s="227"/>
      <c r="IHL1725" s="227"/>
      <c r="IHM1725" s="227"/>
      <c r="IHN1725" s="227"/>
      <c r="IHO1725" s="227"/>
      <c r="IHP1725" s="227"/>
      <c r="IHQ1725" s="227"/>
      <c r="IHR1725" s="227"/>
      <c r="IHS1725" s="227"/>
      <c r="IHT1725" s="227"/>
      <c r="IHU1725" s="227"/>
      <c r="IHV1725" s="227"/>
      <c r="IHW1725" s="227"/>
      <c r="IHX1725" s="227"/>
      <c r="IHY1725" s="227"/>
      <c r="IHZ1725" s="227"/>
      <c r="IIA1725" s="227"/>
      <c r="IIB1725" s="227"/>
      <c r="IIC1725" s="227"/>
      <c r="IID1725" s="227"/>
      <c r="IIE1725" s="227"/>
      <c r="IIF1725" s="227"/>
      <c r="IIG1725" s="227"/>
      <c r="IIH1725" s="227"/>
      <c r="III1725" s="227"/>
      <c r="IIJ1725" s="227"/>
      <c r="IIK1725" s="227"/>
      <c r="IIL1725" s="227"/>
      <c r="IIM1725" s="227"/>
      <c r="IIN1725" s="227"/>
      <c r="IIO1725" s="227"/>
      <c r="IIP1725" s="227"/>
      <c r="IIQ1725" s="227"/>
      <c r="IIR1725" s="227"/>
      <c r="IIS1725" s="227"/>
      <c r="IIT1725" s="227"/>
      <c r="IIU1725" s="227"/>
      <c r="IIV1725" s="227"/>
      <c r="IIW1725" s="227"/>
      <c r="IIX1725" s="227"/>
      <c r="IIY1725" s="227"/>
      <c r="IIZ1725" s="227"/>
      <c r="IJA1725" s="227"/>
      <c r="IJB1725" s="227"/>
      <c r="IJC1725" s="227"/>
      <c r="IJD1725" s="227"/>
      <c r="IJE1725" s="227"/>
      <c r="IJF1725" s="227"/>
      <c r="IJG1725" s="227"/>
      <c r="IJH1725" s="227"/>
      <c r="IJI1725" s="227"/>
      <c r="IJJ1725" s="227"/>
      <c r="IJK1725" s="227"/>
      <c r="IJL1725" s="227"/>
      <c r="IJM1725" s="227"/>
      <c r="IJN1725" s="227"/>
      <c r="IJO1725" s="227"/>
      <c r="IJP1725" s="227"/>
      <c r="IJQ1725" s="227"/>
      <c r="IJR1725" s="227"/>
      <c r="IJS1725" s="227"/>
      <c r="IJT1725" s="227"/>
      <c r="IJU1725" s="227"/>
      <c r="IJV1725" s="227"/>
      <c r="IJW1725" s="227"/>
      <c r="IJX1725" s="227"/>
      <c r="IJY1725" s="227"/>
      <c r="IJZ1725" s="227"/>
      <c r="IKA1725" s="227"/>
      <c r="IKB1725" s="227"/>
      <c r="IKC1725" s="227"/>
      <c r="IKD1725" s="227"/>
      <c r="IKE1725" s="227"/>
      <c r="IKF1725" s="227"/>
      <c r="IKG1725" s="227"/>
      <c r="IKH1725" s="227"/>
      <c r="IKI1725" s="227"/>
      <c r="IKJ1725" s="227"/>
      <c r="IKK1725" s="227"/>
      <c r="IKL1725" s="227"/>
      <c r="IKM1725" s="227"/>
      <c r="IKN1725" s="227"/>
      <c r="IKO1725" s="227"/>
      <c r="IKP1725" s="227"/>
      <c r="IKQ1725" s="227"/>
      <c r="IKR1725" s="227"/>
      <c r="IKS1725" s="227"/>
      <c r="IKT1725" s="227"/>
      <c r="IKU1725" s="227"/>
      <c r="IKV1725" s="227"/>
      <c r="IKW1725" s="227"/>
      <c r="IKX1725" s="227"/>
      <c r="IKY1725" s="227"/>
      <c r="IKZ1725" s="227"/>
      <c r="ILA1725" s="227"/>
      <c r="ILB1725" s="227"/>
      <c r="ILC1725" s="227"/>
      <c r="ILD1725" s="227"/>
      <c r="ILE1725" s="227"/>
      <c r="ILF1725" s="227"/>
      <c r="ILG1725" s="227"/>
      <c r="ILH1725" s="227"/>
      <c r="ILI1725" s="227"/>
      <c r="ILJ1725" s="227"/>
      <c r="ILK1725" s="227"/>
      <c r="ILL1725" s="227"/>
      <c r="ILM1725" s="227"/>
      <c r="ILN1725" s="227"/>
      <c r="ILO1725" s="227"/>
      <c r="ILP1725" s="227"/>
      <c r="ILQ1725" s="227"/>
      <c r="ILR1725" s="227"/>
      <c r="ILS1725" s="227"/>
      <c r="ILT1725" s="227"/>
      <c r="ILU1725" s="227"/>
      <c r="ILV1725" s="227"/>
      <c r="ILW1725" s="227"/>
      <c r="ILX1725" s="227"/>
      <c r="ILY1725" s="227"/>
      <c r="ILZ1725" s="227"/>
      <c r="IMA1725" s="227"/>
      <c r="IMB1725" s="227"/>
      <c r="IMC1725" s="227"/>
      <c r="IMD1725" s="227"/>
      <c r="IME1725" s="227"/>
      <c r="IMF1725" s="227"/>
      <c r="IMG1725" s="227"/>
      <c r="IMH1725" s="227"/>
      <c r="IMI1725" s="227"/>
      <c r="IMJ1725" s="227"/>
      <c r="IMK1725" s="227"/>
      <c r="IML1725" s="227"/>
      <c r="IMM1725" s="227"/>
      <c r="IMN1725" s="227"/>
      <c r="IMO1725" s="227"/>
      <c r="IMP1725" s="227"/>
      <c r="IMQ1725" s="227"/>
      <c r="IMR1725" s="227"/>
      <c r="IMS1725" s="227"/>
      <c r="IMT1725" s="227"/>
      <c r="IMU1725" s="227"/>
      <c r="IMV1725" s="227"/>
      <c r="IMW1725" s="227"/>
      <c r="IMX1725" s="227"/>
      <c r="IMY1725" s="227"/>
      <c r="IMZ1725" s="227"/>
      <c r="INA1725" s="227"/>
      <c r="INB1725" s="227"/>
      <c r="INC1725" s="227"/>
      <c r="IND1725" s="227"/>
      <c r="INE1725" s="227"/>
      <c r="INF1725" s="227"/>
      <c r="ING1725" s="227"/>
      <c r="INH1725" s="227"/>
      <c r="INI1725" s="227"/>
      <c r="INJ1725" s="227"/>
      <c r="INK1725" s="227"/>
      <c r="INL1725" s="227"/>
      <c r="INM1725" s="227"/>
      <c r="INN1725" s="227"/>
      <c r="INO1725" s="227"/>
      <c r="INP1725" s="227"/>
      <c r="INQ1725" s="227"/>
      <c r="INR1725" s="227"/>
      <c r="INS1725" s="227"/>
      <c r="INT1725" s="227"/>
      <c r="INU1725" s="227"/>
      <c r="INV1725" s="227"/>
      <c r="INW1725" s="227"/>
      <c r="INX1725" s="227"/>
      <c r="INY1725" s="227"/>
      <c r="INZ1725" s="227"/>
      <c r="IOA1725" s="227"/>
      <c r="IOB1725" s="227"/>
      <c r="IOC1725" s="227"/>
      <c r="IOD1725" s="227"/>
      <c r="IOE1725" s="227"/>
      <c r="IOF1725" s="227"/>
      <c r="IOG1725" s="227"/>
      <c r="IOH1725" s="227"/>
      <c r="IOI1725" s="227"/>
      <c r="IOJ1725" s="227"/>
      <c r="IOK1725" s="227"/>
      <c r="IOL1725" s="227"/>
      <c r="IOM1725" s="227"/>
      <c r="ION1725" s="227"/>
      <c r="IOO1725" s="227"/>
      <c r="IOP1725" s="227"/>
      <c r="IOQ1725" s="227"/>
      <c r="IOR1725" s="227"/>
      <c r="IOS1725" s="227"/>
      <c r="IOT1725" s="227"/>
      <c r="IOU1725" s="227"/>
      <c r="IOV1725" s="227"/>
      <c r="IOW1725" s="227"/>
      <c r="IOX1725" s="227"/>
      <c r="IOY1725" s="227"/>
      <c r="IOZ1725" s="227"/>
      <c r="IPA1725" s="227"/>
      <c r="IPB1725" s="227"/>
      <c r="IPC1725" s="227"/>
      <c r="IPD1725" s="227"/>
      <c r="IPE1725" s="227"/>
      <c r="IPF1725" s="227"/>
      <c r="IPG1725" s="227"/>
      <c r="IPH1725" s="227"/>
      <c r="IPI1725" s="227"/>
      <c r="IPJ1725" s="227"/>
      <c r="IPK1725" s="227"/>
      <c r="IPL1725" s="227"/>
      <c r="IPM1725" s="227"/>
      <c r="IPN1725" s="227"/>
      <c r="IPO1725" s="227"/>
      <c r="IPP1725" s="227"/>
      <c r="IPQ1725" s="227"/>
      <c r="IPR1725" s="227"/>
      <c r="IPS1725" s="227"/>
      <c r="IPT1725" s="227"/>
      <c r="IPU1725" s="227"/>
      <c r="IPV1725" s="227"/>
      <c r="IPW1725" s="227"/>
      <c r="IPX1725" s="227"/>
      <c r="IPY1725" s="227"/>
      <c r="IPZ1725" s="227"/>
      <c r="IQA1725" s="227"/>
      <c r="IQB1725" s="227"/>
      <c r="IQC1725" s="227"/>
      <c r="IQD1725" s="227"/>
      <c r="IQE1725" s="227"/>
      <c r="IQF1725" s="227"/>
      <c r="IQG1725" s="227"/>
      <c r="IQH1725" s="227"/>
      <c r="IQI1725" s="227"/>
      <c r="IQJ1725" s="227"/>
      <c r="IQK1725" s="227"/>
      <c r="IQL1725" s="227"/>
      <c r="IQM1725" s="227"/>
      <c r="IQN1725" s="227"/>
      <c r="IQO1725" s="227"/>
      <c r="IQP1725" s="227"/>
      <c r="IQQ1725" s="227"/>
      <c r="IQR1725" s="227"/>
      <c r="IQS1725" s="227"/>
      <c r="IQT1725" s="227"/>
      <c r="IQU1725" s="227"/>
      <c r="IQV1725" s="227"/>
      <c r="IQW1725" s="227"/>
      <c r="IQX1725" s="227"/>
      <c r="IQY1725" s="227"/>
      <c r="IQZ1725" s="227"/>
      <c r="IRA1725" s="227"/>
      <c r="IRB1725" s="227"/>
      <c r="IRC1725" s="227"/>
      <c r="IRD1725" s="227"/>
      <c r="IRE1725" s="227"/>
      <c r="IRF1725" s="227"/>
      <c r="IRG1725" s="227"/>
      <c r="IRH1725" s="227"/>
      <c r="IRI1725" s="227"/>
      <c r="IRJ1725" s="227"/>
      <c r="IRK1725" s="227"/>
      <c r="IRL1725" s="227"/>
      <c r="IRM1725" s="227"/>
      <c r="IRN1725" s="227"/>
      <c r="IRO1725" s="227"/>
      <c r="IRP1725" s="227"/>
      <c r="IRQ1725" s="227"/>
      <c r="IRR1725" s="227"/>
      <c r="IRS1725" s="227"/>
      <c r="IRT1725" s="227"/>
      <c r="IRU1725" s="227"/>
      <c r="IRV1725" s="227"/>
      <c r="IRW1725" s="227"/>
      <c r="IRX1725" s="227"/>
      <c r="IRY1725" s="227"/>
      <c r="IRZ1725" s="227"/>
      <c r="ISA1725" s="227"/>
      <c r="ISB1725" s="227"/>
      <c r="ISC1725" s="227"/>
      <c r="ISD1725" s="227"/>
      <c r="ISE1725" s="227"/>
      <c r="ISF1725" s="227"/>
      <c r="ISG1725" s="227"/>
      <c r="ISH1725" s="227"/>
      <c r="ISI1725" s="227"/>
      <c r="ISJ1725" s="227"/>
      <c r="ISK1725" s="227"/>
      <c r="ISL1725" s="227"/>
      <c r="ISM1725" s="227"/>
      <c r="ISN1725" s="227"/>
      <c r="ISO1725" s="227"/>
      <c r="ISP1725" s="227"/>
      <c r="ISQ1725" s="227"/>
      <c r="ISR1725" s="227"/>
      <c r="ISS1725" s="227"/>
      <c r="IST1725" s="227"/>
      <c r="ISU1725" s="227"/>
      <c r="ISV1725" s="227"/>
      <c r="ISW1725" s="227"/>
      <c r="ISX1725" s="227"/>
      <c r="ISY1725" s="227"/>
      <c r="ISZ1725" s="227"/>
      <c r="ITA1725" s="227"/>
      <c r="ITB1725" s="227"/>
      <c r="ITC1725" s="227"/>
      <c r="ITD1725" s="227"/>
      <c r="ITE1725" s="227"/>
      <c r="ITF1725" s="227"/>
      <c r="ITG1725" s="227"/>
      <c r="ITH1725" s="227"/>
      <c r="ITI1725" s="227"/>
      <c r="ITJ1725" s="227"/>
      <c r="ITK1725" s="227"/>
      <c r="ITL1725" s="227"/>
      <c r="ITM1725" s="227"/>
      <c r="ITN1725" s="227"/>
      <c r="ITO1725" s="227"/>
      <c r="ITP1725" s="227"/>
      <c r="ITQ1725" s="227"/>
      <c r="ITR1725" s="227"/>
      <c r="ITS1725" s="227"/>
      <c r="ITT1725" s="227"/>
      <c r="ITU1725" s="227"/>
      <c r="ITV1725" s="227"/>
      <c r="ITW1725" s="227"/>
      <c r="ITX1725" s="227"/>
      <c r="ITY1725" s="227"/>
      <c r="ITZ1725" s="227"/>
      <c r="IUA1725" s="227"/>
      <c r="IUB1725" s="227"/>
      <c r="IUC1725" s="227"/>
      <c r="IUD1725" s="227"/>
      <c r="IUE1725" s="227"/>
      <c r="IUF1725" s="227"/>
      <c r="IUG1725" s="227"/>
      <c r="IUH1725" s="227"/>
      <c r="IUI1725" s="227"/>
      <c r="IUJ1725" s="227"/>
      <c r="IUK1725" s="227"/>
      <c r="IUL1725" s="227"/>
      <c r="IUM1725" s="227"/>
      <c r="IUN1725" s="227"/>
      <c r="IUO1725" s="227"/>
      <c r="IUP1725" s="227"/>
      <c r="IUQ1725" s="227"/>
      <c r="IUR1725" s="227"/>
      <c r="IUS1725" s="227"/>
      <c r="IUT1725" s="227"/>
      <c r="IUU1725" s="227"/>
      <c r="IUV1725" s="227"/>
      <c r="IUW1725" s="227"/>
      <c r="IUX1725" s="227"/>
      <c r="IUY1725" s="227"/>
      <c r="IUZ1725" s="227"/>
      <c r="IVA1725" s="227"/>
      <c r="IVB1725" s="227"/>
      <c r="IVC1725" s="227"/>
      <c r="IVD1725" s="227"/>
      <c r="IVE1725" s="227"/>
      <c r="IVF1725" s="227"/>
      <c r="IVG1725" s="227"/>
      <c r="IVH1725" s="227"/>
      <c r="IVI1725" s="227"/>
      <c r="IVJ1725" s="227"/>
      <c r="IVK1725" s="227"/>
      <c r="IVL1725" s="227"/>
      <c r="IVM1725" s="227"/>
      <c r="IVN1725" s="227"/>
      <c r="IVO1725" s="227"/>
      <c r="IVP1725" s="227"/>
      <c r="IVQ1725" s="227"/>
      <c r="IVR1725" s="227"/>
      <c r="IVS1725" s="227"/>
      <c r="IVT1725" s="227"/>
      <c r="IVU1725" s="227"/>
      <c r="IVV1725" s="227"/>
      <c r="IVW1725" s="227"/>
      <c r="IVX1725" s="227"/>
      <c r="IVY1725" s="227"/>
      <c r="IVZ1725" s="227"/>
      <c r="IWA1725" s="227"/>
      <c r="IWB1725" s="227"/>
      <c r="IWC1725" s="227"/>
      <c r="IWD1725" s="227"/>
      <c r="IWE1725" s="227"/>
      <c r="IWF1725" s="227"/>
      <c r="IWG1725" s="227"/>
      <c r="IWH1725" s="227"/>
      <c r="IWI1725" s="227"/>
      <c r="IWJ1725" s="227"/>
      <c r="IWK1725" s="227"/>
      <c r="IWL1725" s="227"/>
      <c r="IWM1725" s="227"/>
      <c r="IWN1725" s="227"/>
      <c r="IWO1725" s="227"/>
      <c r="IWP1725" s="227"/>
      <c r="IWQ1725" s="227"/>
      <c r="IWR1725" s="227"/>
      <c r="IWS1725" s="227"/>
      <c r="IWT1725" s="227"/>
      <c r="IWU1725" s="227"/>
      <c r="IWV1725" s="227"/>
      <c r="IWW1725" s="227"/>
      <c r="IWX1725" s="227"/>
      <c r="IWY1725" s="227"/>
      <c r="IWZ1725" s="227"/>
      <c r="IXA1725" s="227"/>
      <c r="IXB1725" s="227"/>
      <c r="IXC1725" s="227"/>
      <c r="IXD1725" s="227"/>
      <c r="IXE1725" s="227"/>
      <c r="IXF1725" s="227"/>
      <c r="IXG1725" s="227"/>
      <c r="IXH1725" s="227"/>
      <c r="IXI1725" s="227"/>
      <c r="IXJ1725" s="227"/>
      <c r="IXK1725" s="227"/>
      <c r="IXL1725" s="227"/>
      <c r="IXM1725" s="227"/>
      <c r="IXN1725" s="227"/>
      <c r="IXO1725" s="227"/>
      <c r="IXP1725" s="227"/>
      <c r="IXQ1725" s="227"/>
      <c r="IXR1725" s="227"/>
      <c r="IXS1725" s="227"/>
      <c r="IXT1725" s="227"/>
      <c r="IXU1725" s="227"/>
      <c r="IXV1725" s="227"/>
      <c r="IXW1725" s="227"/>
      <c r="IXX1725" s="227"/>
      <c r="IXY1725" s="227"/>
      <c r="IXZ1725" s="227"/>
      <c r="IYA1725" s="227"/>
      <c r="IYB1725" s="227"/>
      <c r="IYC1725" s="227"/>
      <c r="IYD1725" s="227"/>
      <c r="IYE1725" s="227"/>
      <c r="IYF1725" s="227"/>
      <c r="IYG1725" s="227"/>
      <c r="IYH1725" s="227"/>
      <c r="IYI1725" s="227"/>
      <c r="IYJ1725" s="227"/>
      <c r="IYK1725" s="227"/>
      <c r="IYL1725" s="227"/>
      <c r="IYM1725" s="227"/>
      <c r="IYN1725" s="227"/>
      <c r="IYO1725" s="227"/>
      <c r="IYP1725" s="227"/>
      <c r="IYQ1725" s="227"/>
      <c r="IYR1725" s="227"/>
      <c r="IYS1725" s="227"/>
      <c r="IYT1725" s="227"/>
      <c r="IYU1725" s="227"/>
      <c r="IYV1725" s="227"/>
      <c r="IYW1725" s="227"/>
      <c r="IYX1725" s="227"/>
      <c r="IYY1725" s="227"/>
      <c r="IYZ1725" s="227"/>
      <c r="IZA1725" s="227"/>
      <c r="IZB1725" s="227"/>
      <c r="IZC1725" s="227"/>
      <c r="IZD1725" s="227"/>
      <c r="IZE1725" s="227"/>
      <c r="IZF1725" s="227"/>
      <c r="IZG1725" s="227"/>
      <c r="IZH1725" s="227"/>
      <c r="IZI1725" s="227"/>
      <c r="IZJ1725" s="227"/>
      <c r="IZK1725" s="227"/>
      <c r="IZL1725" s="227"/>
      <c r="IZM1725" s="227"/>
      <c r="IZN1725" s="227"/>
      <c r="IZO1725" s="227"/>
      <c r="IZP1725" s="227"/>
      <c r="IZQ1725" s="227"/>
      <c r="IZR1725" s="227"/>
      <c r="IZS1725" s="227"/>
      <c r="IZT1725" s="227"/>
      <c r="IZU1725" s="227"/>
      <c r="IZV1725" s="227"/>
      <c r="IZW1725" s="227"/>
      <c r="IZX1725" s="227"/>
      <c r="IZY1725" s="227"/>
      <c r="IZZ1725" s="227"/>
      <c r="JAA1725" s="227"/>
      <c r="JAB1725" s="227"/>
      <c r="JAC1725" s="227"/>
      <c r="JAD1725" s="227"/>
      <c r="JAE1725" s="227"/>
      <c r="JAF1725" s="227"/>
      <c r="JAG1725" s="227"/>
      <c r="JAH1725" s="227"/>
      <c r="JAI1725" s="227"/>
      <c r="JAJ1725" s="227"/>
      <c r="JAK1725" s="227"/>
      <c r="JAL1725" s="227"/>
      <c r="JAM1725" s="227"/>
      <c r="JAN1725" s="227"/>
      <c r="JAO1725" s="227"/>
      <c r="JAP1725" s="227"/>
      <c r="JAQ1725" s="227"/>
      <c r="JAR1725" s="227"/>
      <c r="JAS1725" s="227"/>
      <c r="JAT1725" s="227"/>
      <c r="JAU1725" s="227"/>
      <c r="JAV1725" s="227"/>
      <c r="JAW1725" s="227"/>
      <c r="JAX1725" s="227"/>
      <c r="JAY1725" s="227"/>
      <c r="JAZ1725" s="227"/>
      <c r="JBA1725" s="227"/>
      <c r="JBB1725" s="227"/>
      <c r="JBC1725" s="227"/>
      <c r="JBD1725" s="227"/>
      <c r="JBE1725" s="227"/>
      <c r="JBF1725" s="227"/>
      <c r="JBG1725" s="227"/>
      <c r="JBH1725" s="227"/>
      <c r="JBI1725" s="227"/>
      <c r="JBJ1725" s="227"/>
      <c r="JBK1725" s="227"/>
      <c r="JBL1725" s="227"/>
      <c r="JBM1725" s="227"/>
      <c r="JBN1725" s="227"/>
      <c r="JBO1725" s="227"/>
      <c r="JBP1725" s="227"/>
      <c r="JBQ1725" s="227"/>
      <c r="JBR1725" s="227"/>
      <c r="JBS1725" s="227"/>
      <c r="JBT1725" s="227"/>
      <c r="JBU1725" s="227"/>
      <c r="JBV1725" s="227"/>
      <c r="JBW1725" s="227"/>
      <c r="JBX1725" s="227"/>
      <c r="JBY1725" s="227"/>
      <c r="JBZ1725" s="227"/>
      <c r="JCA1725" s="227"/>
      <c r="JCB1725" s="227"/>
      <c r="JCC1725" s="227"/>
      <c r="JCD1725" s="227"/>
      <c r="JCE1725" s="227"/>
      <c r="JCF1725" s="227"/>
      <c r="JCG1725" s="227"/>
      <c r="JCH1725" s="227"/>
      <c r="JCI1725" s="227"/>
      <c r="JCJ1725" s="227"/>
      <c r="JCK1725" s="227"/>
      <c r="JCL1725" s="227"/>
      <c r="JCM1725" s="227"/>
      <c r="JCN1725" s="227"/>
      <c r="JCO1725" s="227"/>
      <c r="JCP1725" s="227"/>
      <c r="JCQ1725" s="227"/>
      <c r="JCR1725" s="227"/>
      <c r="JCS1725" s="227"/>
      <c r="JCT1725" s="227"/>
      <c r="JCU1725" s="227"/>
      <c r="JCV1725" s="227"/>
      <c r="JCW1725" s="227"/>
      <c r="JCX1725" s="227"/>
      <c r="JCY1725" s="227"/>
      <c r="JCZ1725" s="227"/>
      <c r="JDA1725" s="227"/>
      <c r="JDB1725" s="227"/>
      <c r="JDC1725" s="227"/>
      <c r="JDD1725" s="227"/>
      <c r="JDE1725" s="227"/>
      <c r="JDF1725" s="227"/>
      <c r="JDG1725" s="227"/>
      <c r="JDH1725" s="227"/>
      <c r="JDI1725" s="227"/>
      <c r="JDJ1725" s="227"/>
      <c r="JDK1725" s="227"/>
      <c r="JDL1725" s="227"/>
      <c r="JDM1725" s="227"/>
      <c r="JDN1725" s="227"/>
      <c r="JDO1725" s="227"/>
      <c r="JDP1725" s="227"/>
      <c r="JDQ1725" s="227"/>
      <c r="JDR1725" s="227"/>
      <c r="JDS1725" s="227"/>
      <c r="JDT1725" s="227"/>
      <c r="JDU1725" s="227"/>
      <c r="JDV1725" s="227"/>
      <c r="JDW1725" s="227"/>
      <c r="JDX1725" s="227"/>
      <c r="JDY1725" s="227"/>
      <c r="JDZ1725" s="227"/>
      <c r="JEA1725" s="227"/>
      <c r="JEB1725" s="227"/>
      <c r="JEC1725" s="227"/>
      <c r="JED1725" s="227"/>
      <c r="JEE1725" s="227"/>
      <c r="JEF1725" s="227"/>
      <c r="JEG1725" s="227"/>
      <c r="JEH1725" s="227"/>
      <c r="JEI1725" s="227"/>
      <c r="JEJ1725" s="227"/>
      <c r="JEK1725" s="227"/>
      <c r="JEL1725" s="227"/>
      <c r="JEM1725" s="227"/>
      <c r="JEN1725" s="227"/>
      <c r="JEO1725" s="227"/>
      <c r="JEP1725" s="227"/>
      <c r="JEQ1725" s="227"/>
      <c r="JER1725" s="227"/>
      <c r="JES1725" s="227"/>
      <c r="JET1725" s="227"/>
      <c r="JEU1725" s="227"/>
      <c r="JEV1725" s="227"/>
      <c r="JEW1725" s="227"/>
      <c r="JEX1725" s="227"/>
      <c r="JEY1725" s="227"/>
      <c r="JEZ1725" s="227"/>
      <c r="JFA1725" s="227"/>
      <c r="JFB1725" s="227"/>
      <c r="JFC1725" s="227"/>
      <c r="JFD1725" s="227"/>
      <c r="JFE1725" s="227"/>
      <c r="JFF1725" s="227"/>
      <c r="JFG1725" s="227"/>
      <c r="JFH1725" s="227"/>
      <c r="JFI1725" s="227"/>
      <c r="JFJ1725" s="227"/>
      <c r="JFK1725" s="227"/>
      <c r="JFL1725" s="227"/>
      <c r="JFM1725" s="227"/>
      <c r="JFN1725" s="227"/>
      <c r="JFO1725" s="227"/>
      <c r="JFP1725" s="227"/>
      <c r="JFQ1725" s="227"/>
      <c r="JFR1725" s="227"/>
      <c r="JFS1725" s="227"/>
      <c r="JFT1725" s="227"/>
      <c r="JFU1725" s="227"/>
      <c r="JFV1725" s="227"/>
      <c r="JFW1725" s="227"/>
      <c r="JFX1725" s="227"/>
      <c r="JFY1725" s="227"/>
      <c r="JFZ1725" s="227"/>
      <c r="JGA1725" s="227"/>
      <c r="JGB1725" s="227"/>
      <c r="JGC1725" s="227"/>
      <c r="JGD1725" s="227"/>
      <c r="JGE1725" s="227"/>
      <c r="JGF1725" s="227"/>
      <c r="JGG1725" s="227"/>
      <c r="JGH1725" s="227"/>
      <c r="JGI1725" s="227"/>
      <c r="JGJ1725" s="227"/>
      <c r="JGK1725" s="227"/>
      <c r="JGL1725" s="227"/>
      <c r="JGM1725" s="227"/>
      <c r="JGN1725" s="227"/>
      <c r="JGO1725" s="227"/>
      <c r="JGP1725" s="227"/>
      <c r="JGQ1725" s="227"/>
      <c r="JGR1725" s="227"/>
      <c r="JGS1725" s="227"/>
      <c r="JGT1725" s="227"/>
      <c r="JGU1725" s="227"/>
      <c r="JGV1725" s="227"/>
      <c r="JGW1725" s="227"/>
      <c r="JGX1725" s="227"/>
      <c r="JGY1725" s="227"/>
      <c r="JGZ1725" s="227"/>
      <c r="JHA1725" s="227"/>
      <c r="JHB1725" s="227"/>
      <c r="JHC1725" s="227"/>
      <c r="JHD1725" s="227"/>
      <c r="JHE1725" s="227"/>
      <c r="JHF1725" s="227"/>
      <c r="JHG1725" s="227"/>
      <c r="JHH1725" s="227"/>
      <c r="JHI1725" s="227"/>
      <c r="JHJ1725" s="227"/>
      <c r="JHK1725" s="227"/>
      <c r="JHL1725" s="227"/>
      <c r="JHM1725" s="227"/>
      <c r="JHN1725" s="227"/>
      <c r="JHO1725" s="227"/>
      <c r="JHP1725" s="227"/>
      <c r="JHQ1725" s="227"/>
      <c r="JHR1725" s="227"/>
      <c r="JHS1725" s="227"/>
      <c r="JHT1725" s="227"/>
      <c r="JHU1725" s="227"/>
      <c r="JHV1725" s="227"/>
      <c r="JHW1725" s="227"/>
      <c r="JHX1725" s="227"/>
      <c r="JHY1725" s="227"/>
      <c r="JHZ1725" s="227"/>
      <c r="JIA1725" s="227"/>
      <c r="JIB1725" s="227"/>
      <c r="JIC1725" s="227"/>
      <c r="JID1725" s="227"/>
      <c r="JIE1725" s="227"/>
      <c r="JIF1725" s="227"/>
      <c r="JIG1725" s="227"/>
      <c r="JIH1725" s="227"/>
      <c r="JII1725" s="227"/>
      <c r="JIJ1725" s="227"/>
      <c r="JIK1725" s="227"/>
      <c r="JIL1725" s="227"/>
      <c r="JIM1725" s="227"/>
      <c r="JIN1725" s="227"/>
      <c r="JIO1725" s="227"/>
      <c r="JIP1725" s="227"/>
      <c r="JIQ1725" s="227"/>
      <c r="JIR1725" s="227"/>
      <c r="JIS1725" s="227"/>
      <c r="JIT1725" s="227"/>
      <c r="JIU1725" s="227"/>
      <c r="JIV1725" s="227"/>
      <c r="JIW1725" s="227"/>
      <c r="JIX1725" s="227"/>
      <c r="JIY1725" s="227"/>
      <c r="JIZ1725" s="227"/>
      <c r="JJA1725" s="227"/>
      <c r="JJB1725" s="227"/>
      <c r="JJC1725" s="227"/>
      <c r="JJD1725" s="227"/>
      <c r="JJE1725" s="227"/>
      <c r="JJF1725" s="227"/>
      <c r="JJG1725" s="227"/>
      <c r="JJH1725" s="227"/>
      <c r="JJI1725" s="227"/>
      <c r="JJJ1725" s="227"/>
      <c r="JJK1725" s="227"/>
      <c r="JJL1725" s="227"/>
      <c r="JJM1725" s="227"/>
      <c r="JJN1725" s="227"/>
      <c r="JJO1725" s="227"/>
      <c r="JJP1725" s="227"/>
      <c r="JJQ1725" s="227"/>
      <c r="JJR1725" s="227"/>
      <c r="JJS1725" s="227"/>
      <c r="JJT1725" s="227"/>
      <c r="JJU1725" s="227"/>
      <c r="JJV1725" s="227"/>
      <c r="JJW1725" s="227"/>
      <c r="JJX1725" s="227"/>
      <c r="JJY1725" s="227"/>
      <c r="JJZ1725" s="227"/>
      <c r="JKA1725" s="227"/>
      <c r="JKB1725" s="227"/>
      <c r="JKC1725" s="227"/>
      <c r="JKD1725" s="227"/>
      <c r="JKE1725" s="227"/>
      <c r="JKF1725" s="227"/>
      <c r="JKG1725" s="227"/>
      <c r="JKH1725" s="227"/>
      <c r="JKI1725" s="227"/>
      <c r="JKJ1725" s="227"/>
      <c r="JKK1725" s="227"/>
      <c r="JKL1725" s="227"/>
      <c r="JKM1725" s="227"/>
      <c r="JKN1725" s="227"/>
      <c r="JKO1725" s="227"/>
      <c r="JKP1725" s="227"/>
      <c r="JKQ1725" s="227"/>
      <c r="JKR1725" s="227"/>
      <c r="JKS1725" s="227"/>
      <c r="JKT1725" s="227"/>
      <c r="JKU1725" s="227"/>
      <c r="JKV1725" s="227"/>
      <c r="JKW1725" s="227"/>
      <c r="JKX1725" s="227"/>
      <c r="JKY1725" s="227"/>
      <c r="JKZ1725" s="227"/>
      <c r="JLA1725" s="227"/>
      <c r="JLB1725" s="227"/>
      <c r="JLC1725" s="227"/>
      <c r="JLD1725" s="227"/>
      <c r="JLE1725" s="227"/>
      <c r="JLF1725" s="227"/>
      <c r="JLG1725" s="227"/>
      <c r="JLH1725" s="227"/>
      <c r="JLI1725" s="227"/>
      <c r="JLJ1725" s="227"/>
      <c r="JLK1725" s="227"/>
      <c r="JLL1725" s="227"/>
      <c r="JLM1725" s="227"/>
      <c r="JLN1725" s="227"/>
      <c r="JLO1725" s="227"/>
      <c r="JLP1725" s="227"/>
      <c r="JLQ1725" s="227"/>
      <c r="JLR1725" s="227"/>
      <c r="JLS1725" s="227"/>
      <c r="JLT1725" s="227"/>
      <c r="JLU1725" s="227"/>
      <c r="JLV1725" s="227"/>
      <c r="JLW1725" s="227"/>
      <c r="JLX1725" s="227"/>
      <c r="JLY1725" s="227"/>
      <c r="JLZ1725" s="227"/>
      <c r="JMA1725" s="227"/>
      <c r="JMB1725" s="227"/>
      <c r="JMC1725" s="227"/>
      <c r="JMD1725" s="227"/>
      <c r="JME1725" s="227"/>
      <c r="JMF1725" s="227"/>
      <c r="JMG1725" s="227"/>
      <c r="JMH1725" s="227"/>
      <c r="JMI1725" s="227"/>
      <c r="JMJ1725" s="227"/>
      <c r="JMK1725" s="227"/>
      <c r="JML1725" s="227"/>
      <c r="JMM1725" s="227"/>
      <c r="JMN1725" s="227"/>
      <c r="JMO1725" s="227"/>
      <c r="JMP1725" s="227"/>
      <c r="JMQ1725" s="227"/>
      <c r="JMR1725" s="227"/>
      <c r="JMS1725" s="227"/>
      <c r="JMT1725" s="227"/>
      <c r="JMU1725" s="227"/>
      <c r="JMV1725" s="227"/>
      <c r="JMW1725" s="227"/>
      <c r="JMX1725" s="227"/>
      <c r="JMY1725" s="227"/>
      <c r="JMZ1725" s="227"/>
      <c r="JNA1725" s="227"/>
      <c r="JNB1725" s="227"/>
      <c r="JNC1725" s="227"/>
      <c r="JND1725" s="227"/>
      <c r="JNE1725" s="227"/>
      <c r="JNF1725" s="227"/>
      <c r="JNG1725" s="227"/>
      <c r="JNH1725" s="227"/>
      <c r="JNI1725" s="227"/>
      <c r="JNJ1725" s="227"/>
      <c r="JNK1725" s="227"/>
      <c r="JNL1725" s="227"/>
      <c r="JNM1725" s="227"/>
      <c r="JNN1725" s="227"/>
      <c r="JNO1725" s="227"/>
      <c r="JNP1725" s="227"/>
      <c r="JNQ1725" s="227"/>
      <c r="JNR1725" s="227"/>
      <c r="JNS1725" s="227"/>
      <c r="JNT1725" s="227"/>
      <c r="JNU1725" s="227"/>
      <c r="JNV1725" s="227"/>
      <c r="JNW1725" s="227"/>
      <c r="JNX1725" s="227"/>
      <c r="JNY1725" s="227"/>
      <c r="JNZ1725" s="227"/>
      <c r="JOA1725" s="227"/>
      <c r="JOB1725" s="227"/>
      <c r="JOC1725" s="227"/>
      <c r="JOD1725" s="227"/>
      <c r="JOE1725" s="227"/>
      <c r="JOF1725" s="227"/>
      <c r="JOG1725" s="227"/>
      <c r="JOH1725" s="227"/>
      <c r="JOI1725" s="227"/>
      <c r="JOJ1725" s="227"/>
      <c r="JOK1725" s="227"/>
      <c r="JOL1725" s="227"/>
      <c r="JOM1725" s="227"/>
      <c r="JON1725" s="227"/>
      <c r="JOO1725" s="227"/>
      <c r="JOP1725" s="227"/>
      <c r="JOQ1725" s="227"/>
      <c r="JOR1725" s="227"/>
      <c r="JOS1725" s="227"/>
      <c r="JOT1725" s="227"/>
      <c r="JOU1725" s="227"/>
      <c r="JOV1725" s="227"/>
      <c r="JOW1725" s="227"/>
      <c r="JOX1725" s="227"/>
      <c r="JOY1725" s="227"/>
      <c r="JOZ1725" s="227"/>
      <c r="JPA1725" s="227"/>
      <c r="JPB1725" s="227"/>
      <c r="JPC1725" s="227"/>
      <c r="JPD1725" s="227"/>
      <c r="JPE1725" s="227"/>
      <c r="JPF1725" s="227"/>
      <c r="JPG1725" s="227"/>
      <c r="JPH1725" s="227"/>
      <c r="JPI1725" s="227"/>
      <c r="JPJ1725" s="227"/>
      <c r="JPK1725" s="227"/>
      <c r="JPL1725" s="227"/>
      <c r="JPM1725" s="227"/>
      <c r="JPN1725" s="227"/>
      <c r="JPO1725" s="227"/>
      <c r="JPP1725" s="227"/>
      <c r="JPQ1725" s="227"/>
      <c r="JPR1725" s="227"/>
      <c r="JPS1725" s="227"/>
      <c r="JPT1725" s="227"/>
      <c r="JPU1725" s="227"/>
      <c r="JPV1725" s="227"/>
      <c r="JPW1725" s="227"/>
      <c r="JPX1725" s="227"/>
      <c r="JPY1725" s="227"/>
      <c r="JPZ1725" s="227"/>
      <c r="JQA1725" s="227"/>
      <c r="JQB1725" s="227"/>
      <c r="JQC1725" s="227"/>
      <c r="JQD1725" s="227"/>
      <c r="JQE1725" s="227"/>
      <c r="JQF1725" s="227"/>
      <c r="JQG1725" s="227"/>
      <c r="JQH1725" s="227"/>
      <c r="JQI1725" s="227"/>
      <c r="JQJ1725" s="227"/>
      <c r="JQK1725" s="227"/>
      <c r="JQL1725" s="227"/>
      <c r="JQM1725" s="227"/>
      <c r="JQN1725" s="227"/>
      <c r="JQO1725" s="227"/>
      <c r="JQP1725" s="227"/>
      <c r="JQQ1725" s="227"/>
      <c r="JQR1725" s="227"/>
      <c r="JQS1725" s="227"/>
      <c r="JQT1725" s="227"/>
      <c r="JQU1725" s="227"/>
      <c r="JQV1725" s="227"/>
      <c r="JQW1725" s="227"/>
      <c r="JQX1725" s="227"/>
      <c r="JQY1725" s="227"/>
      <c r="JQZ1725" s="227"/>
      <c r="JRA1725" s="227"/>
      <c r="JRB1725" s="227"/>
      <c r="JRC1725" s="227"/>
      <c r="JRD1725" s="227"/>
      <c r="JRE1725" s="227"/>
      <c r="JRF1725" s="227"/>
      <c r="JRG1725" s="227"/>
      <c r="JRH1725" s="227"/>
      <c r="JRI1725" s="227"/>
      <c r="JRJ1725" s="227"/>
      <c r="JRK1725" s="227"/>
      <c r="JRL1725" s="227"/>
      <c r="JRM1725" s="227"/>
      <c r="JRN1725" s="227"/>
      <c r="JRO1725" s="227"/>
      <c r="JRP1725" s="227"/>
      <c r="JRQ1725" s="227"/>
      <c r="JRR1725" s="227"/>
      <c r="JRS1725" s="227"/>
      <c r="JRT1725" s="227"/>
      <c r="JRU1725" s="227"/>
      <c r="JRV1725" s="227"/>
      <c r="JRW1725" s="227"/>
      <c r="JRX1725" s="227"/>
      <c r="JRY1725" s="227"/>
      <c r="JRZ1725" s="227"/>
      <c r="JSA1725" s="227"/>
      <c r="JSB1725" s="227"/>
      <c r="JSC1725" s="227"/>
      <c r="JSD1725" s="227"/>
      <c r="JSE1725" s="227"/>
      <c r="JSF1725" s="227"/>
      <c r="JSG1725" s="227"/>
      <c r="JSH1725" s="227"/>
      <c r="JSI1725" s="227"/>
      <c r="JSJ1725" s="227"/>
      <c r="JSK1725" s="227"/>
      <c r="JSL1725" s="227"/>
      <c r="JSM1725" s="227"/>
      <c r="JSN1725" s="227"/>
      <c r="JSO1725" s="227"/>
      <c r="JSP1725" s="227"/>
      <c r="JSQ1725" s="227"/>
      <c r="JSR1725" s="227"/>
      <c r="JSS1725" s="227"/>
      <c r="JST1725" s="227"/>
      <c r="JSU1725" s="227"/>
      <c r="JSV1725" s="227"/>
      <c r="JSW1725" s="227"/>
      <c r="JSX1725" s="227"/>
      <c r="JSY1725" s="227"/>
      <c r="JSZ1725" s="227"/>
      <c r="JTA1725" s="227"/>
      <c r="JTB1725" s="227"/>
      <c r="JTC1725" s="227"/>
      <c r="JTD1725" s="227"/>
      <c r="JTE1725" s="227"/>
      <c r="JTF1725" s="227"/>
      <c r="JTG1725" s="227"/>
      <c r="JTH1725" s="227"/>
      <c r="JTI1725" s="227"/>
      <c r="JTJ1725" s="227"/>
      <c r="JTK1725" s="227"/>
      <c r="JTL1725" s="227"/>
      <c r="JTM1725" s="227"/>
      <c r="JTN1725" s="227"/>
      <c r="JTO1725" s="227"/>
      <c r="JTP1725" s="227"/>
      <c r="JTQ1725" s="227"/>
      <c r="JTR1725" s="227"/>
      <c r="JTS1725" s="227"/>
      <c r="JTT1725" s="227"/>
      <c r="JTU1725" s="227"/>
      <c r="JTV1725" s="227"/>
      <c r="JTW1725" s="227"/>
      <c r="JTX1725" s="227"/>
      <c r="JTY1725" s="227"/>
      <c r="JTZ1725" s="227"/>
      <c r="JUA1725" s="227"/>
      <c r="JUB1725" s="227"/>
      <c r="JUC1725" s="227"/>
      <c r="JUD1725" s="227"/>
      <c r="JUE1725" s="227"/>
      <c r="JUF1725" s="227"/>
      <c r="JUG1725" s="227"/>
      <c r="JUH1725" s="227"/>
      <c r="JUI1725" s="227"/>
      <c r="JUJ1725" s="227"/>
      <c r="JUK1725" s="227"/>
      <c r="JUL1725" s="227"/>
      <c r="JUM1725" s="227"/>
      <c r="JUN1725" s="227"/>
      <c r="JUO1725" s="227"/>
      <c r="JUP1725" s="227"/>
      <c r="JUQ1725" s="227"/>
      <c r="JUR1725" s="227"/>
      <c r="JUS1725" s="227"/>
      <c r="JUT1725" s="227"/>
      <c r="JUU1725" s="227"/>
      <c r="JUV1725" s="227"/>
      <c r="JUW1725" s="227"/>
      <c r="JUX1725" s="227"/>
      <c r="JUY1725" s="227"/>
      <c r="JUZ1725" s="227"/>
      <c r="JVA1725" s="227"/>
      <c r="JVB1725" s="227"/>
      <c r="JVC1725" s="227"/>
      <c r="JVD1725" s="227"/>
      <c r="JVE1725" s="227"/>
      <c r="JVF1725" s="227"/>
      <c r="JVG1725" s="227"/>
      <c r="JVH1725" s="227"/>
      <c r="JVI1725" s="227"/>
      <c r="JVJ1725" s="227"/>
      <c r="JVK1725" s="227"/>
      <c r="JVL1725" s="227"/>
      <c r="JVM1725" s="227"/>
      <c r="JVN1725" s="227"/>
      <c r="JVO1725" s="227"/>
      <c r="JVP1725" s="227"/>
      <c r="JVQ1725" s="227"/>
      <c r="JVR1725" s="227"/>
      <c r="JVS1725" s="227"/>
      <c r="JVT1725" s="227"/>
      <c r="JVU1725" s="227"/>
      <c r="JVV1725" s="227"/>
      <c r="JVW1725" s="227"/>
      <c r="JVX1725" s="227"/>
      <c r="JVY1725" s="227"/>
      <c r="JVZ1725" s="227"/>
      <c r="JWA1725" s="227"/>
      <c r="JWB1725" s="227"/>
      <c r="JWC1725" s="227"/>
      <c r="JWD1725" s="227"/>
      <c r="JWE1725" s="227"/>
      <c r="JWF1725" s="227"/>
      <c r="JWG1725" s="227"/>
      <c r="JWH1725" s="227"/>
      <c r="JWI1725" s="227"/>
      <c r="JWJ1725" s="227"/>
      <c r="JWK1725" s="227"/>
      <c r="JWL1725" s="227"/>
      <c r="JWM1725" s="227"/>
      <c r="JWN1725" s="227"/>
      <c r="JWO1725" s="227"/>
      <c r="JWP1725" s="227"/>
      <c r="JWQ1725" s="227"/>
      <c r="JWR1725" s="227"/>
      <c r="JWS1725" s="227"/>
      <c r="JWT1725" s="227"/>
      <c r="JWU1725" s="227"/>
      <c r="JWV1725" s="227"/>
      <c r="JWW1725" s="227"/>
      <c r="JWX1725" s="227"/>
      <c r="JWY1725" s="227"/>
      <c r="JWZ1725" s="227"/>
      <c r="JXA1725" s="227"/>
      <c r="JXB1725" s="227"/>
      <c r="JXC1725" s="227"/>
      <c r="JXD1725" s="227"/>
      <c r="JXE1725" s="227"/>
      <c r="JXF1725" s="227"/>
      <c r="JXG1725" s="227"/>
      <c r="JXH1725" s="227"/>
      <c r="JXI1725" s="227"/>
      <c r="JXJ1725" s="227"/>
      <c r="JXK1725" s="227"/>
      <c r="JXL1725" s="227"/>
      <c r="JXM1725" s="227"/>
      <c r="JXN1725" s="227"/>
      <c r="JXO1725" s="227"/>
      <c r="JXP1725" s="227"/>
      <c r="JXQ1725" s="227"/>
      <c r="JXR1725" s="227"/>
      <c r="JXS1725" s="227"/>
      <c r="JXT1725" s="227"/>
      <c r="JXU1725" s="227"/>
      <c r="JXV1725" s="227"/>
      <c r="JXW1725" s="227"/>
      <c r="JXX1725" s="227"/>
      <c r="JXY1725" s="227"/>
      <c r="JXZ1725" s="227"/>
      <c r="JYA1725" s="227"/>
      <c r="JYB1725" s="227"/>
      <c r="JYC1725" s="227"/>
      <c r="JYD1725" s="227"/>
      <c r="JYE1725" s="227"/>
      <c r="JYF1725" s="227"/>
      <c r="JYG1725" s="227"/>
      <c r="JYH1725" s="227"/>
      <c r="JYI1725" s="227"/>
      <c r="JYJ1725" s="227"/>
      <c r="JYK1725" s="227"/>
      <c r="JYL1725" s="227"/>
      <c r="JYM1725" s="227"/>
      <c r="JYN1725" s="227"/>
      <c r="JYO1725" s="227"/>
      <c r="JYP1725" s="227"/>
      <c r="JYQ1725" s="227"/>
      <c r="JYR1725" s="227"/>
      <c r="JYS1725" s="227"/>
      <c r="JYT1725" s="227"/>
      <c r="JYU1725" s="227"/>
      <c r="JYV1725" s="227"/>
      <c r="JYW1725" s="227"/>
      <c r="JYX1725" s="227"/>
      <c r="JYY1725" s="227"/>
      <c r="JYZ1725" s="227"/>
      <c r="JZA1725" s="227"/>
      <c r="JZB1725" s="227"/>
      <c r="JZC1725" s="227"/>
      <c r="JZD1725" s="227"/>
      <c r="JZE1725" s="227"/>
      <c r="JZF1725" s="227"/>
      <c r="JZG1725" s="227"/>
      <c r="JZH1725" s="227"/>
      <c r="JZI1725" s="227"/>
      <c r="JZJ1725" s="227"/>
      <c r="JZK1725" s="227"/>
      <c r="JZL1725" s="227"/>
      <c r="JZM1725" s="227"/>
      <c r="JZN1725" s="227"/>
      <c r="JZO1725" s="227"/>
      <c r="JZP1725" s="227"/>
      <c r="JZQ1725" s="227"/>
      <c r="JZR1725" s="227"/>
      <c r="JZS1725" s="227"/>
      <c r="JZT1725" s="227"/>
      <c r="JZU1725" s="227"/>
      <c r="JZV1725" s="227"/>
      <c r="JZW1725" s="227"/>
      <c r="JZX1725" s="227"/>
      <c r="JZY1725" s="227"/>
      <c r="JZZ1725" s="227"/>
      <c r="KAA1725" s="227"/>
      <c r="KAB1725" s="227"/>
      <c r="KAC1725" s="227"/>
      <c r="KAD1725" s="227"/>
      <c r="KAE1725" s="227"/>
      <c r="KAF1725" s="227"/>
      <c r="KAG1725" s="227"/>
      <c r="KAH1725" s="227"/>
      <c r="KAI1725" s="227"/>
      <c r="KAJ1725" s="227"/>
      <c r="KAK1725" s="227"/>
      <c r="KAL1725" s="227"/>
      <c r="KAM1725" s="227"/>
      <c r="KAN1725" s="227"/>
      <c r="KAO1725" s="227"/>
      <c r="KAP1725" s="227"/>
      <c r="KAQ1725" s="227"/>
      <c r="KAR1725" s="227"/>
      <c r="KAS1725" s="227"/>
      <c r="KAT1725" s="227"/>
      <c r="KAU1725" s="227"/>
      <c r="KAV1725" s="227"/>
      <c r="KAW1725" s="227"/>
      <c r="KAX1725" s="227"/>
      <c r="KAY1725" s="227"/>
      <c r="KAZ1725" s="227"/>
      <c r="KBA1725" s="227"/>
      <c r="KBB1725" s="227"/>
      <c r="KBC1725" s="227"/>
      <c r="KBD1725" s="227"/>
      <c r="KBE1725" s="227"/>
      <c r="KBF1725" s="227"/>
      <c r="KBG1725" s="227"/>
      <c r="KBH1725" s="227"/>
      <c r="KBI1725" s="227"/>
      <c r="KBJ1725" s="227"/>
      <c r="KBK1725" s="227"/>
      <c r="KBL1725" s="227"/>
      <c r="KBM1725" s="227"/>
      <c r="KBN1725" s="227"/>
      <c r="KBO1725" s="227"/>
      <c r="KBP1725" s="227"/>
      <c r="KBQ1725" s="227"/>
      <c r="KBR1725" s="227"/>
      <c r="KBS1725" s="227"/>
      <c r="KBT1725" s="227"/>
      <c r="KBU1725" s="227"/>
      <c r="KBV1725" s="227"/>
      <c r="KBW1725" s="227"/>
      <c r="KBX1725" s="227"/>
      <c r="KBY1725" s="227"/>
      <c r="KBZ1725" s="227"/>
      <c r="KCA1725" s="227"/>
      <c r="KCB1725" s="227"/>
      <c r="KCC1725" s="227"/>
      <c r="KCD1725" s="227"/>
      <c r="KCE1725" s="227"/>
      <c r="KCF1725" s="227"/>
      <c r="KCG1725" s="227"/>
      <c r="KCH1725" s="227"/>
      <c r="KCI1725" s="227"/>
      <c r="KCJ1725" s="227"/>
      <c r="KCK1725" s="227"/>
      <c r="KCL1725" s="227"/>
      <c r="KCM1725" s="227"/>
      <c r="KCN1725" s="227"/>
      <c r="KCO1725" s="227"/>
      <c r="KCP1725" s="227"/>
      <c r="KCQ1725" s="227"/>
      <c r="KCR1725" s="227"/>
      <c r="KCS1725" s="227"/>
      <c r="KCT1725" s="227"/>
      <c r="KCU1725" s="227"/>
      <c r="KCV1725" s="227"/>
      <c r="KCW1725" s="227"/>
      <c r="KCX1725" s="227"/>
      <c r="KCY1725" s="227"/>
      <c r="KCZ1725" s="227"/>
      <c r="KDA1725" s="227"/>
      <c r="KDB1725" s="227"/>
      <c r="KDC1725" s="227"/>
      <c r="KDD1725" s="227"/>
      <c r="KDE1725" s="227"/>
      <c r="KDF1725" s="227"/>
      <c r="KDG1725" s="227"/>
      <c r="KDH1725" s="227"/>
      <c r="KDI1725" s="227"/>
      <c r="KDJ1725" s="227"/>
      <c r="KDK1725" s="227"/>
      <c r="KDL1725" s="227"/>
      <c r="KDM1725" s="227"/>
      <c r="KDN1725" s="227"/>
      <c r="KDO1725" s="227"/>
      <c r="KDP1725" s="227"/>
      <c r="KDQ1725" s="227"/>
      <c r="KDR1725" s="227"/>
      <c r="KDS1725" s="227"/>
      <c r="KDT1725" s="227"/>
      <c r="KDU1725" s="227"/>
      <c r="KDV1725" s="227"/>
      <c r="KDW1725" s="227"/>
      <c r="KDX1725" s="227"/>
      <c r="KDY1725" s="227"/>
      <c r="KDZ1725" s="227"/>
      <c r="KEA1725" s="227"/>
      <c r="KEB1725" s="227"/>
      <c r="KEC1725" s="227"/>
      <c r="KED1725" s="227"/>
      <c r="KEE1725" s="227"/>
      <c r="KEF1725" s="227"/>
      <c r="KEG1725" s="227"/>
      <c r="KEH1725" s="227"/>
      <c r="KEI1725" s="227"/>
      <c r="KEJ1725" s="227"/>
      <c r="KEK1725" s="227"/>
      <c r="KEL1725" s="227"/>
      <c r="KEM1725" s="227"/>
      <c r="KEN1725" s="227"/>
      <c r="KEO1725" s="227"/>
      <c r="KEP1725" s="227"/>
      <c r="KEQ1725" s="227"/>
      <c r="KER1725" s="227"/>
      <c r="KES1725" s="227"/>
      <c r="KET1725" s="227"/>
      <c r="KEU1725" s="227"/>
      <c r="KEV1725" s="227"/>
      <c r="KEW1725" s="227"/>
      <c r="KEX1725" s="227"/>
      <c r="KEY1725" s="227"/>
      <c r="KEZ1725" s="227"/>
      <c r="KFA1725" s="227"/>
      <c r="KFB1725" s="227"/>
      <c r="KFC1725" s="227"/>
      <c r="KFD1725" s="227"/>
      <c r="KFE1725" s="227"/>
      <c r="KFF1725" s="227"/>
      <c r="KFG1725" s="227"/>
      <c r="KFH1725" s="227"/>
      <c r="KFI1725" s="227"/>
      <c r="KFJ1725" s="227"/>
      <c r="KFK1725" s="227"/>
      <c r="KFL1725" s="227"/>
      <c r="KFM1725" s="227"/>
      <c r="KFN1725" s="227"/>
      <c r="KFO1725" s="227"/>
      <c r="KFP1725" s="227"/>
      <c r="KFQ1725" s="227"/>
      <c r="KFR1725" s="227"/>
      <c r="KFS1725" s="227"/>
      <c r="KFT1725" s="227"/>
      <c r="KFU1725" s="227"/>
      <c r="KFV1725" s="227"/>
      <c r="KFW1725" s="227"/>
      <c r="KFX1725" s="227"/>
      <c r="KFY1725" s="227"/>
      <c r="KFZ1725" s="227"/>
      <c r="KGA1725" s="227"/>
      <c r="KGB1725" s="227"/>
      <c r="KGC1725" s="227"/>
      <c r="KGD1725" s="227"/>
      <c r="KGE1725" s="227"/>
      <c r="KGF1725" s="227"/>
      <c r="KGG1725" s="227"/>
      <c r="KGH1725" s="227"/>
      <c r="KGI1725" s="227"/>
      <c r="KGJ1725" s="227"/>
      <c r="KGK1725" s="227"/>
      <c r="KGL1725" s="227"/>
      <c r="KGM1725" s="227"/>
      <c r="KGN1725" s="227"/>
      <c r="KGO1725" s="227"/>
      <c r="KGP1725" s="227"/>
      <c r="KGQ1725" s="227"/>
      <c r="KGR1725" s="227"/>
      <c r="KGS1725" s="227"/>
      <c r="KGT1725" s="227"/>
      <c r="KGU1725" s="227"/>
      <c r="KGV1725" s="227"/>
      <c r="KGW1725" s="227"/>
      <c r="KGX1725" s="227"/>
      <c r="KGY1725" s="227"/>
      <c r="KGZ1725" s="227"/>
      <c r="KHA1725" s="227"/>
      <c r="KHB1725" s="227"/>
      <c r="KHC1725" s="227"/>
      <c r="KHD1725" s="227"/>
      <c r="KHE1725" s="227"/>
      <c r="KHF1725" s="227"/>
      <c r="KHG1725" s="227"/>
      <c r="KHH1725" s="227"/>
      <c r="KHI1725" s="227"/>
      <c r="KHJ1725" s="227"/>
      <c r="KHK1725" s="227"/>
      <c r="KHL1725" s="227"/>
      <c r="KHM1725" s="227"/>
      <c r="KHN1725" s="227"/>
      <c r="KHO1725" s="227"/>
      <c r="KHP1725" s="227"/>
      <c r="KHQ1725" s="227"/>
      <c r="KHR1725" s="227"/>
      <c r="KHS1725" s="227"/>
      <c r="KHT1725" s="227"/>
      <c r="KHU1725" s="227"/>
      <c r="KHV1725" s="227"/>
      <c r="KHW1725" s="227"/>
      <c r="KHX1725" s="227"/>
      <c r="KHY1725" s="227"/>
      <c r="KHZ1725" s="227"/>
      <c r="KIA1725" s="227"/>
      <c r="KIB1725" s="227"/>
      <c r="KIC1725" s="227"/>
      <c r="KID1725" s="227"/>
      <c r="KIE1725" s="227"/>
      <c r="KIF1725" s="227"/>
      <c r="KIG1725" s="227"/>
      <c r="KIH1725" s="227"/>
      <c r="KII1725" s="227"/>
      <c r="KIJ1725" s="227"/>
      <c r="KIK1725" s="227"/>
      <c r="KIL1725" s="227"/>
      <c r="KIM1725" s="227"/>
      <c r="KIN1725" s="227"/>
      <c r="KIO1725" s="227"/>
      <c r="KIP1725" s="227"/>
      <c r="KIQ1725" s="227"/>
      <c r="KIR1725" s="227"/>
      <c r="KIS1725" s="227"/>
      <c r="KIT1725" s="227"/>
      <c r="KIU1725" s="227"/>
      <c r="KIV1725" s="227"/>
      <c r="KIW1725" s="227"/>
      <c r="KIX1725" s="227"/>
      <c r="KIY1725" s="227"/>
      <c r="KIZ1725" s="227"/>
      <c r="KJA1725" s="227"/>
      <c r="KJB1725" s="227"/>
      <c r="KJC1725" s="227"/>
      <c r="KJD1725" s="227"/>
      <c r="KJE1725" s="227"/>
      <c r="KJF1725" s="227"/>
      <c r="KJG1725" s="227"/>
      <c r="KJH1725" s="227"/>
      <c r="KJI1725" s="227"/>
      <c r="KJJ1725" s="227"/>
      <c r="KJK1725" s="227"/>
      <c r="KJL1725" s="227"/>
      <c r="KJM1725" s="227"/>
      <c r="KJN1725" s="227"/>
      <c r="KJO1725" s="227"/>
      <c r="KJP1725" s="227"/>
      <c r="KJQ1725" s="227"/>
      <c r="KJR1725" s="227"/>
      <c r="KJS1725" s="227"/>
      <c r="KJT1725" s="227"/>
      <c r="KJU1725" s="227"/>
      <c r="KJV1725" s="227"/>
      <c r="KJW1725" s="227"/>
      <c r="KJX1725" s="227"/>
      <c r="KJY1725" s="227"/>
      <c r="KJZ1725" s="227"/>
      <c r="KKA1725" s="227"/>
      <c r="KKB1725" s="227"/>
      <c r="KKC1725" s="227"/>
      <c r="KKD1725" s="227"/>
      <c r="KKE1725" s="227"/>
      <c r="KKF1725" s="227"/>
      <c r="KKG1725" s="227"/>
      <c r="KKH1725" s="227"/>
      <c r="KKI1725" s="227"/>
      <c r="KKJ1725" s="227"/>
      <c r="KKK1725" s="227"/>
      <c r="KKL1725" s="227"/>
      <c r="KKM1725" s="227"/>
      <c r="KKN1725" s="227"/>
      <c r="KKO1725" s="227"/>
      <c r="KKP1725" s="227"/>
      <c r="KKQ1725" s="227"/>
      <c r="KKR1725" s="227"/>
      <c r="KKS1725" s="227"/>
      <c r="KKT1725" s="227"/>
      <c r="KKU1725" s="227"/>
      <c r="KKV1725" s="227"/>
      <c r="KKW1725" s="227"/>
      <c r="KKX1725" s="227"/>
      <c r="KKY1725" s="227"/>
      <c r="KKZ1725" s="227"/>
      <c r="KLA1725" s="227"/>
      <c r="KLB1725" s="227"/>
      <c r="KLC1725" s="227"/>
      <c r="KLD1725" s="227"/>
      <c r="KLE1725" s="227"/>
      <c r="KLF1725" s="227"/>
      <c r="KLG1725" s="227"/>
      <c r="KLH1725" s="227"/>
      <c r="KLI1725" s="227"/>
      <c r="KLJ1725" s="227"/>
      <c r="KLK1725" s="227"/>
      <c r="KLL1725" s="227"/>
      <c r="KLM1725" s="227"/>
      <c r="KLN1725" s="227"/>
      <c r="KLO1725" s="227"/>
      <c r="KLP1725" s="227"/>
      <c r="KLQ1725" s="227"/>
      <c r="KLR1725" s="227"/>
      <c r="KLS1725" s="227"/>
      <c r="KLT1725" s="227"/>
      <c r="KLU1725" s="227"/>
      <c r="KLV1725" s="227"/>
      <c r="KLW1725" s="227"/>
      <c r="KLX1725" s="227"/>
      <c r="KLY1725" s="227"/>
      <c r="KLZ1725" s="227"/>
      <c r="KMA1725" s="227"/>
      <c r="KMB1725" s="227"/>
      <c r="KMC1725" s="227"/>
      <c r="KMD1725" s="227"/>
      <c r="KME1725" s="227"/>
      <c r="KMF1725" s="227"/>
      <c r="KMG1725" s="227"/>
      <c r="KMH1725" s="227"/>
      <c r="KMI1725" s="227"/>
      <c r="KMJ1725" s="227"/>
      <c r="KMK1725" s="227"/>
      <c r="KML1725" s="227"/>
      <c r="KMM1725" s="227"/>
      <c r="KMN1725" s="227"/>
      <c r="KMO1725" s="227"/>
      <c r="KMP1725" s="227"/>
      <c r="KMQ1725" s="227"/>
      <c r="KMR1725" s="227"/>
      <c r="KMS1725" s="227"/>
      <c r="KMT1725" s="227"/>
      <c r="KMU1725" s="227"/>
      <c r="KMV1725" s="227"/>
      <c r="KMW1725" s="227"/>
      <c r="KMX1725" s="227"/>
      <c r="KMY1725" s="227"/>
      <c r="KMZ1725" s="227"/>
      <c r="KNA1725" s="227"/>
      <c r="KNB1725" s="227"/>
      <c r="KNC1725" s="227"/>
      <c r="KND1725" s="227"/>
      <c r="KNE1725" s="227"/>
      <c r="KNF1725" s="227"/>
      <c r="KNG1725" s="227"/>
      <c r="KNH1725" s="227"/>
      <c r="KNI1725" s="227"/>
      <c r="KNJ1725" s="227"/>
      <c r="KNK1725" s="227"/>
      <c r="KNL1725" s="227"/>
      <c r="KNM1725" s="227"/>
      <c r="KNN1725" s="227"/>
      <c r="KNO1725" s="227"/>
      <c r="KNP1725" s="227"/>
      <c r="KNQ1725" s="227"/>
      <c r="KNR1725" s="227"/>
      <c r="KNS1725" s="227"/>
      <c r="KNT1725" s="227"/>
      <c r="KNU1725" s="227"/>
      <c r="KNV1725" s="227"/>
      <c r="KNW1725" s="227"/>
      <c r="KNX1725" s="227"/>
      <c r="KNY1725" s="227"/>
      <c r="KNZ1725" s="227"/>
      <c r="KOA1725" s="227"/>
      <c r="KOB1725" s="227"/>
      <c r="KOC1725" s="227"/>
      <c r="KOD1725" s="227"/>
      <c r="KOE1725" s="227"/>
      <c r="KOF1725" s="227"/>
      <c r="KOG1725" s="227"/>
      <c r="KOH1725" s="227"/>
      <c r="KOI1725" s="227"/>
      <c r="KOJ1725" s="227"/>
      <c r="KOK1725" s="227"/>
      <c r="KOL1725" s="227"/>
      <c r="KOM1725" s="227"/>
      <c r="KON1725" s="227"/>
      <c r="KOO1725" s="227"/>
      <c r="KOP1725" s="227"/>
      <c r="KOQ1725" s="227"/>
      <c r="KOR1725" s="227"/>
      <c r="KOS1725" s="227"/>
      <c r="KOT1725" s="227"/>
      <c r="KOU1725" s="227"/>
      <c r="KOV1725" s="227"/>
      <c r="KOW1725" s="227"/>
      <c r="KOX1725" s="227"/>
      <c r="KOY1725" s="227"/>
      <c r="KOZ1725" s="227"/>
      <c r="KPA1725" s="227"/>
      <c r="KPB1725" s="227"/>
      <c r="KPC1725" s="227"/>
      <c r="KPD1725" s="227"/>
      <c r="KPE1725" s="227"/>
      <c r="KPF1725" s="227"/>
      <c r="KPG1725" s="227"/>
      <c r="KPH1725" s="227"/>
      <c r="KPI1725" s="227"/>
      <c r="KPJ1725" s="227"/>
      <c r="KPK1725" s="227"/>
      <c r="KPL1725" s="227"/>
      <c r="KPM1725" s="227"/>
      <c r="KPN1725" s="227"/>
      <c r="KPO1725" s="227"/>
      <c r="KPP1725" s="227"/>
      <c r="KPQ1725" s="227"/>
      <c r="KPR1725" s="227"/>
      <c r="KPS1725" s="227"/>
      <c r="KPT1725" s="227"/>
      <c r="KPU1725" s="227"/>
      <c r="KPV1725" s="227"/>
      <c r="KPW1725" s="227"/>
      <c r="KPX1725" s="227"/>
      <c r="KPY1725" s="227"/>
      <c r="KPZ1725" s="227"/>
      <c r="KQA1725" s="227"/>
      <c r="KQB1725" s="227"/>
      <c r="KQC1725" s="227"/>
      <c r="KQD1725" s="227"/>
      <c r="KQE1725" s="227"/>
      <c r="KQF1725" s="227"/>
      <c r="KQG1725" s="227"/>
      <c r="KQH1725" s="227"/>
      <c r="KQI1725" s="227"/>
      <c r="KQJ1725" s="227"/>
      <c r="KQK1725" s="227"/>
      <c r="KQL1725" s="227"/>
      <c r="KQM1725" s="227"/>
      <c r="KQN1725" s="227"/>
      <c r="KQO1725" s="227"/>
      <c r="KQP1725" s="227"/>
      <c r="KQQ1725" s="227"/>
      <c r="KQR1725" s="227"/>
      <c r="KQS1725" s="227"/>
      <c r="KQT1725" s="227"/>
      <c r="KQU1725" s="227"/>
      <c r="KQV1725" s="227"/>
      <c r="KQW1725" s="227"/>
      <c r="KQX1725" s="227"/>
      <c r="KQY1725" s="227"/>
      <c r="KQZ1725" s="227"/>
      <c r="KRA1725" s="227"/>
      <c r="KRB1725" s="227"/>
      <c r="KRC1725" s="227"/>
      <c r="KRD1725" s="227"/>
      <c r="KRE1725" s="227"/>
      <c r="KRF1725" s="227"/>
      <c r="KRG1725" s="227"/>
      <c r="KRH1725" s="227"/>
      <c r="KRI1725" s="227"/>
      <c r="KRJ1725" s="227"/>
      <c r="KRK1725" s="227"/>
      <c r="KRL1725" s="227"/>
      <c r="KRM1725" s="227"/>
      <c r="KRN1725" s="227"/>
      <c r="KRO1725" s="227"/>
      <c r="KRP1725" s="227"/>
      <c r="KRQ1725" s="227"/>
      <c r="KRR1725" s="227"/>
      <c r="KRS1725" s="227"/>
      <c r="KRT1725" s="227"/>
      <c r="KRU1725" s="227"/>
      <c r="KRV1725" s="227"/>
      <c r="KRW1725" s="227"/>
      <c r="KRX1725" s="227"/>
      <c r="KRY1725" s="227"/>
      <c r="KRZ1725" s="227"/>
      <c r="KSA1725" s="227"/>
      <c r="KSB1725" s="227"/>
      <c r="KSC1725" s="227"/>
      <c r="KSD1725" s="227"/>
      <c r="KSE1725" s="227"/>
      <c r="KSF1725" s="227"/>
      <c r="KSG1725" s="227"/>
      <c r="KSH1725" s="227"/>
      <c r="KSI1725" s="227"/>
      <c r="KSJ1725" s="227"/>
      <c r="KSK1725" s="227"/>
      <c r="KSL1725" s="227"/>
      <c r="KSM1725" s="227"/>
      <c r="KSN1725" s="227"/>
      <c r="KSO1725" s="227"/>
      <c r="KSP1725" s="227"/>
      <c r="KSQ1725" s="227"/>
      <c r="KSR1725" s="227"/>
      <c r="KSS1725" s="227"/>
      <c r="KST1725" s="227"/>
      <c r="KSU1725" s="227"/>
      <c r="KSV1725" s="227"/>
      <c r="KSW1725" s="227"/>
      <c r="KSX1725" s="227"/>
      <c r="KSY1725" s="227"/>
      <c r="KSZ1725" s="227"/>
      <c r="KTA1725" s="227"/>
      <c r="KTB1725" s="227"/>
      <c r="KTC1725" s="227"/>
      <c r="KTD1725" s="227"/>
      <c r="KTE1725" s="227"/>
      <c r="KTF1725" s="227"/>
      <c r="KTG1725" s="227"/>
      <c r="KTH1725" s="227"/>
      <c r="KTI1725" s="227"/>
      <c r="KTJ1725" s="227"/>
      <c r="KTK1725" s="227"/>
      <c r="KTL1725" s="227"/>
      <c r="KTM1725" s="227"/>
      <c r="KTN1725" s="227"/>
      <c r="KTO1725" s="227"/>
      <c r="KTP1725" s="227"/>
      <c r="KTQ1725" s="227"/>
      <c r="KTR1725" s="227"/>
      <c r="KTS1725" s="227"/>
      <c r="KTT1725" s="227"/>
      <c r="KTU1725" s="227"/>
      <c r="KTV1725" s="227"/>
      <c r="KTW1725" s="227"/>
      <c r="KTX1725" s="227"/>
      <c r="KTY1725" s="227"/>
      <c r="KTZ1725" s="227"/>
      <c r="KUA1725" s="227"/>
      <c r="KUB1725" s="227"/>
      <c r="KUC1725" s="227"/>
      <c r="KUD1725" s="227"/>
      <c r="KUE1725" s="227"/>
      <c r="KUF1725" s="227"/>
      <c r="KUG1725" s="227"/>
      <c r="KUH1725" s="227"/>
      <c r="KUI1725" s="227"/>
      <c r="KUJ1725" s="227"/>
      <c r="KUK1725" s="227"/>
      <c r="KUL1725" s="227"/>
      <c r="KUM1725" s="227"/>
      <c r="KUN1725" s="227"/>
      <c r="KUO1725" s="227"/>
      <c r="KUP1725" s="227"/>
      <c r="KUQ1725" s="227"/>
      <c r="KUR1725" s="227"/>
      <c r="KUS1725" s="227"/>
      <c r="KUT1725" s="227"/>
      <c r="KUU1725" s="227"/>
      <c r="KUV1725" s="227"/>
      <c r="KUW1725" s="227"/>
      <c r="KUX1725" s="227"/>
      <c r="KUY1725" s="227"/>
      <c r="KUZ1725" s="227"/>
      <c r="KVA1725" s="227"/>
      <c r="KVB1725" s="227"/>
      <c r="KVC1725" s="227"/>
      <c r="KVD1725" s="227"/>
      <c r="KVE1725" s="227"/>
      <c r="KVF1725" s="227"/>
      <c r="KVG1725" s="227"/>
      <c r="KVH1725" s="227"/>
      <c r="KVI1725" s="227"/>
      <c r="KVJ1725" s="227"/>
      <c r="KVK1725" s="227"/>
      <c r="KVL1725" s="227"/>
      <c r="KVM1725" s="227"/>
      <c r="KVN1725" s="227"/>
      <c r="KVO1725" s="227"/>
      <c r="KVP1725" s="227"/>
      <c r="KVQ1725" s="227"/>
      <c r="KVR1725" s="227"/>
      <c r="KVS1725" s="227"/>
      <c r="KVT1725" s="227"/>
      <c r="KVU1725" s="227"/>
      <c r="KVV1725" s="227"/>
      <c r="KVW1725" s="227"/>
      <c r="KVX1725" s="227"/>
      <c r="KVY1725" s="227"/>
      <c r="KVZ1725" s="227"/>
      <c r="KWA1725" s="227"/>
      <c r="KWB1725" s="227"/>
      <c r="KWC1725" s="227"/>
      <c r="KWD1725" s="227"/>
      <c r="KWE1725" s="227"/>
      <c r="KWF1725" s="227"/>
      <c r="KWG1725" s="227"/>
      <c r="KWH1725" s="227"/>
      <c r="KWI1725" s="227"/>
      <c r="KWJ1725" s="227"/>
      <c r="KWK1725" s="227"/>
      <c r="KWL1725" s="227"/>
      <c r="KWM1725" s="227"/>
      <c r="KWN1725" s="227"/>
      <c r="KWO1725" s="227"/>
      <c r="KWP1725" s="227"/>
      <c r="KWQ1725" s="227"/>
      <c r="KWR1725" s="227"/>
      <c r="KWS1725" s="227"/>
      <c r="KWT1725" s="227"/>
      <c r="KWU1725" s="227"/>
      <c r="KWV1725" s="227"/>
      <c r="KWW1725" s="227"/>
      <c r="KWX1725" s="227"/>
      <c r="KWY1725" s="227"/>
      <c r="KWZ1725" s="227"/>
      <c r="KXA1725" s="227"/>
      <c r="KXB1725" s="227"/>
      <c r="KXC1725" s="227"/>
      <c r="KXD1725" s="227"/>
      <c r="KXE1725" s="227"/>
      <c r="KXF1725" s="227"/>
      <c r="KXG1725" s="227"/>
      <c r="KXH1725" s="227"/>
      <c r="KXI1725" s="227"/>
      <c r="KXJ1725" s="227"/>
      <c r="KXK1725" s="227"/>
      <c r="KXL1725" s="227"/>
      <c r="KXM1725" s="227"/>
      <c r="KXN1725" s="227"/>
      <c r="KXO1725" s="227"/>
      <c r="KXP1725" s="227"/>
      <c r="KXQ1725" s="227"/>
      <c r="KXR1725" s="227"/>
      <c r="KXS1725" s="227"/>
      <c r="KXT1725" s="227"/>
      <c r="KXU1725" s="227"/>
      <c r="KXV1725" s="227"/>
      <c r="KXW1725" s="227"/>
      <c r="KXX1725" s="227"/>
      <c r="KXY1725" s="227"/>
      <c r="KXZ1725" s="227"/>
      <c r="KYA1725" s="227"/>
      <c r="KYB1725" s="227"/>
      <c r="KYC1725" s="227"/>
      <c r="KYD1725" s="227"/>
      <c r="KYE1725" s="227"/>
      <c r="KYF1725" s="227"/>
      <c r="KYG1725" s="227"/>
      <c r="KYH1725" s="227"/>
      <c r="KYI1725" s="227"/>
      <c r="KYJ1725" s="227"/>
      <c r="KYK1725" s="227"/>
      <c r="KYL1725" s="227"/>
      <c r="KYM1725" s="227"/>
      <c r="KYN1725" s="227"/>
      <c r="KYO1725" s="227"/>
      <c r="KYP1725" s="227"/>
      <c r="KYQ1725" s="227"/>
      <c r="KYR1725" s="227"/>
      <c r="KYS1725" s="227"/>
      <c r="KYT1725" s="227"/>
      <c r="KYU1725" s="227"/>
      <c r="KYV1725" s="227"/>
      <c r="KYW1725" s="227"/>
      <c r="KYX1725" s="227"/>
      <c r="KYY1725" s="227"/>
      <c r="KYZ1725" s="227"/>
      <c r="KZA1725" s="227"/>
      <c r="KZB1725" s="227"/>
      <c r="KZC1725" s="227"/>
      <c r="KZD1725" s="227"/>
      <c r="KZE1725" s="227"/>
      <c r="KZF1725" s="227"/>
      <c r="KZG1725" s="227"/>
      <c r="KZH1725" s="227"/>
      <c r="KZI1725" s="227"/>
      <c r="KZJ1725" s="227"/>
      <c r="KZK1725" s="227"/>
      <c r="KZL1725" s="227"/>
      <c r="KZM1725" s="227"/>
      <c r="KZN1725" s="227"/>
      <c r="KZO1725" s="227"/>
      <c r="KZP1725" s="227"/>
      <c r="KZQ1725" s="227"/>
      <c r="KZR1725" s="227"/>
      <c r="KZS1725" s="227"/>
      <c r="KZT1725" s="227"/>
      <c r="KZU1725" s="227"/>
      <c r="KZV1725" s="227"/>
      <c r="KZW1725" s="227"/>
      <c r="KZX1725" s="227"/>
      <c r="KZY1725" s="227"/>
      <c r="KZZ1725" s="227"/>
      <c r="LAA1725" s="227"/>
      <c r="LAB1725" s="227"/>
      <c r="LAC1725" s="227"/>
      <c r="LAD1725" s="227"/>
      <c r="LAE1725" s="227"/>
      <c r="LAF1725" s="227"/>
      <c r="LAG1725" s="227"/>
      <c r="LAH1725" s="227"/>
      <c r="LAI1725" s="227"/>
      <c r="LAJ1725" s="227"/>
      <c r="LAK1725" s="227"/>
      <c r="LAL1725" s="227"/>
      <c r="LAM1725" s="227"/>
      <c r="LAN1725" s="227"/>
      <c r="LAO1725" s="227"/>
      <c r="LAP1725" s="227"/>
      <c r="LAQ1725" s="227"/>
      <c r="LAR1725" s="227"/>
      <c r="LAS1725" s="227"/>
      <c r="LAT1725" s="227"/>
      <c r="LAU1725" s="227"/>
      <c r="LAV1725" s="227"/>
      <c r="LAW1725" s="227"/>
      <c r="LAX1725" s="227"/>
      <c r="LAY1725" s="227"/>
      <c r="LAZ1725" s="227"/>
      <c r="LBA1725" s="227"/>
      <c r="LBB1725" s="227"/>
      <c r="LBC1725" s="227"/>
      <c r="LBD1725" s="227"/>
      <c r="LBE1725" s="227"/>
      <c r="LBF1725" s="227"/>
      <c r="LBG1725" s="227"/>
      <c r="LBH1725" s="227"/>
      <c r="LBI1725" s="227"/>
      <c r="LBJ1725" s="227"/>
      <c r="LBK1725" s="227"/>
      <c r="LBL1725" s="227"/>
      <c r="LBM1725" s="227"/>
      <c r="LBN1725" s="227"/>
      <c r="LBO1725" s="227"/>
      <c r="LBP1725" s="227"/>
      <c r="LBQ1725" s="227"/>
      <c r="LBR1725" s="227"/>
      <c r="LBS1725" s="227"/>
      <c r="LBT1725" s="227"/>
      <c r="LBU1725" s="227"/>
      <c r="LBV1725" s="227"/>
      <c r="LBW1725" s="227"/>
      <c r="LBX1725" s="227"/>
      <c r="LBY1725" s="227"/>
      <c r="LBZ1725" s="227"/>
      <c r="LCA1725" s="227"/>
      <c r="LCB1725" s="227"/>
      <c r="LCC1725" s="227"/>
      <c r="LCD1725" s="227"/>
      <c r="LCE1725" s="227"/>
      <c r="LCF1725" s="227"/>
      <c r="LCG1725" s="227"/>
      <c r="LCH1725" s="227"/>
      <c r="LCI1725" s="227"/>
      <c r="LCJ1725" s="227"/>
      <c r="LCK1725" s="227"/>
      <c r="LCL1725" s="227"/>
      <c r="LCM1725" s="227"/>
      <c r="LCN1725" s="227"/>
      <c r="LCO1725" s="227"/>
      <c r="LCP1725" s="227"/>
      <c r="LCQ1725" s="227"/>
      <c r="LCR1725" s="227"/>
      <c r="LCS1725" s="227"/>
      <c r="LCT1725" s="227"/>
      <c r="LCU1725" s="227"/>
      <c r="LCV1725" s="227"/>
      <c r="LCW1725" s="227"/>
      <c r="LCX1725" s="227"/>
      <c r="LCY1725" s="227"/>
      <c r="LCZ1725" s="227"/>
      <c r="LDA1725" s="227"/>
      <c r="LDB1725" s="227"/>
      <c r="LDC1725" s="227"/>
      <c r="LDD1725" s="227"/>
      <c r="LDE1725" s="227"/>
      <c r="LDF1725" s="227"/>
      <c r="LDG1725" s="227"/>
      <c r="LDH1725" s="227"/>
      <c r="LDI1725" s="227"/>
      <c r="LDJ1725" s="227"/>
      <c r="LDK1725" s="227"/>
      <c r="LDL1725" s="227"/>
      <c r="LDM1725" s="227"/>
      <c r="LDN1725" s="227"/>
      <c r="LDO1725" s="227"/>
      <c r="LDP1725" s="227"/>
      <c r="LDQ1725" s="227"/>
      <c r="LDR1725" s="227"/>
      <c r="LDS1725" s="227"/>
      <c r="LDT1725" s="227"/>
      <c r="LDU1725" s="227"/>
      <c r="LDV1725" s="227"/>
      <c r="LDW1725" s="227"/>
      <c r="LDX1725" s="227"/>
      <c r="LDY1725" s="227"/>
      <c r="LDZ1725" s="227"/>
      <c r="LEA1725" s="227"/>
      <c r="LEB1725" s="227"/>
      <c r="LEC1725" s="227"/>
      <c r="LED1725" s="227"/>
      <c r="LEE1725" s="227"/>
      <c r="LEF1725" s="227"/>
      <c r="LEG1725" s="227"/>
      <c r="LEH1725" s="227"/>
      <c r="LEI1725" s="227"/>
      <c r="LEJ1725" s="227"/>
      <c r="LEK1725" s="227"/>
      <c r="LEL1725" s="227"/>
      <c r="LEM1725" s="227"/>
      <c r="LEN1725" s="227"/>
      <c r="LEO1725" s="227"/>
      <c r="LEP1725" s="227"/>
      <c r="LEQ1725" s="227"/>
      <c r="LER1725" s="227"/>
      <c r="LES1725" s="227"/>
      <c r="LET1725" s="227"/>
      <c r="LEU1725" s="227"/>
      <c r="LEV1725" s="227"/>
      <c r="LEW1725" s="227"/>
      <c r="LEX1725" s="227"/>
      <c r="LEY1725" s="227"/>
      <c r="LEZ1725" s="227"/>
      <c r="LFA1725" s="227"/>
      <c r="LFB1725" s="227"/>
      <c r="LFC1725" s="227"/>
      <c r="LFD1725" s="227"/>
      <c r="LFE1725" s="227"/>
      <c r="LFF1725" s="227"/>
      <c r="LFG1725" s="227"/>
      <c r="LFH1725" s="227"/>
      <c r="LFI1725" s="227"/>
      <c r="LFJ1725" s="227"/>
      <c r="LFK1725" s="227"/>
      <c r="LFL1725" s="227"/>
      <c r="LFM1725" s="227"/>
      <c r="LFN1725" s="227"/>
      <c r="LFO1725" s="227"/>
      <c r="LFP1725" s="227"/>
      <c r="LFQ1725" s="227"/>
      <c r="LFR1725" s="227"/>
      <c r="LFS1725" s="227"/>
      <c r="LFT1725" s="227"/>
      <c r="LFU1725" s="227"/>
      <c r="LFV1725" s="227"/>
      <c r="LFW1725" s="227"/>
      <c r="LFX1725" s="227"/>
      <c r="LFY1725" s="227"/>
      <c r="LFZ1725" s="227"/>
      <c r="LGA1725" s="227"/>
      <c r="LGB1725" s="227"/>
      <c r="LGC1725" s="227"/>
      <c r="LGD1725" s="227"/>
      <c r="LGE1725" s="227"/>
      <c r="LGF1725" s="227"/>
      <c r="LGG1725" s="227"/>
      <c r="LGH1725" s="227"/>
      <c r="LGI1725" s="227"/>
      <c r="LGJ1725" s="227"/>
      <c r="LGK1725" s="227"/>
      <c r="LGL1725" s="227"/>
      <c r="LGM1725" s="227"/>
      <c r="LGN1725" s="227"/>
      <c r="LGO1725" s="227"/>
      <c r="LGP1725" s="227"/>
      <c r="LGQ1725" s="227"/>
      <c r="LGR1725" s="227"/>
      <c r="LGS1725" s="227"/>
      <c r="LGT1725" s="227"/>
      <c r="LGU1725" s="227"/>
      <c r="LGV1725" s="227"/>
      <c r="LGW1725" s="227"/>
      <c r="LGX1725" s="227"/>
      <c r="LGY1725" s="227"/>
      <c r="LGZ1725" s="227"/>
      <c r="LHA1725" s="227"/>
      <c r="LHB1725" s="227"/>
      <c r="LHC1725" s="227"/>
      <c r="LHD1725" s="227"/>
      <c r="LHE1725" s="227"/>
      <c r="LHF1725" s="227"/>
      <c r="LHG1725" s="227"/>
      <c r="LHH1725" s="227"/>
      <c r="LHI1725" s="227"/>
      <c r="LHJ1725" s="227"/>
      <c r="LHK1725" s="227"/>
      <c r="LHL1725" s="227"/>
      <c r="LHM1725" s="227"/>
      <c r="LHN1725" s="227"/>
      <c r="LHO1725" s="227"/>
      <c r="LHP1725" s="227"/>
      <c r="LHQ1725" s="227"/>
      <c r="LHR1725" s="227"/>
      <c r="LHS1725" s="227"/>
      <c r="LHT1725" s="227"/>
      <c r="LHU1725" s="227"/>
      <c r="LHV1725" s="227"/>
      <c r="LHW1725" s="227"/>
      <c r="LHX1725" s="227"/>
      <c r="LHY1725" s="227"/>
      <c r="LHZ1725" s="227"/>
      <c r="LIA1725" s="227"/>
      <c r="LIB1725" s="227"/>
      <c r="LIC1725" s="227"/>
      <c r="LID1725" s="227"/>
      <c r="LIE1725" s="227"/>
      <c r="LIF1725" s="227"/>
      <c r="LIG1725" s="227"/>
      <c r="LIH1725" s="227"/>
      <c r="LII1725" s="227"/>
      <c r="LIJ1725" s="227"/>
      <c r="LIK1725" s="227"/>
      <c r="LIL1725" s="227"/>
      <c r="LIM1725" s="227"/>
      <c r="LIN1725" s="227"/>
      <c r="LIO1725" s="227"/>
      <c r="LIP1725" s="227"/>
      <c r="LIQ1725" s="227"/>
      <c r="LIR1725" s="227"/>
      <c r="LIS1725" s="227"/>
      <c r="LIT1725" s="227"/>
      <c r="LIU1725" s="227"/>
      <c r="LIV1725" s="227"/>
      <c r="LIW1725" s="227"/>
      <c r="LIX1725" s="227"/>
      <c r="LIY1725" s="227"/>
      <c r="LIZ1725" s="227"/>
      <c r="LJA1725" s="227"/>
      <c r="LJB1725" s="227"/>
      <c r="LJC1725" s="227"/>
      <c r="LJD1725" s="227"/>
      <c r="LJE1725" s="227"/>
      <c r="LJF1725" s="227"/>
      <c r="LJG1725" s="227"/>
      <c r="LJH1725" s="227"/>
      <c r="LJI1725" s="227"/>
      <c r="LJJ1725" s="227"/>
      <c r="LJK1725" s="227"/>
      <c r="LJL1725" s="227"/>
      <c r="LJM1725" s="227"/>
      <c r="LJN1725" s="227"/>
      <c r="LJO1725" s="227"/>
      <c r="LJP1725" s="227"/>
      <c r="LJQ1725" s="227"/>
      <c r="LJR1725" s="227"/>
      <c r="LJS1725" s="227"/>
      <c r="LJT1725" s="227"/>
      <c r="LJU1725" s="227"/>
      <c r="LJV1725" s="227"/>
      <c r="LJW1725" s="227"/>
      <c r="LJX1725" s="227"/>
      <c r="LJY1725" s="227"/>
      <c r="LJZ1725" s="227"/>
      <c r="LKA1725" s="227"/>
      <c r="LKB1725" s="227"/>
      <c r="LKC1725" s="227"/>
      <c r="LKD1725" s="227"/>
      <c r="LKE1725" s="227"/>
      <c r="LKF1725" s="227"/>
      <c r="LKG1725" s="227"/>
      <c r="LKH1725" s="227"/>
      <c r="LKI1725" s="227"/>
      <c r="LKJ1725" s="227"/>
      <c r="LKK1725" s="227"/>
      <c r="LKL1725" s="227"/>
      <c r="LKM1725" s="227"/>
      <c r="LKN1725" s="227"/>
      <c r="LKO1725" s="227"/>
      <c r="LKP1725" s="227"/>
      <c r="LKQ1725" s="227"/>
      <c r="LKR1725" s="227"/>
      <c r="LKS1725" s="227"/>
      <c r="LKT1725" s="227"/>
      <c r="LKU1725" s="227"/>
      <c r="LKV1725" s="227"/>
      <c r="LKW1725" s="227"/>
      <c r="LKX1725" s="227"/>
      <c r="LKY1725" s="227"/>
      <c r="LKZ1725" s="227"/>
      <c r="LLA1725" s="227"/>
      <c r="LLB1725" s="227"/>
      <c r="LLC1725" s="227"/>
      <c r="LLD1725" s="227"/>
      <c r="LLE1725" s="227"/>
      <c r="LLF1725" s="227"/>
      <c r="LLG1725" s="227"/>
      <c r="LLH1725" s="227"/>
      <c r="LLI1725" s="227"/>
      <c r="LLJ1725" s="227"/>
      <c r="LLK1725" s="227"/>
      <c r="LLL1725" s="227"/>
      <c r="LLM1725" s="227"/>
      <c r="LLN1725" s="227"/>
      <c r="LLO1725" s="227"/>
      <c r="LLP1725" s="227"/>
      <c r="LLQ1725" s="227"/>
      <c r="LLR1725" s="227"/>
      <c r="LLS1725" s="227"/>
      <c r="LLT1725" s="227"/>
      <c r="LLU1725" s="227"/>
      <c r="LLV1725" s="227"/>
      <c r="LLW1725" s="227"/>
      <c r="LLX1725" s="227"/>
      <c r="LLY1725" s="227"/>
      <c r="LLZ1725" s="227"/>
      <c r="LMA1725" s="227"/>
      <c r="LMB1725" s="227"/>
      <c r="LMC1725" s="227"/>
      <c r="LMD1725" s="227"/>
      <c r="LME1725" s="227"/>
      <c r="LMF1725" s="227"/>
      <c r="LMG1725" s="227"/>
      <c r="LMH1725" s="227"/>
      <c r="LMI1725" s="227"/>
      <c r="LMJ1725" s="227"/>
      <c r="LMK1725" s="227"/>
      <c r="LML1725" s="227"/>
      <c r="LMM1725" s="227"/>
      <c r="LMN1725" s="227"/>
      <c r="LMO1725" s="227"/>
      <c r="LMP1725" s="227"/>
      <c r="LMQ1725" s="227"/>
      <c r="LMR1725" s="227"/>
      <c r="LMS1725" s="227"/>
      <c r="LMT1725" s="227"/>
      <c r="LMU1725" s="227"/>
      <c r="LMV1725" s="227"/>
      <c r="LMW1725" s="227"/>
      <c r="LMX1725" s="227"/>
      <c r="LMY1725" s="227"/>
      <c r="LMZ1725" s="227"/>
      <c r="LNA1725" s="227"/>
      <c r="LNB1725" s="227"/>
      <c r="LNC1725" s="227"/>
      <c r="LND1725" s="227"/>
      <c r="LNE1725" s="227"/>
      <c r="LNF1725" s="227"/>
      <c r="LNG1725" s="227"/>
      <c r="LNH1725" s="227"/>
      <c r="LNI1725" s="227"/>
      <c r="LNJ1725" s="227"/>
      <c r="LNK1725" s="227"/>
      <c r="LNL1725" s="227"/>
      <c r="LNM1725" s="227"/>
      <c r="LNN1725" s="227"/>
      <c r="LNO1725" s="227"/>
      <c r="LNP1725" s="227"/>
      <c r="LNQ1725" s="227"/>
      <c r="LNR1725" s="227"/>
      <c r="LNS1725" s="227"/>
      <c r="LNT1725" s="227"/>
      <c r="LNU1725" s="227"/>
      <c r="LNV1725" s="227"/>
      <c r="LNW1725" s="227"/>
      <c r="LNX1725" s="227"/>
      <c r="LNY1725" s="227"/>
      <c r="LNZ1725" s="227"/>
      <c r="LOA1725" s="227"/>
      <c r="LOB1725" s="227"/>
      <c r="LOC1725" s="227"/>
      <c r="LOD1725" s="227"/>
      <c r="LOE1725" s="227"/>
      <c r="LOF1725" s="227"/>
      <c r="LOG1725" s="227"/>
      <c r="LOH1725" s="227"/>
      <c r="LOI1725" s="227"/>
      <c r="LOJ1725" s="227"/>
      <c r="LOK1725" s="227"/>
      <c r="LOL1725" s="227"/>
      <c r="LOM1725" s="227"/>
      <c r="LON1725" s="227"/>
      <c r="LOO1725" s="227"/>
      <c r="LOP1725" s="227"/>
      <c r="LOQ1725" s="227"/>
      <c r="LOR1725" s="227"/>
      <c r="LOS1725" s="227"/>
      <c r="LOT1725" s="227"/>
      <c r="LOU1725" s="227"/>
      <c r="LOV1725" s="227"/>
      <c r="LOW1725" s="227"/>
      <c r="LOX1725" s="227"/>
      <c r="LOY1725" s="227"/>
      <c r="LOZ1725" s="227"/>
      <c r="LPA1725" s="227"/>
      <c r="LPB1725" s="227"/>
      <c r="LPC1725" s="227"/>
      <c r="LPD1725" s="227"/>
      <c r="LPE1725" s="227"/>
      <c r="LPF1725" s="227"/>
      <c r="LPG1725" s="227"/>
      <c r="LPH1725" s="227"/>
      <c r="LPI1725" s="227"/>
      <c r="LPJ1725" s="227"/>
      <c r="LPK1725" s="227"/>
      <c r="LPL1725" s="227"/>
      <c r="LPM1725" s="227"/>
      <c r="LPN1725" s="227"/>
      <c r="LPO1725" s="227"/>
      <c r="LPP1725" s="227"/>
      <c r="LPQ1725" s="227"/>
      <c r="LPR1725" s="227"/>
      <c r="LPS1725" s="227"/>
      <c r="LPT1725" s="227"/>
      <c r="LPU1725" s="227"/>
      <c r="LPV1725" s="227"/>
      <c r="LPW1725" s="227"/>
      <c r="LPX1725" s="227"/>
      <c r="LPY1725" s="227"/>
      <c r="LPZ1725" s="227"/>
      <c r="LQA1725" s="227"/>
      <c r="LQB1725" s="227"/>
      <c r="LQC1725" s="227"/>
      <c r="LQD1725" s="227"/>
      <c r="LQE1725" s="227"/>
      <c r="LQF1725" s="227"/>
      <c r="LQG1725" s="227"/>
      <c r="LQH1725" s="227"/>
      <c r="LQI1725" s="227"/>
      <c r="LQJ1725" s="227"/>
      <c r="LQK1725" s="227"/>
      <c r="LQL1725" s="227"/>
      <c r="LQM1725" s="227"/>
      <c r="LQN1725" s="227"/>
      <c r="LQO1725" s="227"/>
      <c r="LQP1725" s="227"/>
      <c r="LQQ1725" s="227"/>
      <c r="LQR1725" s="227"/>
      <c r="LQS1725" s="227"/>
      <c r="LQT1725" s="227"/>
      <c r="LQU1725" s="227"/>
      <c r="LQV1725" s="227"/>
      <c r="LQW1725" s="227"/>
      <c r="LQX1725" s="227"/>
      <c r="LQY1725" s="227"/>
      <c r="LQZ1725" s="227"/>
      <c r="LRA1725" s="227"/>
      <c r="LRB1725" s="227"/>
      <c r="LRC1725" s="227"/>
      <c r="LRD1725" s="227"/>
      <c r="LRE1725" s="227"/>
      <c r="LRF1725" s="227"/>
      <c r="LRG1725" s="227"/>
      <c r="LRH1725" s="227"/>
      <c r="LRI1725" s="227"/>
      <c r="LRJ1725" s="227"/>
      <c r="LRK1725" s="227"/>
      <c r="LRL1725" s="227"/>
      <c r="LRM1725" s="227"/>
      <c r="LRN1725" s="227"/>
      <c r="LRO1725" s="227"/>
      <c r="LRP1725" s="227"/>
      <c r="LRQ1725" s="227"/>
      <c r="LRR1725" s="227"/>
      <c r="LRS1725" s="227"/>
      <c r="LRT1725" s="227"/>
      <c r="LRU1725" s="227"/>
      <c r="LRV1725" s="227"/>
      <c r="LRW1725" s="227"/>
      <c r="LRX1725" s="227"/>
      <c r="LRY1725" s="227"/>
      <c r="LRZ1725" s="227"/>
      <c r="LSA1725" s="227"/>
      <c r="LSB1725" s="227"/>
      <c r="LSC1725" s="227"/>
      <c r="LSD1725" s="227"/>
      <c r="LSE1725" s="227"/>
      <c r="LSF1725" s="227"/>
      <c r="LSG1725" s="227"/>
      <c r="LSH1725" s="227"/>
      <c r="LSI1725" s="227"/>
      <c r="LSJ1725" s="227"/>
      <c r="LSK1725" s="227"/>
      <c r="LSL1725" s="227"/>
      <c r="LSM1725" s="227"/>
      <c r="LSN1725" s="227"/>
      <c r="LSO1725" s="227"/>
      <c r="LSP1725" s="227"/>
      <c r="LSQ1725" s="227"/>
      <c r="LSR1725" s="227"/>
      <c r="LSS1725" s="227"/>
      <c r="LST1725" s="227"/>
      <c r="LSU1725" s="227"/>
      <c r="LSV1725" s="227"/>
      <c r="LSW1725" s="227"/>
      <c r="LSX1725" s="227"/>
      <c r="LSY1725" s="227"/>
      <c r="LSZ1725" s="227"/>
      <c r="LTA1725" s="227"/>
      <c r="LTB1725" s="227"/>
      <c r="LTC1725" s="227"/>
      <c r="LTD1725" s="227"/>
      <c r="LTE1725" s="227"/>
      <c r="LTF1725" s="227"/>
      <c r="LTG1725" s="227"/>
      <c r="LTH1725" s="227"/>
      <c r="LTI1725" s="227"/>
      <c r="LTJ1725" s="227"/>
      <c r="LTK1725" s="227"/>
      <c r="LTL1725" s="227"/>
      <c r="LTM1725" s="227"/>
      <c r="LTN1725" s="227"/>
      <c r="LTO1725" s="227"/>
      <c r="LTP1725" s="227"/>
      <c r="LTQ1725" s="227"/>
      <c r="LTR1725" s="227"/>
      <c r="LTS1725" s="227"/>
      <c r="LTT1725" s="227"/>
      <c r="LTU1725" s="227"/>
      <c r="LTV1725" s="227"/>
      <c r="LTW1725" s="227"/>
      <c r="LTX1725" s="227"/>
      <c r="LTY1725" s="227"/>
      <c r="LTZ1725" s="227"/>
      <c r="LUA1725" s="227"/>
      <c r="LUB1725" s="227"/>
      <c r="LUC1725" s="227"/>
      <c r="LUD1725" s="227"/>
      <c r="LUE1725" s="227"/>
      <c r="LUF1725" s="227"/>
      <c r="LUG1725" s="227"/>
      <c r="LUH1725" s="227"/>
      <c r="LUI1725" s="227"/>
      <c r="LUJ1725" s="227"/>
      <c r="LUK1725" s="227"/>
      <c r="LUL1725" s="227"/>
      <c r="LUM1725" s="227"/>
      <c r="LUN1725" s="227"/>
      <c r="LUO1725" s="227"/>
      <c r="LUP1725" s="227"/>
      <c r="LUQ1725" s="227"/>
      <c r="LUR1725" s="227"/>
      <c r="LUS1725" s="227"/>
      <c r="LUT1725" s="227"/>
      <c r="LUU1725" s="227"/>
      <c r="LUV1725" s="227"/>
      <c r="LUW1725" s="227"/>
      <c r="LUX1725" s="227"/>
      <c r="LUY1725" s="227"/>
      <c r="LUZ1725" s="227"/>
      <c r="LVA1725" s="227"/>
      <c r="LVB1725" s="227"/>
      <c r="LVC1725" s="227"/>
      <c r="LVD1725" s="227"/>
      <c r="LVE1725" s="227"/>
      <c r="LVF1725" s="227"/>
      <c r="LVG1725" s="227"/>
      <c r="LVH1725" s="227"/>
      <c r="LVI1725" s="227"/>
      <c r="LVJ1725" s="227"/>
      <c r="LVK1725" s="227"/>
      <c r="LVL1725" s="227"/>
      <c r="LVM1725" s="227"/>
      <c r="LVN1725" s="227"/>
      <c r="LVO1725" s="227"/>
      <c r="LVP1725" s="227"/>
      <c r="LVQ1725" s="227"/>
      <c r="LVR1725" s="227"/>
      <c r="LVS1725" s="227"/>
      <c r="LVT1725" s="227"/>
      <c r="LVU1725" s="227"/>
      <c r="LVV1725" s="227"/>
      <c r="LVW1725" s="227"/>
      <c r="LVX1725" s="227"/>
      <c r="LVY1725" s="227"/>
      <c r="LVZ1725" s="227"/>
      <c r="LWA1725" s="227"/>
      <c r="LWB1725" s="227"/>
      <c r="LWC1725" s="227"/>
      <c r="LWD1725" s="227"/>
      <c r="LWE1725" s="227"/>
      <c r="LWF1725" s="227"/>
      <c r="LWG1725" s="227"/>
      <c r="LWH1725" s="227"/>
      <c r="LWI1725" s="227"/>
      <c r="LWJ1725" s="227"/>
      <c r="LWK1725" s="227"/>
      <c r="LWL1725" s="227"/>
      <c r="LWM1725" s="227"/>
      <c r="LWN1725" s="227"/>
      <c r="LWO1725" s="227"/>
      <c r="LWP1725" s="227"/>
      <c r="LWQ1725" s="227"/>
      <c r="LWR1725" s="227"/>
      <c r="LWS1725" s="227"/>
      <c r="LWT1725" s="227"/>
      <c r="LWU1725" s="227"/>
      <c r="LWV1725" s="227"/>
      <c r="LWW1725" s="227"/>
      <c r="LWX1725" s="227"/>
      <c r="LWY1725" s="227"/>
      <c r="LWZ1725" s="227"/>
      <c r="LXA1725" s="227"/>
      <c r="LXB1725" s="227"/>
      <c r="LXC1725" s="227"/>
      <c r="LXD1725" s="227"/>
      <c r="LXE1725" s="227"/>
      <c r="LXF1725" s="227"/>
      <c r="LXG1725" s="227"/>
      <c r="LXH1725" s="227"/>
      <c r="LXI1725" s="227"/>
      <c r="LXJ1725" s="227"/>
      <c r="LXK1725" s="227"/>
      <c r="LXL1725" s="227"/>
      <c r="LXM1725" s="227"/>
      <c r="LXN1725" s="227"/>
      <c r="LXO1725" s="227"/>
      <c r="LXP1725" s="227"/>
      <c r="LXQ1725" s="227"/>
      <c r="LXR1725" s="227"/>
      <c r="LXS1725" s="227"/>
      <c r="LXT1725" s="227"/>
      <c r="LXU1725" s="227"/>
      <c r="LXV1725" s="227"/>
      <c r="LXW1725" s="227"/>
      <c r="LXX1725" s="227"/>
      <c r="LXY1725" s="227"/>
      <c r="LXZ1725" s="227"/>
      <c r="LYA1725" s="227"/>
      <c r="LYB1725" s="227"/>
      <c r="LYC1725" s="227"/>
      <c r="LYD1725" s="227"/>
      <c r="LYE1725" s="227"/>
      <c r="LYF1725" s="227"/>
      <c r="LYG1725" s="227"/>
      <c r="LYH1725" s="227"/>
      <c r="LYI1725" s="227"/>
      <c r="LYJ1725" s="227"/>
      <c r="LYK1725" s="227"/>
      <c r="LYL1725" s="227"/>
      <c r="LYM1725" s="227"/>
      <c r="LYN1725" s="227"/>
      <c r="LYO1725" s="227"/>
      <c r="LYP1725" s="227"/>
      <c r="LYQ1725" s="227"/>
      <c r="LYR1725" s="227"/>
      <c r="LYS1725" s="227"/>
      <c r="LYT1725" s="227"/>
      <c r="LYU1725" s="227"/>
      <c r="LYV1725" s="227"/>
      <c r="LYW1725" s="227"/>
      <c r="LYX1725" s="227"/>
      <c r="LYY1725" s="227"/>
      <c r="LYZ1725" s="227"/>
      <c r="LZA1725" s="227"/>
      <c r="LZB1725" s="227"/>
      <c r="LZC1725" s="227"/>
      <c r="LZD1725" s="227"/>
      <c r="LZE1725" s="227"/>
      <c r="LZF1725" s="227"/>
      <c r="LZG1725" s="227"/>
      <c r="LZH1725" s="227"/>
      <c r="LZI1725" s="227"/>
      <c r="LZJ1725" s="227"/>
      <c r="LZK1725" s="227"/>
      <c r="LZL1725" s="227"/>
      <c r="LZM1725" s="227"/>
      <c r="LZN1725" s="227"/>
      <c r="LZO1725" s="227"/>
      <c r="LZP1725" s="227"/>
      <c r="LZQ1725" s="227"/>
      <c r="LZR1725" s="227"/>
      <c r="LZS1725" s="227"/>
      <c r="LZT1725" s="227"/>
      <c r="LZU1725" s="227"/>
      <c r="LZV1725" s="227"/>
      <c r="LZW1725" s="227"/>
      <c r="LZX1725" s="227"/>
      <c r="LZY1725" s="227"/>
      <c r="LZZ1725" s="227"/>
      <c r="MAA1725" s="227"/>
      <c r="MAB1725" s="227"/>
      <c r="MAC1725" s="227"/>
      <c r="MAD1725" s="227"/>
      <c r="MAE1725" s="227"/>
      <c r="MAF1725" s="227"/>
      <c r="MAG1725" s="227"/>
      <c r="MAH1725" s="227"/>
      <c r="MAI1725" s="227"/>
      <c r="MAJ1725" s="227"/>
      <c r="MAK1725" s="227"/>
      <c r="MAL1725" s="227"/>
      <c r="MAM1725" s="227"/>
      <c r="MAN1725" s="227"/>
      <c r="MAO1725" s="227"/>
      <c r="MAP1725" s="227"/>
      <c r="MAQ1725" s="227"/>
      <c r="MAR1725" s="227"/>
      <c r="MAS1725" s="227"/>
      <c r="MAT1725" s="227"/>
      <c r="MAU1725" s="227"/>
      <c r="MAV1725" s="227"/>
      <c r="MAW1725" s="227"/>
      <c r="MAX1725" s="227"/>
      <c r="MAY1725" s="227"/>
      <c r="MAZ1725" s="227"/>
      <c r="MBA1725" s="227"/>
      <c r="MBB1725" s="227"/>
      <c r="MBC1725" s="227"/>
      <c r="MBD1725" s="227"/>
      <c r="MBE1725" s="227"/>
      <c r="MBF1725" s="227"/>
      <c r="MBG1725" s="227"/>
      <c r="MBH1725" s="227"/>
      <c r="MBI1725" s="227"/>
      <c r="MBJ1725" s="227"/>
      <c r="MBK1725" s="227"/>
      <c r="MBL1725" s="227"/>
      <c r="MBM1725" s="227"/>
      <c r="MBN1725" s="227"/>
      <c r="MBO1725" s="227"/>
      <c r="MBP1725" s="227"/>
      <c r="MBQ1725" s="227"/>
      <c r="MBR1725" s="227"/>
      <c r="MBS1725" s="227"/>
      <c r="MBT1725" s="227"/>
      <c r="MBU1725" s="227"/>
      <c r="MBV1725" s="227"/>
      <c r="MBW1725" s="227"/>
      <c r="MBX1725" s="227"/>
      <c r="MBY1725" s="227"/>
      <c r="MBZ1725" s="227"/>
      <c r="MCA1725" s="227"/>
      <c r="MCB1725" s="227"/>
      <c r="MCC1725" s="227"/>
      <c r="MCD1725" s="227"/>
      <c r="MCE1725" s="227"/>
      <c r="MCF1725" s="227"/>
      <c r="MCG1725" s="227"/>
      <c r="MCH1725" s="227"/>
      <c r="MCI1725" s="227"/>
      <c r="MCJ1725" s="227"/>
      <c r="MCK1725" s="227"/>
      <c r="MCL1725" s="227"/>
      <c r="MCM1725" s="227"/>
      <c r="MCN1725" s="227"/>
      <c r="MCO1725" s="227"/>
      <c r="MCP1725" s="227"/>
      <c r="MCQ1725" s="227"/>
      <c r="MCR1725" s="227"/>
      <c r="MCS1725" s="227"/>
      <c r="MCT1725" s="227"/>
      <c r="MCU1725" s="227"/>
      <c r="MCV1725" s="227"/>
      <c r="MCW1725" s="227"/>
      <c r="MCX1725" s="227"/>
      <c r="MCY1725" s="227"/>
      <c r="MCZ1725" s="227"/>
      <c r="MDA1725" s="227"/>
      <c r="MDB1725" s="227"/>
      <c r="MDC1725" s="227"/>
      <c r="MDD1725" s="227"/>
      <c r="MDE1725" s="227"/>
      <c r="MDF1725" s="227"/>
      <c r="MDG1725" s="227"/>
      <c r="MDH1725" s="227"/>
      <c r="MDI1725" s="227"/>
      <c r="MDJ1725" s="227"/>
      <c r="MDK1725" s="227"/>
      <c r="MDL1725" s="227"/>
      <c r="MDM1725" s="227"/>
      <c r="MDN1725" s="227"/>
      <c r="MDO1725" s="227"/>
      <c r="MDP1725" s="227"/>
      <c r="MDQ1725" s="227"/>
      <c r="MDR1725" s="227"/>
      <c r="MDS1725" s="227"/>
      <c r="MDT1725" s="227"/>
      <c r="MDU1725" s="227"/>
      <c r="MDV1725" s="227"/>
      <c r="MDW1725" s="227"/>
      <c r="MDX1725" s="227"/>
      <c r="MDY1725" s="227"/>
      <c r="MDZ1725" s="227"/>
      <c r="MEA1725" s="227"/>
      <c r="MEB1725" s="227"/>
      <c r="MEC1725" s="227"/>
      <c r="MED1725" s="227"/>
      <c r="MEE1725" s="227"/>
      <c r="MEF1725" s="227"/>
      <c r="MEG1725" s="227"/>
      <c r="MEH1725" s="227"/>
      <c r="MEI1725" s="227"/>
      <c r="MEJ1725" s="227"/>
      <c r="MEK1725" s="227"/>
      <c r="MEL1725" s="227"/>
      <c r="MEM1725" s="227"/>
      <c r="MEN1725" s="227"/>
      <c r="MEO1725" s="227"/>
      <c r="MEP1725" s="227"/>
      <c r="MEQ1725" s="227"/>
      <c r="MER1725" s="227"/>
      <c r="MES1725" s="227"/>
      <c r="MET1725" s="227"/>
      <c r="MEU1725" s="227"/>
      <c r="MEV1725" s="227"/>
      <c r="MEW1725" s="227"/>
      <c r="MEX1725" s="227"/>
      <c r="MEY1725" s="227"/>
      <c r="MEZ1725" s="227"/>
      <c r="MFA1725" s="227"/>
      <c r="MFB1725" s="227"/>
      <c r="MFC1725" s="227"/>
      <c r="MFD1725" s="227"/>
      <c r="MFE1725" s="227"/>
      <c r="MFF1725" s="227"/>
      <c r="MFG1725" s="227"/>
      <c r="MFH1725" s="227"/>
      <c r="MFI1725" s="227"/>
      <c r="MFJ1725" s="227"/>
      <c r="MFK1725" s="227"/>
      <c r="MFL1725" s="227"/>
      <c r="MFM1725" s="227"/>
      <c r="MFN1725" s="227"/>
      <c r="MFO1725" s="227"/>
      <c r="MFP1725" s="227"/>
      <c r="MFQ1725" s="227"/>
      <c r="MFR1725" s="227"/>
      <c r="MFS1725" s="227"/>
      <c r="MFT1725" s="227"/>
      <c r="MFU1725" s="227"/>
      <c r="MFV1725" s="227"/>
      <c r="MFW1725" s="227"/>
      <c r="MFX1725" s="227"/>
      <c r="MFY1725" s="227"/>
      <c r="MFZ1725" s="227"/>
      <c r="MGA1725" s="227"/>
      <c r="MGB1725" s="227"/>
      <c r="MGC1725" s="227"/>
      <c r="MGD1725" s="227"/>
      <c r="MGE1725" s="227"/>
      <c r="MGF1725" s="227"/>
      <c r="MGG1725" s="227"/>
      <c r="MGH1725" s="227"/>
      <c r="MGI1725" s="227"/>
      <c r="MGJ1725" s="227"/>
      <c r="MGK1725" s="227"/>
      <c r="MGL1725" s="227"/>
      <c r="MGM1725" s="227"/>
      <c r="MGN1725" s="227"/>
      <c r="MGO1725" s="227"/>
      <c r="MGP1725" s="227"/>
      <c r="MGQ1725" s="227"/>
      <c r="MGR1725" s="227"/>
      <c r="MGS1725" s="227"/>
      <c r="MGT1725" s="227"/>
      <c r="MGU1725" s="227"/>
      <c r="MGV1725" s="227"/>
      <c r="MGW1725" s="227"/>
      <c r="MGX1725" s="227"/>
      <c r="MGY1725" s="227"/>
      <c r="MGZ1725" s="227"/>
      <c r="MHA1725" s="227"/>
      <c r="MHB1725" s="227"/>
      <c r="MHC1725" s="227"/>
      <c r="MHD1725" s="227"/>
      <c r="MHE1725" s="227"/>
      <c r="MHF1725" s="227"/>
      <c r="MHG1725" s="227"/>
      <c r="MHH1725" s="227"/>
      <c r="MHI1725" s="227"/>
      <c r="MHJ1725" s="227"/>
      <c r="MHK1725" s="227"/>
      <c r="MHL1725" s="227"/>
      <c r="MHM1725" s="227"/>
      <c r="MHN1725" s="227"/>
      <c r="MHO1725" s="227"/>
      <c r="MHP1725" s="227"/>
      <c r="MHQ1725" s="227"/>
      <c r="MHR1725" s="227"/>
      <c r="MHS1725" s="227"/>
      <c r="MHT1725" s="227"/>
      <c r="MHU1725" s="227"/>
      <c r="MHV1725" s="227"/>
      <c r="MHW1725" s="227"/>
      <c r="MHX1725" s="227"/>
      <c r="MHY1725" s="227"/>
      <c r="MHZ1725" s="227"/>
      <c r="MIA1725" s="227"/>
      <c r="MIB1725" s="227"/>
      <c r="MIC1725" s="227"/>
      <c r="MID1725" s="227"/>
      <c r="MIE1725" s="227"/>
      <c r="MIF1725" s="227"/>
      <c r="MIG1725" s="227"/>
      <c r="MIH1725" s="227"/>
      <c r="MII1725" s="227"/>
      <c r="MIJ1725" s="227"/>
      <c r="MIK1725" s="227"/>
      <c r="MIL1725" s="227"/>
      <c r="MIM1725" s="227"/>
      <c r="MIN1725" s="227"/>
      <c r="MIO1725" s="227"/>
      <c r="MIP1725" s="227"/>
      <c r="MIQ1725" s="227"/>
      <c r="MIR1725" s="227"/>
      <c r="MIS1725" s="227"/>
      <c r="MIT1725" s="227"/>
      <c r="MIU1725" s="227"/>
      <c r="MIV1725" s="227"/>
      <c r="MIW1725" s="227"/>
      <c r="MIX1725" s="227"/>
      <c r="MIY1725" s="227"/>
      <c r="MIZ1725" s="227"/>
      <c r="MJA1725" s="227"/>
      <c r="MJB1725" s="227"/>
      <c r="MJC1725" s="227"/>
      <c r="MJD1725" s="227"/>
      <c r="MJE1725" s="227"/>
      <c r="MJF1725" s="227"/>
      <c r="MJG1725" s="227"/>
      <c r="MJH1725" s="227"/>
      <c r="MJI1725" s="227"/>
      <c r="MJJ1725" s="227"/>
      <c r="MJK1725" s="227"/>
      <c r="MJL1725" s="227"/>
      <c r="MJM1725" s="227"/>
      <c r="MJN1725" s="227"/>
      <c r="MJO1725" s="227"/>
      <c r="MJP1725" s="227"/>
      <c r="MJQ1725" s="227"/>
      <c r="MJR1725" s="227"/>
      <c r="MJS1725" s="227"/>
      <c r="MJT1725" s="227"/>
      <c r="MJU1725" s="227"/>
      <c r="MJV1725" s="227"/>
      <c r="MJW1725" s="227"/>
      <c r="MJX1725" s="227"/>
      <c r="MJY1725" s="227"/>
      <c r="MJZ1725" s="227"/>
      <c r="MKA1725" s="227"/>
      <c r="MKB1725" s="227"/>
      <c r="MKC1725" s="227"/>
      <c r="MKD1725" s="227"/>
      <c r="MKE1725" s="227"/>
      <c r="MKF1725" s="227"/>
      <c r="MKG1725" s="227"/>
      <c r="MKH1725" s="227"/>
      <c r="MKI1725" s="227"/>
      <c r="MKJ1725" s="227"/>
      <c r="MKK1725" s="227"/>
      <c r="MKL1725" s="227"/>
      <c r="MKM1725" s="227"/>
      <c r="MKN1725" s="227"/>
      <c r="MKO1725" s="227"/>
      <c r="MKP1725" s="227"/>
      <c r="MKQ1725" s="227"/>
      <c r="MKR1725" s="227"/>
      <c r="MKS1725" s="227"/>
      <c r="MKT1725" s="227"/>
      <c r="MKU1725" s="227"/>
      <c r="MKV1725" s="227"/>
      <c r="MKW1725" s="227"/>
      <c r="MKX1725" s="227"/>
      <c r="MKY1725" s="227"/>
      <c r="MKZ1725" s="227"/>
      <c r="MLA1725" s="227"/>
      <c r="MLB1725" s="227"/>
      <c r="MLC1725" s="227"/>
      <c r="MLD1725" s="227"/>
      <c r="MLE1725" s="227"/>
      <c r="MLF1725" s="227"/>
      <c r="MLG1725" s="227"/>
      <c r="MLH1725" s="227"/>
      <c r="MLI1725" s="227"/>
      <c r="MLJ1725" s="227"/>
      <c r="MLK1725" s="227"/>
      <c r="MLL1725" s="227"/>
      <c r="MLM1725" s="227"/>
      <c r="MLN1725" s="227"/>
      <c r="MLO1725" s="227"/>
      <c r="MLP1725" s="227"/>
      <c r="MLQ1725" s="227"/>
      <c r="MLR1725" s="227"/>
      <c r="MLS1725" s="227"/>
      <c r="MLT1725" s="227"/>
      <c r="MLU1725" s="227"/>
      <c r="MLV1725" s="227"/>
      <c r="MLW1725" s="227"/>
      <c r="MLX1725" s="227"/>
      <c r="MLY1725" s="227"/>
      <c r="MLZ1725" s="227"/>
      <c r="MMA1725" s="227"/>
      <c r="MMB1725" s="227"/>
      <c r="MMC1725" s="227"/>
      <c r="MMD1725" s="227"/>
      <c r="MME1725" s="227"/>
      <c r="MMF1725" s="227"/>
      <c r="MMG1725" s="227"/>
      <c r="MMH1725" s="227"/>
      <c r="MMI1725" s="227"/>
      <c r="MMJ1725" s="227"/>
      <c r="MMK1725" s="227"/>
      <c r="MML1725" s="227"/>
      <c r="MMM1725" s="227"/>
      <c r="MMN1725" s="227"/>
      <c r="MMO1725" s="227"/>
      <c r="MMP1725" s="227"/>
      <c r="MMQ1725" s="227"/>
      <c r="MMR1725" s="227"/>
      <c r="MMS1725" s="227"/>
      <c r="MMT1725" s="227"/>
      <c r="MMU1725" s="227"/>
      <c r="MMV1725" s="227"/>
      <c r="MMW1725" s="227"/>
      <c r="MMX1725" s="227"/>
      <c r="MMY1725" s="227"/>
      <c r="MMZ1725" s="227"/>
      <c r="MNA1725" s="227"/>
      <c r="MNB1725" s="227"/>
      <c r="MNC1725" s="227"/>
      <c r="MND1725" s="227"/>
      <c r="MNE1725" s="227"/>
      <c r="MNF1725" s="227"/>
      <c r="MNG1725" s="227"/>
      <c r="MNH1725" s="227"/>
      <c r="MNI1725" s="227"/>
      <c r="MNJ1725" s="227"/>
      <c r="MNK1725" s="227"/>
      <c r="MNL1725" s="227"/>
      <c r="MNM1725" s="227"/>
      <c r="MNN1725" s="227"/>
      <c r="MNO1725" s="227"/>
      <c r="MNP1725" s="227"/>
      <c r="MNQ1725" s="227"/>
      <c r="MNR1725" s="227"/>
      <c r="MNS1725" s="227"/>
      <c r="MNT1725" s="227"/>
      <c r="MNU1725" s="227"/>
      <c r="MNV1725" s="227"/>
      <c r="MNW1725" s="227"/>
      <c r="MNX1725" s="227"/>
      <c r="MNY1725" s="227"/>
      <c r="MNZ1725" s="227"/>
      <c r="MOA1725" s="227"/>
      <c r="MOB1725" s="227"/>
      <c r="MOC1725" s="227"/>
      <c r="MOD1725" s="227"/>
      <c r="MOE1725" s="227"/>
      <c r="MOF1725" s="227"/>
      <c r="MOG1725" s="227"/>
      <c r="MOH1725" s="227"/>
      <c r="MOI1725" s="227"/>
      <c r="MOJ1725" s="227"/>
      <c r="MOK1725" s="227"/>
      <c r="MOL1725" s="227"/>
      <c r="MOM1725" s="227"/>
      <c r="MON1725" s="227"/>
      <c r="MOO1725" s="227"/>
      <c r="MOP1725" s="227"/>
      <c r="MOQ1725" s="227"/>
      <c r="MOR1725" s="227"/>
      <c r="MOS1725" s="227"/>
      <c r="MOT1725" s="227"/>
      <c r="MOU1725" s="227"/>
      <c r="MOV1725" s="227"/>
      <c r="MOW1725" s="227"/>
      <c r="MOX1725" s="227"/>
      <c r="MOY1725" s="227"/>
      <c r="MOZ1725" s="227"/>
      <c r="MPA1725" s="227"/>
      <c r="MPB1725" s="227"/>
      <c r="MPC1725" s="227"/>
      <c r="MPD1725" s="227"/>
      <c r="MPE1725" s="227"/>
      <c r="MPF1725" s="227"/>
      <c r="MPG1725" s="227"/>
      <c r="MPH1725" s="227"/>
      <c r="MPI1725" s="227"/>
      <c r="MPJ1725" s="227"/>
      <c r="MPK1725" s="227"/>
      <c r="MPL1725" s="227"/>
      <c r="MPM1725" s="227"/>
      <c r="MPN1725" s="227"/>
      <c r="MPO1725" s="227"/>
      <c r="MPP1725" s="227"/>
      <c r="MPQ1725" s="227"/>
      <c r="MPR1725" s="227"/>
      <c r="MPS1725" s="227"/>
      <c r="MPT1725" s="227"/>
      <c r="MPU1725" s="227"/>
      <c r="MPV1725" s="227"/>
      <c r="MPW1725" s="227"/>
      <c r="MPX1725" s="227"/>
      <c r="MPY1725" s="227"/>
      <c r="MPZ1725" s="227"/>
      <c r="MQA1725" s="227"/>
      <c r="MQB1725" s="227"/>
      <c r="MQC1725" s="227"/>
      <c r="MQD1725" s="227"/>
      <c r="MQE1725" s="227"/>
      <c r="MQF1725" s="227"/>
      <c r="MQG1725" s="227"/>
      <c r="MQH1725" s="227"/>
      <c r="MQI1725" s="227"/>
      <c r="MQJ1725" s="227"/>
      <c r="MQK1725" s="227"/>
      <c r="MQL1725" s="227"/>
      <c r="MQM1725" s="227"/>
      <c r="MQN1725" s="227"/>
      <c r="MQO1725" s="227"/>
      <c r="MQP1725" s="227"/>
      <c r="MQQ1725" s="227"/>
      <c r="MQR1725" s="227"/>
      <c r="MQS1725" s="227"/>
      <c r="MQT1725" s="227"/>
      <c r="MQU1725" s="227"/>
      <c r="MQV1725" s="227"/>
      <c r="MQW1725" s="227"/>
      <c r="MQX1725" s="227"/>
      <c r="MQY1725" s="227"/>
      <c r="MQZ1725" s="227"/>
      <c r="MRA1725" s="227"/>
      <c r="MRB1725" s="227"/>
      <c r="MRC1725" s="227"/>
      <c r="MRD1725" s="227"/>
      <c r="MRE1725" s="227"/>
      <c r="MRF1725" s="227"/>
      <c r="MRG1725" s="227"/>
      <c r="MRH1725" s="227"/>
      <c r="MRI1725" s="227"/>
      <c r="MRJ1725" s="227"/>
      <c r="MRK1725" s="227"/>
      <c r="MRL1725" s="227"/>
      <c r="MRM1725" s="227"/>
      <c r="MRN1725" s="227"/>
      <c r="MRO1725" s="227"/>
      <c r="MRP1725" s="227"/>
      <c r="MRQ1725" s="227"/>
      <c r="MRR1725" s="227"/>
      <c r="MRS1725" s="227"/>
      <c r="MRT1725" s="227"/>
      <c r="MRU1725" s="227"/>
      <c r="MRV1725" s="227"/>
      <c r="MRW1725" s="227"/>
      <c r="MRX1725" s="227"/>
      <c r="MRY1725" s="227"/>
      <c r="MRZ1725" s="227"/>
      <c r="MSA1725" s="227"/>
      <c r="MSB1725" s="227"/>
      <c r="MSC1725" s="227"/>
      <c r="MSD1725" s="227"/>
      <c r="MSE1725" s="227"/>
      <c r="MSF1725" s="227"/>
      <c r="MSG1725" s="227"/>
      <c r="MSH1725" s="227"/>
      <c r="MSI1725" s="227"/>
      <c r="MSJ1725" s="227"/>
      <c r="MSK1725" s="227"/>
      <c r="MSL1725" s="227"/>
      <c r="MSM1725" s="227"/>
      <c r="MSN1725" s="227"/>
      <c r="MSO1725" s="227"/>
      <c r="MSP1725" s="227"/>
      <c r="MSQ1725" s="227"/>
      <c r="MSR1725" s="227"/>
      <c r="MSS1725" s="227"/>
      <c r="MST1725" s="227"/>
      <c r="MSU1725" s="227"/>
      <c r="MSV1725" s="227"/>
      <c r="MSW1725" s="227"/>
      <c r="MSX1725" s="227"/>
      <c r="MSY1725" s="227"/>
      <c r="MSZ1725" s="227"/>
      <c r="MTA1725" s="227"/>
      <c r="MTB1725" s="227"/>
      <c r="MTC1725" s="227"/>
      <c r="MTD1725" s="227"/>
      <c r="MTE1725" s="227"/>
      <c r="MTF1725" s="227"/>
      <c r="MTG1725" s="227"/>
      <c r="MTH1725" s="227"/>
      <c r="MTI1725" s="227"/>
      <c r="MTJ1725" s="227"/>
      <c r="MTK1725" s="227"/>
      <c r="MTL1725" s="227"/>
      <c r="MTM1725" s="227"/>
      <c r="MTN1725" s="227"/>
      <c r="MTO1725" s="227"/>
      <c r="MTP1725" s="227"/>
      <c r="MTQ1725" s="227"/>
      <c r="MTR1725" s="227"/>
      <c r="MTS1725" s="227"/>
      <c r="MTT1725" s="227"/>
      <c r="MTU1725" s="227"/>
      <c r="MTV1725" s="227"/>
      <c r="MTW1725" s="227"/>
      <c r="MTX1725" s="227"/>
      <c r="MTY1725" s="227"/>
      <c r="MTZ1725" s="227"/>
      <c r="MUA1725" s="227"/>
      <c r="MUB1725" s="227"/>
      <c r="MUC1725" s="227"/>
      <c r="MUD1725" s="227"/>
      <c r="MUE1725" s="227"/>
      <c r="MUF1725" s="227"/>
      <c r="MUG1725" s="227"/>
      <c r="MUH1725" s="227"/>
      <c r="MUI1725" s="227"/>
      <c r="MUJ1725" s="227"/>
      <c r="MUK1725" s="227"/>
      <c r="MUL1725" s="227"/>
      <c r="MUM1725" s="227"/>
      <c r="MUN1725" s="227"/>
      <c r="MUO1725" s="227"/>
      <c r="MUP1725" s="227"/>
      <c r="MUQ1725" s="227"/>
      <c r="MUR1725" s="227"/>
      <c r="MUS1725" s="227"/>
      <c r="MUT1725" s="227"/>
      <c r="MUU1725" s="227"/>
      <c r="MUV1725" s="227"/>
      <c r="MUW1725" s="227"/>
      <c r="MUX1725" s="227"/>
      <c r="MUY1725" s="227"/>
      <c r="MUZ1725" s="227"/>
      <c r="MVA1725" s="227"/>
      <c r="MVB1725" s="227"/>
      <c r="MVC1725" s="227"/>
      <c r="MVD1725" s="227"/>
      <c r="MVE1725" s="227"/>
      <c r="MVF1725" s="227"/>
      <c r="MVG1725" s="227"/>
      <c r="MVH1725" s="227"/>
      <c r="MVI1725" s="227"/>
      <c r="MVJ1725" s="227"/>
      <c r="MVK1725" s="227"/>
      <c r="MVL1725" s="227"/>
      <c r="MVM1725" s="227"/>
      <c r="MVN1725" s="227"/>
      <c r="MVO1725" s="227"/>
      <c r="MVP1725" s="227"/>
      <c r="MVQ1725" s="227"/>
      <c r="MVR1725" s="227"/>
      <c r="MVS1725" s="227"/>
      <c r="MVT1725" s="227"/>
      <c r="MVU1725" s="227"/>
      <c r="MVV1725" s="227"/>
      <c r="MVW1725" s="227"/>
      <c r="MVX1725" s="227"/>
      <c r="MVY1725" s="227"/>
      <c r="MVZ1725" s="227"/>
      <c r="MWA1725" s="227"/>
      <c r="MWB1725" s="227"/>
      <c r="MWC1725" s="227"/>
      <c r="MWD1725" s="227"/>
      <c r="MWE1725" s="227"/>
      <c r="MWF1725" s="227"/>
      <c r="MWG1725" s="227"/>
      <c r="MWH1725" s="227"/>
      <c r="MWI1725" s="227"/>
      <c r="MWJ1725" s="227"/>
      <c r="MWK1725" s="227"/>
      <c r="MWL1725" s="227"/>
      <c r="MWM1725" s="227"/>
      <c r="MWN1725" s="227"/>
      <c r="MWO1725" s="227"/>
      <c r="MWP1725" s="227"/>
      <c r="MWQ1725" s="227"/>
      <c r="MWR1725" s="227"/>
      <c r="MWS1725" s="227"/>
      <c r="MWT1725" s="227"/>
      <c r="MWU1725" s="227"/>
      <c r="MWV1725" s="227"/>
      <c r="MWW1725" s="227"/>
      <c r="MWX1725" s="227"/>
      <c r="MWY1725" s="227"/>
      <c r="MWZ1725" s="227"/>
      <c r="MXA1725" s="227"/>
      <c r="MXB1725" s="227"/>
      <c r="MXC1725" s="227"/>
      <c r="MXD1725" s="227"/>
      <c r="MXE1725" s="227"/>
      <c r="MXF1725" s="227"/>
      <c r="MXG1725" s="227"/>
      <c r="MXH1725" s="227"/>
      <c r="MXI1725" s="227"/>
      <c r="MXJ1725" s="227"/>
      <c r="MXK1725" s="227"/>
      <c r="MXL1725" s="227"/>
      <c r="MXM1725" s="227"/>
      <c r="MXN1725" s="227"/>
      <c r="MXO1725" s="227"/>
      <c r="MXP1725" s="227"/>
      <c r="MXQ1725" s="227"/>
      <c r="MXR1725" s="227"/>
      <c r="MXS1725" s="227"/>
      <c r="MXT1725" s="227"/>
      <c r="MXU1725" s="227"/>
      <c r="MXV1725" s="227"/>
      <c r="MXW1725" s="227"/>
      <c r="MXX1725" s="227"/>
      <c r="MXY1725" s="227"/>
      <c r="MXZ1725" s="227"/>
      <c r="MYA1725" s="227"/>
      <c r="MYB1725" s="227"/>
      <c r="MYC1725" s="227"/>
      <c r="MYD1725" s="227"/>
      <c r="MYE1725" s="227"/>
      <c r="MYF1725" s="227"/>
      <c r="MYG1725" s="227"/>
      <c r="MYH1725" s="227"/>
      <c r="MYI1725" s="227"/>
      <c r="MYJ1725" s="227"/>
      <c r="MYK1725" s="227"/>
      <c r="MYL1725" s="227"/>
      <c r="MYM1725" s="227"/>
      <c r="MYN1725" s="227"/>
      <c r="MYO1725" s="227"/>
      <c r="MYP1725" s="227"/>
      <c r="MYQ1725" s="227"/>
      <c r="MYR1725" s="227"/>
      <c r="MYS1725" s="227"/>
      <c r="MYT1725" s="227"/>
      <c r="MYU1725" s="227"/>
      <c r="MYV1725" s="227"/>
      <c r="MYW1725" s="227"/>
      <c r="MYX1725" s="227"/>
      <c r="MYY1725" s="227"/>
      <c r="MYZ1725" s="227"/>
      <c r="MZA1725" s="227"/>
      <c r="MZB1725" s="227"/>
      <c r="MZC1725" s="227"/>
      <c r="MZD1725" s="227"/>
      <c r="MZE1725" s="227"/>
      <c r="MZF1725" s="227"/>
      <c r="MZG1725" s="227"/>
      <c r="MZH1725" s="227"/>
      <c r="MZI1725" s="227"/>
      <c r="MZJ1725" s="227"/>
      <c r="MZK1725" s="227"/>
      <c r="MZL1725" s="227"/>
      <c r="MZM1725" s="227"/>
      <c r="MZN1725" s="227"/>
      <c r="MZO1725" s="227"/>
      <c r="MZP1725" s="227"/>
      <c r="MZQ1725" s="227"/>
      <c r="MZR1725" s="227"/>
      <c r="MZS1725" s="227"/>
      <c r="MZT1725" s="227"/>
      <c r="MZU1725" s="227"/>
      <c r="MZV1725" s="227"/>
      <c r="MZW1725" s="227"/>
      <c r="MZX1725" s="227"/>
      <c r="MZY1725" s="227"/>
      <c r="MZZ1725" s="227"/>
      <c r="NAA1725" s="227"/>
      <c r="NAB1725" s="227"/>
      <c r="NAC1725" s="227"/>
      <c r="NAD1725" s="227"/>
      <c r="NAE1725" s="227"/>
      <c r="NAF1725" s="227"/>
      <c r="NAG1725" s="227"/>
      <c r="NAH1725" s="227"/>
      <c r="NAI1725" s="227"/>
      <c r="NAJ1725" s="227"/>
      <c r="NAK1725" s="227"/>
      <c r="NAL1725" s="227"/>
      <c r="NAM1725" s="227"/>
      <c r="NAN1725" s="227"/>
      <c r="NAO1725" s="227"/>
      <c r="NAP1725" s="227"/>
      <c r="NAQ1725" s="227"/>
      <c r="NAR1725" s="227"/>
      <c r="NAS1725" s="227"/>
      <c r="NAT1725" s="227"/>
      <c r="NAU1725" s="227"/>
      <c r="NAV1725" s="227"/>
      <c r="NAW1725" s="227"/>
      <c r="NAX1725" s="227"/>
      <c r="NAY1725" s="227"/>
      <c r="NAZ1725" s="227"/>
      <c r="NBA1725" s="227"/>
      <c r="NBB1725" s="227"/>
      <c r="NBC1725" s="227"/>
      <c r="NBD1725" s="227"/>
      <c r="NBE1725" s="227"/>
      <c r="NBF1725" s="227"/>
      <c r="NBG1725" s="227"/>
      <c r="NBH1725" s="227"/>
      <c r="NBI1725" s="227"/>
      <c r="NBJ1725" s="227"/>
      <c r="NBK1725" s="227"/>
      <c r="NBL1725" s="227"/>
      <c r="NBM1725" s="227"/>
      <c r="NBN1725" s="227"/>
      <c r="NBO1725" s="227"/>
      <c r="NBP1725" s="227"/>
      <c r="NBQ1725" s="227"/>
      <c r="NBR1725" s="227"/>
      <c r="NBS1725" s="227"/>
      <c r="NBT1725" s="227"/>
      <c r="NBU1725" s="227"/>
      <c r="NBV1725" s="227"/>
      <c r="NBW1725" s="227"/>
      <c r="NBX1725" s="227"/>
      <c r="NBY1725" s="227"/>
      <c r="NBZ1725" s="227"/>
      <c r="NCA1725" s="227"/>
      <c r="NCB1725" s="227"/>
      <c r="NCC1725" s="227"/>
      <c r="NCD1725" s="227"/>
      <c r="NCE1725" s="227"/>
      <c r="NCF1725" s="227"/>
      <c r="NCG1725" s="227"/>
      <c r="NCH1725" s="227"/>
      <c r="NCI1725" s="227"/>
      <c r="NCJ1725" s="227"/>
      <c r="NCK1725" s="227"/>
      <c r="NCL1725" s="227"/>
      <c r="NCM1725" s="227"/>
      <c r="NCN1725" s="227"/>
      <c r="NCO1725" s="227"/>
      <c r="NCP1725" s="227"/>
      <c r="NCQ1725" s="227"/>
      <c r="NCR1725" s="227"/>
      <c r="NCS1725" s="227"/>
      <c r="NCT1725" s="227"/>
      <c r="NCU1725" s="227"/>
      <c r="NCV1725" s="227"/>
      <c r="NCW1725" s="227"/>
      <c r="NCX1725" s="227"/>
      <c r="NCY1725" s="227"/>
      <c r="NCZ1725" s="227"/>
      <c r="NDA1725" s="227"/>
      <c r="NDB1725" s="227"/>
      <c r="NDC1725" s="227"/>
      <c r="NDD1725" s="227"/>
      <c r="NDE1725" s="227"/>
      <c r="NDF1725" s="227"/>
      <c r="NDG1725" s="227"/>
      <c r="NDH1725" s="227"/>
      <c r="NDI1725" s="227"/>
      <c r="NDJ1725" s="227"/>
      <c r="NDK1725" s="227"/>
      <c r="NDL1725" s="227"/>
      <c r="NDM1725" s="227"/>
      <c r="NDN1725" s="227"/>
      <c r="NDO1725" s="227"/>
      <c r="NDP1725" s="227"/>
      <c r="NDQ1725" s="227"/>
      <c r="NDR1725" s="227"/>
      <c r="NDS1725" s="227"/>
      <c r="NDT1725" s="227"/>
      <c r="NDU1725" s="227"/>
      <c r="NDV1725" s="227"/>
      <c r="NDW1725" s="227"/>
      <c r="NDX1725" s="227"/>
      <c r="NDY1725" s="227"/>
      <c r="NDZ1725" s="227"/>
      <c r="NEA1725" s="227"/>
      <c r="NEB1725" s="227"/>
      <c r="NEC1725" s="227"/>
      <c r="NED1725" s="227"/>
      <c r="NEE1725" s="227"/>
      <c r="NEF1725" s="227"/>
      <c r="NEG1725" s="227"/>
      <c r="NEH1725" s="227"/>
      <c r="NEI1725" s="227"/>
      <c r="NEJ1725" s="227"/>
      <c r="NEK1725" s="227"/>
      <c r="NEL1725" s="227"/>
      <c r="NEM1725" s="227"/>
      <c r="NEN1725" s="227"/>
      <c r="NEO1725" s="227"/>
      <c r="NEP1725" s="227"/>
      <c r="NEQ1725" s="227"/>
      <c r="NER1725" s="227"/>
      <c r="NES1725" s="227"/>
      <c r="NET1725" s="227"/>
      <c r="NEU1725" s="227"/>
      <c r="NEV1725" s="227"/>
      <c r="NEW1725" s="227"/>
      <c r="NEX1725" s="227"/>
      <c r="NEY1725" s="227"/>
      <c r="NEZ1725" s="227"/>
      <c r="NFA1725" s="227"/>
      <c r="NFB1725" s="227"/>
      <c r="NFC1725" s="227"/>
      <c r="NFD1725" s="227"/>
      <c r="NFE1725" s="227"/>
      <c r="NFF1725" s="227"/>
      <c r="NFG1725" s="227"/>
      <c r="NFH1725" s="227"/>
      <c r="NFI1725" s="227"/>
      <c r="NFJ1725" s="227"/>
      <c r="NFK1725" s="227"/>
      <c r="NFL1725" s="227"/>
      <c r="NFM1725" s="227"/>
      <c r="NFN1725" s="227"/>
      <c r="NFO1725" s="227"/>
      <c r="NFP1725" s="227"/>
      <c r="NFQ1725" s="227"/>
      <c r="NFR1725" s="227"/>
      <c r="NFS1725" s="227"/>
      <c r="NFT1725" s="227"/>
      <c r="NFU1725" s="227"/>
      <c r="NFV1725" s="227"/>
      <c r="NFW1725" s="227"/>
      <c r="NFX1725" s="227"/>
      <c r="NFY1725" s="227"/>
      <c r="NFZ1725" s="227"/>
      <c r="NGA1725" s="227"/>
      <c r="NGB1725" s="227"/>
      <c r="NGC1725" s="227"/>
      <c r="NGD1725" s="227"/>
      <c r="NGE1725" s="227"/>
      <c r="NGF1725" s="227"/>
      <c r="NGG1725" s="227"/>
      <c r="NGH1725" s="227"/>
      <c r="NGI1725" s="227"/>
      <c r="NGJ1725" s="227"/>
      <c r="NGK1725" s="227"/>
      <c r="NGL1725" s="227"/>
      <c r="NGM1725" s="227"/>
      <c r="NGN1725" s="227"/>
      <c r="NGO1725" s="227"/>
      <c r="NGP1725" s="227"/>
      <c r="NGQ1725" s="227"/>
      <c r="NGR1725" s="227"/>
      <c r="NGS1725" s="227"/>
      <c r="NGT1725" s="227"/>
      <c r="NGU1725" s="227"/>
      <c r="NGV1725" s="227"/>
      <c r="NGW1725" s="227"/>
      <c r="NGX1725" s="227"/>
      <c r="NGY1725" s="227"/>
      <c r="NGZ1725" s="227"/>
      <c r="NHA1725" s="227"/>
      <c r="NHB1725" s="227"/>
      <c r="NHC1725" s="227"/>
      <c r="NHD1725" s="227"/>
      <c r="NHE1725" s="227"/>
      <c r="NHF1725" s="227"/>
      <c r="NHG1725" s="227"/>
      <c r="NHH1725" s="227"/>
      <c r="NHI1725" s="227"/>
      <c r="NHJ1725" s="227"/>
      <c r="NHK1725" s="227"/>
      <c r="NHL1725" s="227"/>
      <c r="NHM1725" s="227"/>
      <c r="NHN1725" s="227"/>
      <c r="NHO1725" s="227"/>
      <c r="NHP1725" s="227"/>
      <c r="NHQ1725" s="227"/>
      <c r="NHR1725" s="227"/>
      <c r="NHS1725" s="227"/>
      <c r="NHT1725" s="227"/>
      <c r="NHU1725" s="227"/>
      <c r="NHV1725" s="227"/>
      <c r="NHW1725" s="227"/>
      <c r="NHX1725" s="227"/>
      <c r="NHY1725" s="227"/>
      <c r="NHZ1725" s="227"/>
      <c r="NIA1725" s="227"/>
      <c r="NIB1725" s="227"/>
      <c r="NIC1725" s="227"/>
      <c r="NID1725" s="227"/>
      <c r="NIE1725" s="227"/>
      <c r="NIF1725" s="227"/>
      <c r="NIG1725" s="227"/>
      <c r="NIH1725" s="227"/>
      <c r="NII1725" s="227"/>
      <c r="NIJ1725" s="227"/>
      <c r="NIK1725" s="227"/>
      <c r="NIL1725" s="227"/>
      <c r="NIM1725" s="227"/>
      <c r="NIN1725" s="227"/>
      <c r="NIO1725" s="227"/>
      <c r="NIP1725" s="227"/>
      <c r="NIQ1725" s="227"/>
      <c r="NIR1725" s="227"/>
      <c r="NIS1725" s="227"/>
      <c r="NIT1725" s="227"/>
      <c r="NIU1725" s="227"/>
      <c r="NIV1725" s="227"/>
      <c r="NIW1725" s="227"/>
      <c r="NIX1725" s="227"/>
      <c r="NIY1725" s="227"/>
      <c r="NIZ1725" s="227"/>
      <c r="NJA1725" s="227"/>
      <c r="NJB1725" s="227"/>
      <c r="NJC1725" s="227"/>
      <c r="NJD1725" s="227"/>
      <c r="NJE1725" s="227"/>
      <c r="NJF1725" s="227"/>
      <c r="NJG1725" s="227"/>
      <c r="NJH1725" s="227"/>
      <c r="NJI1725" s="227"/>
      <c r="NJJ1725" s="227"/>
      <c r="NJK1725" s="227"/>
      <c r="NJL1725" s="227"/>
      <c r="NJM1725" s="227"/>
      <c r="NJN1725" s="227"/>
      <c r="NJO1725" s="227"/>
      <c r="NJP1725" s="227"/>
      <c r="NJQ1725" s="227"/>
      <c r="NJR1725" s="227"/>
      <c r="NJS1725" s="227"/>
      <c r="NJT1725" s="227"/>
      <c r="NJU1725" s="227"/>
      <c r="NJV1725" s="227"/>
      <c r="NJW1725" s="227"/>
      <c r="NJX1725" s="227"/>
      <c r="NJY1725" s="227"/>
      <c r="NJZ1725" s="227"/>
      <c r="NKA1725" s="227"/>
      <c r="NKB1725" s="227"/>
      <c r="NKC1725" s="227"/>
      <c r="NKD1725" s="227"/>
      <c r="NKE1725" s="227"/>
      <c r="NKF1725" s="227"/>
      <c r="NKG1725" s="227"/>
      <c r="NKH1725" s="227"/>
      <c r="NKI1725" s="227"/>
      <c r="NKJ1725" s="227"/>
      <c r="NKK1725" s="227"/>
      <c r="NKL1725" s="227"/>
      <c r="NKM1725" s="227"/>
      <c r="NKN1725" s="227"/>
      <c r="NKO1725" s="227"/>
      <c r="NKP1725" s="227"/>
      <c r="NKQ1725" s="227"/>
      <c r="NKR1725" s="227"/>
      <c r="NKS1725" s="227"/>
      <c r="NKT1725" s="227"/>
      <c r="NKU1725" s="227"/>
      <c r="NKV1725" s="227"/>
      <c r="NKW1725" s="227"/>
      <c r="NKX1725" s="227"/>
      <c r="NKY1725" s="227"/>
      <c r="NKZ1725" s="227"/>
      <c r="NLA1725" s="227"/>
      <c r="NLB1725" s="227"/>
      <c r="NLC1725" s="227"/>
      <c r="NLD1725" s="227"/>
      <c r="NLE1725" s="227"/>
      <c r="NLF1725" s="227"/>
      <c r="NLG1725" s="227"/>
      <c r="NLH1725" s="227"/>
      <c r="NLI1725" s="227"/>
      <c r="NLJ1725" s="227"/>
      <c r="NLK1725" s="227"/>
      <c r="NLL1725" s="227"/>
      <c r="NLM1725" s="227"/>
      <c r="NLN1725" s="227"/>
      <c r="NLO1725" s="227"/>
      <c r="NLP1725" s="227"/>
      <c r="NLQ1725" s="227"/>
      <c r="NLR1725" s="227"/>
      <c r="NLS1725" s="227"/>
      <c r="NLT1725" s="227"/>
      <c r="NLU1725" s="227"/>
      <c r="NLV1725" s="227"/>
      <c r="NLW1725" s="227"/>
      <c r="NLX1725" s="227"/>
      <c r="NLY1725" s="227"/>
      <c r="NLZ1725" s="227"/>
      <c r="NMA1725" s="227"/>
      <c r="NMB1725" s="227"/>
      <c r="NMC1725" s="227"/>
      <c r="NMD1725" s="227"/>
      <c r="NME1725" s="227"/>
      <c r="NMF1725" s="227"/>
      <c r="NMG1725" s="227"/>
      <c r="NMH1725" s="227"/>
      <c r="NMI1725" s="227"/>
      <c r="NMJ1725" s="227"/>
      <c r="NMK1725" s="227"/>
      <c r="NML1725" s="227"/>
      <c r="NMM1725" s="227"/>
      <c r="NMN1725" s="227"/>
      <c r="NMO1725" s="227"/>
      <c r="NMP1725" s="227"/>
      <c r="NMQ1725" s="227"/>
      <c r="NMR1725" s="227"/>
      <c r="NMS1725" s="227"/>
      <c r="NMT1725" s="227"/>
      <c r="NMU1725" s="227"/>
      <c r="NMV1725" s="227"/>
      <c r="NMW1725" s="227"/>
      <c r="NMX1725" s="227"/>
      <c r="NMY1725" s="227"/>
      <c r="NMZ1725" s="227"/>
      <c r="NNA1725" s="227"/>
      <c r="NNB1725" s="227"/>
      <c r="NNC1725" s="227"/>
      <c r="NND1725" s="227"/>
      <c r="NNE1725" s="227"/>
      <c r="NNF1725" s="227"/>
      <c r="NNG1725" s="227"/>
      <c r="NNH1725" s="227"/>
      <c r="NNI1725" s="227"/>
      <c r="NNJ1725" s="227"/>
      <c r="NNK1725" s="227"/>
      <c r="NNL1725" s="227"/>
      <c r="NNM1725" s="227"/>
      <c r="NNN1725" s="227"/>
      <c r="NNO1725" s="227"/>
      <c r="NNP1725" s="227"/>
      <c r="NNQ1725" s="227"/>
      <c r="NNR1725" s="227"/>
      <c r="NNS1725" s="227"/>
      <c r="NNT1725" s="227"/>
      <c r="NNU1725" s="227"/>
      <c r="NNV1725" s="227"/>
      <c r="NNW1725" s="227"/>
      <c r="NNX1725" s="227"/>
      <c r="NNY1725" s="227"/>
      <c r="NNZ1725" s="227"/>
      <c r="NOA1725" s="227"/>
      <c r="NOB1725" s="227"/>
      <c r="NOC1725" s="227"/>
      <c r="NOD1725" s="227"/>
      <c r="NOE1725" s="227"/>
      <c r="NOF1725" s="227"/>
      <c r="NOG1725" s="227"/>
      <c r="NOH1725" s="227"/>
      <c r="NOI1725" s="227"/>
      <c r="NOJ1725" s="227"/>
      <c r="NOK1725" s="227"/>
      <c r="NOL1725" s="227"/>
      <c r="NOM1725" s="227"/>
      <c r="NON1725" s="227"/>
      <c r="NOO1725" s="227"/>
      <c r="NOP1725" s="227"/>
      <c r="NOQ1725" s="227"/>
      <c r="NOR1725" s="227"/>
      <c r="NOS1725" s="227"/>
      <c r="NOT1725" s="227"/>
      <c r="NOU1725" s="227"/>
      <c r="NOV1725" s="227"/>
      <c r="NOW1725" s="227"/>
      <c r="NOX1725" s="227"/>
      <c r="NOY1725" s="227"/>
      <c r="NOZ1725" s="227"/>
      <c r="NPA1725" s="227"/>
      <c r="NPB1725" s="227"/>
      <c r="NPC1725" s="227"/>
      <c r="NPD1725" s="227"/>
      <c r="NPE1725" s="227"/>
      <c r="NPF1725" s="227"/>
      <c r="NPG1725" s="227"/>
      <c r="NPH1725" s="227"/>
      <c r="NPI1725" s="227"/>
      <c r="NPJ1725" s="227"/>
      <c r="NPK1725" s="227"/>
      <c r="NPL1725" s="227"/>
      <c r="NPM1725" s="227"/>
      <c r="NPN1725" s="227"/>
      <c r="NPO1725" s="227"/>
      <c r="NPP1725" s="227"/>
      <c r="NPQ1725" s="227"/>
      <c r="NPR1725" s="227"/>
      <c r="NPS1725" s="227"/>
      <c r="NPT1725" s="227"/>
      <c r="NPU1725" s="227"/>
      <c r="NPV1725" s="227"/>
      <c r="NPW1725" s="227"/>
      <c r="NPX1725" s="227"/>
      <c r="NPY1725" s="227"/>
      <c r="NPZ1725" s="227"/>
      <c r="NQA1725" s="227"/>
      <c r="NQB1725" s="227"/>
      <c r="NQC1725" s="227"/>
      <c r="NQD1725" s="227"/>
      <c r="NQE1725" s="227"/>
      <c r="NQF1725" s="227"/>
      <c r="NQG1725" s="227"/>
      <c r="NQH1725" s="227"/>
      <c r="NQI1725" s="227"/>
      <c r="NQJ1725" s="227"/>
      <c r="NQK1725" s="227"/>
      <c r="NQL1725" s="227"/>
      <c r="NQM1725" s="227"/>
      <c r="NQN1725" s="227"/>
      <c r="NQO1725" s="227"/>
      <c r="NQP1725" s="227"/>
      <c r="NQQ1725" s="227"/>
      <c r="NQR1725" s="227"/>
      <c r="NQS1725" s="227"/>
      <c r="NQT1725" s="227"/>
      <c r="NQU1725" s="227"/>
      <c r="NQV1725" s="227"/>
      <c r="NQW1725" s="227"/>
      <c r="NQX1725" s="227"/>
      <c r="NQY1725" s="227"/>
      <c r="NQZ1725" s="227"/>
      <c r="NRA1725" s="227"/>
      <c r="NRB1725" s="227"/>
      <c r="NRC1725" s="227"/>
      <c r="NRD1725" s="227"/>
      <c r="NRE1725" s="227"/>
      <c r="NRF1725" s="227"/>
      <c r="NRG1725" s="227"/>
      <c r="NRH1725" s="227"/>
      <c r="NRI1725" s="227"/>
      <c r="NRJ1725" s="227"/>
      <c r="NRK1725" s="227"/>
      <c r="NRL1725" s="227"/>
      <c r="NRM1725" s="227"/>
      <c r="NRN1725" s="227"/>
      <c r="NRO1725" s="227"/>
      <c r="NRP1725" s="227"/>
      <c r="NRQ1725" s="227"/>
      <c r="NRR1725" s="227"/>
      <c r="NRS1725" s="227"/>
      <c r="NRT1725" s="227"/>
      <c r="NRU1725" s="227"/>
      <c r="NRV1725" s="227"/>
      <c r="NRW1725" s="227"/>
      <c r="NRX1725" s="227"/>
      <c r="NRY1725" s="227"/>
      <c r="NRZ1725" s="227"/>
      <c r="NSA1725" s="227"/>
      <c r="NSB1725" s="227"/>
      <c r="NSC1725" s="227"/>
      <c r="NSD1725" s="227"/>
      <c r="NSE1725" s="227"/>
      <c r="NSF1725" s="227"/>
      <c r="NSG1725" s="227"/>
      <c r="NSH1725" s="227"/>
      <c r="NSI1725" s="227"/>
      <c r="NSJ1725" s="227"/>
      <c r="NSK1725" s="227"/>
      <c r="NSL1725" s="227"/>
      <c r="NSM1725" s="227"/>
      <c r="NSN1725" s="227"/>
      <c r="NSO1725" s="227"/>
      <c r="NSP1725" s="227"/>
      <c r="NSQ1725" s="227"/>
      <c r="NSR1725" s="227"/>
      <c r="NSS1725" s="227"/>
      <c r="NST1725" s="227"/>
      <c r="NSU1725" s="227"/>
      <c r="NSV1725" s="227"/>
      <c r="NSW1725" s="227"/>
      <c r="NSX1725" s="227"/>
      <c r="NSY1725" s="227"/>
      <c r="NSZ1725" s="227"/>
      <c r="NTA1725" s="227"/>
      <c r="NTB1725" s="227"/>
      <c r="NTC1725" s="227"/>
      <c r="NTD1725" s="227"/>
      <c r="NTE1725" s="227"/>
      <c r="NTF1725" s="227"/>
      <c r="NTG1725" s="227"/>
      <c r="NTH1725" s="227"/>
      <c r="NTI1725" s="227"/>
      <c r="NTJ1725" s="227"/>
      <c r="NTK1725" s="227"/>
      <c r="NTL1725" s="227"/>
      <c r="NTM1725" s="227"/>
      <c r="NTN1725" s="227"/>
      <c r="NTO1725" s="227"/>
      <c r="NTP1725" s="227"/>
      <c r="NTQ1725" s="227"/>
      <c r="NTR1725" s="227"/>
      <c r="NTS1725" s="227"/>
      <c r="NTT1725" s="227"/>
      <c r="NTU1725" s="227"/>
      <c r="NTV1725" s="227"/>
      <c r="NTW1725" s="227"/>
      <c r="NTX1725" s="227"/>
      <c r="NTY1725" s="227"/>
      <c r="NTZ1725" s="227"/>
      <c r="NUA1725" s="227"/>
      <c r="NUB1725" s="227"/>
      <c r="NUC1725" s="227"/>
      <c r="NUD1725" s="227"/>
      <c r="NUE1725" s="227"/>
      <c r="NUF1725" s="227"/>
      <c r="NUG1725" s="227"/>
      <c r="NUH1725" s="227"/>
      <c r="NUI1725" s="227"/>
      <c r="NUJ1725" s="227"/>
      <c r="NUK1725" s="227"/>
      <c r="NUL1725" s="227"/>
      <c r="NUM1725" s="227"/>
      <c r="NUN1725" s="227"/>
      <c r="NUO1725" s="227"/>
      <c r="NUP1725" s="227"/>
      <c r="NUQ1725" s="227"/>
      <c r="NUR1725" s="227"/>
      <c r="NUS1725" s="227"/>
      <c r="NUT1725" s="227"/>
      <c r="NUU1725" s="227"/>
      <c r="NUV1725" s="227"/>
      <c r="NUW1725" s="227"/>
      <c r="NUX1725" s="227"/>
      <c r="NUY1725" s="227"/>
      <c r="NUZ1725" s="227"/>
      <c r="NVA1725" s="227"/>
      <c r="NVB1725" s="227"/>
      <c r="NVC1725" s="227"/>
      <c r="NVD1725" s="227"/>
      <c r="NVE1725" s="227"/>
      <c r="NVF1725" s="227"/>
      <c r="NVG1725" s="227"/>
      <c r="NVH1725" s="227"/>
      <c r="NVI1725" s="227"/>
      <c r="NVJ1725" s="227"/>
      <c r="NVK1725" s="227"/>
      <c r="NVL1725" s="227"/>
      <c r="NVM1725" s="227"/>
      <c r="NVN1725" s="227"/>
      <c r="NVO1725" s="227"/>
      <c r="NVP1725" s="227"/>
      <c r="NVQ1725" s="227"/>
      <c r="NVR1725" s="227"/>
      <c r="NVS1725" s="227"/>
      <c r="NVT1725" s="227"/>
      <c r="NVU1725" s="227"/>
      <c r="NVV1725" s="227"/>
      <c r="NVW1725" s="227"/>
      <c r="NVX1725" s="227"/>
      <c r="NVY1725" s="227"/>
      <c r="NVZ1725" s="227"/>
      <c r="NWA1725" s="227"/>
      <c r="NWB1725" s="227"/>
      <c r="NWC1725" s="227"/>
      <c r="NWD1725" s="227"/>
      <c r="NWE1725" s="227"/>
      <c r="NWF1725" s="227"/>
      <c r="NWG1725" s="227"/>
      <c r="NWH1725" s="227"/>
      <c r="NWI1725" s="227"/>
      <c r="NWJ1725" s="227"/>
      <c r="NWK1725" s="227"/>
      <c r="NWL1725" s="227"/>
      <c r="NWM1725" s="227"/>
      <c r="NWN1725" s="227"/>
      <c r="NWO1725" s="227"/>
      <c r="NWP1725" s="227"/>
      <c r="NWQ1725" s="227"/>
      <c r="NWR1725" s="227"/>
      <c r="NWS1725" s="227"/>
      <c r="NWT1725" s="227"/>
      <c r="NWU1725" s="227"/>
      <c r="NWV1725" s="227"/>
      <c r="NWW1725" s="227"/>
      <c r="NWX1725" s="227"/>
      <c r="NWY1725" s="227"/>
      <c r="NWZ1725" s="227"/>
      <c r="NXA1725" s="227"/>
      <c r="NXB1725" s="227"/>
      <c r="NXC1725" s="227"/>
      <c r="NXD1725" s="227"/>
      <c r="NXE1725" s="227"/>
      <c r="NXF1725" s="227"/>
      <c r="NXG1725" s="227"/>
      <c r="NXH1725" s="227"/>
      <c r="NXI1725" s="227"/>
      <c r="NXJ1725" s="227"/>
      <c r="NXK1725" s="227"/>
      <c r="NXL1725" s="227"/>
      <c r="NXM1725" s="227"/>
      <c r="NXN1725" s="227"/>
      <c r="NXO1725" s="227"/>
      <c r="NXP1725" s="227"/>
      <c r="NXQ1725" s="227"/>
      <c r="NXR1725" s="227"/>
      <c r="NXS1725" s="227"/>
      <c r="NXT1725" s="227"/>
      <c r="NXU1725" s="227"/>
      <c r="NXV1725" s="227"/>
      <c r="NXW1725" s="227"/>
      <c r="NXX1725" s="227"/>
      <c r="NXY1725" s="227"/>
      <c r="NXZ1725" s="227"/>
      <c r="NYA1725" s="227"/>
      <c r="NYB1725" s="227"/>
      <c r="NYC1725" s="227"/>
      <c r="NYD1725" s="227"/>
      <c r="NYE1725" s="227"/>
      <c r="NYF1725" s="227"/>
      <c r="NYG1725" s="227"/>
      <c r="NYH1725" s="227"/>
      <c r="NYI1725" s="227"/>
      <c r="NYJ1725" s="227"/>
      <c r="NYK1725" s="227"/>
      <c r="NYL1725" s="227"/>
      <c r="NYM1725" s="227"/>
      <c r="NYN1725" s="227"/>
      <c r="NYO1725" s="227"/>
      <c r="NYP1725" s="227"/>
      <c r="NYQ1725" s="227"/>
      <c r="NYR1725" s="227"/>
      <c r="NYS1725" s="227"/>
      <c r="NYT1725" s="227"/>
      <c r="NYU1725" s="227"/>
      <c r="NYV1725" s="227"/>
      <c r="NYW1725" s="227"/>
      <c r="NYX1725" s="227"/>
      <c r="NYY1725" s="227"/>
      <c r="NYZ1725" s="227"/>
      <c r="NZA1725" s="227"/>
      <c r="NZB1725" s="227"/>
      <c r="NZC1725" s="227"/>
      <c r="NZD1725" s="227"/>
      <c r="NZE1725" s="227"/>
      <c r="NZF1725" s="227"/>
      <c r="NZG1725" s="227"/>
      <c r="NZH1725" s="227"/>
      <c r="NZI1725" s="227"/>
      <c r="NZJ1725" s="227"/>
      <c r="NZK1725" s="227"/>
      <c r="NZL1725" s="227"/>
      <c r="NZM1725" s="227"/>
      <c r="NZN1725" s="227"/>
      <c r="NZO1725" s="227"/>
      <c r="NZP1725" s="227"/>
      <c r="NZQ1725" s="227"/>
      <c r="NZR1725" s="227"/>
      <c r="NZS1725" s="227"/>
      <c r="NZT1725" s="227"/>
      <c r="NZU1725" s="227"/>
      <c r="NZV1725" s="227"/>
      <c r="NZW1725" s="227"/>
      <c r="NZX1725" s="227"/>
      <c r="NZY1725" s="227"/>
      <c r="NZZ1725" s="227"/>
      <c r="OAA1725" s="227"/>
      <c r="OAB1725" s="227"/>
      <c r="OAC1725" s="227"/>
      <c r="OAD1725" s="227"/>
      <c r="OAE1725" s="227"/>
      <c r="OAF1725" s="227"/>
      <c r="OAG1725" s="227"/>
      <c r="OAH1725" s="227"/>
      <c r="OAI1725" s="227"/>
      <c r="OAJ1725" s="227"/>
      <c r="OAK1725" s="227"/>
      <c r="OAL1725" s="227"/>
      <c r="OAM1725" s="227"/>
      <c r="OAN1725" s="227"/>
      <c r="OAO1725" s="227"/>
      <c r="OAP1725" s="227"/>
      <c r="OAQ1725" s="227"/>
      <c r="OAR1725" s="227"/>
      <c r="OAS1725" s="227"/>
      <c r="OAT1725" s="227"/>
      <c r="OAU1725" s="227"/>
      <c r="OAV1725" s="227"/>
      <c r="OAW1725" s="227"/>
      <c r="OAX1725" s="227"/>
      <c r="OAY1725" s="227"/>
      <c r="OAZ1725" s="227"/>
      <c r="OBA1725" s="227"/>
      <c r="OBB1725" s="227"/>
      <c r="OBC1725" s="227"/>
      <c r="OBD1725" s="227"/>
      <c r="OBE1725" s="227"/>
      <c r="OBF1725" s="227"/>
      <c r="OBG1725" s="227"/>
      <c r="OBH1725" s="227"/>
      <c r="OBI1725" s="227"/>
      <c r="OBJ1725" s="227"/>
      <c r="OBK1725" s="227"/>
      <c r="OBL1725" s="227"/>
      <c r="OBM1725" s="227"/>
      <c r="OBN1725" s="227"/>
      <c r="OBO1725" s="227"/>
      <c r="OBP1725" s="227"/>
      <c r="OBQ1725" s="227"/>
      <c r="OBR1725" s="227"/>
      <c r="OBS1725" s="227"/>
      <c r="OBT1725" s="227"/>
      <c r="OBU1725" s="227"/>
      <c r="OBV1725" s="227"/>
      <c r="OBW1725" s="227"/>
      <c r="OBX1725" s="227"/>
      <c r="OBY1725" s="227"/>
      <c r="OBZ1725" s="227"/>
      <c r="OCA1725" s="227"/>
      <c r="OCB1725" s="227"/>
      <c r="OCC1725" s="227"/>
      <c r="OCD1725" s="227"/>
      <c r="OCE1725" s="227"/>
      <c r="OCF1725" s="227"/>
      <c r="OCG1725" s="227"/>
      <c r="OCH1725" s="227"/>
      <c r="OCI1725" s="227"/>
      <c r="OCJ1725" s="227"/>
      <c r="OCK1725" s="227"/>
      <c r="OCL1725" s="227"/>
      <c r="OCM1725" s="227"/>
      <c r="OCN1725" s="227"/>
      <c r="OCO1725" s="227"/>
      <c r="OCP1725" s="227"/>
      <c r="OCQ1725" s="227"/>
      <c r="OCR1725" s="227"/>
      <c r="OCS1725" s="227"/>
      <c r="OCT1725" s="227"/>
      <c r="OCU1725" s="227"/>
      <c r="OCV1725" s="227"/>
      <c r="OCW1725" s="227"/>
      <c r="OCX1725" s="227"/>
      <c r="OCY1725" s="227"/>
      <c r="OCZ1725" s="227"/>
      <c r="ODA1725" s="227"/>
      <c r="ODB1725" s="227"/>
      <c r="ODC1725" s="227"/>
      <c r="ODD1725" s="227"/>
      <c r="ODE1725" s="227"/>
      <c r="ODF1725" s="227"/>
      <c r="ODG1725" s="227"/>
      <c r="ODH1725" s="227"/>
      <c r="ODI1725" s="227"/>
      <c r="ODJ1725" s="227"/>
      <c r="ODK1725" s="227"/>
      <c r="ODL1725" s="227"/>
      <c r="ODM1725" s="227"/>
      <c r="ODN1725" s="227"/>
      <c r="ODO1725" s="227"/>
      <c r="ODP1725" s="227"/>
      <c r="ODQ1725" s="227"/>
      <c r="ODR1725" s="227"/>
      <c r="ODS1725" s="227"/>
      <c r="ODT1725" s="227"/>
      <c r="ODU1725" s="227"/>
      <c r="ODV1725" s="227"/>
      <c r="ODW1725" s="227"/>
      <c r="ODX1725" s="227"/>
      <c r="ODY1725" s="227"/>
      <c r="ODZ1725" s="227"/>
      <c r="OEA1725" s="227"/>
      <c r="OEB1725" s="227"/>
      <c r="OEC1725" s="227"/>
      <c r="OED1725" s="227"/>
      <c r="OEE1725" s="227"/>
      <c r="OEF1725" s="227"/>
      <c r="OEG1725" s="227"/>
      <c r="OEH1725" s="227"/>
      <c r="OEI1725" s="227"/>
      <c r="OEJ1725" s="227"/>
      <c r="OEK1725" s="227"/>
      <c r="OEL1725" s="227"/>
      <c r="OEM1725" s="227"/>
      <c r="OEN1725" s="227"/>
      <c r="OEO1725" s="227"/>
      <c r="OEP1725" s="227"/>
      <c r="OEQ1725" s="227"/>
      <c r="OER1725" s="227"/>
      <c r="OES1725" s="227"/>
      <c r="OET1725" s="227"/>
      <c r="OEU1725" s="227"/>
      <c r="OEV1725" s="227"/>
      <c r="OEW1725" s="227"/>
      <c r="OEX1725" s="227"/>
      <c r="OEY1725" s="227"/>
      <c r="OEZ1725" s="227"/>
      <c r="OFA1725" s="227"/>
      <c r="OFB1725" s="227"/>
      <c r="OFC1725" s="227"/>
      <c r="OFD1725" s="227"/>
      <c r="OFE1725" s="227"/>
      <c r="OFF1725" s="227"/>
      <c r="OFG1725" s="227"/>
      <c r="OFH1725" s="227"/>
      <c r="OFI1725" s="227"/>
      <c r="OFJ1725" s="227"/>
      <c r="OFK1725" s="227"/>
      <c r="OFL1725" s="227"/>
      <c r="OFM1725" s="227"/>
      <c r="OFN1725" s="227"/>
      <c r="OFO1725" s="227"/>
      <c r="OFP1725" s="227"/>
      <c r="OFQ1725" s="227"/>
      <c r="OFR1725" s="227"/>
      <c r="OFS1725" s="227"/>
      <c r="OFT1725" s="227"/>
      <c r="OFU1725" s="227"/>
      <c r="OFV1725" s="227"/>
      <c r="OFW1725" s="227"/>
      <c r="OFX1725" s="227"/>
      <c r="OFY1725" s="227"/>
      <c r="OFZ1725" s="227"/>
      <c r="OGA1725" s="227"/>
      <c r="OGB1725" s="227"/>
      <c r="OGC1725" s="227"/>
      <c r="OGD1725" s="227"/>
      <c r="OGE1725" s="227"/>
      <c r="OGF1725" s="227"/>
      <c r="OGG1725" s="227"/>
      <c r="OGH1725" s="227"/>
      <c r="OGI1725" s="227"/>
      <c r="OGJ1725" s="227"/>
      <c r="OGK1725" s="227"/>
      <c r="OGL1725" s="227"/>
      <c r="OGM1725" s="227"/>
      <c r="OGN1725" s="227"/>
      <c r="OGO1725" s="227"/>
      <c r="OGP1725" s="227"/>
      <c r="OGQ1725" s="227"/>
      <c r="OGR1725" s="227"/>
      <c r="OGS1725" s="227"/>
      <c r="OGT1725" s="227"/>
      <c r="OGU1725" s="227"/>
      <c r="OGV1725" s="227"/>
      <c r="OGW1725" s="227"/>
      <c r="OGX1725" s="227"/>
      <c r="OGY1725" s="227"/>
      <c r="OGZ1725" s="227"/>
      <c r="OHA1725" s="227"/>
      <c r="OHB1725" s="227"/>
      <c r="OHC1725" s="227"/>
      <c r="OHD1725" s="227"/>
      <c r="OHE1725" s="227"/>
      <c r="OHF1725" s="227"/>
      <c r="OHG1725" s="227"/>
      <c r="OHH1725" s="227"/>
      <c r="OHI1725" s="227"/>
      <c r="OHJ1725" s="227"/>
      <c r="OHK1725" s="227"/>
      <c r="OHL1725" s="227"/>
      <c r="OHM1725" s="227"/>
      <c r="OHN1725" s="227"/>
      <c r="OHO1725" s="227"/>
      <c r="OHP1725" s="227"/>
      <c r="OHQ1725" s="227"/>
      <c r="OHR1725" s="227"/>
      <c r="OHS1725" s="227"/>
      <c r="OHT1725" s="227"/>
      <c r="OHU1725" s="227"/>
      <c r="OHV1725" s="227"/>
      <c r="OHW1725" s="227"/>
      <c r="OHX1725" s="227"/>
      <c r="OHY1725" s="227"/>
      <c r="OHZ1725" s="227"/>
      <c r="OIA1725" s="227"/>
      <c r="OIB1725" s="227"/>
      <c r="OIC1725" s="227"/>
      <c r="OID1725" s="227"/>
      <c r="OIE1725" s="227"/>
      <c r="OIF1725" s="227"/>
      <c r="OIG1725" s="227"/>
      <c r="OIH1725" s="227"/>
      <c r="OII1725" s="227"/>
      <c r="OIJ1725" s="227"/>
      <c r="OIK1725" s="227"/>
      <c r="OIL1725" s="227"/>
      <c r="OIM1725" s="227"/>
      <c r="OIN1725" s="227"/>
      <c r="OIO1725" s="227"/>
      <c r="OIP1725" s="227"/>
      <c r="OIQ1725" s="227"/>
      <c r="OIR1725" s="227"/>
      <c r="OIS1725" s="227"/>
      <c r="OIT1725" s="227"/>
      <c r="OIU1725" s="227"/>
      <c r="OIV1725" s="227"/>
      <c r="OIW1725" s="227"/>
      <c r="OIX1725" s="227"/>
      <c r="OIY1725" s="227"/>
      <c r="OIZ1725" s="227"/>
      <c r="OJA1725" s="227"/>
      <c r="OJB1725" s="227"/>
      <c r="OJC1725" s="227"/>
      <c r="OJD1725" s="227"/>
      <c r="OJE1725" s="227"/>
      <c r="OJF1725" s="227"/>
      <c r="OJG1725" s="227"/>
      <c r="OJH1725" s="227"/>
      <c r="OJI1725" s="227"/>
      <c r="OJJ1725" s="227"/>
      <c r="OJK1725" s="227"/>
      <c r="OJL1725" s="227"/>
      <c r="OJM1725" s="227"/>
      <c r="OJN1725" s="227"/>
      <c r="OJO1725" s="227"/>
      <c r="OJP1725" s="227"/>
      <c r="OJQ1725" s="227"/>
      <c r="OJR1725" s="227"/>
      <c r="OJS1725" s="227"/>
      <c r="OJT1725" s="227"/>
      <c r="OJU1725" s="227"/>
      <c r="OJV1725" s="227"/>
      <c r="OJW1725" s="227"/>
      <c r="OJX1725" s="227"/>
      <c r="OJY1725" s="227"/>
      <c r="OJZ1725" s="227"/>
      <c r="OKA1725" s="227"/>
      <c r="OKB1725" s="227"/>
      <c r="OKC1725" s="227"/>
      <c r="OKD1725" s="227"/>
      <c r="OKE1725" s="227"/>
      <c r="OKF1725" s="227"/>
      <c r="OKG1725" s="227"/>
      <c r="OKH1725" s="227"/>
      <c r="OKI1725" s="227"/>
      <c r="OKJ1725" s="227"/>
      <c r="OKK1725" s="227"/>
      <c r="OKL1725" s="227"/>
      <c r="OKM1725" s="227"/>
      <c r="OKN1725" s="227"/>
      <c r="OKO1725" s="227"/>
      <c r="OKP1725" s="227"/>
      <c r="OKQ1725" s="227"/>
      <c r="OKR1725" s="227"/>
      <c r="OKS1725" s="227"/>
      <c r="OKT1725" s="227"/>
      <c r="OKU1725" s="227"/>
      <c r="OKV1725" s="227"/>
      <c r="OKW1725" s="227"/>
      <c r="OKX1725" s="227"/>
      <c r="OKY1725" s="227"/>
      <c r="OKZ1725" s="227"/>
      <c r="OLA1725" s="227"/>
      <c r="OLB1725" s="227"/>
      <c r="OLC1725" s="227"/>
      <c r="OLD1725" s="227"/>
      <c r="OLE1725" s="227"/>
      <c r="OLF1725" s="227"/>
      <c r="OLG1725" s="227"/>
      <c r="OLH1725" s="227"/>
      <c r="OLI1725" s="227"/>
      <c r="OLJ1725" s="227"/>
      <c r="OLK1725" s="227"/>
      <c r="OLL1725" s="227"/>
      <c r="OLM1725" s="227"/>
      <c r="OLN1725" s="227"/>
      <c r="OLO1725" s="227"/>
      <c r="OLP1725" s="227"/>
      <c r="OLQ1725" s="227"/>
      <c r="OLR1725" s="227"/>
      <c r="OLS1725" s="227"/>
      <c r="OLT1725" s="227"/>
      <c r="OLU1725" s="227"/>
      <c r="OLV1725" s="227"/>
      <c r="OLW1725" s="227"/>
      <c r="OLX1725" s="227"/>
      <c r="OLY1725" s="227"/>
      <c r="OLZ1725" s="227"/>
      <c r="OMA1725" s="227"/>
      <c r="OMB1725" s="227"/>
      <c r="OMC1725" s="227"/>
      <c r="OMD1725" s="227"/>
      <c r="OME1725" s="227"/>
      <c r="OMF1725" s="227"/>
      <c r="OMG1725" s="227"/>
      <c r="OMH1725" s="227"/>
      <c r="OMI1725" s="227"/>
      <c r="OMJ1725" s="227"/>
      <c r="OMK1725" s="227"/>
      <c r="OML1725" s="227"/>
      <c r="OMM1725" s="227"/>
      <c r="OMN1725" s="227"/>
      <c r="OMO1725" s="227"/>
      <c r="OMP1725" s="227"/>
      <c r="OMQ1725" s="227"/>
      <c r="OMR1725" s="227"/>
      <c r="OMS1725" s="227"/>
      <c r="OMT1725" s="227"/>
      <c r="OMU1725" s="227"/>
      <c r="OMV1725" s="227"/>
      <c r="OMW1725" s="227"/>
      <c r="OMX1725" s="227"/>
      <c r="OMY1725" s="227"/>
      <c r="OMZ1725" s="227"/>
      <c r="ONA1725" s="227"/>
      <c r="ONB1725" s="227"/>
      <c r="ONC1725" s="227"/>
      <c r="OND1725" s="227"/>
      <c r="ONE1725" s="227"/>
      <c r="ONF1725" s="227"/>
      <c r="ONG1725" s="227"/>
      <c r="ONH1725" s="227"/>
      <c r="ONI1725" s="227"/>
      <c r="ONJ1725" s="227"/>
      <c r="ONK1725" s="227"/>
      <c r="ONL1725" s="227"/>
      <c r="ONM1725" s="227"/>
      <c r="ONN1725" s="227"/>
      <c r="ONO1725" s="227"/>
      <c r="ONP1725" s="227"/>
      <c r="ONQ1725" s="227"/>
      <c r="ONR1725" s="227"/>
      <c r="ONS1725" s="227"/>
      <c r="ONT1725" s="227"/>
      <c r="ONU1725" s="227"/>
      <c r="ONV1725" s="227"/>
      <c r="ONW1725" s="227"/>
      <c r="ONX1725" s="227"/>
      <c r="ONY1725" s="227"/>
      <c r="ONZ1725" s="227"/>
      <c r="OOA1725" s="227"/>
      <c r="OOB1725" s="227"/>
      <c r="OOC1725" s="227"/>
      <c r="OOD1725" s="227"/>
      <c r="OOE1725" s="227"/>
      <c r="OOF1725" s="227"/>
      <c r="OOG1725" s="227"/>
      <c r="OOH1725" s="227"/>
      <c r="OOI1725" s="227"/>
      <c r="OOJ1725" s="227"/>
      <c r="OOK1725" s="227"/>
      <c r="OOL1725" s="227"/>
      <c r="OOM1725" s="227"/>
      <c r="OON1725" s="227"/>
      <c r="OOO1725" s="227"/>
      <c r="OOP1725" s="227"/>
      <c r="OOQ1725" s="227"/>
      <c r="OOR1725" s="227"/>
      <c r="OOS1725" s="227"/>
      <c r="OOT1725" s="227"/>
      <c r="OOU1725" s="227"/>
      <c r="OOV1725" s="227"/>
      <c r="OOW1725" s="227"/>
      <c r="OOX1725" s="227"/>
      <c r="OOY1725" s="227"/>
      <c r="OOZ1725" s="227"/>
      <c r="OPA1725" s="227"/>
      <c r="OPB1725" s="227"/>
      <c r="OPC1725" s="227"/>
      <c r="OPD1725" s="227"/>
      <c r="OPE1725" s="227"/>
      <c r="OPF1725" s="227"/>
      <c r="OPG1725" s="227"/>
      <c r="OPH1725" s="227"/>
      <c r="OPI1725" s="227"/>
      <c r="OPJ1725" s="227"/>
      <c r="OPK1725" s="227"/>
      <c r="OPL1725" s="227"/>
      <c r="OPM1725" s="227"/>
      <c r="OPN1725" s="227"/>
      <c r="OPO1725" s="227"/>
      <c r="OPP1725" s="227"/>
      <c r="OPQ1725" s="227"/>
      <c r="OPR1725" s="227"/>
      <c r="OPS1725" s="227"/>
      <c r="OPT1725" s="227"/>
      <c r="OPU1725" s="227"/>
      <c r="OPV1725" s="227"/>
      <c r="OPW1725" s="227"/>
      <c r="OPX1725" s="227"/>
      <c r="OPY1725" s="227"/>
      <c r="OPZ1725" s="227"/>
      <c r="OQA1725" s="227"/>
      <c r="OQB1725" s="227"/>
      <c r="OQC1725" s="227"/>
      <c r="OQD1725" s="227"/>
      <c r="OQE1725" s="227"/>
      <c r="OQF1725" s="227"/>
      <c r="OQG1725" s="227"/>
      <c r="OQH1725" s="227"/>
      <c r="OQI1725" s="227"/>
      <c r="OQJ1725" s="227"/>
      <c r="OQK1725" s="227"/>
      <c r="OQL1725" s="227"/>
      <c r="OQM1725" s="227"/>
      <c r="OQN1725" s="227"/>
      <c r="OQO1725" s="227"/>
      <c r="OQP1725" s="227"/>
      <c r="OQQ1725" s="227"/>
      <c r="OQR1725" s="227"/>
      <c r="OQS1725" s="227"/>
      <c r="OQT1725" s="227"/>
      <c r="OQU1725" s="227"/>
      <c r="OQV1725" s="227"/>
      <c r="OQW1725" s="227"/>
      <c r="OQX1725" s="227"/>
      <c r="OQY1725" s="227"/>
      <c r="OQZ1725" s="227"/>
      <c r="ORA1725" s="227"/>
      <c r="ORB1725" s="227"/>
      <c r="ORC1725" s="227"/>
      <c r="ORD1725" s="227"/>
      <c r="ORE1725" s="227"/>
      <c r="ORF1725" s="227"/>
      <c r="ORG1725" s="227"/>
      <c r="ORH1725" s="227"/>
      <c r="ORI1725" s="227"/>
      <c r="ORJ1725" s="227"/>
      <c r="ORK1725" s="227"/>
      <c r="ORL1725" s="227"/>
      <c r="ORM1725" s="227"/>
      <c r="ORN1725" s="227"/>
      <c r="ORO1725" s="227"/>
      <c r="ORP1725" s="227"/>
      <c r="ORQ1725" s="227"/>
      <c r="ORR1725" s="227"/>
      <c r="ORS1725" s="227"/>
      <c r="ORT1725" s="227"/>
      <c r="ORU1725" s="227"/>
      <c r="ORV1725" s="227"/>
      <c r="ORW1725" s="227"/>
      <c r="ORX1725" s="227"/>
      <c r="ORY1725" s="227"/>
      <c r="ORZ1725" s="227"/>
      <c r="OSA1725" s="227"/>
      <c r="OSB1725" s="227"/>
      <c r="OSC1725" s="227"/>
      <c r="OSD1725" s="227"/>
      <c r="OSE1725" s="227"/>
      <c r="OSF1725" s="227"/>
      <c r="OSG1725" s="227"/>
      <c r="OSH1725" s="227"/>
      <c r="OSI1725" s="227"/>
      <c r="OSJ1725" s="227"/>
      <c r="OSK1725" s="227"/>
      <c r="OSL1725" s="227"/>
      <c r="OSM1725" s="227"/>
      <c r="OSN1725" s="227"/>
      <c r="OSO1725" s="227"/>
      <c r="OSP1725" s="227"/>
      <c r="OSQ1725" s="227"/>
      <c r="OSR1725" s="227"/>
      <c r="OSS1725" s="227"/>
      <c r="OST1725" s="227"/>
      <c r="OSU1725" s="227"/>
      <c r="OSV1725" s="227"/>
      <c r="OSW1725" s="227"/>
      <c r="OSX1725" s="227"/>
      <c r="OSY1725" s="227"/>
      <c r="OSZ1725" s="227"/>
      <c r="OTA1725" s="227"/>
      <c r="OTB1725" s="227"/>
      <c r="OTC1725" s="227"/>
      <c r="OTD1725" s="227"/>
      <c r="OTE1725" s="227"/>
      <c r="OTF1725" s="227"/>
      <c r="OTG1725" s="227"/>
      <c r="OTH1725" s="227"/>
      <c r="OTI1725" s="227"/>
      <c r="OTJ1725" s="227"/>
      <c r="OTK1725" s="227"/>
      <c r="OTL1725" s="227"/>
      <c r="OTM1725" s="227"/>
      <c r="OTN1725" s="227"/>
      <c r="OTO1725" s="227"/>
      <c r="OTP1725" s="227"/>
      <c r="OTQ1725" s="227"/>
      <c r="OTR1725" s="227"/>
      <c r="OTS1725" s="227"/>
      <c r="OTT1725" s="227"/>
      <c r="OTU1725" s="227"/>
      <c r="OTV1725" s="227"/>
      <c r="OTW1725" s="227"/>
      <c r="OTX1725" s="227"/>
      <c r="OTY1725" s="227"/>
      <c r="OTZ1725" s="227"/>
      <c r="OUA1725" s="227"/>
      <c r="OUB1725" s="227"/>
      <c r="OUC1725" s="227"/>
      <c r="OUD1725" s="227"/>
      <c r="OUE1725" s="227"/>
      <c r="OUF1725" s="227"/>
      <c r="OUG1725" s="227"/>
      <c r="OUH1725" s="227"/>
      <c r="OUI1725" s="227"/>
      <c r="OUJ1725" s="227"/>
      <c r="OUK1725" s="227"/>
      <c r="OUL1725" s="227"/>
      <c r="OUM1725" s="227"/>
      <c r="OUN1725" s="227"/>
      <c r="OUO1725" s="227"/>
      <c r="OUP1725" s="227"/>
      <c r="OUQ1725" s="227"/>
      <c r="OUR1725" s="227"/>
      <c r="OUS1725" s="227"/>
      <c r="OUT1725" s="227"/>
      <c r="OUU1725" s="227"/>
      <c r="OUV1725" s="227"/>
      <c r="OUW1725" s="227"/>
      <c r="OUX1725" s="227"/>
      <c r="OUY1725" s="227"/>
      <c r="OUZ1725" s="227"/>
      <c r="OVA1725" s="227"/>
      <c r="OVB1725" s="227"/>
      <c r="OVC1725" s="227"/>
      <c r="OVD1725" s="227"/>
      <c r="OVE1725" s="227"/>
      <c r="OVF1725" s="227"/>
      <c r="OVG1725" s="227"/>
      <c r="OVH1725" s="227"/>
      <c r="OVI1725" s="227"/>
      <c r="OVJ1725" s="227"/>
      <c r="OVK1725" s="227"/>
      <c r="OVL1725" s="227"/>
      <c r="OVM1725" s="227"/>
      <c r="OVN1725" s="227"/>
      <c r="OVO1725" s="227"/>
      <c r="OVP1725" s="227"/>
      <c r="OVQ1725" s="227"/>
      <c r="OVR1725" s="227"/>
      <c r="OVS1725" s="227"/>
      <c r="OVT1725" s="227"/>
      <c r="OVU1725" s="227"/>
      <c r="OVV1725" s="227"/>
      <c r="OVW1725" s="227"/>
      <c r="OVX1725" s="227"/>
      <c r="OVY1725" s="227"/>
      <c r="OVZ1725" s="227"/>
      <c r="OWA1725" s="227"/>
      <c r="OWB1725" s="227"/>
      <c r="OWC1725" s="227"/>
      <c r="OWD1725" s="227"/>
      <c r="OWE1725" s="227"/>
      <c r="OWF1725" s="227"/>
      <c r="OWG1725" s="227"/>
      <c r="OWH1725" s="227"/>
      <c r="OWI1725" s="227"/>
      <c r="OWJ1725" s="227"/>
      <c r="OWK1725" s="227"/>
      <c r="OWL1725" s="227"/>
      <c r="OWM1725" s="227"/>
      <c r="OWN1725" s="227"/>
      <c r="OWO1725" s="227"/>
      <c r="OWP1725" s="227"/>
      <c r="OWQ1725" s="227"/>
      <c r="OWR1725" s="227"/>
      <c r="OWS1725" s="227"/>
      <c r="OWT1725" s="227"/>
      <c r="OWU1725" s="227"/>
      <c r="OWV1725" s="227"/>
      <c r="OWW1725" s="227"/>
      <c r="OWX1725" s="227"/>
      <c r="OWY1725" s="227"/>
      <c r="OWZ1725" s="227"/>
      <c r="OXA1725" s="227"/>
      <c r="OXB1725" s="227"/>
      <c r="OXC1725" s="227"/>
      <c r="OXD1725" s="227"/>
      <c r="OXE1725" s="227"/>
      <c r="OXF1725" s="227"/>
      <c r="OXG1725" s="227"/>
      <c r="OXH1725" s="227"/>
      <c r="OXI1725" s="227"/>
      <c r="OXJ1725" s="227"/>
      <c r="OXK1725" s="227"/>
      <c r="OXL1725" s="227"/>
      <c r="OXM1725" s="227"/>
      <c r="OXN1725" s="227"/>
      <c r="OXO1725" s="227"/>
      <c r="OXP1725" s="227"/>
      <c r="OXQ1725" s="227"/>
      <c r="OXR1725" s="227"/>
      <c r="OXS1725" s="227"/>
      <c r="OXT1725" s="227"/>
      <c r="OXU1725" s="227"/>
      <c r="OXV1725" s="227"/>
      <c r="OXW1725" s="227"/>
      <c r="OXX1725" s="227"/>
      <c r="OXY1725" s="227"/>
      <c r="OXZ1725" s="227"/>
      <c r="OYA1725" s="227"/>
      <c r="OYB1725" s="227"/>
      <c r="OYC1725" s="227"/>
      <c r="OYD1725" s="227"/>
      <c r="OYE1725" s="227"/>
      <c r="OYF1725" s="227"/>
      <c r="OYG1725" s="227"/>
      <c r="OYH1725" s="227"/>
      <c r="OYI1725" s="227"/>
      <c r="OYJ1725" s="227"/>
      <c r="OYK1725" s="227"/>
      <c r="OYL1725" s="227"/>
      <c r="OYM1725" s="227"/>
      <c r="OYN1725" s="227"/>
      <c r="OYO1725" s="227"/>
      <c r="OYP1725" s="227"/>
      <c r="OYQ1725" s="227"/>
      <c r="OYR1725" s="227"/>
      <c r="OYS1725" s="227"/>
      <c r="OYT1725" s="227"/>
      <c r="OYU1725" s="227"/>
      <c r="OYV1725" s="227"/>
      <c r="OYW1725" s="227"/>
      <c r="OYX1725" s="227"/>
      <c r="OYY1725" s="227"/>
      <c r="OYZ1725" s="227"/>
      <c r="OZA1725" s="227"/>
      <c r="OZB1725" s="227"/>
      <c r="OZC1725" s="227"/>
      <c r="OZD1725" s="227"/>
      <c r="OZE1725" s="227"/>
      <c r="OZF1725" s="227"/>
      <c r="OZG1725" s="227"/>
      <c r="OZH1725" s="227"/>
      <c r="OZI1725" s="227"/>
      <c r="OZJ1725" s="227"/>
      <c r="OZK1725" s="227"/>
      <c r="OZL1725" s="227"/>
      <c r="OZM1725" s="227"/>
      <c r="OZN1725" s="227"/>
      <c r="OZO1725" s="227"/>
      <c r="OZP1725" s="227"/>
      <c r="OZQ1725" s="227"/>
      <c r="OZR1725" s="227"/>
      <c r="OZS1725" s="227"/>
      <c r="OZT1725" s="227"/>
      <c r="OZU1725" s="227"/>
      <c r="OZV1725" s="227"/>
      <c r="OZW1725" s="227"/>
      <c r="OZX1725" s="227"/>
      <c r="OZY1725" s="227"/>
      <c r="OZZ1725" s="227"/>
      <c r="PAA1725" s="227"/>
      <c r="PAB1725" s="227"/>
      <c r="PAC1725" s="227"/>
      <c r="PAD1725" s="227"/>
      <c r="PAE1725" s="227"/>
      <c r="PAF1725" s="227"/>
      <c r="PAG1725" s="227"/>
      <c r="PAH1725" s="227"/>
      <c r="PAI1725" s="227"/>
      <c r="PAJ1725" s="227"/>
      <c r="PAK1725" s="227"/>
      <c r="PAL1725" s="227"/>
      <c r="PAM1725" s="227"/>
      <c r="PAN1725" s="227"/>
      <c r="PAO1725" s="227"/>
      <c r="PAP1725" s="227"/>
      <c r="PAQ1725" s="227"/>
      <c r="PAR1725" s="227"/>
      <c r="PAS1725" s="227"/>
      <c r="PAT1725" s="227"/>
      <c r="PAU1725" s="227"/>
      <c r="PAV1725" s="227"/>
      <c r="PAW1725" s="227"/>
      <c r="PAX1725" s="227"/>
      <c r="PAY1725" s="227"/>
      <c r="PAZ1725" s="227"/>
      <c r="PBA1725" s="227"/>
      <c r="PBB1725" s="227"/>
      <c r="PBC1725" s="227"/>
      <c r="PBD1725" s="227"/>
      <c r="PBE1725" s="227"/>
      <c r="PBF1725" s="227"/>
      <c r="PBG1725" s="227"/>
      <c r="PBH1725" s="227"/>
      <c r="PBI1725" s="227"/>
      <c r="PBJ1725" s="227"/>
      <c r="PBK1725" s="227"/>
      <c r="PBL1725" s="227"/>
      <c r="PBM1725" s="227"/>
      <c r="PBN1725" s="227"/>
      <c r="PBO1725" s="227"/>
      <c r="PBP1725" s="227"/>
      <c r="PBQ1725" s="227"/>
      <c r="PBR1725" s="227"/>
      <c r="PBS1725" s="227"/>
      <c r="PBT1725" s="227"/>
      <c r="PBU1725" s="227"/>
      <c r="PBV1725" s="227"/>
      <c r="PBW1725" s="227"/>
      <c r="PBX1725" s="227"/>
      <c r="PBY1725" s="227"/>
      <c r="PBZ1725" s="227"/>
      <c r="PCA1725" s="227"/>
      <c r="PCB1725" s="227"/>
      <c r="PCC1725" s="227"/>
      <c r="PCD1725" s="227"/>
      <c r="PCE1725" s="227"/>
      <c r="PCF1725" s="227"/>
      <c r="PCG1725" s="227"/>
      <c r="PCH1725" s="227"/>
      <c r="PCI1725" s="227"/>
      <c r="PCJ1725" s="227"/>
      <c r="PCK1725" s="227"/>
      <c r="PCL1725" s="227"/>
      <c r="PCM1725" s="227"/>
      <c r="PCN1725" s="227"/>
      <c r="PCO1725" s="227"/>
      <c r="PCP1725" s="227"/>
      <c r="PCQ1725" s="227"/>
      <c r="PCR1725" s="227"/>
      <c r="PCS1725" s="227"/>
      <c r="PCT1725" s="227"/>
      <c r="PCU1725" s="227"/>
      <c r="PCV1725" s="227"/>
      <c r="PCW1725" s="227"/>
      <c r="PCX1725" s="227"/>
      <c r="PCY1725" s="227"/>
      <c r="PCZ1725" s="227"/>
      <c r="PDA1725" s="227"/>
      <c r="PDB1725" s="227"/>
      <c r="PDC1725" s="227"/>
      <c r="PDD1725" s="227"/>
      <c r="PDE1725" s="227"/>
      <c r="PDF1725" s="227"/>
      <c r="PDG1725" s="227"/>
      <c r="PDH1725" s="227"/>
      <c r="PDI1725" s="227"/>
      <c r="PDJ1725" s="227"/>
      <c r="PDK1725" s="227"/>
      <c r="PDL1725" s="227"/>
      <c r="PDM1725" s="227"/>
      <c r="PDN1725" s="227"/>
      <c r="PDO1725" s="227"/>
      <c r="PDP1725" s="227"/>
      <c r="PDQ1725" s="227"/>
      <c r="PDR1725" s="227"/>
      <c r="PDS1725" s="227"/>
      <c r="PDT1725" s="227"/>
      <c r="PDU1725" s="227"/>
      <c r="PDV1725" s="227"/>
      <c r="PDW1725" s="227"/>
      <c r="PDX1725" s="227"/>
      <c r="PDY1725" s="227"/>
      <c r="PDZ1725" s="227"/>
      <c r="PEA1725" s="227"/>
      <c r="PEB1725" s="227"/>
      <c r="PEC1725" s="227"/>
      <c r="PED1725" s="227"/>
      <c r="PEE1725" s="227"/>
      <c r="PEF1725" s="227"/>
      <c r="PEG1725" s="227"/>
      <c r="PEH1725" s="227"/>
      <c r="PEI1725" s="227"/>
      <c r="PEJ1725" s="227"/>
      <c r="PEK1725" s="227"/>
      <c r="PEL1725" s="227"/>
      <c r="PEM1725" s="227"/>
      <c r="PEN1725" s="227"/>
      <c r="PEO1725" s="227"/>
      <c r="PEP1725" s="227"/>
      <c r="PEQ1725" s="227"/>
      <c r="PER1725" s="227"/>
      <c r="PES1725" s="227"/>
      <c r="PET1725" s="227"/>
      <c r="PEU1725" s="227"/>
      <c r="PEV1725" s="227"/>
      <c r="PEW1725" s="227"/>
      <c r="PEX1725" s="227"/>
      <c r="PEY1725" s="227"/>
      <c r="PEZ1725" s="227"/>
      <c r="PFA1725" s="227"/>
      <c r="PFB1725" s="227"/>
      <c r="PFC1725" s="227"/>
      <c r="PFD1725" s="227"/>
      <c r="PFE1725" s="227"/>
      <c r="PFF1725" s="227"/>
      <c r="PFG1725" s="227"/>
      <c r="PFH1725" s="227"/>
      <c r="PFI1725" s="227"/>
      <c r="PFJ1725" s="227"/>
      <c r="PFK1725" s="227"/>
      <c r="PFL1725" s="227"/>
      <c r="PFM1725" s="227"/>
      <c r="PFN1725" s="227"/>
      <c r="PFO1725" s="227"/>
      <c r="PFP1725" s="227"/>
      <c r="PFQ1725" s="227"/>
      <c r="PFR1725" s="227"/>
      <c r="PFS1725" s="227"/>
      <c r="PFT1725" s="227"/>
      <c r="PFU1725" s="227"/>
      <c r="PFV1725" s="227"/>
      <c r="PFW1725" s="227"/>
      <c r="PFX1725" s="227"/>
      <c r="PFY1725" s="227"/>
      <c r="PFZ1725" s="227"/>
      <c r="PGA1725" s="227"/>
      <c r="PGB1725" s="227"/>
      <c r="PGC1725" s="227"/>
      <c r="PGD1725" s="227"/>
      <c r="PGE1725" s="227"/>
      <c r="PGF1725" s="227"/>
      <c r="PGG1725" s="227"/>
      <c r="PGH1725" s="227"/>
      <c r="PGI1725" s="227"/>
      <c r="PGJ1725" s="227"/>
      <c r="PGK1725" s="227"/>
      <c r="PGL1725" s="227"/>
      <c r="PGM1725" s="227"/>
      <c r="PGN1725" s="227"/>
      <c r="PGO1725" s="227"/>
      <c r="PGP1725" s="227"/>
      <c r="PGQ1725" s="227"/>
      <c r="PGR1725" s="227"/>
      <c r="PGS1725" s="227"/>
      <c r="PGT1725" s="227"/>
      <c r="PGU1725" s="227"/>
      <c r="PGV1725" s="227"/>
      <c r="PGW1725" s="227"/>
      <c r="PGX1725" s="227"/>
      <c r="PGY1725" s="227"/>
      <c r="PGZ1725" s="227"/>
      <c r="PHA1725" s="227"/>
      <c r="PHB1725" s="227"/>
      <c r="PHC1725" s="227"/>
      <c r="PHD1725" s="227"/>
      <c r="PHE1725" s="227"/>
      <c r="PHF1725" s="227"/>
      <c r="PHG1725" s="227"/>
      <c r="PHH1725" s="227"/>
      <c r="PHI1725" s="227"/>
      <c r="PHJ1725" s="227"/>
      <c r="PHK1725" s="227"/>
      <c r="PHL1725" s="227"/>
      <c r="PHM1725" s="227"/>
      <c r="PHN1725" s="227"/>
      <c r="PHO1725" s="227"/>
      <c r="PHP1725" s="227"/>
      <c r="PHQ1725" s="227"/>
      <c r="PHR1725" s="227"/>
      <c r="PHS1725" s="227"/>
      <c r="PHT1725" s="227"/>
      <c r="PHU1725" s="227"/>
      <c r="PHV1725" s="227"/>
      <c r="PHW1725" s="227"/>
      <c r="PHX1725" s="227"/>
      <c r="PHY1725" s="227"/>
      <c r="PHZ1725" s="227"/>
      <c r="PIA1725" s="227"/>
      <c r="PIB1725" s="227"/>
      <c r="PIC1725" s="227"/>
      <c r="PID1725" s="227"/>
      <c r="PIE1725" s="227"/>
      <c r="PIF1725" s="227"/>
      <c r="PIG1725" s="227"/>
      <c r="PIH1725" s="227"/>
      <c r="PII1725" s="227"/>
      <c r="PIJ1725" s="227"/>
      <c r="PIK1725" s="227"/>
      <c r="PIL1725" s="227"/>
      <c r="PIM1725" s="227"/>
      <c r="PIN1725" s="227"/>
      <c r="PIO1725" s="227"/>
      <c r="PIP1725" s="227"/>
      <c r="PIQ1725" s="227"/>
      <c r="PIR1725" s="227"/>
      <c r="PIS1725" s="227"/>
      <c r="PIT1725" s="227"/>
      <c r="PIU1725" s="227"/>
      <c r="PIV1725" s="227"/>
      <c r="PIW1725" s="227"/>
      <c r="PIX1725" s="227"/>
      <c r="PIY1725" s="227"/>
      <c r="PIZ1725" s="227"/>
      <c r="PJA1725" s="227"/>
      <c r="PJB1725" s="227"/>
      <c r="PJC1725" s="227"/>
      <c r="PJD1725" s="227"/>
      <c r="PJE1725" s="227"/>
      <c r="PJF1725" s="227"/>
      <c r="PJG1725" s="227"/>
      <c r="PJH1725" s="227"/>
      <c r="PJI1725" s="227"/>
      <c r="PJJ1725" s="227"/>
      <c r="PJK1725" s="227"/>
      <c r="PJL1725" s="227"/>
      <c r="PJM1725" s="227"/>
      <c r="PJN1725" s="227"/>
      <c r="PJO1725" s="227"/>
      <c r="PJP1725" s="227"/>
      <c r="PJQ1725" s="227"/>
      <c r="PJR1725" s="227"/>
      <c r="PJS1725" s="227"/>
      <c r="PJT1725" s="227"/>
      <c r="PJU1725" s="227"/>
      <c r="PJV1725" s="227"/>
      <c r="PJW1725" s="227"/>
      <c r="PJX1725" s="227"/>
      <c r="PJY1725" s="227"/>
      <c r="PJZ1725" s="227"/>
      <c r="PKA1725" s="227"/>
      <c r="PKB1725" s="227"/>
      <c r="PKC1725" s="227"/>
      <c r="PKD1725" s="227"/>
      <c r="PKE1725" s="227"/>
      <c r="PKF1725" s="227"/>
      <c r="PKG1725" s="227"/>
      <c r="PKH1725" s="227"/>
      <c r="PKI1725" s="227"/>
      <c r="PKJ1725" s="227"/>
      <c r="PKK1725" s="227"/>
      <c r="PKL1725" s="227"/>
      <c r="PKM1725" s="227"/>
      <c r="PKN1725" s="227"/>
      <c r="PKO1725" s="227"/>
      <c r="PKP1725" s="227"/>
      <c r="PKQ1725" s="227"/>
      <c r="PKR1725" s="227"/>
      <c r="PKS1725" s="227"/>
      <c r="PKT1725" s="227"/>
      <c r="PKU1725" s="227"/>
      <c r="PKV1725" s="227"/>
      <c r="PKW1725" s="227"/>
      <c r="PKX1725" s="227"/>
      <c r="PKY1725" s="227"/>
      <c r="PKZ1725" s="227"/>
      <c r="PLA1725" s="227"/>
      <c r="PLB1725" s="227"/>
      <c r="PLC1725" s="227"/>
      <c r="PLD1725" s="227"/>
      <c r="PLE1725" s="227"/>
      <c r="PLF1725" s="227"/>
      <c r="PLG1725" s="227"/>
      <c r="PLH1725" s="227"/>
      <c r="PLI1725" s="227"/>
      <c r="PLJ1725" s="227"/>
      <c r="PLK1725" s="227"/>
      <c r="PLL1725" s="227"/>
      <c r="PLM1725" s="227"/>
      <c r="PLN1725" s="227"/>
      <c r="PLO1725" s="227"/>
      <c r="PLP1725" s="227"/>
      <c r="PLQ1725" s="227"/>
      <c r="PLR1725" s="227"/>
      <c r="PLS1725" s="227"/>
      <c r="PLT1725" s="227"/>
      <c r="PLU1725" s="227"/>
      <c r="PLV1725" s="227"/>
      <c r="PLW1725" s="227"/>
      <c r="PLX1725" s="227"/>
      <c r="PLY1725" s="227"/>
      <c r="PLZ1725" s="227"/>
      <c r="PMA1725" s="227"/>
      <c r="PMB1725" s="227"/>
      <c r="PMC1725" s="227"/>
      <c r="PMD1725" s="227"/>
      <c r="PME1725" s="227"/>
      <c r="PMF1725" s="227"/>
      <c r="PMG1725" s="227"/>
      <c r="PMH1725" s="227"/>
      <c r="PMI1725" s="227"/>
      <c r="PMJ1725" s="227"/>
      <c r="PMK1725" s="227"/>
      <c r="PML1725" s="227"/>
      <c r="PMM1725" s="227"/>
      <c r="PMN1725" s="227"/>
      <c r="PMO1725" s="227"/>
      <c r="PMP1725" s="227"/>
      <c r="PMQ1725" s="227"/>
      <c r="PMR1725" s="227"/>
      <c r="PMS1725" s="227"/>
      <c r="PMT1725" s="227"/>
      <c r="PMU1725" s="227"/>
      <c r="PMV1725" s="227"/>
      <c r="PMW1725" s="227"/>
      <c r="PMX1725" s="227"/>
      <c r="PMY1725" s="227"/>
      <c r="PMZ1725" s="227"/>
      <c r="PNA1725" s="227"/>
      <c r="PNB1725" s="227"/>
      <c r="PNC1725" s="227"/>
      <c r="PND1725" s="227"/>
      <c r="PNE1725" s="227"/>
      <c r="PNF1725" s="227"/>
      <c r="PNG1725" s="227"/>
      <c r="PNH1725" s="227"/>
      <c r="PNI1725" s="227"/>
      <c r="PNJ1725" s="227"/>
      <c r="PNK1725" s="227"/>
      <c r="PNL1725" s="227"/>
      <c r="PNM1725" s="227"/>
      <c r="PNN1725" s="227"/>
      <c r="PNO1725" s="227"/>
      <c r="PNP1725" s="227"/>
      <c r="PNQ1725" s="227"/>
      <c r="PNR1725" s="227"/>
      <c r="PNS1725" s="227"/>
      <c r="PNT1725" s="227"/>
      <c r="PNU1725" s="227"/>
      <c r="PNV1725" s="227"/>
      <c r="PNW1725" s="227"/>
      <c r="PNX1725" s="227"/>
      <c r="PNY1725" s="227"/>
      <c r="PNZ1725" s="227"/>
      <c r="POA1725" s="227"/>
      <c r="POB1725" s="227"/>
      <c r="POC1725" s="227"/>
      <c r="POD1725" s="227"/>
      <c r="POE1725" s="227"/>
      <c r="POF1725" s="227"/>
      <c r="POG1725" s="227"/>
      <c r="POH1725" s="227"/>
      <c r="POI1725" s="227"/>
      <c r="POJ1725" s="227"/>
      <c r="POK1725" s="227"/>
      <c r="POL1725" s="227"/>
      <c r="POM1725" s="227"/>
      <c r="PON1725" s="227"/>
      <c r="POO1725" s="227"/>
      <c r="POP1725" s="227"/>
      <c r="POQ1725" s="227"/>
      <c r="POR1725" s="227"/>
      <c r="POS1725" s="227"/>
      <c r="POT1725" s="227"/>
      <c r="POU1725" s="227"/>
      <c r="POV1725" s="227"/>
      <c r="POW1725" s="227"/>
      <c r="POX1725" s="227"/>
      <c r="POY1725" s="227"/>
      <c r="POZ1725" s="227"/>
      <c r="PPA1725" s="227"/>
      <c r="PPB1725" s="227"/>
      <c r="PPC1725" s="227"/>
      <c r="PPD1725" s="227"/>
      <c r="PPE1725" s="227"/>
      <c r="PPF1725" s="227"/>
      <c r="PPG1725" s="227"/>
      <c r="PPH1725" s="227"/>
      <c r="PPI1725" s="227"/>
      <c r="PPJ1725" s="227"/>
      <c r="PPK1725" s="227"/>
      <c r="PPL1725" s="227"/>
      <c r="PPM1725" s="227"/>
      <c r="PPN1725" s="227"/>
      <c r="PPO1725" s="227"/>
      <c r="PPP1725" s="227"/>
      <c r="PPQ1725" s="227"/>
      <c r="PPR1725" s="227"/>
      <c r="PPS1725" s="227"/>
      <c r="PPT1725" s="227"/>
      <c r="PPU1725" s="227"/>
      <c r="PPV1725" s="227"/>
      <c r="PPW1725" s="227"/>
      <c r="PPX1725" s="227"/>
      <c r="PPY1725" s="227"/>
      <c r="PPZ1725" s="227"/>
      <c r="PQA1725" s="227"/>
      <c r="PQB1725" s="227"/>
      <c r="PQC1725" s="227"/>
      <c r="PQD1725" s="227"/>
      <c r="PQE1725" s="227"/>
      <c r="PQF1725" s="227"/>
      <c r="PQG1725" s="227"/>
      <c r="PQH1725" s="227"/>
      <c r="PQI1725" s="227"/>
      <c r="PQJ1725" s="227"/>
      <c r="PQK1725" s="227"/>
      <c r="PQL1725" s="227"/>
      <c r="PQM1725" s="227"/>
      <c r="PQN1725" s="227"/>
      <c r="PQO1725" s="227"/>
      <c r="PQP1725" s="227"/>
      <c r="PQQ1725" s="227"/>
      <c r="PQR1725" s="227"/>
      <c r="PQS1725" s="227"/>
      <c r="PQT1725" s="227"/>
      <c r="PQU1725" s="227"/>
      <c r="PQV1725" s="227"/>
      <c r="PQW1725" s="227"/>
      <c r="PQX1725" s="227"/>
      <c r="PQY1725" s="227"/>
      <c r="PQZ1725" s="227"/>
      <c r="PRA1725" s="227"/>
      <c r="PRB1725" s="227"/>
      <c r="PRC1725" s="227"/>
      <c r="PRD1725" s="227"/>
      <c r="PRE1725" s="227"/>
      <c r="PRF1725" s="227"/>
      <c r="PRG1725" s="227"/>
      <c r="PRH1725" s="227"/>
      <c r="PRI1725" s="227"/>
      <c r="PRJ1725" s="227"/>
      <c r="PRK1725" s="227"/>
      <c r="PRL1725" s="227"/>
      <c r="PRM1725" s="227"/>
      <c r="PRN1725" s="227"/>
      <c r="PRO1725" s="227"/>
      <c r="PRP1725" s="227"/>
      <c r="PRQ1725" s="227"/>
      <c r="PRR1725" s="227"/>
      <c r="PRS1725" s="227"/>
      <c r="PRT1725" s="227"/>
      <c r="PRU1725" s="227"/>
      <c r="PRV1725" s="227"/>
      <c r="PRW1725" s="227"/>
      <c r="PRX1725" s="227"/>
      <c r="PRY1725" s="227"/>
      <c r="PRZ1725" s="227"/>
      <c r="PSA1725" s="227"/>
      <c r="PSB1725" s="227"/>
      <c r="PSC1725" s="227"/>
      <c r="PSD1725" s="227"/>
      <c r="PSE1725" s="227"/>
      <c r="PSF1725" s="227"/>
      <c r="PSG1725" s="227"/>
      <c r="PSH1725" s="227"/>
      <c r="PSI1725" s="227"/>
      <c r="PSJ1725" s="227"/>
      <c r="PSK1725" s="227"/>
      <c r="PSL1725" s="227"/>
      <c r="PSM1725" s="227"/>
      <c r="PSN1725" s="227"/>
      <c r="PSO1725" s="227"/>
      <c r="PSP1725" s="227"/>
      <c r="PSQ1725" s="227"/>
      <c r="PSR1725" s="227"/>
      <c r="PSS1725" s="227"/>
      <c r="PST1725" s="227"/>
      <c r="PSU1725" s="227"/>
      <c r="PSV1725" s="227"/>
      <c r="PSW1725" s="227"/>
      <c r="PSX1725" s="227"/>
      <c r="PSY1725" s="227"/>
      <c r="PSZ1725" s="227"/>
      <c r="PTA1725" s="227"/>
      <c r="PTB1725" s="227"/>
      <c r="PTC1725" s="227"/>
      <c r="PTD1725" s="227"/>
      <c r="PTE1725" s="227"/>
      <c r="PTF1725" s="227"/>
      <c r="PTG1725" s="227"/>
      <c r="PTH1725" s="227"/>
      <c r="PTI1725" s="227"/>
      <c r="PTJ1725" s="227"/>
      <c r="PTK1725" s="227"/>
      <c r="PTL1725" s="227"/>
      <c r="PTM1725" s="227"/>
      <c r="PTN1725" s="227"/>
      <c r="PTO1725" s="227"/>
      <c r="PTP1725" s="227"/>
      <c r="PTQ1725" s="227"/>
      <c r="PTR1725" s="227"/>
      <c r="PTS1725" s="227"/>
      <c r="PTT1725" s="227"/>
      <c r="PTU1725" s="227"/>
      <c r="PTV1725" s="227"/>
      <c r="PTW1725" s="227"/>
      <c r="PTX1725" s="227"/>
      <c r="PTY1725" s="227"/>
      <c r="PTZ1725" s="227"/>
      <c r="PUA1725" s="227"/>
      <c r="PUB1725" s="227"/>
      <c r="PUC1725" s="227"/>
      <c r="PUD1725" s="227"/>
      <c r="PUE1725" s="227"/>
      <c r="PUF1725" s="227"/>
      <c r="PUG1725" s="227"/>
      <c r="PUH1725" s="227"/>
      <c r="PUI1725" s="227"/>
      <c r="PUJ1725" s="227"/>
      <c r="PUK1725" s="227"/>
      <c r="PUL1725" s="227"/>
      <c r="PUM1725" s="227"/>
      <c r="PUN1725" s="227"/>
      <c r="PUO1725" s="227"/>
      <c r="PUP1725" s="227"/>
      <c r="PUQ1725" s="227"/>
      <c r="PUR1725" s="227"/>
      <c r="PUS1725" s="227"/>
      <c r="PUT1725" s="227"/>
      <c r="PUU1725" s="227"/>
      <c r="PUV1725" s="227"/>
      <c r="PUW1725" s="227"/>
      <c r="PUX1725" s="227"/>
      <c r="PUY1725" s="227"/>
      <c r="PUZ1725" s="227"/>
      <c r="PVA1725" s="227"/>
      <c r="PVB1725" s="227"/>
      <c r="PVC1725" s="227"/>
      <c r="PVD1725" s="227"/>
      <c r="PVE1725" s="227"/>
      <c r="PVF1725" s="227"/>
      <c r="PVG1725" s="227"/>
      <c r="PVH1725" s="227"/>
      <c r="PVI1725" s="227"/>
      <c r="PVJ1725" s="227"/>
      <c r="PVK1725" s="227"/>
      <c r="PVL1725" s="227"/>
      <c r="PVM1725" s="227"/>
      <c r="PVN1725" s="227"/>
      <c r="PVO1725" s="227"/>
      <c r="PVP1725" s="227"/>
      <c r="PVQ1725" s="227"/>
      <c r="PVR1725" s="227"/>
      <c r="PVS1725" s="227"/>
      <c r="PVT1725" s="227"/>
      <c r="PVU1725" s="227"/>
      <c r="PVV1725" s="227"/>
      <c r="PVW1725" s="227"/>
      <c r="PVX1725" s="227"/>
      <c r="PVY1725" s="227"/>
      <c r="PVZ1725" s="227"/>
      <c r="PWA1725" s="227"/>
      <c r="PWB1725" s="227"/>
      <c r="PWC1725" s="227"/>
      <c r="PWD1725" s="227"/>
      <c r="PWE1725" s="227"/>
      <c r="PWF1725" s="227"/>
      <c r="PWG1725" s="227"/>
      <c r="PWH1725" s="227"/>
      <c r="PWI1725" s="227"/>
      <c r="PWJ1725" s="227"/>
      <c r="PWK1725" s="227"/>
      <c r="PWL1725" s="227"/>
      <c r="PWM1725" s="227"/>
      <c r="PWN1725" s="227"/>
      <c r="PWO1725" s="227"/>
      <c r="PWP1725" s="227"/>
      <c r="PWQ1725" s="227"/>
      <c r="PWR1725" s="227"/>
      <c r="PWS1725" s="227"/>
      <c r="PWT1725" s="227"/>
      <c r="PWU1725" s="227"/>
      <c r="PWV1725" s="227"/>
      <c r="PWW1725" s="227"/>
      <c r="PWX1725" s="227"/>
      <c r="PWY1725" s="227"/>
      <c r="PWZ1725" s="227"/>
      <c r="PXA1725" s="227"/>
      <c r="PXB1725" s="227"/>
      <c r="PXC1725" s="227"/>
      <c r="PXD1725" s="227"/>
      <c r="PXE1725" s="227"/>
      <c r="PXF1725" s="227"/>
      <c r="PXG1725" s="227"/>
      <c r="PXH1725" s="227"/>
      <c r="PXI1725" s="227"/>
      <c r="PXJ1725" s="227"/>
      <c r="PXK1725" s="227"/>
      <c r="PXL1725" s="227"/>
      <c r="PXM1725" s="227"/>
      <c r="PXN1725" s="227"/>
      <c r="PXO1725" s="227"/>
      <c r="PXP1725" s="227"/>
      <c r="PXQ1725" s="227"/>
      <c r="PXR1725" s="227"/>
      <c r="PXS1725" s="227"/>
      <c r="PXT1725" s="227"/>
      <c r="PXU1725" s="227"/>
      <c r="PXV1725" s="227"/>
      <c r="PXW1725" s="227"/>
      <c r="PXX1725" s="227"/>
      <c r="PXY1725" s="227"/>
      <c r="PXZ1725" s="227"/>
      <c r="PYA1725" s="227"/>
      <c r="PYB1725" s="227"/>
      <c r="PYC1725" s="227"/>
      <c r="PYD1725" s="227"/>
      <c r="PYE1725" s="227"/>
      <c r="PYF1725" s="227"/>
      <c r="PYG1725" s="227"/>
      <c r="PYH1725" s="227"/>
      <c r="PYI1725" s="227"/>
      <c r="PYJ1725" s="227"/>
      <c r="PYK1725" s="227"/>
      <c r="PYL1725" s="227"/>
      <c r="PYM1725" s="227"/>
      <c r="PYN1725" s="227"/>
      <c r="PYO1725" s="227"/>
      <c r="PYP1725" s="227"/>
      <c r="PYQ1725" s="227"/>
      <c r="PYR1725" s="227"/>
      <c r="PYS1725" s="227"/>
      <c r="PYT1725" s="227"/>
      <c r="PYU1725" s="227"/>
      <c r="PYV1725" s="227"/>
      <c r="PYW1725" s="227"/>
      <c r="PYX1725" s="227"/>
      <c r="PYY1725" s="227"/>
      <c r="PYZ1725" s="227"/>
      <c r="PZA1725" s="227"/>
      <c r="PZB1725" s="227"/>
      <c r="PZC1725" s="227"/>
      <c r="PZD1725" s="227"/>
      <c r="PZE1725" s="227"/>
      <c r="PZF1725" s="227"/>
      <c r="PZG1725" s="227"/>
      <c r="PZH1725" s="227"/>
      <c r="PZI1725" s="227"/>
      <c r="PZJ1725" s="227"/>
      <c r="PZK1725" s="227"/>
      <c r="PZL1725" s="227"/>
      <c r="PZM1725" s="227"/>
      <c r="PZN1725" s="227"/>
      <c r="PZO1725" s="227"/>
      <c r="PZP1725" s="227"/>
      <c r="PZQ1725" s="227"/>
      <c r="PZR1725" s="227"/>
      <c r="PZS1725" s="227"/>
      <c r="PZT1725" s="227"/>
      <c r="PZU1725" s="227"/>
      <c r="PZV1725" s="227"/>
      <c r="PZW1725" s="227"/>
      <c r="PZX1725" s="227"/>
      <c r="PZY1725" s="227"/>
      <c r="PZZ1725" s="227"/>
      <c r="QAA1725" s="227"/>
      <c r="QAB1725" s="227"/>
      <c r="QAC1725" s="227"/>
      <c r="QAD1725" s="227"/>
      <c r="QAE1725" s="227"/>
      <c r="QAF1725" s="227"/>
      <c r="QAG1725" s="227"/>
      <c r="QAH1725" s="227"/>
      <c r="QAI1725" s="227"/>
      <c r="QAJ1725" s="227"/>
      <c r="QAK1725" s="227"/>
      <c r="QAL1725" s="227"/>
      <c r="QAM1725" s="227"/>
      <c r="QAN1725" s="227"/>
      <c r="QAO1725" s="227"/>
      <c r="QAP1725" s="227"/>
      <c r="QAQ1725" s="227"/>
      <c r="QAR1725" s="227"/>
      <c r="QAS1725" s="227"/>
      <c r="QAT1725" s="227"/>
      <c r="QAU1725" s="227"/>
      <c r="QAV1725" s="227"/>
      <c r="QAW1725" s="227"/>
      <c r="QAX1725" s="227"/>
      <c r="QAY1725" s="227"/>
      <c r="QAZ1725" s="227"/>
      <c r="QBA1725" s="227"/>
      <c r="QBB1725" s="227"/>
      <c r="QBC1725" s="227"/>
      <c r="QBD1725" s="227"/>
      <c r="QBE1725" s="227"/>
      <c r="QBF1725" s="227"/>
      <c r="QBG1725" s="227"/>
      <c r="QBH1725" s="227"/>
      <c r="QBI1725" s="227"/>
      <c r="QBJ1725" s="227"/>
      <c r="QBK1725" s="227"/>
      <c r="QBL1725" s="227"/>
      <c r="QBM1725" s="227"/>
      <c r="QBN1725" s="227"/>
      <c r="QBO1725" s="227"/>
      <c r="QBP1725" s="227"/>
      <c r="QBQ1725" s="227"/>
      <c r="QBR1725" s="227"/>
      <c r="QBS1725" s="227"/>
      <c r="QBT1725" s="227"/>
      <c r="QBU1725" s="227"/>
      <c r="QBV1725" s="227"/>
      <c r="QBW1725" s="227"/>
      <c r="QBX1725" s="227"/>
      <c r="QBY1725" s="227"/>
      <c r="QBZ1725" s="227"/>
      <c r="QCA1725" s="227"/>
      <c r="QCB1725" s="227"/>
      <c r="QCC1725" s="227"/>
      <c r="QCD1725" s="227"/>
      <c r="QCE1725" s="227"/>
      <c r="QCF1725" s="227"/>
      <c r="QCG1725" s="227"/>
      <c r="QCH1725" s="227"/>
      <c r="QCI1725" s="227"/>
      <c r="QCJ1725" s="227"/>
      <c r="QCK1725" s="227"/>
      <c r="QCL1725" s="227"/>
      <c r="QCM1725" s="227"/>
      <c r="QCN1725" s="227"/>
      <c r="QCO1725" s="227"/>
      <c r="QCP1725" s="227"/>
      <c r="QCQ1725" s="227"/>
      <c r="QCR1725" s="227"/>
      <c r="QCS1725" s="227"/>
      <c r="QCT1725" s="227"/>
      <c r="QCU1725" s="227"/>
      <c r="QCV1725" s="227"/>
      <c r="QCW1725" s="227"/>
      <c r="QCX1725" s="227"/>
      <c r="QCY1725" s="227"/>
      <c r="QCZ1725" s="227"/>
      <c r="QDA1725" s="227"/>
      <c r="QDB1725" s="227"/>
      <c r="QDC1725" s="227"/>
      <c r="QDD1725" s="227"/>
      <c r="QDE1725" s="227"/>
      <c r="QDF1725" s="227"/>
      <c r="QDG1725" s="227"/>
      <c r="QDH1725" s="227"/>
      <c r="QDI1725" s="227"/>
      <c r="QDJ1725" s="227"/>
      <c r="QDK1725" s="227"/>
      <c r="QDL1725" s="227"/>
      <c r="QDM1725" s="227"/>
      <c r="QDN1725" s="227"/>
      <c r="QDO1725" s="227"/>
      <c r="QDP1725" s="227"/>
      <c r="QDQ1725" s="227"/>
      <c r="QDR1725" s="227"/>
      <c r="QDS1725" s="227"/>
      <c r="QDT1725" s="227"/>
      <c r="QDU1725" s="227"/>
      <c r="QDV1725" s="227"/>
      <c r="QDW1725" s="227"/>
      <c r="QDX1725" s="227"/>
      <c r="QDY1725" s="227"/>
      <c r="QDZ1725" s="227"/>
      <c r="QEA1725" s="227"/>
      <c r="QEB1725" s="227"/>
      <c r="QEC1725" s="227"/>
      <c r="QED1725" s="227"/>
      <c r="QEE1725" s="227"/>
      <c r="QEF1725" s="227"/>
      <c r="QEG1725" s="227"/>
      <c r="QEH1725" s="227"/>
      <c r="QEI1725" s="227"/>
      <c r="QEJ1725" s="227"/>
      <c r="QEK1725" s="227"/>
      <c r="QEL1725" s="227"/>
      <c r="QEM1725" s="227"/>
      <c r="QEN1725" s="227"/>
      <c r="QEO1725" s="227"/>
      <c r="QEP1725" s="227"/>
      <c r="QEQ1725" s="227"/>
      <c r="QER1725" s="227"/>
      <c r="QES1725" s="227"/>
      <c r="QET1725" s="227"/>
      <c r="QEU1725" s="227"/>
      <c r="QEV1725" s="227"/>
      <c r="QEW1725" s="227"/>
      <c r="QEX1725" s="227"/>
      <c r="QEY1725" s="227"/>
      <c r="QEZ1725" s="227"/>
      <c r="QFA1725" s="227"/>
      <c r="QFB1725" s="227"/>
      <c r="QFC1725" s="227"/>
      <c r="QFD1725" s="227"/>
      <c r="QFE1725" s="227"/>
      <c r="QFF1725" s="227"/>
      <c r="QFG1725" s="227"/>
      <c r="QFH1725" s="227"/>
      <c r="QFI1725" s="227"/>
      <c r="QFJ1725" s="227"/>
      <c r="QFK1725" s="227"/>
      <c r="QFL1725" s="227"/>
      <c r="QFM1725" s="227"/>
      <c r="QFN1725" s="227"/>
      <c r="QFO1725" s="227"/>
      <c r="QFP1725" s="227"/>
      <c r="QFQ1725" s="227"/>
      <c r="QFR1725" s="227"/>
      <c r="QFS1725" s="227"/>
      <c r="QFT1725" s="227"/>
      <c r="QFU1725" s="227"/>
      <c r="QFV1725" s="227"/>
      <c r="QFW1725" s="227"/>
      <c r="QFX1725" s="227"/>
      <c r="QFY1725" s="227"/>
      <c r="QFZ1725" s="227"/>
      <c r="QGA1725" s="227"/>
      <c r="QGB1725" s="227"/>
      <c r="QGC1725" s="227"/>
      <c r="QGD1725" s="227"/>
      <c r="QGE1725" s="227"/>
      <c r="QGF1725" s="227"/>
      <c r="QGG1725" s="227"/>
      <c r="QGH1725" s="227"/>
      <c r="QGI1725" s="227"/>
      <c r="QGJ1725" s="227"/>
      <c r="QGK1725" s="227"/>
      <c r="QGL1725" s="227"/>
      <c r="QGM1725" s="227"/>
      <c r="QGN1725" s="227"/>
      <c r="QGO1725" s="227"/>
      <c r="QGP1725" s="227"/>
      <c r="QGQ1725" s="227"/>
      <c r="QGR1725" s="227"/>
      <c r="QGS1725" s="227"/>
      <c r="QGT1725" s="227"/>
      <c r="QGU1725" s="227"/>
      <c r="QGV1725" s="227"/>
      <c r="QGW1725" s="227"/>
      <c r="QGX1725" s="227"/>
      <c r="QGY1725" s="227"/>
      <c r="QGZ1725" s="227"/>
      <c r="QHA1725" s="227"/>
      <c r="QHB1725" s="227"/>
      <c r="QHC1725" s="227"/>
      <c r="QHD1725" s="227"/>
      <c r="QHE1725" s="227"/>
      <c r="QHF1725" s="227"/>
      <c r="QHG1725" s="227"/>
      <c r="QHH1725" s="227"/>
      <c r="QHI1725" s="227"/>
      <c r="QHJ1725" s="227"/>
      <c r="QHK1725" s="227"/>
      <c r="QHL1725" s="227"/>
      <c r="QHM1725" s="227"/>
      <c r="QHN1725" s="227"/>
      <c r="QHO1725" s="227"/>
      <c r="QHP1725" s="227"/>
      <c r="QHQ1725" s="227"/>
      <c r="QHR1725" s="227"/>
      <c r="QHS1725" s="227"/>
      <c r="QHT1725" s="227"/>
      <c r="QHU1725" s="227"/>
      <c r="QHV1725" s="227"/>
      <c r="QHW1725" s="227"/>
      <c r="QHX1725" s="227"/>
      <c r="QHY1725" s="227"/>
      <c r="QHZ1725" s="227"/>
      <c r="QIA1725" s="227"/>
      <c r="QIB1725" s="227"/>
      <c r="QIC1725" s="227"/>
      <c r="QID1725" s="227"/>
      <c r="QIE1725" s="227"/>
      <c r="QIF1725" s="227"/>
      <c r="QIG1725" s="227"/>
      <c r="QIH1725" s="227"/>
      <c r="QII1725" s="227"/>
      <c r="QIJ1725" s="227"/>
      <c r="QIK1725" s="227"/>
      <c r="QIL1725" s="227"/>
      <c r="QIM1725" s="227"/>
      <c r="QIN1725" s="227"/>
      <c r="QIO1725" s="227"/>
      <c r="QIP1725" s="227"/>
      <c r="QIQ1725" s="227"/>
      <c r="QIR1725" s="227"/>
      <c r="QIS1725" s="227"/>
      <c r="QIT1725" s="227"/>
      <c r="QIU1725" s="227"/>
      <c r="QIV1725" s="227"/>
      <c r="QIW1725" s="227"/>
      <c r="QIX1725" s="227"/>
      <c r="QIY1725" s="227"/>
      <c r="QIZ1725" s="227"/>
      <c r="QJA1725" s="227"/>
      <c r="QJB1725" s="227"/>
      <c r="QJC1725" s="227"/>
      <c r="QJD1725" s="227"/>
      <c r="QJE1725" s="227"/>
      <c r="QJF1725" s="227"/>
      <c r="QJG1725" s="227"/>
      <c r="QJH1725" s="227"/>
      <c r="QJI1725" s="227"/>
      <c r="QJJ1725" s="227"/>
      <c r="QJK1725" s="227"/>
      <c r="QJL1725" s="227"/>
      <c r="QJM1725" s="227"/>
      <c r="QJN1725" s="227"/>
      <c r="QJO1725" s="227"/>
      <c r="QJP1725" s="227"/>
      <c r="QJQ1725" s="227"/>
      <c r="QJR1725" s="227"/>
      <c r="QJS1725" s="227"/>
      <c r="QJT1725" s="227"/>
      <c r="QJU1725" s="227"/>
      <c r="QJV1725" s="227"/>
      <c r="QJW1725" s="227"/>
      <c r="QJX1725" s="227"/>
      <c r="QJY1725" s="227"/>
      <c r="QJZ1725" s="227"/>
      <c r="QKA1725" s="227"/>
      <c r="QKB1725" s="227"/>
      <c r="QKC1725" s="227"/>
      <c r="QKD1725" s="227"/>
      <c r="QKE1725" s="227"/>
      <c r="QKF1725" s="227"/>
      <c r="QKG1725" s="227"/>
      <c r="QKH1725" s="227"/>
      <c r="QKI1725" s="227"/>
      <c r="QKJ1725" s="227"/>
      <c r="QKK1725" s="227"/>
      <c r="QKL1725" s="227"/>
      <c r="QKM1725" s="227"/>
      <c r="QKN1725" s="227"/>
      <c r="QKO1725" s="227"/>
      <c r="QKP1725" s="227"/>
      <c r="QKQ1725" s="227"/>
      <c r="QKR1725" s="227"/>
      <c r="QKS1725" s="227"/>
      <c r="QKT1725" s="227"/>
      <c r="QKU1725" s="227"/>
      <c r="QKV1725" s="227"/>
      <c r="QKW1725" s="227"/>
      <c r="QKX1725" s="227"/>
      <c r="QKY1725" s="227"/>
      <c r="QKZ1725" s="227"/>
      <c r="QLA1725" s="227"/>
      <c r="QLB1725" s="227"/>
      <c r="QLC1725" s="227"/>
      <c r="QLD1725" s="227"/>
      <c r="QLE1725" s="227"/>
      <c r="QLF1725" s="227"/>
      <c r="QLG1725" s="227"/>
      <c r="QLH1725" s="227"/>
      <c r="QLI1725" s="227"/>
      <c r="QLJ1725" s="227"/>
      <c r="QLK1725" s="227"/>
      <c r="QLL1725" s="227"/>
      <c r="QLM1725" s="227"/>
      <c r="QLN1725" s="227"/>
      <c r="QLO1725" s="227"/>
      <c r="QLP1725" s="227"/>
      <c r="QLQ1725" s="227"/>
      <c r="QLR1725" s="227"/>
      <c r="QLS1725" s="227"/>
      <c r="QLT1725" s="227"/>
      <c r="QLU1725" s="227"/>
      <c r="QLV1725" s="227"/>
      <c r="QLW1725" s="227"/>
      <c r="QLX1725" s="227"/>
      <c r="QLY1725" s="227"/>
      <c r="QLZ1725" s="227"/>
      <c r="QMA1725" s="227"/>
      <c r="QMB1725" s="227"/>
      <c r="QMC1725" s="227"/>
      <c r="QMD1725" s="227"/>
      <c r="QME1725" s="227"/>
      <c r="QMF1725" s="227"/>
      <c r="QMG1725" s="227"/>
      <c r="QMH1725" s="227"/>
      <c r="QMI1725" s="227"/>
      <c r="QMJ1725" s="227"/>
      <c r="QMK1725" s="227"/>
      <c r="QML1725" s="227"/>
      <c r="QMM1725" s="227"/>
      <c r="QMN1725" s="227"/>
      <c r="QMO1725" s="227"/>
      <c r="QMP1725" s="227"/>
      <c r="QMQ1725" s="227"/>
      <c r="QMR1725" s="227"/>
      <c r="QMS1725" s="227"/>
      <c r="QMT1725" s="227"/>
      <c r="QMU1725" s="227"/>
      <c r="QMV1725" s="227"/>
      <c r="QMW1725" s="227"/>
      <c r="QMX1725" s="227"/>
      <c r="QMY1725" s="227"/>
      <c r="QMZ1725" s="227"/>
      <c r="QNA1725" s="227"/>
      <c r="QNB1725" s="227"/>
      <c r="QNC1725" s="227"/>
      <c r="QND1725" s="227"/>
      <c r="QNE1725" s="227"/>
      <c r="QNF1725" s="227"/>
      <c r="QNG1725" s="227"/>
      <c r="QNH1725" s="227"/>
      <c r="QNI1725" s="227"/>
      <c r="QNJ1725" s="227"/>
      <c r="QNK1725" s="227"/>
      <c r="QNL1725" s="227"/>
      <c r="QNM1725" s="227"/>
      <c r="QNN1725" s="227"/>
      <c r="QNO1725" s="227"/>
      <c r="QNP1725" s="227"/>
      <c r="QNQ1725" s="227"/>
      <c r="QNR1725" s="227"/>
      <c r="QNS1725" s="227"/>
      <c r="QNT1725" s="227"/>
      <c r="QNU1725" s="227"/>
      <c r="QNV1725" s="227"/>
      <c r="QNW1725" s="227"/>
      <c r="QNX1725" s="227"/>
      <c r="QNY1725" s="227"/>
      <c r="QNZ1725" s="227"/>
      <c r="QOA1725" s="227"/>
      <c r="QOB1725" s="227"/>
      <c r="QOC1725" s="227"/>
      <c r="QOD1725" s="227"/>
      <c r="QOE1725" s="227"/>
      <c r="QOF1725" s="227"/>
      <c r="QOG1725" s="227"/>
      <c r="QOH1725" s="227"/>
      <c r="QOI1725" s="227"/>
      <c r="QOJ1725" s="227"/>
      <c r="QOK1725" s="227"/>
      <c r="QOL1725" s="227"/>
      <c r="QOM1725" s="227"/>
      <c r="QON1725" s="227"/>
      <c r="QOO1725" s="227"/>
      <c r="QOP1725" s="227"/>
      <c r="QOQ1725" s="227"/>
      <c r="QOR1725" s="227"/>
      <c r="QOS1725" s="227"/>
      <c r="QOT1725" s="227"/>
      <c r="QOU1725" s="227"/>
      <c r="QOV1725" s="227"/>
      <c r="QOW1725" s="227"/>
      <c r="QOX1725" s="227"/>
      <c r="QOY1725" s="227"/>
      <c r="QOZ1725" s="227"/>
      <c r="QPA1725" s="227"/>
      <c r="QPB1725" s="227"/>
      <c r="QPC1725" s="227"/>
      <c r="QPD1725" s="227"/>
      <c r="QPE1725" s="227"/>
      <c r="QPF1725" s="227"/>
      <c r="QPG1725" s="227"/>
      <c r="QPH1725" s="227"/>
      <c r="QPI1725" s="227"/>
      <c r="QPJ1725" s="227"/>
      <c r="QPK1725" s="227"/>
      <c r="QPL1725" s="227"/>
      <c r="QPM1725" s="227"/>
      <c r="QPN1725" s="227"/>
      <c r="QPO1725" s="227"/>
      <c r="QPP1725" s="227"/>
      <c r="QPQ1725" s="227"/>
      <c r="QPR1725" s="227"/>
      <c r="QPS1725" s="227"/>
      <c r="QPT1725" s="227"/>
      <c r="QPU1725" s="227"/>
      <c r="QPV1725" s="227"/>
      <c r="QPW1725" s="227"/>
      <c r="QPX1725" s="227"/>
      <c r="QPY1725" s="227"/>
      <c r="QPZ1725" s="227"/>
      <c r="QQA1725" s="227"/>
      <c r="QQB1725" s="227"/>
      <c r="QQC1725" s="227"/>
      <c r="QQD1725" s="227"/>
      <c r="QQE1725" s="227"/>
      <c r="QQF1725" s="227"/>
      <c r="QQG1725" s="227"/>
      <c r="QQH1725" s="227"/>
      <c r="QQI1725" s="227"/>
      <c r="QQJ1725" s="227"/>
      <c r="QQK1725" s="227"/>
      <c r="QQL1725" s="227"/>
      <c r="QQM1725" s="227"/>
      <c r="QQN1725" s="227"/>
      <c r="QQO1725" s="227"/>
      <c r="QQP1725" s="227"/>
      <c r="QQQ1725" s="227"/>
      <c r="QQR1725" s="227"/>
      <c r="QQS1725" s="227"/>
      <c r="QQT1725" s="227"/>
      <c r="QQU1725" s="227"/>
      <c r="QQV1725" s="227"/>
      <c r="QQW1725" s="227"/>
      <c r="QQX1725" s="227"/>
      <c r="QQY1725" s="227"/>
      <c r="QQZ1725" s="227"/>
      <c r="QRA1725" s="227"/>
      <c r="QRB1725" s="227"/>
      <c r="QRC1725" s="227"/>
      <c r="QRD1725" s="227"/>
      <c r="QRE1725" s="227"/>
      <c r="QRF1725" s="227"/>
      <c r="QRG1725" s="227"/>
      <c r="QRH1725" s="227"/>
      <c r="QRI1725" s="227"/>
      <c r="QRJ1725" s="227"/>
      <c r="QRK1725" s="227"/>
      <c r="QRL1725" s="227"/>
      <c r="QRM1725" s="227"/>
      <c r="QRN1725" s="227"/>
      <c r="QRO1725" s="227"/>
      <c r="QRP1725" s="227"/>
      <c r="QRQ1725" s="227"/>
      <c r="QRR1725" s="227"/>
      <c r="QRS1725" s="227"/>
      <c r="QRT1725" s="227"/>
      <c r="QRU1725" s="227"/>
      <c r="QRV1725" s="227"/>
      <c r="QRW1725" s="227"/>
      <c r="QRX1725" s="227"/>
      <c r="QRY1725" s="227"/>
      <c r="QRZ1725" s="227"/>
      <c r="QSA1725" s="227"/>
      <c r="QSB1725" s="227"/>
      <c r="QSC1725" s="227"/>
      <c r="QSD1725" s="227"/>
      <c r="QSE1725" s="227"/>
      <c r="QSF1725" s="227"/>
      <c r="QSG1725" s="227"/>
      <c r="QSH1725" s="227"/>
      <c r="QSI1725" s="227"/>
      <c r="QSJ1725" s="227"/>
      <c r="QSK1725" s="227"/>
      <c r="QSL1725" s="227"/>
      <c r="QSM1725" s="227"/>
      <c r="QSN1725" s="227"/>
      <c r="QSO1725" s="227"/>
      <c r="QSP1725" s="227"/>
      <c r="QSQ1725" s="227"/>
      <c r="QSR1725" s="227"/>
      <c r="QSS1725" s="227"/>
      <c r="QST1725" s="227"/>
      <c r="QSU1725" s="227"/>
      <c r="QSV1725" s="227"/>
      <c r="QSW1725" s="227"/>
      <c r="QSX1725" s="227"/>
      <c r="QSY1725" s="227"/>
      <c r="QSZ1725" s="227"/>
      <c r="QTA1725" s="227"/>
      <c r="QTB1725" s="227"/>
      <c r="QTC1725" s="227"/>
      <c r="QTD1725" s="227"/>
      <c r="QTE1725" s="227"/>
      <c r="QTF1725" s="227"/>
      <c r="QTG1725" s="227"/>
      <c r="QTH1725" s="227"/>
      <c r="QTI1725" s="227"/>
      <c r="QTJ1725" s="227"/>
      <c r="QTK1725" s="227"/>
      <c r="QTL1725" s="227"/>
      <c r="QTM1725" s="227"/>
      <c r="QTN1725" s="227"/>
      <c r="QTO1725" s="227"/>
      <c r="QTP1725" s="227"/>
      <c r="QTQ1725" s="227"/>
      <c r="QTR1725" s="227"/>
      <c r="QTS1725" s="227"/>
      <c r="QTT1725" s="227"/>
      <c r="QTU1725" s="227"/>
      <c r="QTV1725" s="227"/>
      <c r="QTW1725" s="227"/>
      <c r="QTX1725" s="227"/>
      <c r="QTY1725" s="227"/>
      <c r="QTZ1725" s="227"/>
      <c r="QUA1725" s="227"/>
      <c r="QUB1725" s="227"/>
      <c r="QUC1725" s="227"/>
      <c r="QUD1725" s="227"/>
      <c r="QUE1725" s="227"/>
      <c r="QUF1725" s="227"/>
      <c r="QUG1725" s="227"/>
      <c r="QUH1725" s="227"/>
      <c r="QUI1725" s="227"/>
      <c r="QUJ1725" s="227"/>
      <c r="QUK1725" s="227"/>
      <c r="QUL1725" s="227"/>
      <c r="QUM1725" s="227"/>
      <c r="QUN1725" s="227"/>
      <c r="QUO1725" s="227"/>
      <c r="QUP1725" s="227"/>
      <c r="QUQ1725" s="227"/>
      <c r="QUR1725" s="227"/>
      <c r="QUS1725" s="227"/>
      <c r="QUT1725" s="227"/>
      <c r="QUU1725" s="227"/>
      <c r="QUV1725" s="227"/>
      <c r="QUW1725" s="227"/>
      <c r="QUX1725" s="227"/>
      <c r="QUY1725" s="227"/>
      <c r="QUZ1725" s="227"/>
      <c r="QVA1725" s="227"/>
      <c r="QVB1725" s="227"/>
      <c r="QVC1725" s="227"/>
      <c r="QVD1725" s="227"/>
      <c r="QVE1725" s="227"/>
      <c r="QVF1725" s="227"/>
      <c r="QVG1725" s="227"/>
      <c r="QVH1725" s="227"/>
      <c r="QVI1725" s="227"/>
      <c r="QVJ1725" s="227"/>
      <c r="QVK1725" s="227"/>
      <c r="QVL1725" s="227"/>
      <c r="QVM1725" s="227"/>
      <c r="QVN1725" s="227"/>
      <c r="QVO1725" s="227"/>
      <c r="QVP1725" s="227"/>
      <c r="QVQ1725" s="227"/>
      <c r="QVR1725" s="227"/>
      <c r="QVS1725" s="227"/>
      <c r="QVT1725" s="227"/>
      <c r="QVU1725" s="227"/>
      <c r="QVV1725" s="227"/>
      <c r="QVW1725" s="227"/>
      <c r="QVX1725" s="227"/>
      <c r="QVY1725" s="227"/>
      <c r="QVZ1725" s="227"/>
      <c r="QWA1725" s="227"/>
      <c r="QWB1725" s="227"/>
      <c r="QWC1725" s="227"/>
      <c r="QWD1725" s="227"/>
      <c r="QWE1725" s="227"/>
      <c r="QWF1725" s="227"/>
      <c r="QWG1725" s="227"/>
      <c r="QWH1725" s="227"/>
      <c r="QWI1725" s="227"/>
      <c r="QWJ1725" s="227"/>
      <c r="QWK1725" s="227"/>
      <c r="QWL1725" s="227"/>
      <c r="QWM1725" s="227"/>
      <c r="QWN1725" s="227"/>
      <c r="QWO1725" s="227"/>
      <c r="QWP1725" s="227"/>
      <c r="QWQ1725" s="227"/>
      <c r="QWR1725" s="227"/>
      <c r="QWS1725" s="227"/>
      <c r="QWT1725" s="227"/>
      <c r="QWU1725" s="227"/>
      <c r="QWV1725" s="227"/>
      <c r="QWW1725" s="227"/>
      <c r="QWX1725" s="227"/>
      <c r="QWY1725" s="227"/>
      <c r="QWZ1725" s="227"/>
      <c r="QXA1725" s="227"/>
      <c r="QXB1725" s="227"/>
      <c r="QXC1725" s="227"/>
      <c r="QXD1725" s="227"/>
      <c r="QXE1725" s="227"/>
      <c r="QXF1725" s="227"/>
      <c r="QXG1725" s="227"/>
      <c r="QXH1725" s="227"/>
      <c r="QXI1725" s="227"/>
      <c r="QXJ1725" s="227"/>
      <c r="QXK1725" s="227"/>
      <c r="QXL1725" s="227"/>
      <c r="QXM1725" s="227"/>
      <c r="QXN1725" s="227"/>
      <c r="QXO1725" s="227"/>
      <c r="QXP1725" s="227"/>
      <c r="QXQ1725" s="227"/>
      <c r="QXR1725" s="227"/>
      <c r="QXS1725" s="227"/>
      <c r="QXT1725" s="227"/>
      <c r="QXU1725" s="227"/>
      <c r="QXV1725" s="227"/>
      <c r="QXW1725" s="227"/>
      <c r="QXX1725" s="227"/>
      <c r="QXY1725" s="227"/>
      <c r="QXZ1725" s="227"/>
      <c r="QYA1725" s="227"/>
      <c r="QYB1725" s="227"/>
      <c r="QYC1725" s="227"/>
      <c r="QYD1725" s="227"/>
      <c r="QYE1725" s="227"/>
      <c r="QYF1725" s="227"/>
      <c r="QYG1725" s="227"/>
      <c r="QYH1725" s="227"/>
      <c r="QYI1725" s="227"/>
      <c r="QYJ1725" s="227"/>
      <c r="QYK1725" s="227"/>
      <c r="QYL1725" s="227"/>
      <c r="QYM1725" s="227"/>
      <c r="QYN1725" s="227"/>
      <c r="QYO1725" s="227"/>
      <c r="QYP1725" s="227"/>
      <c r="QYQ1725" s="227"/>
      <c r="QYR1725" s="227"/>
      <c r="QYS1725" s="227"/>
      <c r="QYT1725" s="227"/>
      <c r="QYU1725" s="227"/>
      <c r="QYV1725" s="227"/>
      <c r="QYW1725" s="227"/>
      <c r="QYX1725" s="227"/>
      <c r="QYY1725" s="227"/>
      <c r="QYZ1725" s="227"/>
      <c r="QZA1725" s="227"/>
      <c r="QZB1725" s="227"/>
      <c r="QZC1725" s="227"/>
      <c r="QZD1725" s="227"/>
      <c r="QZE1725" s="227"/>
      <c r="QZF1725" s="227"/>
      <c r="QZG1725" s="227"/>
      <c r="QZH1725" s="227"/>
      <c r="QZI1725" s="227"/>
      <c r="QZJ1725" s="227"/>
      <c r="QZK1725" s="227"/>
      <c r="QZL1725" s="227"/>
      <c r="QZM1725" s="227"/>
      <c r="QZN1725" s="227"/>
      <c r="QZO1725" s="227"/>
      <c r="QZP1725" s="227"/>
      <c r="QZQ1725" s="227"/>
      <c r="QZR1725" s="227"/>
      <c r="QZS1725" s="227"/>
      <c r="QZT1725" s="227"/>
      <c r="QZU1725" s="227"/>
      <c r="QZV1725" s="227"/>
      <c r="QZW1725" s="227"/>
      <c r="QZX1725" s="227"/>
      <c r="QZY1725" s="227"/>
      <c r="QZZ1725" s="227"/>
      <c r="RAA1725" s="227"/>
      <c r="RAB1725" s="227"/>
      <c r="RAC1725" s="227"/>
      <c r="RAD1725" s="227"/>
      <c r="RAE1725" s="227"/>
      <c r="RAF1725" s="227"/>
      <c r="RAG1725" s="227"/>
      <c r="RAH1725" s="227"/>
      <c r="RAI1725" s="227"/>
      <c r="RAJ1725" s="227"/>
      <c r="RAK1725" s="227"/>
      <c r="RAL1725" s="227"/>
      <c r="RAM1725" s="227"/>
      <c r="RAN1725" s="227"/>
      <c r="RAO1725" s="227"/>
      <c r="RAP1725" s="227"/>
      <c r="RAQ1725" s="227"/>
      <c r="RAR1725" s="227"/>
      <c r="RAS1725" s="227"/>
      <c r="RAT1725" s="227"/>
      <c r="RAU1725" s="227"/>
      <c r="RAV1725" s="227"/>
      <c r="RAW1725" s="227"/>
      <c r="RAX1725" s="227"/>
      <c r="RAY1725" s="227"/>
      <c r="RAZ1725" s="227"/>
      <c r="RBA1725" s="227"/>
      <c r="RBB1725" s="227"/>
      <c r="RBC1725" s="227"/>
      <c r="RBD1725" s="227"/>
      <c r="RBE1725" s="227"/>
      <c r="RBF1725" s="227"/>
      <c r="RBG1725" s="227"/>
      <c r="RBH1725" s="227"/>
      <c r="RBI1725" s="227"/>
      <c r="RBJ1725" s="227"/>
      <c r="RBK1725" s="227"/>
      <c r="RBL1725" s="227"/>
      <c r="RBM1725" s="227"/>
      <c r="RBN1725" s="227"/>
      <c r="RBO1725" s="227"/>
      <c r="RBP1725" s="227"/>
      <c r="RBQ1725" s="227"/>
      <c r="RBR1725" s="227"/>
      <c r="RBS1725" s="227"/>
      <c r="RBT1725" s="227"/>
      <c r="RBU1725" s="227"/>
      <c r="RBV1725" s="227"/>
      <c r="RBW1725" s="227"/>
      <c r="RBX1725" s="227"/>
      <c r="RBY1725" s="227"/>
      <c r="RBZ1725" s="227"/>
      <c r="RCA1725" s="227"/>
      <c r="RCB1725" s="227"/>
      <c r="RCC1725" s="227"/>
      <c r="RCD1725" s="227"/>
      <c r="RCE1725" s="227"/>
      <c r="RCF1725" s="227"/>
      <c r="RCG1725" s="227"/>
      <c r="RCH1725" s="227"/>
      <c r="RCI1725" s="227"/>
      <c r="RCJ1725" s="227"/>
      <c r="RCK1725" s="227"/>
      <c r="RCL1725" s="227"/>
      <c r="RCM1725" s="227"/>
      <c r="RCN1725" s="227"/>
      <c r="RCO1725" s="227"/>
      <c r="RCP1725" s="227"/>
      <c r="RCQ1725" s="227"/>
      <c r="RCR1725" s="227"/>
      <c r="RCS1725" s="227"/>
      <c r="RCT1725" s="227"/>
      <c r="RCU1725" s="227"/>
      <c r="RCV1725" s="227"/>
      <c r="RCW1725" s="227"/>
      <c r="RCX1725" s="227"/>
      <c r="RCY1725" s="227"/>
      <c r="RCZ1725" s="227"/>
      <c r="RDA1725" s="227"/>
      <c r="RDB1725" s="227"/>
      <c r="RDC1725" s="227"/>
      <c r="RDD1725" s="227"/>
      <c r="RDE1725" s="227"/>
      <c r="RDF1725" s="227"/>
      <c r="RDG1725" s="227"/>
      <c r="RDH1725" s="227"/>
      <c r="RDI1725" s="227"/>
      <c r="RDJ1725" s="227"/>
      <c r="RDK1725" s="227"/>
      <c r="RDL1725" s="227"/>
      <c r="RDM1725" s="227"/>
      <c r="RDN1725" s="227"/>
      <c r="RDO1725" s="227"/>
      <c r="RDP1725" s="227"/>
      <c r="RDQ1725" s="227"/>
      <c r="RDR1725" s="227"/>
      <c r="RDS1725" s="227"/>
      <c r="RDT1725" s="227"/>
      <c r="RDU1725" s="227"/>
      <c r="RDV1725" s="227"/>
      <c r="RDW1725" s="227"/>
      <c r="RDX1725" s="227"/>
      <c r="RDY1725" s="227"/>
      <c r="RDZ1725" s="227"/>
      <c r="REA1725" s="227"/>
      <c r="REB1725" s="227"/>
      <c r="REC1725" s="227"/>
      <c r="RED1725" s="227"/>
      <c r="REE1725" s="227"/>
      <c r="REF1725" s="227"/>
      <c r="REG1725" s="227"/>
      <c r="REH1725" s="227"/>
      <c r="REI1725" s="227"/>
      <c r="REJ1725" s="227"/>
      <c r="REK1725" s="227"/>
      <c r="REL1725" s="227"/>
      <c r="REM1725" s="227"/>
      <c r="REN1725" s="227"/>
      <c r="REO1725" s="227"/>
      <c r="REP1725" s="227"/>
      <c r="REQ1725" s="227"/>
      <c r="RER1725" s="227"/>
      <c r="RES1725" s="227"/>
      <c r="RET1725" s="227"/>
      <c r="REU1725" s="227"/>
      <c r="REV1725" s="227"/>
      <c r="REW1725" s="227"/>
      <c r="REX1725" s="227"/>
      <c r="REY1725" s="227"/>
      <c r="REZ1725" s="227"/>
      <c r="RFA1725" s="227"/>
      <c r="RFB1725" s="227"/>
      <c r="RFC1725" s="227"/>
      <c r="RFD1725" s="227"/>
      <c r="RFE1725" s="227"/>
      <c r="RFF1725" s="227"/>
      <c r="RFG1725" s="227"/>
      <c r="RFH1725" s="227"/>
      <c r="RFI1725" s="227"/>
      <c r="RFJ1725" s="227"/>
      <c r="RFK1725" s="227"/>
      <c r="RFL1725" s="227"/>
      <c r="RFM1725" s="227"/>
      <c r="RFN1725" s="227"/>
      <c r="RFO1725" s="227"/>
      <c r="RFP1725" s="227"/>
      <c r="RFQ1725" s="227"/>
      <c r="RFR1725" s="227"/>
      <c r="RFS1725" s="227"/>
      <c r="RFT1725" s="227"/>
      <c r="RFU1725" s="227"/>
      <c r="RFV1725" s="227"/>
      <c r="RFW1725" s="227"/>
      <c r="RFX1725" s="227"/>
      <c r="RFY1725" s="227"/>
      <c r="RFZ1725" s="227"/>
      <c r="RGA1725" s="227"/>
      <c r="RGB1725" s="227"/>
      <c r="RGC1725" s="227"/>
      <c r="RGD1725" s="227"/>
      <c r="RGE1725" s="227"/>
      <c r="RGF1725" s="227"/>
      <c r="RGG1725" s="227"/>
      <c r="RGH1725" s="227"/>
      <c r="RGI1725" s="227"/>
      <c r="RGJ1725" s="227"/>
      <c r="RGK1725" s="227"/>
      <c r="RGL1725" s="227"/>
      <c r="RGM1725" s="227"/>
      <c r="RGN1725" s="227"/>
      <c r="RGO1725" s="227"/>
      <c r="RGP1725" s="227"/>
      <c r="RGQ1725" s="227"/>
      <c r="RGR1725" s="227"/>
      <c r="RGS1725" s="227"/>
      <c r="RGT1725" s="227"/>
      <c r="RGU1725" s="227"/>
      <c r="RGV1725" s="227"/>
      <c r="RGW1725" s="227"/>
      <c r="RGX1725" s="227"/>
      <c r="RGY1725" s="227"/>
      <c r="RGZ1725" s="227"/>
      <c r="RHA1725" s="227"/>
      <c r="RHB1725" s="227"/>
      <c r="RHC1725" s="227"/>
      <c r="RHD1725" s="227"/>
      <c r="RHE1725" s="227"/>
      <c r="RHF1725" s="227"/>
      <c r="RHG1725" s="227"/>
      <c r="RHH1725" s="227"/>
      <c r="RHI1725" s="227"/>
      <c r="RHJ1725" s="227"/>
      <c r="RHK1725" s="227"/>
      <c r="RHL1725" s="227"/>
      <c r="RHM1725" s="227"/>
      <c r="RHN1725" s="227"/>
      <c r="RHO1725" s="227"/>
      <c r="RHP1725" s="227"/>
      <c r="RHQ1725" s="227"/>
      <c r="RHR1725" s="227"/>
      <c r="RHS1725" s="227"/>
      <c r="RHT1725" s="227"/>
      <c r="RHU1725" s="227"/>
      <c r="RHV1725" s="227"/>
      <c r="RHW1725" s="227"/>
      <c r="RHX1725" s="227"/>
      <c r="RHY1725" s="227"/>
      <c r="RHZ1725" s="227"/>
      <c r="RIA1725" s="227"/>
      <c r="RIB1725" s="227"/>
      <c r="RIC1725" s="227"/>
      <c r="RID1725" s="227"/>
      <c r="RIE1725" s="227"/>
      <c r="RIF1725" s="227"/>
      <c r="RIG1725" s="227"/>
      <c r="RIH1725" s="227"/>
      <c r="RII1725" s="227"/>
      <c r="RIJ1725" s="227"/>
      <c r="RIK1725" s="227"/>
      <c r="RIL1725" s="227"/>
      <c r="RIM1725" s="227"/>
      <c r="RIN1725" s="227"/>
      <c r="RIO1725" s="227"/>
      <c r="RIP1725" s="227"/>
      <c r="RIQ1725" s="227"/>
      <c r="RIR1725" s="227"/>
      <c r="RIS1725" s="227"/>
      <c r="RIT1725" s="227"/>
      <c r="RIU1725" s="227"/>
      <c r="RIV1725" s="227"/>
      <c r="RIW1725" s="227"/>
      <c r="RIX1725" s="227"/>
      <c r="RIY1725" s="227"/>
      <c r="RIZ1725" s="227"/>
      <c r="RJA1725" s="227"/>
      <c r="RJB1725" s="227"/>
      <c r="RJC1725" s="227"/>
      <c r="RJD1725" s="227"/>
      <c r="RJE1725" s="227"/>
      <c r="RJF1725" s="227"/>
      <c r="RJG1725" s="227"/>
      <c r="RJH1725" s="227"/>
      <c r="RJI1725" s="227"/>
      <c r="RJJ1725" s="227"/>
      <c r="RJK1725" s="227"/>
      <c r="RJL1725" s="227"/>
      <c r="RJM1725" s="227"/>
      <c r="RJN1725" s="227"/>
      <c r="RJO1725" s="227"/>
      <c r="RJP1725" s="227"/>
      <c r="RJQ1725" s="227"/>
      <c r="RJR1725" s="227"/>
      <c r="RJS1725" s="227"/>
      <c r="RJT1725" s="227"/>
      <c r="RJU1725" s="227"/>
      <c r="RJV1725" s="227"/>
      <c r="RJW1725" s="227"/>
      <c r="RJX1725" s="227"/>
      <c r="RJY1725" s="227"/>
      <c r="RJZ1725" s="227"/>
      <c r="RKA1725" s="227"/>
      <c r="RKB1725" s="227"/>
      <c r="RKC1725" s="227"/>
      <c r="RKD1725" s="227"/>
      <c r="RKE1725" s="227"/>
      <c r="RKF1725" s="227"/>
      <c r="RKG1725" s="227"/>
      <c r="RKH1725" s="227"/>
      <c r="RKI1725" s="227"/>
      <c r="RKJ1725" s="227"/>
      <c r="RKK1725" s="227"/>
      <c r="RKL1725" s="227"/>
      <c r="RKM1725" s="227"/>
      <c r="RKN1725" s="227"/>
      <c r="RKO1725" s="227"/>
      <c r="RKP1725" s="227"/>
      <c r="RKQ1725" s="227"/>
      <c r="RKR1725" s="227"/>
      <c r="RKS1725" s="227"/>
      <c r="RKT1725" s="227"/>
      <c r="RKU1725" s="227"/>
      <c r="RKV1725" s="227"/>
      <c r="RKW1725" s="227"/>
      <c r="RKX1725" s="227"/>
      <c r="RKY1725" s="227"/>
      <c r="RKZ1725" s="227"/>
      <c r="RLA1725" s="227"/>
      <c r="RLB1725" s="227"/>
      <c r="RLC1725" s="227"/>
      <c r="RLD1725" s="227"/>
      <c r="RLE1725" s="227"/>
      <c r="RLF1725" s="227"/>
      <c r="RLG1725" s="227"/>
      <c r="RLH1725" s="227"/>
      <c r="RLI1725" s="227"/>
      <c r="RLJ1725" s="227"/>
      <c r="RLK1725" s="227"/>
      <c r="RLL1725" s="227"/>
      <c r="RLM1725" s="227"/>
      <c r="RLN1725" s="227"/>
      <c r="RLO1725" s="227"/>
      <c r="RLP1725" s="227"/>
      <c r="RLQ1725" s="227"/>
      <c r="RLR1725" s="227"/>
      <c r="RLS1725" s="227"/>
      <c r="RLT1725" s="227"/>
      <c r="RLU1725" s="227"/>
      <c r="RLV1725" s="227"/>
      <c r="RLW1725" s="227"/>
      <c r="RLX1725" s="227"/>
      <c r="RLY1725" s="227"/>
      <c r="RLZ1725" s="227"/>
      <c r="RMA1725" s="227"/>
      <c r="RMB1725" s="227"/>
      <c r="RMC1725" s="227"/>
      <c r="RMD1725" s="227"/>
      <c r="RME1725" s="227"/>
      <c r="RMF1725" s="227"/>
      <c r="RMG1725" s="227"/>
      <c r="RMH1725" s="227"/>
      <c r="RMI1725" s="227"/>
      <c r="RMJ1725" s="227"/>
      <c r="RMK1725" s="227"/>
      <c r="RML1725" s="227"/>
      <c r="RMM1725" s="227"/>
      <c r="RMN1725" s="227"/>
      <c r="RMO1725" s="227"/>
      <c r="RMP1725" s="227"/>
      <c r="RMQ1725" s="227"/>
      <c r="RMR1725" s="227"/>
      <c r="RMS1725" s="227"/>
      <c r="RMT1725" s="227"/>
      <c r="RMU1725" s="227"/>
      <c r="RMV1725" s="227"/>
      <c r="RMW1725" s="227"/>
      <c r="RMX1725" s="227"/>
      <c r="RMY1725" s="227"/>
      <c r="RMZ1725" s="227"/>
      <c r="RNA1725" s="227"/>
      <c r="RNB1725" s="227"/>
      <c r="RNC1725" s="227"/>
      <c r="RND1725" s="227"/>
      <c r="RNE1725" s="227"/>
      <c r="RNF1725" s="227"/>
      <c r="RNG1725" s="227"/>
      <c r="RNH1725" s="227"/>
      <c r="RNI1725" s="227"/>
      <c r="RNJ1725" s="227"/>
      <c r="RNK1725" s="227"/>
      <c r="RNL1725" s="227"/>
      <c r="RNM1725" s="227"/>
      <c r="RNN1725" s="227"/>
      <c r="RNO1725" s="227"/>
      <c r="RNP1725" s="227"/>
      <c r="RNQ1725" s="227"/>
      <c r="RNR1725" s="227"/>
      <c r="RNS1725" s="227"/>
      <c r="RNT1725" s="227"/>
      <c r="RNU1725" s="227"/>
      <c r="RNV1725" s="227"/>
      <c r="RNW1725" s="227"/>
      <c r="RNX1725" s="227"/>
      <c r="RNY1725" s="227"/>
      <c r="RNZ1725" s="227"/>
      <c r="ROA1725" s="227"/>
      <c r="ROB1725" s="227"/>
      <c r="ROC1725" s="227"/>
      <c r="ROD1725" s="227"/>
      <c r="ROE1725" s="227"/>
      <c r="ROF1725" s="227"/>
      <c r="ROG1725" s="227"/>
      <c r="ROH1725" s="227"/>
      <c r="ROI1725" s="227"/>
      <c r="ROJ1725" s="227"/>
      <c r="ROK1725" s="227"/>
      <c r="ROL1725" s="227"/>
      <c r="ROM1725" s="227"/>
      <c r="RON1725" s="227"/>
      <c r="ROO1725" s="227"/>
      <c r="ROP1725" s="227"/>
      <c r="ROQ1725" s="227"/>
      <c r="ROR1725" s="227"/>
      <c r="ROS1725" s="227"/>
      <c r="ROT1725" s="227"/>
      <c r="ROU1725" s="227"/>
      <c r="ROV1725" s="227"/>
      <c r="ROW1725" s="227"/>
      <c r="ROX1725" s="227"/>
      <c r="ROY1725" s="227"/>
      <c r="ROZ1725" s="227"/>
      <c r="RPA1725" s="227"/>
      <c r="RPB1725" s="227"/>
      <c r="RPC1725" s="227"/>
      <c r="RPD1725" s="227"/>
      <c r="RPE1725" s="227"/>
      <c r="RPF1725" s="227"/>
      <c r="RPG1725" s="227"/>
      <c r="RPH1725" s="227"/>
      <c r="RPI1725" s="227"/>
      <c r="RPJ1725" s="227"/>
      <c r="RPK1725" s="227"/>
      <c r="RPL1725" s="227"/>
      <c r="RPM1725" s="227"/>
      <c r="RPN1725" s="227"/>
      <c r="RPO1725" s="227"/>
      <c r="RPP1725" s="227"/>
      <c r="RPQ1725" s="227"/>
      <c r="RPR1725" s="227"/>
      <c r="RPS1725" s="227"/>
      <c r="RPT1725" s="227"/>
      <c r="RPU1725" s="227"/>
      <c r="RPV1725" s="227"/>
      <c r="RPW1725" s="227"/>
      <c r="RPX1725" s="227"/>
      <c r="RPY1725" s="227"/>
      <c r="RPZ1725" s="227"/>
      <c r="RQA1725" s="227"/>
      <c r="RQB1725" s="227"/>
      <c r="RQC1725" s="227"/>
      <c r="RQD1725" s="227"/>
      <c r="RQE1725" s="227"/>
      <c r="RQF1725" s="227"/>
      <c r="RQG1725" s="227"/>
      <c r="RQH1725" s="227"/>
      <c r="RQI1725" s="227"/>
      <c r="RQJ1725" s="227"/>
      <c r="RQK1725" s="227"/>
      <c r="RQL1725" s="227"/>
      <c r="RQM1725" s="227"/>
      <c r="RQN1725" s="227"/>
      <c r="RQO1725" s="227"/>
      <c r="RQP1725" s="227"/>
      <c r="RQQ1725" s="227"/>
      <c r="RQR1725" s="227"/>
      <c r="RQS1725" s="227"/>
      <c r="RQT1725" s="227"/>
      <c r="RQU1725" s="227"/>
      <c r="RQV1725" s="227"/>
      <c r="RQW1725" s="227"/>
      <c r="RQX1725" s="227"/>
      <c r="RQY1725" s="227"/>
      <c r="RQZ1725" s="227"/>
      <c r="RRA1725" s="227"/>
      <c r="RRB1725" s="227"/>
      <c r="RRC1725" s="227"/>
      <c r="RRD1725" s="227"/>
      <c r="RRE1725" s="227"/>
      <c r="RRF1725" s="227"/>
      <c r="RRG1725" s="227"/>
      <c r="RRH1725" s="227"/>
      <c r="RRI1725" s="227"/>
      <c r="RRJ1725" s="227"/>
      <c r="RRK1725" s="227"/>
      <c r="RRL1725" s="227"/>
      <c r="RRM1725" s="227"/>
      <c r="RRN1725" s="227"/>
      <c r="RRO1725" s="227"/>
      <c r="RRP1725" s="227"/>
      <c r="RRQ1725" s="227"/>
      <c r="RRR1725" s="227"/>
      <c r="RRS1725" s="227"/>
      <c r="RRT1725" s="227"/>
      <c r="RRU1725" s="227"/>
      <c r="RRV1725" s="227"/>
      <c r="RRW1725" s="227"/>
      <c r="RRX1725" s="227"/>
      <c r="RRY1725" s="227"/>
      <c r="RRZ1725" s="227"/>
      <c r="RSA1725" s="227"/>
      <c r="RSB1725" s="227"/>
      <c r="RSC1725" s="227"/>
      <c r="RSD1725" s="227"/>
      <c r="RSE1725" s="227"/>
      <c r="RSF1725" s="227"/>
      <c r="RSG1725" s="227"/>
      <c r="RSH1725" s="227"/>
      <c r="RSI1725" s="227"/>
      <c r="RSJ1725" s="227"/>
      <c r="RSK1725" s="227"/>
      <c r="RSL1725" s="227"/>
      <c r="RSM1725" s="227"/>
      <c r="RSN1725" s="227"/>
      <c r="RSO1725" s="227"/>
      <c r="RSP1725" s="227"/>
      <c r="RSQ1725" s="227"/>
      <c r="RSR1725" s="227"/>
      <c r="RSS1725" s="227"/>
      <c r="RST1725" s="227"/>
      <c r="RSU1725" s="227"/>
      <c r="RSV1725" s="227"/>
      <c r="RSW1725" s="227"/>
      <c r="RSX1725" s="227"/>
      <c r="RSY1725" s="227"/>
      <c r="RSZ1725" s="227"/>
      <c r="RTA1725" s="227"/>
      <c r="RTB1725" s="227"/>
      <c r="RTC1725" s="227"/>
      <c r="RTD1725" s="227"/>
      <c r="RTE1725" s="227"/>
      <c r="RTF1725" s="227"/>
      <c r="RTG1725" s="227"/>
      <c r="RTH1725" s="227"/>
      <c r="RTI1725" s="227"/>
      <c r="RTJ1725" s="227"/>
      <c r="RTK1725" s="227"/>
      <c r="RTL1725" s="227"/>
      <c r="RTM1725" s="227"/>
      <c r="RTN1725" s="227"/>
      <c r="RTO1725" s="227"/>
      <c r="RTP1725" s="227"/>
      <c r="RTQ1725" s="227"/>
      <c r="RTR1725" s="227"/>
      <c r="RTS1725" s="227"/>
      <c r="RTT1725" s="227"/>
      <c r="RTU1725" s="227"/>
      <c r="RTV1725" s="227"/>
      <c r="RTW1725" s="227"/>
      <c r="RTX1725" s="227"/>
      <c r="RTY1725" s="227"/>
      <c r="RTZ1725" s="227"/>
      <c r="RUA1725" s="227"/>
      <c r="RUB1725" s="227"/>
      <c r="RUC1725" s="227"/>
      <c r="RUD1725" s="227"/>
      <c r="RUE1725" s="227"/>
      <c r="RUF1725" s="227"/>
      <c r="RUG1725" s="227"/>
      <c r="RUH1725" s="227"/>
      <c r="RUI1725" s="227"/>
      <c r="RUJ1725" s="227"/>
      <c r="RUK1725" s="227"/>
      <c r="RUL1725" s="227"/>
      <c r="RUM1725" s="227"/>
      <c r="RUN1725" s="227"/>
      <c r="RUO1725" s="227"/>
      <c r="RUP1725" s="227"/>
      <c r="RUQ1725" s="227"/>
      <c r="RUR1725" s="227"/>
      <c r="RUS1725" s="227"/>
      <c r="RUT1725" s="227"/>
      <c r="RUU1725" s="227"/>
      <c r="RUV1725" s="227"/>
      <c r="RUW1725" s="227"/>
      <c r="RUX1725" s="227"/>
      <c r="RUY1725" s="227"/>
      <c r="RUZ1725" s="227"/>
      <c r="RVA1725" s="227"/>
      <c r="RVB1725" s="227"/>
      <c r="RVC1725" s="227"/>
      <c r="RVD1725" s="227"/>
      <c r="RVE1725" s="227"/>
      <c r="RVF1725" s="227"/>
      <c r="RVG1725" s="227"/>
      <c r="RVH1725" s="227"/>
      <c r="RVI1725" s="227"/>
      <c r="RVJ1725" s="227"/>
      <c r="RVK1725" s="227"/>
      <c r="RVL1725" s="227"/>
      <c r="RVM1725" s="227"/>
      <c r="RVN1725" s="227"/>
      <c r="RVO1725" s="227"/>
      <c r="RVP1725" s="227"/>
      <c r="RVQ1725" s="227"/>
      <c r="RVR1725" s="227"/>
      <c r="RVS1725" s="227"/>
      <c r="RVT1725" s="227"/>
      <c r="RVU1725" s="227"/>
      <c r="RVV1725" s="227"/>
      <c r="RVW1725" s="227"/>
      <c r="RVX1725" s="227"/>
      <c r="RVY1725" s="227"/>
      <c r="RVZ1725" s="227"/>
      <c r="RWA1725" s="227"/>
      <c r="RWB1725" s="227"/>
      <c r="RWC1725" s="227"/>
      <c r="RWD1725" s="227"/>
      <c r="RWE1725" s="227"/>
      <c r="RWF1725" s="227"/>
      <c r="RWG1725" s="227"/>
      <c r="RWH1725" s="227"/>
      <c r="RWI1725" s="227"/>
      <c r="RWJ1725" s="227"/>
      <c r="RWK1725" s="227"/>
      <c r="RWL1725" s="227"/>
      <c r="RWM1725" s="227"/>
      <c r="RWN1725" s="227"/>
      <c r="RWO1725" s="227"/>
      <c r="RWP1725" s="227"/>
      <c r="RWQ1725" s="227"/>
      <c r="RWR1725" s="227"/>
      <c r="RWS1725" s="227"/>
      <c r="RWT1725" s="227"/>
      <c r="RWU1725" s="227"/>
      <c r="RWV1725" s="227"/>
      <c r="RWW1725" s="227"/>
      <c r="RWX1725" s="227"/>
      <c r="RWY1725" s="227"/>
      <c r="RWZ1725" s="227"/>
      <c r="RXA1725" s="227"/>
      <c r="RXB1725" s="227"/>
      <c r="RXC1725" s="227"/>
      <c r="RXD1725" s="227"/>
      <c r="RXE1725" s="227"/>
      <c r="RXF1725" s="227"/>
      <c r="RXG1725" s="227"/>
      <c r="RXH1725" s="227"/>
      <c r="RXI1725" s="227"/>
      <c r="RXJ1725" s="227"/>
      <c r="RXK1725" s="227"/>
      <c r="RXL1725" s="227"/>
      <c r="RXM1725" s="227"/>
      <c r="RXN1725" s="227"/>
      <c r="RXO1725" s="227"/>
      <c r="RXP1725" s="227"/>
      <c r="RXQ1725" s="227"/>
      <c r="RXR1725" s="227"/>
      <c r="RXS1725" s="227"/>
      <c r="RXT1725" s="227"/>
      <c r="RXU1725" s="227"/>
      <c r="RXV1725" s="227"/>
      <c r="RXW1725" s="227"/>
      <c r="RXX1725" s="227"/>
      <c r="RXY1725" s="227"/>
      <c r="RXZ1725" s="227"/>
      <c r="RYA1725" s="227"/>
      <c r="RYB1725" s="227"/>
      <c r="RYC1725" s="227"/>
      <c r="RYD1725" s="227"/>
      <c r="RYE1725" s="227"/>
      <c r="RYF1725" s="227"/>
      <c r="RYG1725" s="227"/>
      <c r="RYH1725" s="227"/>
      <c r="RYI1725" s="227"/>
      <c r="RYJ1725" s="227"/>
      <c r="RYK1725" s="227"/>
      <c r="RYL1725" s="227"/>
      <c r="RYM1725" s="227"/>
      <c r="RYN1725" s="227"/>
      <c r="RYO1725" s="227"/>
      <c r="RYP1725" s="227"/>
      <c r="RYQ1725" s="227"/>
      <c r="RYR1725" s="227"/>
      <c r="RYS1725" s="227"/>
      <c r="RYT1725" s="227"/>
      <c r="RYU1725" s="227"/>
      <c r="RYV1725" s="227"/>
      <c r="RYW1725" s="227"/>
      <c r="RYX1725" s="227"/>
      <c r="RYY1725" s="227"/>
      <c r="RYZ1725" s="227"/>
      <c r="RZA1725" s="227"/>
      <c r="RZB1725" s="227"/>
      <c r="RZC1725" s="227"/>
      <c r="RZD1725" s="227"/>
      <c r="RZE1725" s="227"/>
      <c r="RZF1725" s="227"/>
      <c r="RZG1725" s="227"/>
      <c r="RZH1725" s="227"/>
      <c r="RZI1725" s="227"/>
      <c r="RZJ1725" s="227"/>
      <c r="RZK1725" s="227"/>
      <c r="RZL1725" s="227"/>
      <c r="RZM1725" s="227"/>
      <c r="RZN1725" s="227"/>
      <c r="RZO1725" s="227"/>
      <c r="RZP1725" s="227"/>
      <c r="RZQ1725" s="227"/>
      <c r="RZR1725" s="227"/>
      <c r="RZS1725" s="227"/>
      <c r="RZT1725" s="227"/>
      <c r="RZU1725" s="227"/>
      <c r="RZV1725" s="227"/>
      <c r="RZW1725" s="227"/>
      <c r="RZX1725" s="227"/>
      <c r="RZY1725" s="227"/>
      <c r="RZZ1725" s="227"/>
      <c r="SAA1725" s="227"/>
      <c r="SAB1725" s="227"/>
      <c r="SAC1725" s="227"/>
      <c r="SAD1725" s="227"/>
      <c r="SAE1725" s="227"/>
      <c r="SAF1725" s="227"/>
      <c r="SAG1725" s="227"/>
      <c r="SAH1725" s="227"/>
      <c r="SAI1725" s="227"/>
      <c r="SAJ1725" s="227"/>
      <c r="SAK1725" s="227"/>
      <c r="SAL1725" s="227"/>
      <c r="SAM1725" s="227"/>
      <c r="SAN1725" s="227"/>
      <c r="SAO1725" s="227"/>
      <c r="SAP1725" s="227"/>
      <c r="SAQ1725" s="227"/>
      <c r="SAR1725" s="227"/>
      <c r="SAS1725" s="227"/>
      <c r="SAT1725" s="227"/>
      <c r="SAU1725" s="227"/>
      <c r="SAV1725" s="227"/>
      <c r="SAW1725" s="227"/>
      <c r="SAX1725" s="227"/>
      <c r="SAY1725" s="227"/>
      <c r="SAZ1725" s="227"/>
      <c r="SBA1725" s="227"/>
      <c r="SBB1725" s="227"/>
      <c r="SBC1725" s="227"/>
      <c r="SBD1725" s="227"/>
      <c r="SBE1725" s="227"/>
      <c r="SBF1725" s="227"/>
      <c r="SBG1725" s="227"/>
      <c r="SBH1725" s="227"/>
      <c r="SBI1725" s="227"/>
      <c r="SBJ1725" s="227"/>
      <c r="SBK1725" s="227"/>
      <c r="SBL1725" s="227"/>
      <c r="SBM1725" s="227"/>
      <c r="SBN1725" s="227"/>
      <c r="SBO1725" s="227"/>
      <c r="SBP1725" s="227"/>
      <c r="SBQ1725" s="227"/>
      <c r="SBR1725" s="227"/>
      <c r="SBS1725" s="227"/>
      <c r="SBT1725" s="227"/>
      <c r="SBU1725" s="227"/>
      <c r="SBV1725" s="227"/>
      <c r="SBW1725" s="227"/>
      <c r="SBX1725" s="227"/>
      <c r="SBY1725" s="227"/>
      <c r="SBZ1725" s="227"/>
      <c r="SCA1725" s="227"/>
      <c r="SCB1725" s="227"/>
      <c r="SCC1725" s="227"/>
      <c r="SCD1725" s="227"/>
      <c r="SCE1725" s="227"/>
      <c r="SCF1725" s="227"/>
      <c r="SCG1725" s="227"/>
      <c r="SCH1725" s="227"/>
      <c r="SCI1725" s="227"/>
      <c r="SCJ1725" s="227"/>
      <c r="SCK1725" s="227"/>
      <c r="SCL1725" s="227"/>
      <c r="SCM1725" s="227"/>
      <c r="SCN1725" s="227"/>
      <c r="SCO1725" s="227"/>
      <c r="SCP1725" s="227"/>
      <c r="SCQ1725" s="227"/>
      <c r="SCR1725" s="227"/>
      <c r="SCS1725" s="227"/>
      <c r="SCT1725" s="227"/>
      <c r="SCU1725" s="227"/>
      <c r="SCV1725" s="227"/>
      <c r="SCW1725" s="227"/>
      <c r="SCX1725" s="227"/>
      <c r="SCY1725" s="227"/>
      <c r="SCZ1725" s="227"/>
      <c r="SDA1725" s="227"/>
      <c r="SDB1725" s="227"/>
      <c r="SDC1725" s="227"/>
      <c r="SDD1725" s="227"/>
      <c r="SDE1725" s="227"/>
      <c r="SDF1725" s="227"/>
      <c r="SDG1725" s="227"/>
      <c r="SDH1725" s="227"/>
      <c r="SDI1725" s="227"/>
      <c r="SDJ1725" s="227"/>
      <c r="SDK1725" s="227"/>
      <c r="SDL1725" s="227"/>
      <c r="SDM1725" s="227"/>
      <c r="SDN1725" s="227"/>
      <c r="SDO1725" s="227"/>
      <c r="SDP1725" s="227"/>
      <c r="SDQ1725" s="227"/>
      <c r="SDR1725" s="227"/>
      <c r="SDS1725" s="227"/>
      <c r="SDT1725" s="227"/>
      <c r="SDU1725" s="227"/>
      <c r="SDV1725" s="227"/>
      <c r="SDW1725" s="227"/>
      <c r="SDX1725" s="227"/>
      <c r="SDY1725" s="227"/>
      <c r="SDZ1725" s="227"/>
      <c r="SEA1725" s="227"/>
      <c r="SEB1725" s="227"/>
      <c r="SEC1725" s="227"/>
      <c r="SED1725" s="227"/>
      <c r="SEE1725" s="227"/>
      <c r="SEF1725" s="227"/>
      <c r="SEG1725" s="227"/>
      <c r="SEH1725" s="227"/>
      <c r="SEI1725" s="227"/>
      <c r="SEJ1725" s="227"/>
      <c r="SEK1725" s="227"/>
      <c r="SEL1725" s="227"/>
      <c r="SEM1725" s="227"/>
      <c r="SEN1725" s="227"/>
      <c r="SEO1725" s="227"/>
      <c r="SEP1725" s="227"/>
      <c r="SEQ1725" s="227"/>
      <c r="SER1725" s="227"/>
      <c r="SES1725" s="227"/>
      <c r="SET1725" s="227"/>
      <c r="SEU1725" s="227"/>
      <c r="SEV1725" s="227"/>
      <c r="SEW1725" s="227"/>
      <c r="SEX1725" s="227"/>
      <c r="SEY1725" s="227"/>
      <c r="SEZ1725" s="227"/>
      <c r="SFA1725" s="227"/>
      <c r="SFB1725" s="227"/>
      <c r="SFC1725" s="227"/>
      <c r="SFD1725" s="227"/>
      <c r="SFE1725" s="227"/>
      <c r="SFF1725" s="227"/>
      <c r="SFG1725" s="227"/>
      <c r="SFH1725" s="227"/>
      <c r="SFI1725" s="227"/>
      <c r="SFJ1725" s="227"/>
      <c r="SFK1725" s="227"/>
      <c r="SFL1725" s="227"/>
      <c r="SFM1725" s="227"/>
      <c r="SFN1725" s="227"/>
      <c r="SFO1725" s="227"/>
      <c r="SFP1725" s="227"/>
      <c r="SFQ1725" s="227"/>
      <c r="SFR1725" s="227"/>
      <c r="SFS1725" s="227"/>
      <c r="SFT1725" s="227"/>
      <c r="SFU1725" s="227"/>
      <c r="SFV1725" s="227"/>
      <c r="SFW1725" s="227"/>
      <c r="SFX1725" s="227"/>
      <c r="SFY1725" s="227"/>
      <c r="SFZ1725" s="227"/>
      <c r="SGA1725" s="227"/>
      <c r="SGB1725" s="227"/>
      <c r="SGC1725" s="227"/>
      <c r="SGD1725" s="227"/>
      <c r="SGE1725" s="227"/>
      <c r="SGF1725" s="227"/>
      <c r="SGG1725" s="227"/>
      <c r="SGH1725" s="227"/>
      <c r="SGI1725" s="227"/>
      <c r="SGJ1725" s="227"/>
      <c r="SGK1725" s="227"/>
      <c r="SGL1725" s="227"/>
      <c r="SGM1725" s="227"/>
      <c r="SGN1725" s="227"/>
      <c r="SGO1725" s="227"/>
      <c r="SGP1725" s="227"/>
      <c r="SGQ1725" s="227"/>
      <c r="SGR1725" s="227"/>
      <c r="SGS1725" s="227"/>
      <c r="SGT1725" s="227"/>
      <c r="SGU1725" s="227"/>
      <c r="SGV1725" s="227"/>
      <c r="SGW1725" s="227"/>
      <c r="SGX1725" s="227"/>
      <c r="SGY1725" s="227"/>
      <c r="SGZ1725" s="227"/>
      <c r="SHA1725" s="227"/>
      <c r="SHB1725" s="227"/>
      <c r="SHC1725" s="227"/>
      <c r="SHD1725" s="227"/>
      <c r="SHE1725" s="227"/>
      <c r="SHF1725" s="227"/>
      <c r="SHG1725" s="227"/>
      <c r="SHH1725" s="227"/>
      <c r="SHI1725" s="227"/>
      <c r="SHJ1725" s="227"/>
      <c r="SHK1725" s="227"/>
      <c r="SHL1725" s="227"/>
      <c r="SHM1725" s="227"/>
      <c r="SHN1725" s="227"/>
      <c r="SHO1725" s="227"/>
      <c r="SHP1725" s="227"/>
      <c r="SHQ1725" s="227"/>
      <c r="SHR1725" s="227"/>
      <c r="SHS1725" s="227"/>
      <c r="SHT1725" s="227"/>
      <c r="SHU1725" s="227"/>
      <c r="SHV1725" s="227"/>
      <c r="SHW1725" s="227"/>
      <c r="SHX1725" s="227"/>
      <c r="SHY1725" s="227"/>
      <c r="SHZ1725" s="227"/>
      <c r="SIA1725" s="227"/>
      <c r="SIB1725" s="227"/>
      <c r="SIC1725" s="227"/>
      <c r="SID1725" s="227"/>
      <c r="SIE1725" s="227"/>
      <c r="SIF1725" s="227"/>
      <c r="SIG1725" s="227"/>
      <c r="SIH1725" s="227"/>
      <c r="SII1725" s="227"/>
      <c r="SIJ1725" s="227"/>
      <c r="SIK1725" s="227"/>
      <c r="SIL1725" s="227"/>
      <c r="SIM1725" s="227"/>
      <c r="SIN1725" s="227"/>
      <c r="SIO1725" s="227"/>
      <c r="SIP1725" s="227"/>
      <c r="SIQ1725" s="227"/>
      <c r="SIR1725" s="227"/>
      <c r="SIS1725" s="227"/>
      <c r="SIT1725" s="227"/>
      <c r="SIU1725" s="227"/>
      <c r="SIV1725" s="227"/>
      <c r="SIW1725" s="227"/>
      <c r="SIX1725" s="227"/>
      <c r="SIY1725" s="227"/>
      <c r="SIZ1725" s="227"/>
      <c r="SJA1725" s="227"/>
      <c r="SJB1725" s="227"/>
      <c r="SJC1725" s="227"/>
      <c r="SJD1725" s="227"/>
      <c r="SJE1725" s="227"/>
      <c r="SJF1725" s="227"/>
      <c r="SJG1725" s="227"/>
      <c r="SJH1725" s="227"/>
      <c r="SJI1725" s="227"/>
      <c r="SJJ1725" s="227"/>
      <c r="SJK1725" s="227"/>
      <c r="SJL1725" s="227"/>
      <c r="SJM1725" s="227"/>
      <c r="SJN1725" s="227"/>
      <c r="SJO1725" s="227"/>
      <c r="SJP1725" s="227"/>
      <c r="SJQ1725" s="227"/>
      <c r="SJR1725" s="227"/>
      <c r="SJS1725" s="227"/>
      <c r="SJT1725" s="227"/>
      <c r="SJU1725" s="227"/>
      <c r="SJV1725" s="227"/>
      <c r="SJW1725" s="227"/>
      <c r="SJX1725" s="227"/>
      <c r="SJY1725" s="227"/>
      <c r="SJZ1725" s="227"/>
      <c r="SKA1725" s="227"/>
      <c r="SKB1725" s="227"/>
      <c r="SKC1725" s="227"/>
      <c r="SKD1725" s="227"/>
      <c r="SKE1725" s="227"/>
      <c r="SKF1725" s="227"/>
      <c r="SKG1725" s="227"/>
      <c r="SKH1725" s="227"/>
      <c r="SKI1725" s="227"/>
      <c r="SKJ1725" s="227"/>
      <c r="SKK1725" s="227"/>
      <c r="SKL1725" s="227"/>
      <c r="SKM1725" s="227"/>
      <c r="SKN1725" s="227"/>
      <c r="SKO1725" s="227"/>
      <c r="SKP1725" s="227"/>
      <c r="SKQ1725" s="227"/>
      <c r="SKR1725" s="227"/>
      <c r="SKS1725" s="227"/>
      <c r="SKT1725" s="227"/>
      <c r="SKU1725" s="227"/>
      <c r="SKV1725" s="227"/>
      <c r="SKW1725" s="227"/>
      <c r="SKX1725" s="227"/>
      <c r="SKY1725" s="227"/>
      <c r="SKZ1725" s="227"/>
      <c r="SLA1725" s="227"/>
      <c r="SLB1725" s="227"/>
      <c r="SLC1725" s="227"/>
      <c r="SLD1725" s="227"/>
      <c r="SLE1725" s="227"/>
      <c r="SLF1725" s="227"/>
      <c r="SLG1725" s="227"/>
      <c r="SLH1725" s="227"/>
      <c r="SLI1725" s="227"/>
      <c r="SLJ1725" s="227"/>
      <c r="SLK1725" s="227"/>
      <c r="SLL1725" s="227"/>
      <c r="SLM1725" s="227"/>
      <c r="SLN1725" s="227"/>
      <c r="SLO1725" s="227"/>
      <c r="SLP1725" s="227"/>
      <c r="SLQ1725" s="227"/>
      <c r="SLR1725" s="227"/>
      <c r="SLS1725" s="227"/>
      <c r="SLT1725" s="227"/>
      <c r="SLU1725" s="227"/>
      <c r="SLV1725" s="227"/>
      <c r="SLW1725" s="227"/>
      <c r="SLX1725" s="227"/>
      <c r="SLY1725" s="227"/>
      <c r="SLZ1725" s="227"/>
      <c r="SMA1725" s="227"/>
      <c r="SMB1725" s="227"/>
      <c r="SMC1725" s="227"/>
      <c r="SMD1725" s="227"/>
      <c r="SME1725" s="227"/>
      <c r="SMF1725" s="227"/>
      <c r="SMG1725" s="227"/>
      <c r="SMH1725" s="227"/>
      <c r="SMI1725" s="227"/>
      <c r="SMJ1725" s="227"/>
      <c r="SMK1725" s="227"/>
      <c r="SML1725" s="227"/>
      <c r="SMM1725" s="227"/>
      <c r="SMN1725" s="227"/>
      <c r="SMO1725" s="227"/>
      <c r="SMP1725" s="227"/>
      <c r="SMQ1725" s="227"/>
      <c r="SMR1725" s="227"/>
      <c r="SMS1725" s="227"/>
      <c r="SMT1725" s="227"/>
      <c r="SMU1725" s="227"/>
      <c r="SMV1725" s="227"/>
      <c r="SMW1725" s="227"/>
      <c r="SMX1725" s="227"/>
      <c r="SMY1725" s="227"/>
      <c r="SMZ1725" s="227"/>
      <c r="SNA1725" s="227"/>
      <c r="SNB1725" s="227"/>
      <c r="SNC1725" s="227"/>
      <c r="SND1725" s="227"/>
      <c r="SNE1725" s="227"/>
      <c r="SNF1725" s="227"/>
      <c r="SNG1725" s="227"/>
      <c r="SNH1725" s="227"/>
      <c r="SNI1725" s="227"/>
      <c r="SNJ1725" s="227"/>
      <c r="SNK1725" s="227"/>
      <c r="SNL1725" s="227"/>
      <c r="SNM1725" s="227"/>
      <c r="SNN1725" s="227"/>
      <c r="SNO1725" s="227"/>
      <c r="SNP1725" s="227"/>
      <c r="SNQ1725" s="227"/>
      <c r="SNR1725" s="227"/>
      <c r="SNS1725" s="227"/>
      <c r="SNT1725" s="227"/>
      <c r="SNU1725" s="227"/>
      <c r="SNV1725" s="227"/>
      <c r="SNW1725" s="227"/>
      <c r="SNX1725" s="227"/>
      <c r="SNY1725" s="227"/>
      <c r="SNZ1725" s="227"/>
      <c r="SOA1725" s="227"/>
      <c r="SOB1725" s="227"/>
      <c r="SOC1725" s="227"/>
      <c r="SOD1725" s="227"/>
      <c r="SOE1725" s="227"/>
      <c r="SOF1725" s="227"/>
      <c r="SOG1725" s="227"/>
      <c r="SOH1725" s="227"/>
      <c r="SOI1725" s="227"/>
      <c r="SOJ1725" s="227"/>
      <c r="SOK1725" s="227"/>
      <c r="SOL1725" s="227"/>
      <c r="SOM1725" s="227"/>
      <c r="SON1725" s="227"/>
      <c r="SOO1725" s="227"/>
      <c r="SOP1725" s="227"/>
      <c r="SOQ1725" s="227"/>
      <c r="SOR1725" s="227"/>
      <c r="SOS1725" s="227"/>
      <c r="SOT1725" s="227"/>
      <c r="SOU1725" s="227"/>
      <c r="SOV1725" s="227"/>
      <c r="SOW1725" s="227"/>
      <c r="SOX1725" s="227"/>
      <c r="SOY1725" s="227"/>
      <c r="SOZ1725" s="227"/>
      <c r="SPA1725" s="227"/>
      <c r="SPB1725" s="227"/>
      <c r="SPC1725" s="227"/>
      <c r="SPD1725" s="227"/>
      <c r="SPE1725" s="227"/>
      <c r="SPF1725" s="227"/>
      <c r="SPG1725" s="227"/>
      <c r="SPH1725" s="227"/>
      <c r="SPI1725" s="227"/>
      <c r="SPJ1725" s="227"/>
      <c r="SPK1725" s="227"/>
      <c r="SPL1725" s="227"/>
      <c r="SPM1725" s="227"/>
      <c r="SPN1725" s="227"/>
      <c r="SPO1725" s="227"/>
      <c r="SPP1725" s="227"/>
      <c r="SPQ1725" s="227"/>
      <c r="SPR1725" s="227"/>
      <c r="SPS1725" s="227"/>
      <c r="SPT1725" s="227"/>
      <c r="SPU1725" s="227"/>
      <c r="SPV1725" s="227"/>
      <c r="SPW1725" s="227"/>
      <c r="SPX1725" s="227"/>
      <c r="SPY1725" s="227"/>
      <c r="SPZ1725" s="227"/>
      <c r="SQA1725" s="227"/>
      <c r="SQB1725" s="227"/>
      <c r="SQC1725" s="227"/>
      <c r="SQD1725" s="227"/>
      <c r="SQE1725" s="227"/>
      <c r="SQF1725" s="227"/>
      <c r="SQG1725" s="227"/>
      <c r="SQH1725" s="227"/>
      <c r="SQI1725" s="227"/>
      <c r="SQJ1725" s="227"/>
      <c r="SQK1725" s="227"/>
      <c r="SQL1725" s="227"/>
      <c r="SQM1725" s="227"/>
      <c r="SQN1725" s="227"/>
      <c r="SQO1725" s="227"/>
      <c r="SQP1725" s="227"/>
      <c r="SQQ1725" s="227"/>
      <c r="SQR1725" s="227"/>
      <c r="SQS1725" s="227"/>
      <c r="SQT1725" s="227"/>
      <c r="SQU1725" s="227"/>
      <c r="SQV1725" s="227"/>
      <c r="SQW1725" s="227"/>
      <c r="SQX1725" s="227"/>
      <c r="SQY1725" s="227"/>
      <c r="SQZ1725" s="227"/>
      <c r="SRA1725" s="227"/>
      <c r="SRB1725" s="227"/>
      <c r="SRC1725" s="227"/>
      <c r="SRD1725" s="227"/>
      <c r="SRE1725" s="227"/>
      <c r="SRF1725" s="227"/>
      <c r="SRG1725" s="227"/>
      <c r="SRH1725" s="227"/>
      <c r="SRI1725" s="227"/>
      <c r="SRJ1725" s="227"/>
      <c r="SRK1725" s="227"/>
      <c r="SRL1725" s="227"/>
      <c r="SRM1725" s="227"/>
      <c r="SRN1725" s="227"/>
      <c r="SRO1725" s="227"/>
      <c r="SRP1725" s="227"/>
      <c r="SRQ1725" s="227"/>
      <c r="SRR1725" s="227"/>
      <c r="SRS1725" s="227"/>
      <c r="SRT1725" s="227"/>
      <c r="SRU1725" s="227"/>
      <c r="SRV1725" s="227"/>
      <c r="SRW1725" s="227"/>
      <c r="SRX1725" s="227"/>
      <c r="SRY1725" s="227"/>
      <c r="SRZ1725" s="227"/>
      <c r="SSA1725" s="227"/>
      <c r="SSB1725" s="227"/>
      <c r="SSC1725" s="227"/>
      <c r="SSD1725" s="227"/>
      <c r="SSE1725" s="227"/>
      <c r="SSF1725" s="227"/>
      <c r="SSG1725" s="227"/>
      <c r="SSH1725" s="227"/>
      <c r="SSI1725" s="227"/>
      <c r="SSJ1725" s="227"/>
      <c r="SSK1725" s="227"/>
      <c r="SSL1725" s="227"/>
      <c r="SSM1725" s="227"/>
      <c r="SSN1725" s="227"/>
      <c r="SSO1725" s="227"/>
      <c r="SSP1725" s="227"/>
      <c r="SSQ1725" s="227"/>
      <c r="SSR1725" s="227"/>
      <c r="SSS1725" s="227"/>
      <c r="SST1725" s="227"/>
      <c r="SSU1725" s="227"/>
      <c r="SSV1725" s="227"/>
      <c r="SSW1725" s="227"/>
      <c r="SSX1725" s="227"/>
      <c r="SSY1725" s="227"/>
      <c r="SSZ1725" s="227"/>
      <c r="STA1725" s="227"/>
      <c r="STB1725" s="227"/>
      <c r="STC1725" s="227"/>
      <c r="STD1725" s="227"/>
      <c r="STE1725" s="227"/>
      <c r="STF1725" s="227"/>
      <c r="STG1725" s="227"/>
      <c r="STH1725" s="227"/>
      <c r="STI1725" s="227"/>
      <c r="STJ1725" s="227"/>
      <c r="STK1725" s="227"/>
      <c r="STL1725" s="227"/>
      <c r="STM1725" s="227"/>
      <c r="STN1725" s="227"/>
      <c r="STO1725" s="227"/>
      <c r="STP1725" s="227"/>
      <c r="STQ1725" s="227"/>
      <c r="STR1725" s="227"/>
      <c r="STS1725" s="227"/>
      <c r="STT1725" s="227"/>
      <c r="STU1725" s="227"/>
      <c r="STV1725" s="227"/>
      <c r="STW1725" s="227"/>
      <c r="STX1725" s="227"/>
      <c r="STY1725" s="227"/>
      <c r="STZ1725" s="227"/>
      <c r="SUA1725" s="227"/>
      <c r="SUB1725" s="227"/>
      <c r="SUC1725" s="227"/>
      <c r="SUD1725" s="227"/>
      <c r="SUE1725" s="227"/>
      <c r="SUF1725" s="227"/>
      <c r="SUG1725" s="227"/>
      <c r="SUH1725" s="227"/>
      <c r="SUI1725" s="227"/>
      <c r="SUJ1725" s="227"/>
      <c r="SUK1725" s="227"/>
      <c r="SUL1725" s="227"/>
      <c r="SUM1725" s="227"/>
      <c r="SUN1725" s="227"/>
      <c r="SUO1725" s="227"/>
      <c r="SUP1725" s="227"/>
      <c r="SUQ1725" s="227"/>
      <c r="SUR1725" s="227"/>
      <c r="SUS1725" s="227"/>
      <c r="SUT1725" s="227"/>
      <c r="SUU1725" s="227"/>
      <c r="SUV1725" s="227"/>
      <c r="SUW1725" s="227"/>
      <c r="SUX1725" s="227"/>
      <c r="SUY1725" s="227"/>
      <c r="SUZ1725" s="227"/>
      <c r="SVA1725" s="227"/>
      <c r="SVB1725" s="227"/>
      <c r="SVC1725" s="227"/>
      <c r="SVD1725" s="227"/>
      <c r="SVE1725" s="227"/>
      <c r="SVF1725" s="227"/>
      <c r="SVG1725" s="227"/>
      <c r="SVH1725" s="227"/>
      <c r="SVI1725" s="227"/>
      <c r="SVJ1725" s="227"/>
      <c r="SVK1725" s="227"/>
      <c r="SVL1725" s="227"/>
      <c r="SVM1725" s="227"/>
      <c r="SVN1725" s="227"/>
      <c r="SVO1725" s="227"/>
      <c r="SVP1725" s="227"/>
      <c r="SVQ1725" s="227"/>
      <c r="SVR1725" s="227"/>
      <c r="SVS1725" s="227"/>
      <c r="SVT1725" s="227"/>
      <c r="SVU1725" s="227"/>
      <c r="SVV1725" s="227"/>
      <c r="SVW1725" s="227"/>
      <c r="SVX1725" s="227"/>
      <c r="SVY1725" s="227"/>
      <c r="SVZ1725" s="227"/>
      <c r="SWA1725" s="227"/>
      <c r="SWB1725" s="227"/>
      <c r="SWC1725" s="227"/>
      <c r="SWD1725" s="227"/>
      <c r="SWE1725" s="227"/>
      <c r="SWF1725" s="227"/>
      <c r="SWG1725" s="227"/>
      <c r="SWH1725" s="227"/>
      <c r="SWI1725" s="227"/>
      <c r="SWJ1725" s="227"/>
      <c r="SWK1725" s="227"/>
      <c r="SWL1725" s="227"/>
      <c r="SWM1725" s="227"/>
      <c r="SWN1725" s="227"/>
      <c r="SWO1725" s="227"/>
      <c r="SWP1725" s="227"/>
      <c r="SWQ1725" s="227"/>
      <c r="SWR1725" s="227"/>
      <c r="SWS1725" s="227"/>
      <c r="SWT1725" s="227"/>
      <c r="SWU1725" s="227"/>
      <c r="SWV1725" s="227"/>
      <c r="SWW1725" s="227"/>
      <c r="SWX1725" s="227"/>
      <c r="SWY1725" s="227"/>
      <c r="SWZ1725" s="227"/>
      <c r="SXA1725" s="227"/>
      <c r="SXB1725" s="227"/>
      <c r="SXC1725" s="227"/>
      <c r="SXD1725" s="227"/>
      <c r="SXE1725" s="227"/>
      <c r="SXF1725" s="227"/>
      <c r="SXG1725" s="227"/>
      <c r="SXH1725" s="227"/>
      <c r="SXI1725" s="227"/>
      <c r="SXJ1725" s="227"/>
      <c r="SXK1725" s="227"/>
      <c r="SXL1725" s="227"/>
      <c r="SXM1725" s="227"/>
      <c r="SXN1725" s="227"/>
      <c r="SXO1725" s="227"/>
      <c r="SXP1725" s="227"/>
      <c r="SXQ1725" s="227"/>
      <c r="SXR1725" s="227"/>
      <c r="SXS1725" s="227"/>
      <c r="SXT1725" s="227"/>
      <c r="SXU1725" s="227"/>
      <c r="SXV1725" s="227"/>
      <c r="SXW1725" s="227"/>
      <c r="SXX1725" s="227"/>
      <c r="SXY1725" s="227"/>
      <c r="SXZ1725" s="227"/>
      <c r="SYA1725" s="227"/>
      <c r="SYB1725" s="227"/>
      <c r="SYC1725" s="227"/>
      <c r="SYD1725" s="227"/>
      <c r="SYE1725" s="227"/>
      <c r="SYF1725" s="227"/>
      <c r="SYG1725" s="227"/>
      <c r="SYH1725" s="227"/>
      <c r="SYI1725" s="227"/>
      <c r="SYJ1725" s="227"/>
      <c r="SYK1725" s="227"/>
      <c r="SYL1725" s="227"/>
      <c r="SYM1725" s="227"/>
      <c r="SYN1725" s="227"/>
      <c r="SYO1725" s="227"/>
      <c r="SYP1725" s="227"/>
      <c r="SYQ1725" s="227"/>
      <c r="SYR1725" s="227"/>
      <c r="SYS1725" s="227"/>
      <c r="SYT1725" s="227"/>
      <c r="SYU1725" s="227"/>
      <c r="SYV1725" s="227"/>
      <c r="SYW1725" s="227"/>
      <c r="SYX1725" s="227"/>
      <c r="SYY1725" s="227"/>
      <c r="SYZ1725" s="227"/>
      <c r="SZA1725" s="227"/>
      <c r="SZB1725" s="227"/>
      <c r="SZC1725" s="227"/>
      <c r="SZD1725" s="227"/>
      <c r="SZE1725" s="227"/>
      <c r="SZF1725" s="227"/>
      <c r="SZG1725" s="227"/>
      <c r="SZH1725" s="227"/>
      <c r="SZI1725" s="227"/>
      <c r="SZJ1725" s="227"/>
      <c r="SZK1725" s="227"/>
      <c r="SZL1725" s="227"/>
      <c r="SZM1725" s="227"/>
      <c r="SZN1725" s="227"/>
      <c r="SZO1725" s="227"/>
      <c r="SZP1725" s="227"/>
      <c r="SZQ1725" s="227"/>
      <c r="SZR1725" s="227"/>
      <c r="SZS1725" s="227"/>
      <c r="SZT1725" s="227"/>
      <c r="SZU1725" s="227"/>
      <c r="SZV1725" s="227"/>
      <c r="SZW1725" s="227"/>
      <c r="SZX1725" s="227"/>
      <c r="SZY1725" s="227"/>
      <c r="SZZ1725" s="227"/>
      <c r="TAA1725" s="227"/>
      <c r="TAB1725" s="227"/>
      <c r="TAC1725" s="227"/>
      <c r="TAD1725" s="227"/>
      <c r="TAE1725" s="227"/>
      <c r="TAF1725" s="227"/>
      <c r="TAG1725" s="227"/>
      <c r="TAH1725" s="227"/>
      <c r="TAI1725" s="227"/>
      <c r="TAJ1725" s="227"/>
      <c r="TAK1725" s="227"/>
      <c r="TAL1725" s="227"/>
      <c r="TAM1725" s="227"/>
      <c r="TAN1725" s="227"/>
      <c r="TAO1725" s="227"/>
      <c r="TAP1725" s="227"/>
      <c r="TAQ1725" s="227"/>
      <c r="TAR1725" s="227"/>
      <c r="TAS1725" s="227"/>
      <c r="TAT1725" s="227"/>
      <c r="TAU1725" s="227"/>
      <c r="TAV1725" s="227"/>
      <c r="TAW1725" s="227"/>
      <c r="TAX1725" s="227"/>
      <c r="TAY1725" s="227"/>
      <c r="TAZ1725" s="227"/>
      <c r="TBA1725" s="227"/>
      <c r="TBB1725" s="227"/>
      <c r="TBC1725" s="227"/>
      <c r="TBD1725" s="227"/>
      <c r="TBE1725" s="227"/>
      <c r="TBF1725" s="227"/>
      <c r="TBG1725" s="227"/>
      <c r="TBH1725" s="227"/>
      <c r="TBI1725" s="227"/>
      <c r="TBJ1725" s="227"/>
      <c r="TBK1725" s="227"/>
      <c r="TBL1725" s="227"/>
      <c r="TBM1725" s="227"/>
      <c r="TBN1725" s="227"/>
      <c r="TBO1725" s="227"/>
      <c r="TBP1725" s="227"/>
      <c r="TBQ1725" s="227"/>
      <c r="TBR1725" s="227"/>
      <c r="TBS1725" s="227"/>
      <c r="TBT1725" s="227"/>
      <c r="TBU1725" s="227"/>
      <c r="TBV1725" s="227"/>
      <c r="TBW1725" s="227"/>
      <c r="TBX1725" s="227"/>
      <c r="TBY1725" s="227"/>
      <c r="TBZ1725" s="227"/>
      <c r="TCA1725" s="227"/>
      <c r="TCB1725" s="227"/>
      <c r="TCC1725" s="227"/>
      <c r="TCD1725" s="227"/>
      <c r="TCE1725" s="227"/>
      <c r="TCF1725" s="227"/>
      <c r="TCG1725" s="227"/>
      <c r="TCH1725" s="227"/>
      <c r="TCI1725" s="227"/>
      <c r="TCJ1725" s="227"/>
      <c r="TCK1725" s="227"/>
      <c r="TCL1725" s="227"/>
      <c r="TCM1725" s="227"/>
      <c r="TCN1725" s="227"/>
      <c r="TCO1725" s="227"/>
      <c r="TCP1725" s="227"/>
      <c r="TCQ1725" s="227"/>
      <c r="TCR1725" s="227"/>
      <c r="TCS1725" s="227"/>
      <c r="TCT1725" s="227"/>
      <c r="TCU1725" s="227"/>
      <c r="TCV1725" s="227"/>
      <c r="TCW1725" s="227"/>
      <c r="TCX1725" s="227"/>
      <c r="TCY1725" s="227"/>
      <c r="TCZ1725" s="227"/>
      <c r="TDA1725" s="227"/>
      <c r="TDB1725" s="227"/>
      <c r="TDC1725" s="227"/>
      <c r="TDD1725" s="227"/>
      <c r="TDE1725" s="227"/>
      <c r="TDF1725" s="227"/>
      <c r="TDG1725" s="227"/>
      <c r="TDH1725" s="227"/>
      <c r="TDI1725" s="227"/>
      <c r="TDJ1725" s="227"/>
      <c r="TDK1725" s="227"/>
      <c r="TDL1725" s="227"/>
      <c r="TDM1725" s="227"/>
      <c r="TDN1725" s="227"/>
      <c r="TDO1725" s="227"/>
      <c r="TDP1725" s="227"/>
      <c r="TDQ1725" s="227"/>
      <c r="TDR1725" s="227"/>
      <c r="TDS1725" s="227"/>
      <c r="TDT1725" s="227"/>
      <c r="TDU1725" s="227"/>
      <c r="TDV1725" s="227"/>
      <c r="TDW1725" s="227"/>
      <c r="TDX1725" s="227"/>
      <c r="TDY1725" s="227"/>
      <c r="TDZ1725" s="227"/>
      <c r="TEA1725" s="227"/>
      <c r="TEB1725" s="227"/>
      <c r="TEC1725" s="227"/>
      <c r="TED1725" s="227"/>
      <c r="TEE1725" s="227"/>
      <c r="TEF1725" s="227"/>
      <c r="TEG1725" s="227"/>
      <c r="TEH1725" s="227"/>
      <c r="TEI1725" s="227"/>
      <c r="TEJ1725" s="227"/>
      <c r="TEK1725" s="227"/>
      <c r="TEL1725" s="227"/>
      <c r="TEM1725" s="227"/>
      <c r="TEN1725" s="227"/>
      <c r="TEO1725" s="227"/>
      <c r="TEP1725" s="227"/>
      <c r="TEQ1725" s="227"/>
      <c r="TER1725" s="227"/>
      <c r="TES1725" s="227"/>
      <c r="TET1725" s="227"/>
      <c r="TEU1725" s="227"/>
      <c r="TEV1725" s="227"/>
      <c r="TEW1725" s="227"/>
      <c r="TEX1725" s="227"/>
      <c r="TEY1725" s="227"/>
      <c r="TEZ1725" s="227"/>
      <c r="TFA1725" s="227"/>
      <c r="TFB1725" s="227"/>
      <c r="TFC1725" s="227"/>
      <c r="TFD1725" s="227"/>
      <c r="TFE1725" s="227"/>
      <c r="TFF1725" s="227"/>
      <c r="TFG1725" s="227"/>
      <c r="TFH1725" s="227"/>
      <c r="TFI1725" s="227"/>
      <c r="TFJ1725" s="227"/>
      <c r="TFK1725" s="227"/>
      <c r="TFL1725" s="227"/>
      <c r="TFM1725" s="227"/>
      <c r="TFN1725" s="227"/>
      <c r="TFO1725" s="227"/>
      <c r="TFP1725" s="227"/>
      <c r="TFQ1725" s="227"/>
      <c r="TFR1725" s="227"/>
      <c r="TFS1725" s="227"/>
      <c r="TFT1725" s="227"/>
      <c r="TFU1725" s="227"/>
      <c r="TFV1725" s="227"/>
      <c r="TFW1725" s="227"/>
      <c r="TFX1725" s="227"/>
      <c r="TFY1725" s="227"/>
      <c r="TFZ1725" s="227"/>
      <c r="TGA1725" s="227"/>
      <c r="TGB1725" s="227"/>
      <c r="TGC1725" s="227"/>
      <c r="TGD1725" s="227"/>
      <c r="TGE1725" s="227"/>
      <c r="TGF1725" s="227"/>
      <c r="TGG1725" s="227"/>
      <c r="TGH1725" s="227"/>
      <c r="TGI1725" s="227"/>
      <c r="TGJ1725" s="227"/>
      <c r="TGK1725" s="227"/>
      <c r="TGL1725" s="227"/>
      <c r="TGM1725" s="227"/>
      <c r="TGN1725" s="227"/>
      <c r="TGO1725" s="227"/>
      <c r="TGP1725" s="227"/>
      <c r="TGQ1725" s="227"/>
      <c r="TGR1725" s="227"/>
      <c r="TGS1725" s="227"/>
      <c r="TGT1725" s="227"/>
      <c r="TGU1725" s="227"/>
      <c r="TGV1725" s="227"/>
      <c r="TGW1725" s="227"/>
      <c r="TGX1725" s="227"/>
      <c r="TGY1725" s="227"/>
      <c r="TGZ1725" s="227"/>
      <c r="THA1725" s="227"/>
      <c r="THB1725" s="227"/>
      <c r="THC1725" s="227"/>
      <c r="THD1725" s="227"/>
      <c r="THE1725" s="227"/>
      <c r="THF1725" s="227"/>
      <c r="THG1725" s="227"/>
      <c r="THH1725" s="227"/>
      <c r="THI1725" s="227"/>
      <c r="THJ1725" s="227"/>
      <c r="THK1725" s="227"/>
      <c r="THL1725" s="227"/>
      <c r="THM1725" s="227"/>
      <c r="THN1725" s="227"/>
      <c r="THO1725" s="227"/>
      <c r="THP1725" s="227"/>
      <c r="THQ1725" s="227"/>
      <c r="THR1725" s="227"/>
      <c r="THS1725" s="227"/>
      <c r="THT1725" s="227"/>
      <c r="THU1725" s="227"/>
      <c r="THV1725" s="227"/>
      <c r="THW1725" s="227"/>
      <c r="THX1725" s="227"/>
      <c r="THY1725" s="227"/>
      <c r="THZ1725" s="227"/>
      <c r="TIA1725" s="227"/>
      <c r="TIB1725" s="227"/>
      <c r="TIC1725" s="227"/>
      <c r="TID1725" s="227"/>
      <c r="TIE1725" s="227"/>
      <c r="TIF1725" s="227"/>
      <c r="TIG1725" s="227"/>
      <c r="TIH1725" s="227"/>
      <c r="TII1725" s="227"/>
      <c r="TIJ1725" s="227"/>
      <c r="TIK1725" s="227"/>
      <c r="TIL1725" s="227"/>
      <c r="TIM1725" s="227"/>
      <c r="TIN1725" s="227"/>
      <c r="TIO1725" s="227"/>
      <c r="TIP1725" s="227"/>
      <c r="TIQ1725" s="227"/>
      <c r="TIR1725" s="227"/>
      <c r="TIS1725" s="227"/>
      <c r="TIT1725" s="227"/>
      <c r="TIU1725" s="227"/>
      <c r="TIV1725" s="227"/>
      <c r="TIW1725" s="227"/>
      <c r="TIX1725" s="227"/>
      <c r="TIY1725" s="227"/>
      <c r="TIZ1725" s="227"/>
      <c r="TJA1725" s="227"/>
      <c r="TJB1725" s="227"/>
      <c r="TJC1725" s="227"/>
      <c r="TJD1725" s="227"/>
      <c r="TJE1725" s="227"/>
      <c r="TJF1725" s="227"/>
      <c r="TJG1725" s="227"/>
      <c r="TJH1725" s="227"/>
      <c r="TJI1725" s="227"/>
      <c r="TJJ1725" s="227"/>
      <c r="TJK1725" s="227"/>
      <c r="TJL1725" s="227"/>
      <c r="TJM1725" s="227"/>
      <c r="TJN1725" s="227"/>
      <c r="TJO1725" s="227"/>
      <c r="TJP1725" s="227"/>
      <c r="TJQ1725" s="227"/>
      <c r="TJR1725" s="227"/>
      <c r="TJS1725" s="227"/>
      <c r="TJT1725" s="227"/>
      <c r="TJU1725" s="227"/>
      <c r="TJV1725" s="227"/>
      <c r="TJW1725" s="227"/>
      <c r="TJX1725" s="227"/>
      <c r="TJY1725" s="227"/>
      <c r="TJZ1725" s="227"/>
      <c r="TKA1725" s="227"/>
      <c r="TKB1725" s="227"/>
      <c r="TKC1725" s="227"/>
      <c r="TKD1725" s="227"/>
      <c r="TKE1725" s="227"/>
      <c r="TKF1725" s="227"/>
      <c r="TKG1725" s="227"/>
      <c r="TKH1725" s="227"/>
      <c r="TKI1725" s="227"/>
      <c r="TKJ1725" s="227"/>
      <c r="TKK1725" s="227"/>
      <c r="TKL1725" s="227"/>
      <c r="TKM1725" s="227"/>
      <c r="TKN1725" s="227"/>
      <c r="TKO1725" s="227"/>
      <c r="TKP1725" s="227"/>
      <c r="TKQ1725" s="227"/>
      <c r="TKR1725" s="227"/>
      <c r="TKS1725" s="227"/>
      <c r="TKT1725" s="227"/>
      <c r="TKU1725" s="227"/>
      <c r="TKV1725" s="227"/>
      <c r="TKW1725" s="227"/>
      <c r="TKX1725" s="227"/>
      <c r="TKY1725" s="227"/>
      <c r="TKZ1725" s="227"/>
      <c r="TLA1725" s="227"/>
      <c r="TLB1725" s="227"/>
      <c r="TLC1725" s="227"/>
      <c r="TLD1725" s="227"/>
      <c r="TLE1725" s="227"/>
      <c r="TLF1725" s="227"/>
      <c r="TLG1725" s="227"/>
      <c r="TLH1725" s="227"/>
      <c r="TLI1725" s="227"/>
      <c r="TLJ1725" s="227"/>
      <c r="TLK1725" s="227"/>
      <c r="TLL1725" s="227"/>
      <c r="TLM1725" s="227"/>
      <c r="TLN1725" s="227"/>
      <c r="TLO1725" s="227"/>
      <c r="TLP1725" s="227"/>
      <c r="TLQ1725" s="227"/>
      <c r="TLR1725" s="227"/>
      <c r="TLS1725" s="227"/>
      <c r="TLT1725" s="227"/>
      <c r="TLU1725" s="227"/>
      <c r="TLV1725" s="227"/>
      <c r="TLW1725" s="227"/>
      <c r="TLX1725" s="227"/>
      <c r="TLY1725" s="227"/>
      <c r="TLZ1725" s="227"/>
      <c r="TMA1725" s="227"/>
      <c r="TMB1725" s="227"/>
      <c r="TMC1725" s="227"/>
      <c r="TMD1725" s="227"/>
      <c r="TME1725" s="227"/>
      <c r="TMF1725" s="227"/>
      <c r="TMG1725" s="227"/>
      <c r="TMH1725" s="227"/>
      <c r="TMI1725" s="227"/>
      <c r="TMJ1725" s="227"/>
      <c r="TMK1725" s="227"/>
      <c r="TML1725" s="227"/>
      <c r="TMM1725" s="227"/>
      <c r="TMN1725" s="227"/>
      <c r="TMO1725" s="227"/>
      <c r="TMP1725" s="227"/>
      <c r="TMQ1725" s="227"/>
      <c r="TMR1725" s="227"/>
      <c r="TMS1725" s="227"/>
      <c r="TMT1725" s="227"/>
      <c r="TMU1725" s="227"/>
      <c r="TMV1725" s="227"/>
      <c r="TMW1725" s="227"/>
      <c r="TMX1725" s="227"/>
      <c r="TMY1725" s="227"/>
      <c r="TMZ1725" s="227"/>
      <c r="TNA1725" s="227"/>
      <c r="TNB1725" s="227"/>
      <c r="TNC1725" s="227"/>
      <c r="TND1725" s="227"/>
      <c r="TNE1725" s="227"/>
      <c r="TNF1725" s="227"/>
      <c r="TNG1725" s="227"/>
      <c r="TNH1725" s="227"/>
      <c r="TNI1725" s="227"/>
      <c r="TNJ1725" s="227"/>
      <c r="TNK1725" s="227"/>
      <c r="TNL1725" s="227"/>
      <c r="TNM1725" s="227"/>
      <c r="TNN1725" s="227"/>
      <c r="TNO1725" s="227"/>
      <c r="TNP1725" s="227"/>
      <c r="TNQ1725" s="227"/>
      <c r="TNR1725" s="227"/>
      <c r="TNS1725" s="227"/>
      <c r="TNT1725" s="227"/>
      <c r="TNU1725" s="227"/>
      <c r="TNV1725" s="227"/>
      <c r="TNW1725" s="227"/>
      <c r="TNX1725" s="227"/>
      <c r="TNY1725" s="227"/>
      <c r="TNZ1725" s="227"/>
      <c r="TOA1725" s="227"/>
      <c r="TOB1725" s="227"/>
      <c r="TOC1725" s="227"/>
      <c r="TOD1725" s="227"/>
      <c r="TOE1725" s="227"/>
      <c r="TOF1725" s="227"/>
      <c r="TOG1725" s="227"/>
      <c r="TOH1725" s="227"/>
      <c r="TOI1725" s="227"/>
      <c r="TOJ1725" s="227"/>
      <c r="TOK1725" s="227"/>
      <c r="TOL1725" s="227"/>
      <c r="TOM1725" s="227"/>
      <c r="TON1725" s="227"/>
      <c r="TOO1725" s="227"/>
      <c r="TOP1725" s="227"/>
      <c r="TOQ1725" s="227"/>
      <c r="TOR1725" s="227"/>
      <c r="TOS1725" s="227"/>
      <c r="TOT1725" s="227"/>
      <c r="TOU1725" s="227"/>
      <c r="TOV1725" s="227"/>
      <c r="TOW1725" s="227"/>
      <c r="TOX1725" s="227"/>
      <c r="TOY1725" s="227"/>
      <c r="TOZ1725" s="227"/>
      <c r="TPA1725" s="227"/>
      <c r="TPB1725" s="227"/>
      <c r="TPC1725" s="227"/>
      <c r="TPD1725" s="227"/>
      <c r="TPE1725" s="227"/>
      <c r="TPF1725" s="227"/>
      <c r="TPG1725" s="227"/>
      <c r="TPH1725" s="227"/>
      <c r="TPI1725" s="227"/>
      <c r="TPJ1725" s="227"/>
      <c r="TPK1725" s="227"/>
      <c r="TPL1725" s="227"/>
      <c r="TPM1725" s="227"/>
      <c r="TPN1725" s="227"/>
      <c r="TPO1725" s="227"/>
      <c r="TPP1725" s="227"/>
      <c r="TPQ1725" s="227"/>
      <c r="TPR1725" s="227"/>
      <c r="TPS1725" s="227"/>
      <c r="TPT1725" s="227"/>
      <c r="TPU1725" s="227"/>
      <c r="TPV1725" s="227"/>
      <c r="TPW1725" s="227"/>
      <c r="TPX1725" s="227"/>
      <c r="TPY1725" s="227"/>
      <c r="TPZ1725" s="227"/>
      <c r="TQA1725" s="227"/>
      <c r="TQB1725" s="227"/>
      <c r="TQC1725" s="227"/>
      <c r="TQD1725" s="227"/>
      <c r="TQE1725" s="227"/>
      <c r="TQF1725" s="227"/>
      <c r="TQG1725" s="227"/>
      <c r="TQH1725" s="227"/>
      <c r="TQI1725" s="227"/>
      <c r="TQJ1725" s="227"/>
      <c r="TQK1725" s="227"/>
      <c r="TQL1725" s="227"/>
      <c r="TQM1725" s="227"/>
      <c r="TQN1725" s="227"/>
      <c r="TQO1725" s="227"/>
      <c r="TQP1725" s="227"/>
      <c r="TQQ1725" s="227"/>
      <c r="TQR1725" s="227"/>
      <c r="TQS1725" s="227"/>
      <c r="TQT1725" s="227"/>
      <c r="TQU1725" s="227"/>
      <c r="TQV1725" s="227"/>
      <c r="TQW1725" s="227"/>
      <c r="TQX1725" s="227"/>
      <c r="TQY1725" s="227"/>
      <c r="TQZ1725" s="227"/>
      <c r="TRA1725" s="227"/>
      <c r="TRB1725" s="227"/>
      <c r="TRC1725" s="227"/>
      <c r="TRD1725" s="227"/>
      <c r="TRE1725" s="227"/>
      <c r="TRF1725" s="227"/>
      <c r="TRG1725" s="227"/>
      <c r="TRH1725" s="227"/>
      <c r="TRI1725" s="227"/>
      <c r="TRJ1725" s="227"/>
      <c r="TRK1725" s="227"/>
      <c r="TRL1725" s="227"/>
      <c r="TRM1725" s="227"/>
      <c r="TRN1725" s="227"/>
      <c r="TRO1725" s="227"/>
      <c r="TRP1725" s="227"/>
      <c r="TRQ1725" s="227"/>
      <c r="TRR1725" s="227"/>
      <c r="TRS1725" s="227"/>
      <c r="TRT1725" s="227"/>
      <c r="TRU1725" s="227"/>
      <c r="TRV1725" s="227"/>
      <c r="TRW1725" s="227"/>
      <c r="TRX1725" s="227"/>
      <c r="TRY1725" s="227"/>
      <c r="TRZ1725" s="227"/>
      <c r="TSA1725" s="227"/>
      <c r="TSB1725" s="227"/>
      <c r="TSC1725" s="227"/>
      <c r="TSD1725" s="227"/>
      <c r="TSE1725" s="227"/>
      <c r="TSF1725" s="227"/>
      <c r="TSG1725" s="227"/>
      <c r="TSH1725" s="227"/>
      <c r="TSI1725" s="227"/>
      <c r="TSJ1725" s="227"/>
      <c r="TSK1725" s="227"/>
      <c r="TSL1725" s="227"/>
      <c r="TSM1725" s="227"/>
      <c r="TSN1725" s="227"/>
      <c r="TSO1725" s="227"/>
      <c r="TSP1725" s="227"/>
      <c r="TSQ1725" s="227"/>
      <c r="TSR1725" s="227"/>
      <c r="TSS1725" s="227"/>
      <c r="TST1725" s="227"/>
      <c r="TSU1725" s="227"/>
      <c r="TSV1725" s="227"/>
      <c r="TSW1725" s="227"/>
      <c r="TSX1725" s="227"/>
      <c r="TSY1725" s="227"/>
      <c r="TSZ1725" s="227"/>
      <c r="TTA1725" s="227"/>
      <c r="TTB1725" s="227"/>
      <c r="TTC1725" s="227"/>
      <c r="TTD1725" s="227"/>
      <c r="TTE1725" s="227"/>
      <c r="TTF1725" s="227"/>
      <c r="TTG1725" s="227"/>
      <c r="TTH1725" s="227"/>
      <c r="TTI1725" s="227"/>
      <c r="TTJ1725" s="227"/>
      <c r="TTK1725" s="227"/>
      <c r="TTL1725" s="227"/>
      <c r="TTM1725" s="227"/>
      <c r="TTN1725" s="227"/>
      <c r="TTO1725" s="227"/>
      <c r="TTP1725" s="227"/>
      <c r="TTQ1725" s="227"/>
      <c r="TTR1725" s="227"/>
      <c r="TTS1725" s="227"/>
      <c r="TTT1725" s="227"/>
      <c r="TTU1725" s="227"/>
      <c r="TTV1725" s="227"/>
      <c r="TTW1725" s="227"/>
      <c r="TTX1725" s="227"/>
      <c r="TTY1725" s="227"/>
      <c r="TTZ1725" s="227"/>
      <c r="TUA1725" s="227"/>
      <c r="TUB1725" s="227"/>
      <c r="TUC1725" s="227"/>
      <c r="TUD1725" s="227"/>
      <c r="TUE1725" s="227"/>
      <c r="TUF1725" s="227"/>
      <c r="TUG1725" s="227"/>
      <c r="TUH1725" s="227"/>
      <c r="TUI1725" s="227"/>
      <c r="TUJ1725" s="227"/>
      <c r="TUK1725" s="227"/>
      <c r="TUL1725" s="227"/>
      <c r="TUM1725" s="227"/>
      <c r="TUN1725" s="227"/>
      <c r="TUO1725" s="227"/>
      <c r="TUP1725" s="227"/>
      <c r="TUQ1725" s="227"/>
      <c r="TUR1725" s="227"/>
      <c r="TUS1725" s="227"/>
      <c r="TUT1725" s="227"/>
      <c r="TUU1725" s="227"/>
      <c r="TUV1725" s="227"/>
      <c r="TUW1725" s="227"/>
      <c r="TUX1725" s="227"/>
      <c r="TUY1725" s="227"/>
      <c r="TUZ1725" s="227"/>
      <c r="TVA1725" s="227"/>
      <c r="TVB1725" s="227"/>
      <c r="TVC1725" s="227"/>
      <c r="TVD1725" s="227"/>
      <c r="TVE1725" s="227"/>
      <c r="TVF1725" s="227"/>
      <c r="TVG1725" s="227"/>
      <c r="TVH1725" s="227"/>
      <c r="TVI1725" s="227"/>
      <c r="TVJ1725" s="227"/>
      <c r="TVK1725" s="227"/>
      <c r="TVL1725" s="227"/>
      <c r="TVM1725" s="227"/>
      <c r="TVN1725" s="227"/>
      <c r="TVO1725" s="227"/>
      <c r="TVP1725" s="227"/>
      <c r="TVQ1725" s="227"/>
      <c r="TVR1725" s="227"/>
      <c r="TVS1725" s="227"/>
      <c r="TVT1725" s="227"/>
      <c r="TVU1725" s="227"/>
      <c r="TVV1725" s="227"/>
      <c r="TVW1725" s="227"/>
      <c r="TVX1725" s="227"/>
      <c r="TVY1725" s="227"/>
      <c r="TVZ1725" s="227"/>
      <c r="TWA1725" s="227"/>
      <c r="TWB1725" s="227"/>
      <c r="TWC1725" s="227"/>
      <c r="TWD1725" s="227"/>
      <c r="TWE1725" s="227"/>
      <c r="TWF1725" s="227"/>
      <c r="TWG1725" s="227"/>
      <c r="TWH1725" s="227"/>
      <c r="TWI1725" s="227"/>
      <c r="TWJ1725" s="227"/>
      <c r="TWK1725" s="227"/>
      <c r="TWL1725" s="227"/>
      <c r="TWM1725" s="227"/>
      <c r="TWN1725" s="227"/>
      <c r="TWO1725" s="227"/>
      <c r="TWP1725" s="227"/>
      <c r="TWQ1725" s="227"/>
      <c r="TWR1725" s="227"/>
      <c r="TWS1725" s="227"/>
      <c r="TWT1725" s="227"/>
      <c r="TWU1725" s="227"/>
      <c r="TWV1725" s="227"/>
      <c r="TWW1725" s="227"/>
      <c r="TWX1725" s="227"/>
      <c r="TWY1725" s="227"/>
      <c r="TWZ1725" s="227"/>
      <c r="TXA1725" s="227"/>
      <c r="TXB1725" s="227"/>
      <c r="TXC1725" s="227"/>
      <c r="TXD1725" s="227"/>
      <c r="TXE1725" s="227"/>
      <c r="TXF1725" s="227"/>
      <c r="TXG1725" s="227"/>
      <c r="TXH1725" s="227"/>
      <c r="TXI1725" s="227"/>
      <c r="TXJ1725" s="227"/>
      <c r="TXK1725" s="227"/>
      <c r="TXL1725" s="227"/>
      <c r="TXM1725" s="227"/>
      <c r="TXN1725" s="227"/>
      <c r="TXO1725" s="227"/>
      <c r="TXP1725" s="227"/>
      <c r="TXQ1725" s="227"/>
      <c r="TXR1725" s="227"/>
      <c r="TXS1725" s="227"/>
      <c r="TXT1725" s="227"/>
      <c r="TXU1725" s="227"/>
      <c r="TXV1725" s="227"/>
      <c r="TXW1725" s="227"/>
      <c r="TXX1725" s="227"/>
      <c r="TXY1725" s="227"/>
      <c r="TXZ1725" s="227"/>
      <c r="TYA1725" s="227"/>
      <c r="TYB1725" s="227"/>
      <c r="TYC1725" s="227"/>
      <c r="TYD1725" s="227"/>
      <c r="TYE1725" s="227"/>
      <c r="TYF1725" s="227"/>
      <c r="TYG1725" s="227"/>
      <c r="TYH1725" s="227"/>
      <c r="TYI1725" s="227"/>
      <c r="TYJ1725" s="227"/>
      <c r="TYK1725" s="227"/>
      <c r="TYL1725" s="227"/>
      <c r="TYM1725" s="227"/>
      <c r="TYN1725" s="227"/>
      <c r="TYO1725" s="227"/>
      <c r="TYP1725" s="227"/>
      <c r="TYQ1725" s="227"/>
      <c r="TYR1725" s="227"/>
      <c r="TYS1725" s="227"/>
      <c r="TYT1725" s="227"/>
      <c r="TYU1725" s="227"/>
      <c r="TYV1725" s="227"/>
      <c r="TYW1725" s="227"/>
      <c r="TYX1725" s="227"/>
      <c r="TYY1725" s="227"/>
      <c r="TYZ1725" s="227"/>
      <c r="TZA1725" s="227"/>
      <c r="TZB1725" s="227"/>
      <c r="TZC1725" s="227"/>
      <c r="TZD1725" s="227"/>
      <c r="TZE1725" s="227"/>
      <c r="TZF1725" s="227"/>
      <c r="TZG1725" s="227"/>
      <c r="TZH1725" s="227"/>
      <c r="TZI1725" s="227"/>
      <c r="TZJ1725" s="227"/>
      <c r="TZK1725" s="227"/>
      <c r="TZL1725" s="227"/>
      <c r="TZM1725" s="227"/>
      <c r="TZN1725" s="227"/>
      <c r="TZO1725" s="227"/>
      <c r="TZP1725" s="227"/>
      <c r="TZQ1725" s="227"/>
      <c r="TZR1725" s="227"/>
      <c r="TZS1725" s="227"/>
      <c r="TZT1725" s="227"/>
      <c r="TZU1725" s="227"/>
      <c r="TZV1725" s="227"/>
      <c r="TZW1725" s="227"/>
      <c r="TZX1725" s="227"/>
      <c r="TZY1725" s="227"/>
      <c r="TZZ1725" s="227"/>
      <c r="UAA1725" s="227"/>
      <c r="UAB1725" s="227"/>
      <c r="UAC1725" s="227"/>
      <c r="UAD1725" s="227"/>
      <c r="UAE1725" s="227"/>
      <c r="UAF1725" s="227"/>
      <c r="UAG1725" s="227"/>
      <c r="UAH1725" s="227"/>
      <c r="UAI1725" s="227"/>
      <c r="UAJ1725" s="227"/>
      <c r="UAK1725" s="227"/>
      <c r="UAL1725" s="227"/>
      <c r="UAM1725" s="227"/>
      <c r="UAN1725" s="227"/>
      <c r="UAO1725" s="227"/>
      <c r="UAP1725" s="227"/>
      <c r="UAQ1725" s="227"/>
      <c r="UAR1725" s="227"/>
      <c r="UAS1725" s="227"/>
      <c r="UAT1725" s="227"/>
      <c r="UAU1725" s="227"/>
      <c r="UAV1725" s="227"/>
      <c r="UAW1725" s="227"/>
      <c r="UAX1725" s="227"/>
      <c r="UAY1725" s="227"/>
      <c r="UAZ1725" s="227"/>
      <c r="UBA1725" s="227"/>
      <c r="UBB1725" s="227"/>
      <c r="UBC1725" s="227"/>
      <c r="UBD1725" s="227"/>
      <c r="UBE1725" s="227"/>
      <c r="UBF1725" s="227"/>
      <c r="UBG1725" s="227"/>
      <c r="UBH1725" s="227"/>
      <c r="UBI1725" s="227"/>
      <c r="UBJ1725" s="227"/>
      <c r="UBK1725" s="227"/>
      <c r="UBL1725" s="227"/>
      <c r="UBM1725" s="227"/>
      <c r="UBN1725" s="227"/>
      <c r="UBO1725" s="227"/>
      <c r="UBP1725" s="227"/>
      <c r="UBQ1725" s="227"/>
      <c r="UBR1725" s="227"/>
      <c r="UBS1725" s="227"/>
      <c r="UBT1725" s="227"/>
      <c r="UBU1725" s="227"/>
      <c r="UBV1725" s="227"/>
      <c r="UBW1725" s="227"/>
      <c r="UBX1725" s="227"/>
      <c r="UBY1725" s="227"/>
      <c r="UBZ1725" s="227"/>
      <c r="UCA1725" s="227"/>
      <c r="UCB1725" s="227"/>
      <c r="UCC1725" s="227"/>
      <c r="UCD1725" s="227"/>
      <c r="UCE1725" s="227"/>
      <c r="UCF1725" s="227"/>
      <c r="UCG1725" s="227"/>
      <c r="UCH1725" s="227"/>
      <c r="UCI1725" s="227"/>
      <c r="UCJ1725" s="227"/>
      <c r="UCK1725" s="227"/>
      <c r="UCL1725" s="227"/>
      <c r="UCM1725" s="227"/>
      <c r="UCN1725" s="227"/>
      <c r="UCO1725" s="227"/>
      <c r="UCP1725" s="227"/>
      <c r="UCQ1725" s="227"/>
      <c r="UCR1725" s="227"/>
      <c r="UCS1725" s="227"/>
      <c r="UCT1725" s="227"/>
      <c r="UCU1725" s="227"/>
      <c r="UCV1725" s="227"/>
      <c r="UCW1725" s="227"/>
      <c r="UCX1725" s="227"/>
      <c r="UCY1725" s="227"/>
      <c r="UCZ1725" s="227"/>
      <c r="UDA1725" s="227"/>
      <c r="UDB1725" s="227"/>
      <c r="UDC1725" s="227"/>
      <c r="UDD1725" s="227"/>
      <c r="UDE1725" s="227"/>
      <c r="UDF1725" s="227"/>
      <c r="UDG1725" s="227"/>
      <c r="UDH1725" s="227"/>
      <c r="UDI1725" s="227"/>
      <c r="UDJ1725" s="227"/>
      <c r="UDK1725" s="227"/>
      <c r="UDL1725" s="227"/>
      <c r="UDM1725" s="227"/>
      <c r="UDN1725" s="227"/>
      <c r="UDO1725" s="227"/>
      <c r="UDP1725" s="227"/>
      <c r="UDQ1725" s="227"/>
      <c r="UDR1725" s="227"/>
      <c r="UDS1725" s="227"/>
      <c r="UDT1725" s="227"/>
      <c r="UDU1725" s="227"/>
      <c r="UDV1725" s="227"/>
      <c r="UDW1725" s="227"/>
      <c r="UDX1725" s="227"/>
      <c r="UDY1725" s="227"/>
      <c r="UDZ1725" s="227"/>
      <c r="UEA1725" s="227"/>
      <c r="UEB1725" s="227"/>
      <c r="UEC1725" s="227"/>
      <c r="UED1725" s="227"/>
      <c r="UEE1725" s="227"/>
      <c r="UEF1725" s="227"/>
      <c r="UEG1725" s="227"/>
      <c r="UEH1725" s="227"/>
      <c r="UEI1725" s="227"/>
      <c r="UEJ1725" s="227"/>
      <c r="UEK1725" s="227"/>
      <c r="UEL1725" s="227"/>
      <c r="UEM1725" s="227"/>
      <c r="UEN1725" s="227"/>
      <c r="UEO1725" s="227"/>
      <c r="UEP1725" s="227"/>
      <c r="UEQ1725" s="227"/>
      <c r="UER1725" s="227"/>
      <c r="UES1725" s="227"/>
      <c r="UET1725" s="227"/>
      <c r="UEU1725" s="227"/>
      <c r="UEV1725" s="227"/>
      <c r="UEW1725" s="227"/>
      <c r="UEX1725" s="227"/>
      <c r="UEY1725" s="227"/>
      <c r="UEZ1725" s="227"/>
      <c r="UFA1725" s="227"/>
      <c r="UFB1725" s="227"/>
      <c r="UFC1725" s="227"/>
      <c r="UFD1725" s="227"/>
      <c r="UFE1725" s="227"/>
      <c r="UFF1725" s="227"/>
      <c r="UFG1725" s="227"/>
      <c r="UFH1725" s="227"/>
      <c r="UFI1725" s="227"/>
      <c r="UFJ1725" s="227"/>
      <c r="UFK1725" s="227"/>
      <c r="UFL1725" s="227"/>
      <c r="UFM1725" s="227"/>
      <c r="UFN1725" s="227"/>
      <c r="UFO1725" s="227"/>
      <c r="UFP1725" s="227"/>
      <c r="UFQ1725" s="227"/>
      <c r="UFR1725" s="227"/>
      <c r="UFS1725" s="227"/>
      <c r="UFT1725" s="227"/>
      <c r="UFU1725" s="227"/>
      <c r="UFV1725" s="227"/>
      <c r="UFW1725" s="227"/>
      <c r="UFX1725" s="227"/>
      <c r="UFY1725" s="227"/>
      <c r="UFZ1725" s="227"/>
      <c r="UGA1725" s="227"/>
      <c r="UGB1725" s="227"/>
      <c r="UGC1725" s="227"/>
      <c r="UGD1725" s="227"/>
      <c r="UGE1725" s="227"/>
      <c r="UGF1725" s="227"/>
      <c r="UGG1725" s="227"/>
      <c r="UGH1725" s="227"/>
      <c r="UGI1725" s="227"/>
      <c r="UGJ1725" s="227"/>
      <c r="UGK1725" s="227"/>
      <c r="UGL1725" s="227"/>
      <c r="UGM1725" s="227"/>
      <c r="UGN1725" s="227"/>
      <c r="UGO1725" s="227"/>
      <c r="UGP1725" s="227"/>
      <c r="UGQ1725" s="227"/>
      <c r="UGR1725" s="227"/>
      <c r="UGS1725" s="227"/>
      <c r="UGT1725" s="227"/>
      <c r="UGU1725" s="227"/>
      <c r="UGV1725" s="227"/>
      <c r="UGW1725" s="227"/>
      <c r="UGX1725" s="227"/>
      <c r="UGY1725" s="227"/>
      <c r="UGZ1725" s="227"/>
      <c r="UHA1725" s="227"/>
      <c r="UHB1725" s="227"/>
      <c r="UHC1725" s="227"/>
      <c r="UHD1725" s="227"/>
      <c r="UHE1725" s="227"/>
      <c r="UHF1725" s="227"/>
      <c r="UHG1725" s="227"/>
      <c r="UHH1725" s="227"/>
      <c r="UHI1725" s="227"/>
      <c r="UHJ1725" s="227"/>
      <c r="UHK1725" s="227"/>
      <c r="UHL1725" s="227"/>
      <c r="UHM1725" s="227"/>
      <c r="UHN1725" s="227"/>
      <c r="UHO1725" s="227"/>
      <c r="UHP1725" s="227"/>
      <c r="UHQ1725" s="227"/>
      <c r="UHR1725" s="227"/>
      <c r="UHS1725" s="227"/>
      <c r="UHT1725" s="227"/>
      <c r="UHU1725" s="227"/>
      <c r="UHV1725" s="227"/>
      <c r="UHW1725" s="227"/>
      <c r="UHX1725" s="227"/>
      <c r="UHY1725" s="227"/>
      <c r="UHZ1725" s="227"/>
      <c r="UIA1725" s="227"/>
      <c r="UIB1725" s="227"/>
      <c r="UIC1725" s="227"/>
      <c r="UID1725" s="227"/>
      <c r="UIE1725" s="227"/>
      <c r="UIF1725" s="227"/>
      <c r="UIG1725" s="227"/>
      <c r="UIH1725" s="227"/>
      <c r="UII1725" s="227"/>
      <c r="UIJ1725" s="227"/>
      <c r="UIK1725" s="227"/>
      <c r="UIL1725" s="227"/>
      <c r="UIM1725" s="227"/>
      <c r="UIN1725" s="227"/>
      <c r="UIO1725" s="227"/>
      <c r="UIP1725" s="227"/>
      <c r="UIQ1725" s="227"/>
      <c r="UIR1725" s="227"/>
      <c r="UIS1725" s="227"/>
      <c r="UIT1725" s="227"/>
      <c r="UIU1725" s="227"/>
      <c r="UIV1725" s="227"/>
      <c r="UIW1725" s="227"/>
      <c r="UIX1725" s="227"/>
      <c r="UIY1725" s="227"/>
      <c r="UIZ1725" s="227"/>
      <c r="UJA1725" s="227"/>
      <c r="UJB1725" s="227"/>
      <c r="UJC1725" s="227"/>
      <c r="UJD1725" s="227"/>
      <c r="UJE1725" s="227"/>
      <c r="UJF1725" s="227"/>
      <c r="UJG1725" s="227"/>
      <c r="UJH1725" s="227"/>
      <c r="UJI1725" s="227"/>
      <c r="UJJ1725" s="227"/>
      <c r="UJK1725" s="227"/>
      <c r="UJL1725" s="227"/>
      <c r="UJM1725" s="227"/>
      <c r="UJN1725" s="227"/>
      <c r="UJO1725" s="227"/>
      <c r="UJP1725" s="227"/>
      <c r="UJQ1725" s="227"/>
      <c r="UJR1725" s="227"/>
      <c r="UJS1725" s="227"/>
      <c r="UJT1725" s="227"/>
      <c r="UJU1725" s="227"/>
      <c r="UJV1725" s="227"/>
      <c r="UJW1725" s="227"/>
      <c r="UJX1725" s="227"/>
      <c r="UJY1725" s="227"/>
      <c r="UJZ1725" s="227"/>
      <c r="UKA1725" s="227"/>
      <c r="UKB1725" s="227"/>
      <c r="UKC1725" s="227"/>
      <c r="UKD1725" s="227"/>
      <c r="UKE1725" s="227"/>
      <c r="UKF1725" s="227"/>
      <c r="UKG1725" s="227"/>
      <c r="UKH1725" s="227"/>
      <c r="UKI1725" s="227"/>
      <c r="UKJ1725" s="227"/>
      <c r="UKK1725" s="227"/>
      <c r="UKL1725" s="227"/>
      <c r="UKM1725" s="227"/>
      <c r="UKN1725" s="227"/>
      <c r="UKO1725" s="227"/>
      <c r="UKP1725" s="227"/>
      <c r="UKQ1725" s="227"/>
      <c r="UKR1725" s="227"/>
      <c r="UKS1725" s="227"/>
      <c r="UKT1725" s="227"/>
      <c r="UKU1725" s="227"/>
      <c r="UKV1725" s="227"/>
      <c r="UKW1725" s="227"/>
      <c r="UKX1725" s="227"/>
      <c r="UKY1725" s="227"/>
      <c r="UKZ1725" s="227"/>
      <c r="ULA1725" s="227"/>
      <c r="ULB1725" s="227"/>
      <c r="ULC1725" s="227"/>
      <c r="ULD1725" s="227"/>
      <c r="ULE1725" s="227"/>
      <c r="ULF1725" s="227"/>
      <c r="ULG1725" s="227"/>
      <c r="ULH1725" s="227"/>
      <c r="ULI1725" s="227"/>
      <c r="ULJ1725" s="227"/>
      <c r="ULK1725" s="227"/>
      <c r="ULL1725" s="227"/>
      <c r="ULM1725" s="227"/>
      <c r="ULN1725" s="227"/>
      <c r="ULO1725" s="227"/>
      <c r="ULP1725" s="227"/>
      <c r="ULQ1725" s="227"/>
      <c r="ULR1725" s="227"/>
      <c r="ULS1725" s="227"/>
      <c r="ULT1725" s="227"/>
      <c r="ULU1725" s="227"/>
      <c r="ULV1725" s="227"/>
      <c r="ULW1725" s="227"/>
      <c r="ULX1725" s="227"/>
      <c r="ULY1725" s="227"/>
      <c r="ULZ1725" s="227"/>
      <c r="UMA1725" s="227"/>
      <c r="UMB1725" s="227"/>
      <c r="UMC1725" s="227"/>
      <c r="UMD1725" s="227"/>
      <c r="UME1725" s="227"/>
      <c r="UMF1725" s="227"/>
      <c r="UMG1725" s="227"/>
      <c r="UMH1725" s="227"/>
      <c r="UMI1725" s="227"/>
      <c r="UMJ1725" s="227"/>
      <c r="UMK1725" s="227"/>
      <c r="UML1725" s="227"/>
      <c r="UMM1725" s="227"/>
      <c r="UMN1725" s="227"/>
      <c r="UMO1725" s="227"/>
      <c r="UMP1725" s="227"/>
      <c r="UMQ1725" s="227"/>
      <c r="UMR1725" s="227"/>
      <c r="UMS1725" s="227"/>
      <c r="UMT1725" s="227"/>
      <c r="UMU1725" s="227"/>
      <c r="UMV1725" s="227"/>
      <c r="UMW1725" s="227"/>
      <c r="UMX1725" s="227"/>
      <c r="UMY1725" s="227"/>
      <c r="UMZ1725" s="227"/>
      <c r="UNA1725" s="227"/>
      <c r="UNB1725" s="227"/>
      <c r="UNC1725" s="227"/>
      <c r="UND1725" s="227"/>
      <c r="UNE1725" s="227"/>
      <c r="UNF1725" s="227"/>
      <c r="UNG1725" s="227"/>
      <c r="UNH1725" s="227"/>
      <c r="UNI1725" s="227"/>
      <c r="UNJ1725" s="227"/>
      <c r="UNK1725" s="227"/>
      <c r="UNL1725" s="227"/>
      <c r="UNM1725" s="227"/>
      <c r="UNN1725" s="227"/>
      <c r="UNO1725" s="227"/>
      <c r="UNP1725" s="227"/>
      <c r="UNQ1725" s="227"/>
      <c r="UNR1725" s="227"/>
      <c r="UNS1725" s="227"/>
      <c r="UNT1725" s="227"/>
      <c r="UNU1725" s="227"/>
      <c r="UNV1725" s="227"/>
      <c r="UNW1725" s="227"/>
      <c r="UNX1725" s="227"/>
      <c r="UNY1725" s="227"/>
      <c r="UNZ1725" s="227"/>
      <c r="UOA1725" s="227"/>
      <c r="UOB1725" s="227"/>
      <c r="UOC1725" s="227"/>
      <c r="UOD1725" s="227"/>
      <c r="UOE1725" s="227"/>
      <c r="UOF1725" s="227"/>
      <c r="UOG1725" s="227"/>
      <c r="UOH1725" s="227"/>
      <c r="UOI1725" s="227"/>
      <c r="UOJ1725" s="227"/>
      <c r="UOK1725" s="227"/>
      <c r="UOL1725" s="227"/>
      <c r="UOM1725" s="227"/>
      <c r="UON1725" s="227"/>
      <c r="UOO1725" s="227"/>
      <c r="UOP1725" s="227"/>
      <c r="UOQ1725" s="227"/>
      <c r="UOR1725" s="227"/>
      <c r="UOS1725" s="227"/>
      <c r="UOT1725" s="227"/>
      <c r="UOU1725" s="227"/>
      <c r="UOV1725" s="227"/>
      <c r="UOW1725" s="227"/>
      <c r="UOX1725" s="227"/>
      <c r="UOY1725" s="227"/>
      <c r="UOZ1725" s="227"/>
      <c r="UPA1725" s="227"/>
      <c r="UPB1725" s="227"/>
      <c r="UPC1725" s="227"/>
      <c r="UPD1725" s="227"/>
      <c r="UPE1725" s="227"/>
      <c r="UPF1725" s="227"/>
      <c r="UPG1725" s="227"/>
      <c r="UPH1725" s="227"/>
      <c r="UPI1725" s="227"/>
      <c r="UPJ1725" s="227"/>
      <c r="UPK1725" s="227"/>
      <c r="UPL1725" s="227"/>
      <c r="UPM1725" s="227"/>
      <c r="UPN1725" s="227"/>
      <c r="UPO1725" s="227"/>
      <c r="UPP1725" s="227"/>
      <c r="UPQ1725" s="227"/>
      <c r="UPR1725" s="227"/>
      <c r="UPS1725" s="227"/>
      <c r="UPT1725" s="227"/>
      <c r="UPU1725" s="227"/>
      <c r="UPV1725" s="227"/>
      <c r="UPW1725" s="227"/>
      <c r="UPX1725" s="227"/>
      <c r="UPY1725" s="227"/>
      <c r="UPZ1725" s="227"/>
      <c r="UQA1725" s="227"/>
      <c r="UQB1725" s="227"/>
      <c r="UQC1725" s="227"/>
      <c r="UQD1725" s="227"/>
      <c r="UQE1725" s="227"/>
      <c r="UQF1725" s="227"/>
      <c r="UQG1725" s="227"/>
      <c r="UQH1725" s="227"/>
      <c r="UQI1725" s="227"/>
      <c r="UQJ1725" s="227"/>
      <c r="UQK1725" s="227"/>
      <c r="UQL1725" s="227"/>
      <c r="UQM1725" s="227"/>
      <c r="UQN1725" s="227"/>
      <c r="UQO1725" s="227"/>
      <c r="UQP1725" s="227"/>
      <c r="UQQ1725" s="227"/>
      <c r="UQR1725" s="227"/>
      <c r="UQS1725" s="227"/>
      <c r="UQT1725" s="227"/>
      <c r="UQU1725" s="227"/>
      <c r="UQV1725" s="227"/>
      <c r="UQW1725" s="227"/>
      <c r="UQX1725" s="227"/>
      <c r="UQY1725" s="227"/>
      <c r="UQZ1725" s="227"/>
      <c r="URA1725" s="227"/>
      <c r="URB1725" s="227"/>
      <c r="URC1725" s="227"/>
      <c r="URD1725" s="227"/>
      <c r="URE1725" s="227"/>
      <c r="URF1725" s="227"/>
      <c r="URG1725" s="227"/>
      <c r="URH1725" s="227"/>
      <c r="URI1725" s="227"/>
      <c r="URJ1725" s="227"/>
      <c r="URK1725" s="227"/>
      <c r="URL1725" s="227"/>
      <c r="URM1725" s="227"/>
      <c r="URN1725" s="227"/>
      <c r="URO1725" s="227"/>
      <c r="URP1725" s="227"/>
      <c r="URQ1725" s="227"/>
      <c r="URR1725" s="227"/>
      <c r="URS1725" s="227"/>
      <c r="URT1725" s="227"/>
      <c r="URU1725" s="227"/>
      <c r="URV1725" s="227"/>
      <c r="URW1725" s="227"/>
      <c r="URX1725" s="227"/>
      <c r="URY1725" s="227"/>
      <c r="URZ1725" s="227"/>
      <c r="USA1725" s="227"/>
      <c r="USB1725" s="227"/>
      <c r="USC1725" s="227"/>
      <c r="USD1725" s="227"/>
      <c r="USE1725" s="227"/>
      <c r="USF1725" s="227"/>
      <c r="USG1725" s="227"/>
      <c r="USH1725" s="227"/>
      <c r="USI1725" s="227"/>
      <c r="USJ1725" s="227"/>
      <c r="USK1725" s="227"/>
      <c r="USL1725" s="227"/>
      <c r="USM1725" s="227"/>
      <c r="USN1725" s="227"/>
      <c r="USO1725" s="227"/>
      <c r="USP1725" s="227"/>
      <c r="USQ1725" s="227"/>
      <c r="USR1725" s="227"/>
      <c r="USS1725" s="227"/>
      <c r="UST1725" s="227"/>
      <c r="USU1725" s="227"/>
      <c r="USV1725" s="227"/>
      <c r="USW1725" s="227"/>
      <c r="USX1725" s="227"/>
      <c r="USY1725" s="227"/>
      <c r="USZ1725" s="227"/>
      <c r="UTA1725" s="227"/>
      <c r="UTB1725" s="227"/>
      <c r="UTC1725" s="227"/>
      <c r="UTD1725" s="227"/>
      <c r="UTE1725" s="227"/>
      <c r="UTF1725" s="227"/>
      <c r="UTG1725" s="227"/>
      <c r="UTH1725" s="227"/>
      <c r="UTI1725" s="227"/>
      <c r="UTJ1725" s="227"/>
      <c r="UTK1725" s="227"/>
      <c r="UTL1725" s="227"/>
      <c r="UTM1725" s="227"/>
      <c r="UTN1725" s="227"/>
      <c r="UTO1725" s="227"/>
      <c r="UTP1725" s="227"/>
      <c r="UTQ1725" s="227"/>
      <c r="UTR1725" s="227"/>
      <c r="UTS1725" s="227"/>
      <c r="UTT1725" s="227"/>
      <c r="UTU1725" s="227"/>
      <c r="UTV1725" s="227"/>
      <c r="UTW1725" s="227"/>
      <c r="UTX1725" s="227"/>
      <c r="UTY1725" s="227"/>
      <c r="UTZ1725" s="227"/>
      <c r="UUA1725" s="227"/>
      <c r="UUB1725" s="227"/>
      <c r="UUC1725" s="227"/>
      <c r="UUD1725" s="227"/>
      <c r="UUE1725" s="227"/>
      <c r="UUF1725" s="227"/>
      <c r="UUG1725" s="227"/>
      <c r="UUH1725" s="227"/>
      <c r="UUI1725" s="227"/>
      <c r="UUJ1725" s="227"/>
      <c r="UUK1725" s="227"/>
      <c r="UUL1725" s="227"/>
      <c r="UUM1725" s="227"/>
      <c r="UUN1725" s="227"/>
      <c r="UUO1725" s="227"/>
      <c r="UUP1725" s="227"/>
      <c r="UUQ1725" s="227"/>
      <c r="UUR1725" s="227"/>
      <c r="UUS1725" s="227"/>
      <c r="UUT1725" s="227"/>
      <c r="UUU1725" s="227"/>
      <c r="UUV1725" s="227"/>
      <c r="UUW1725" s="227"/>
      <c r="UUX1725" s="227"/>
      <c r="UUY1725" s="227"/>
      <c r="UUZ1725" s="227"/>
      <c r="UVA1725" s="227"/>
      <c r="UVB1725" s="227"/>
      <c r="UVC1725" s="227"/>
      <c r="UVD1725" s="227"/>
      <c r="UVE1725" s="227"/>
      <c r="UVF1725" s="227"/>
      <c r="UVG1725" s="227"/>
      <c r="UVH1725" s="227"/>
      <c r="UVI1725" s="227"/>
      <c r="UVJ1725" s="227"/>
      <c r="UVK1725" s="227"/>
      <c r="UVL1725" s="227"/>
      <c r="UVM1725" s="227"/>
      <c r="UVN1725" s="227"/>
      <c r="UVO1725" s="227"/>
      <c r="UVP1725" s="227"/>
      <c r="UVQ1725" s="227"/>
      <c r="UVR1725" s="227"/>
      <c r="UVS1725" s="227"/>
      <c r="UVT1725" s="227"/>
      <c r="UVU1725" s="227"/>
      <c r="UVV1725" s="227"/>
      <c r="UVW1725" s="227"/>
      <c r="UVX1725" s="227"/>
      <c r="UVY1725" s="227"/>
      <c r="UVZ1725" s="227"/>
      <c r="UWA1725" s="227"/>
      <c r="UWB1725" s="227"/>
      <c r="UWC1725" s="227"/>
      <c r="UWD1725" s="227"/>
      <c r="UWE1725" s="227"/>
      <c r="UWF1725" s="227"/>
      <c r="UWG1725" s="227"/>
      <c r="UWH1725" s="227"/>
      <c r="UWI1725" s="227"/>
      <c r="UWJ1725" s="227"/>
      <c r="UWK1725" s="227"/>
      <c r="UWL1725" s="227"/>
      <c r="UWM1725" s="227"/>
      <c r="UWN1725" s="227"/>
      <c r="UWO1725" s="227"/>
      <c r="UWP1725" s="227"/>
      <c r="UWQ1725" s="227"/>
      <c r="UWR1725" s="227"/>
      <c r="UWS1725" s="227"/>
      <c r="UWT1725" s="227"/>
      <c r="UWU1725" s="227"/>
      <c r="UWV1725" s="227"/>
      <c r="UWW1725" s="227"/>
      <c r="UWX1725" s="227"/>
      <c r="UWY1725" s="227"/>
      <c r="UWZ1725" s="227"/>
      <c r="UXA1725" s="227"/>
      <c r="UXB1725" s="227"/>
      <c r="UXC1725" s="227"/>
      <c r="UXD1725" s="227"/>
      <c r="UXE1725" s="227"/>
      <c r="UXF1725" s="227"/>
      <c r="UXG1725" s="227"/>
      <c r="UXH1725" s="227"/>
      <c r="UXI1725" s="227"/>
      <c r="UXJ1725" s="227"/>
      <c r="UXK1725" s="227"/>
      <c r="UXL1725" s="227"/>
      <c r="UXM1725" s="227"/>
      <c r="UXN1725" s="227"/>
      <c r="UXO1725" s="227"/>
      <c r="UXP1725" s="227"/>
      <c r="UXQ1725" s="227"/>
      <c r="UXR1725" s="227"/>
      <c r="UXS1725" s="227"/>
      <c r="UXT1725" s="227"/>
      <c r="UXU1725" s="227"/>
      <c r="UXV1725" s="227"/>
      <c r="UXW1725" s="227"/>
      <c r="UXX1725" s="227"/>
      <c r="UXY1725" s="227"/>
      <c r="UXZ1725" s="227"/>
      <c r="UYA1725" s="227"/>
      <c r="UYB1725" s="227"/>
      <c r="UYC1725" s="227"/>
      <c r="UYD1725" s="227"/>
      <c r="UYE1725" s="227"/>
      <c r="UYF1725" s="227"/>
      <c r="UYG1725" s="227"/>
      <c r="UYH1725" s="227"/>
      <c r="UYI1725" s="227"/>
      <c r="UYJ1725" s="227"/>
      <c r="UYK1725" s="227"/>
      <c r="UYL1725" s="227"/>
      <c r="UYM1725" s="227"/>
      <c r="UYN1725" s="227"/>
      <c r="UYO1725" s="227"/>
      <c r="UYP1725" s="227"/>
      <c r="UYQ1725" s="227"/>
      <c r="UYR1725" s="227"/>
      <c r="UYS1725" s="227"/>
      <c r="UYT1725" s="227"/>
      <c r="UYU1725" s="227"/>
      <c r="UYV1725" s="227"/>
      <c r="UYW1725" s="227"/>
      <c r="UYX1725" s="227"/>
      <c r="UYY1725" s="227"/>
      <c r="UYZ1725" s="227"/>
      <c r="UZA1725" s="227"/>
      <c r="UZB1725" s="227"/>
      <c r="UZC1725" s="227"/>
      <c r="UZD1725" s="227"/>
      <c r="UZE1725" s="227"/>
      <c r="UZF1725" s="227"/>
      <c r="UZG1725" s="227"/>
      <c r="UZH1725" s="227"/>
      <c r="UZI1725" s="227"/>
      <c r="UZJ1725" s="227"/>
      <c r="UZK1725" s="227"/>
      <c r="UZL1725" s="227"/>
      <c r="UZM1725" s="227"/>
      <c r="UZN1725" s="227"/>
      <c r="UZO1725" s="227"/>
      <c r="UZP1725" s="227"/>
      <c r="UZQ1725" s="227"/>
      <c r="UZR1725" s="227"/>
      <c r="UZS1725" s="227"/>
      <c r="UZT1725" s="227"/>
      <c r="UZU1725" s="227"/>
      <c r="UZV1725" s="227"/>
      <c r="UZW1725" s="227"/>
      <c r="UZX1725" s="227"/>
      <c r="UZY1725" s="227"/>
      <c r="UZZ1725" s="227"/>
      <c r="VAA1725" s="227"/>
      <c r="VAB1725" s="227"/>
      <c r="VAC1725" s="227"/>
      <c r="VAD1725" s="227"/>
      <c r="VAE1725" s="227"/>
      <c r="VAF1725" s="227"/>
      <c r="VAG1725" s="227"/>
      <c r="VAH1725" s="227"/>
      <c r="VAI1725" s="227"/>
      <c r="VAJ1725" s="227"/>
      <c r="VAK1725" s="227"/>
      <c r="VAL1725" s="227"/>
      <c r="VAM1725" s="227"/>
      <c r="VAN1725" s="227"/>
      <c r="VAO1725" s="227"/>
      <c r="VAP1725" s="227"/>
      <c r="VAQ1725" s="227"/>
      <c r="VAR1725" s="227"/>
      <c r="VAS1725" s="227"/>
      <c r="VAT1725" s="227"/>
      <c r="VAU1725" s="227"/>
      <c r="VAV1725" s="227"/>
      <c r="VAW1725" s="227"/>
      <c r="VAX1725" s="227"/>
      <c r="VAY1725" s="227"/>
      <c r="VAZ1725" s="227"/>
      <c r="VBA1725" s="227"/>
      <c r="VBB1725" s="227"/>
      <c r="VBC1725" s="227"/>
      <c r="VBD1725" s="227"/>
      <c r="VBE1725" s="227"/>
      <c r="VBF1725" s="227"/>
      <c r="VBG1725" s="227"/>
      <c r="VBH1725" s="227"/>
      <c r="VBI1725" s="227"/>
      <c r="VBJ1725" s="227"/>
      <c r="VBK1725" s="227"/>
      <c r="VBL1725" s="227"/>
      <c r="VBM1725" s="227"/>
      <c r="VBN1725" s="227"/>
      <c r="VBO1725" s="227"/>
      <c r="VBP1725" s="227"/>
      <c r="VBQ1725" s="227"/>
      <c r="VBR1725" s="227"/>
      <c r="VBS1725" s="227"/>
      <c r="VBT1725" s="227"/>
      <c r="VBU1725" s="227"/>
      <c r="VBV1725" s="227"/>
      <c r="VBW1725" s="227"/>
      <c r="VBX1725" s="227"/>
      <c r="VBY1725" s="227"/>
      <c r="VBZ1725" s="227"/>
      <c r="VCA1725" s="227"/>
      <c r="VCB1725" s="227"/>
      <c r="VCC1725" s="227"/>
      <c r="VCD1725" s="227"/>
      <c r="VCE1725" s="227"/>
      <c r="VCF1725" s="227"/>
      <c r="VCG1725" s="227"/>
      <c r="VCH1725" s="227"/>
      <c r="VCI1725" s="227"/>
      <c r="VCJ1725" s="227"/>
      <c r="VCK1725" s="227"/>
      <c r="VCL1725" s="227"/>
      <c r="VCM1725" s="227"/>
      <c r="VCN1725" s="227"/>
      <c r="VCO1725" s="227"/>
      <c r="VCP1725" s="227"/>
      <c r="VCQ1725" s="227"/>
      <c r="VCR1725" s="227"/>
      <c r="VCS1725" s="227"/>
      <c r="VCT1725" s="227"/>
      <c r="VCU1725" s="227"/>
      <c r="VCV1725" s="227"/>
      <c r="VCW1725" s="227"/>
      <c r="VCX1725" s="227"/>
      <c r="VCY1725" s="227"/>
      <c r="VCZ1725" s="227"/>
      <c r="VDA1725" s="227"/>
      <c r="VDB1725" s="227"/>
      <c r="VDC1725" s="227"/>
      <c r="VDD1725" s="227"/>
      <c r="VDE1725" s="227"/>
      <c r="VDF1725" s="227"/>
      <c r="VDG1725" s="227"/>
      <c r="VDH1725" s="227"/>
      <c r="VDI1725" s="227"/>
      <c r="VDJ1725" s="227"/>
      <c r="VDK1725" s="227"/>
      <c r="VDL1725" s="227"/>
      <c r="VDM1725" s="227"/>
      <c r="VDN1725" s="227"/>
      <c r="VDO1725" s="227"/>
      <c r="VDP1725" s="227"/>
      <c r="VDQ1725" s="227"/>
      <c r="VDR1725" s="227"/>
      <c r="VDS1725" s="227"/>
      <c r="VDT1725" s="227"/>
      <c r="VDU1725" s="227"/>
      <c r="VDV1725" s="227"/>
      <c r="VDW1725" s="227"/>
      <c r="VDX1725" s="227"/>
      <c r="VDY1725" s="227"/>
      <c r="VDZ1725" s="227"/>
      <c r="VEA1725" s="227"/>
      <c r="VEB1725" s="227"/>
      <c r="VEC1725" s="227"/>
      <c r="VED1725" s="227"/>
      <c r="VEE1725" s="227"/>
      <c r="VEF1725" s="227"/>
      <c r="VEG1725" s="227"/>
      <c r="VEH1725" s="227"/>
      <c r="VEI1725" s="227"/>
      <c r="VEJ1725" s="227"/>
      <c r="VEK1725" s="227"/>
      <c r="VEL1725" s="227"/>
      <c r="VEM1725" s="227"/>
      <c r="VEN1725" s="227"/>
      <c r="VEO1725" s="227"/>
      <c r="VEP1725" s="227"/>
      <c r="VEQ1725" s="227"/>
      <c r="VER1725" s="227"/>
      <c r="VES1725" s="227"/>
      <c r="VET1725" s="227"/>
      <c r="VEU1725" s="227"/>
      <c r="VEV1725" s="227"/>
      <c r="VEW1725" s="227"/>
      <c r="VEX1725" s="227"/>
      <c r="VEY1725" s="227"/>
      <c r="VEZ1725" s="227"/>
      <c r="VFA1725" s="227"/>
      <c r="VFB1725" s="227"/>
      <c r="VFC1725" s="227"/>
      <c r="VFD1725" s="227"/>
      <c r="VFE1725" s="227"/>
      <c r="VFF1725" s="227"/>
      <c r="VFG1725" s="227"/>
      <c r="VFH1725" s="227"/>
      <c r="VFI1725" s="227"/>
      <c r="VFJ1725" s="227"/>
      <c r="VFK1725" s="227"/>
      <c r="VFL1725" s="227"/>
      <c r="VFM1725" s="227"/>
      <c r="VFN1725" s="227"/>
      <c r="VFO1725" s="227"/>
      <c r="VFP1725" s="227"/>
      <c r="VFQ1725" s="227"/>
      <c r="VFR1725" s="227"/>
      <c r="VFS1725" s="227"/>
      <c r="VFT1725" s="227"/>
      <c r="VFU1725" s="227"/>
      <c r="VFV1725" s="227"/>
      <c r="VFW1725" s="227"/>
      <c r="VFX1725" s="227"/>
      <c r="VFY1725" s="227"/>
      <c r="VFZ1725" s="227"/>
      <c r="VGA1725" s="227"/>
      <c r="VGB1725" s="227"/>
      <c r="VGC1725" s="227"/>
      <c r="VGD1725" s="227"/>
      <c r="VGE1725" s="227"/>
      <c r="VGF1725" s="227"/>
      <c r="VGG1725" s="227"/>
      <c r="VGH1725" s="227"/>
      <c r="VGI1725" s="227"/>
      <c r="VGJ1725" s="227"/>
      <c r="VGK1725" s="227"/>
      <c r="VGL1725" s="227"/>
      <c r="VGM1725" s="227"/>
      <c r="VGN1725" s="227"/>
      <c r="VGO1725" s="227"/>
      <c r="VGP1725" s="227"/>
      <c r="VGQ1725" s="227"/>
      <c r="VGR1725" s="227"/>
      <c r="VGS1725" s="227"/>
      <c r="VGT1725" s="227"/>
      <c r="VGU1725" s="227"/>
      <c r="VGV1725" s="227"/>
      <c r="VGW1725" s="227"/>
      <c r="VGX1725" s="227"/>
      <c r="VGY1725" s="227"/>
      <c r="VGZ1725" s="227"/>
      <c r="VHA1725" s="227"/>
      <c r="VHB1725" s="227"/>
      <c r="VHC1725" s="227"/>
      <c r="VHD1725" s="227"/>
      <c r="VHE1725" s="227"/>
      <c r="VHF1725" s="227"/>
      <c r="VHG1725" s="227"/>
      <c r="VHH1725" s="227"/>
      <c r="VHI1725" s="227"/>
      <c r="VHJ1725" s="227"/>
      <c r="VHK1725" s="227"/>
      <c r="VHL1725" s="227"/>
      <c r="VHM1725" s="227"/>
      <c r="VHN1725" s="227"/>
      <c r="VHO1725" s="227"/>
      <c r="VHP1725" s="227"/>
      <c r="VHQ1725" s="227"/>
      <c r="VHR1725" s="227"/>
      <c r="VHS1725" s="227"/>
      <c r="VHT1725" s="227"/>
      <c r="VHU1725" s="227"/>
      <c r="VHV1725" s="227"/>
      <c r="VHW1725" s="227"/>
      <c r="VHX1725" s="227"/>
      <c r="VHY1725" s="227"/>
      <c r="VHZ1725" s="227"/>
      <c r="VIA1725" s="227"/>
      <c r="VIB1725" s="227"/>
      <c r="VIC1725" s="227"/>
      <c r="VID1725" s="227"/>
      <c r="VIE1725" s="227"/>
      <c r="VIF1725" s="227"/>
      <c r="VIG1725" s="227"/>
      <c r="VIH1725" s="227"/>
      <c r="VII1725" s="227"/>
      <c r="VIJ1725" s="227"/>
      <c r="VIK1725" s="227"/>
      <c r="VIL1725" s="227"/>
      <c r="VIM1725" s="227"/>
      <c r="VIN1725" s="227"/>
      <c r="VIO1725" s="227"/>
      <c r="VIP1725" s="227"/>
      <c r="VIQ1725" s="227"/>
      <c r="VIR1725" s="227"/>
      <c r="VIS1725" s="227"/>
      <c r="VIT1725" s="227"/>
      <c r="VIU1725" s="227"/>
      <c r="VIV1725" s="227"/>
      <c r="VIW1725" s="227"/>
      <c r="VIX1725" s="227"/>
      <c r="VIY1725" s="227"/>
      <c r="VIZ1725" s="227"/>
      <c r="VJA1725" s="227"/>
      <c r="VJB1725" s="227"/>
      <c r="VJC1725" s="227"/>
      <c r="VJD1725" s="227"/>
      <c r="VJE1725" s="227"/>
      <c r="VJF1725" s="227"/>
      <c r="VJG1725" s="227"/>
      <c r="VJH1725" s="227"/>
      <c r="VJI1725" s="227"/>
      <c r="VJJ1725" s="227"/>
      <c r="VJK1725" s="227"/>
      <c r="VJL1725" s="227"/>
      <c r="VJM1725" s="227"/>
      <c r="VJN1725" s="227"/>
      <c r="VJO1725" s="227"/>
      <c r="VJP1725" s="227"/>
      <c r="VJQ1725" s="227"/>
      <c r="VJR1725" s="227"/>
      <c r="VJS1725" s="227"/>
      <c r="VJT1725" s="227"/>
      <c r="VJU1725" s="227"/>
      <c r="VJV1725" s="227"/>
      <c r="VJW1725" s="227"/>
      <c r="VJX1725" s="227"/>
      <c r="VJY1725" s="227"/>
      <c r="VJZ1725" s="227"/>
      <c r="VKA1725" s="227"/>
      <c r="VKB1725" s="227"/>
      <c r="VKC1725" s="227"/>
      <c r="VKD1725" s="227"/>
      <c r="VKE1725" s="227"/>
      <c r="VKF1725" s="227"/>
      <c r="VKG1725" s="227"/>
      <c r="VKH1725" s="227"/>
      <c r="VKI1725" s="227"/>
      <c r="VKJ1725" s="227"/>
      <c r="VKK1725" s="227"/>
      <c r="VKL1725" s="227"/>
      <c r="VKM1725" s="227"/>
      <c r="VKN1725" s="227"/>
      <c r="VKO1725" s="227"/>
      <c r="VKP1725" s="227"/>
      <c r="VKQ1725" s="227"/>
      <c r="VKR1725" s="227"/>
      <c r="VKS1725" s="227"/>
      <c r="VKT1725" s="227"/>
      <c r="VKU1725" s="227"/>
      <c r="VKV1725" s="227"/>
      <c r="VKW1725" s="227"/>
      <c r="VKX1725" s="227"/>
      <c r="VKY1725" s="227"/>
      <c r="VKZ1725" s="227"/>
      <c r="VLA1725" s="227"/>
      <c r="VLB1725" s="227"/>
      <c r="VLC1725" s="227"/>
      <c r="VLD1725" s="227"/>
      <c r="VLE1725" s="227"/>
      <c r="VLF1725" s="227"/>
      <c r="VLG1725" s="227"/>
      <c r="VLH1725" s="227"/>
      <c r="VLI1725" s="227"/>
      <c r="VLJ1725" s="227"/>
      <c r="VLK1725" s="227"/>
      <c r="VLL1725" s="227"/>
      <c r="VLM1725" s="227"/>
      <c r="VLN1725" s="227"/>
      <c r="VLO1725" s="227"/>
      <c r="VLP1725" s="227"/>
      <c r="VLQ1725" s="227"/>
      <c r="VLR1725" s="227"/>
      <c r="VLS1725" s="227"/>
      <c r="VLT1725" s="227"/>
      <c r="VLU1725" s="227"/>
      <c r="VLV1725" s="227"/>
      <c r="VLW1725" s="227"/>
      <c r="VLX1725" s="227"/>
      <c r="VLY1725" s="227"/>
      <c r="VLZ1725" s="227"/>
      <c r="VMA1725" s="227"/>
      <c r="VMB1725" s="227"/>
      <c r="VMC1725" s="227"/>
      <c r="VMD1725" s="227"/>
      <c r="VME1725" s="227"/>
      <c r="VMF1725" s="227"/>
      <c r="VMG1725" s="227"/>
      <c r="VMH1725" s="227"/>
      <c r="VMI1725" s="227"/>
      <c r="VMJ1725" s="227"/>
      <c r="VMK1725" s="227"/>
      <c r="VML1725" s="227"/>
      <c r="VMM1725" s="227"/>
      <c r="VMN1725" s="227"/>
      <c r="VMO1725" s="227"/>
      <c r="VMP1725" s="227"/>
      <c r="VMQ1725" s="227"/>
      <c r="VMR1725" s="227"/>
      <c r="VMS1725" s="227"/>
      <c r="VMT1725" s="227"/>
      <c r="VMU1725" s="227"/>
      <c r="VMV1725" s="227"/>
      <c r="VMW1725" s="227"/>
      <c r="VMX1725" s="227"/>
      <c r="VMY1725" s="227"/>
      <c r="VMZ1725" s="227"/>
      <c r="VNA1725" s="227"/>
      <c r="VNB1725" s="227"/>
      <c r="VNC1725" s="227"/>
      <c r="VND1725" s="227"/>
      <c r="VNE1725" s="227"/>
      <c r="VNF1725" s="227"/>
      <c r="VNG1725" s="227"/>
      <c r="VNH1725" s="227"/>
      <c r="VNI1725" s="227"/>
      <c r="VNJ1725" s="227"/>
      <c r="VNK1725" s="227"/>
      <c r="VNL1725" s="227"/>
      <c r="VNM1725" s="227"/>
      <c r="VNN1725" s="227"/>
      <c r="VNO1725" s="227"/>
      <c r="VNP1725" s="227"/>
      <c r="VNQ1725" s="227"/>
      <c r="VNR1725" s="227"/>
      <c r="VNS1725" s="227"/>
      <c r="VNT1725" s="227"/>
      <c r="VNU1725" s="227"/>
      <c r="VNV1725" s="227"/>
      <c r="VNW1725" s="227"/>
      <c r="VNX1725" s="227"/>
      <c r="VNY1725" s="227"/>
      <c r="VNZ1725" s="227"/>
      <c r="VOA1725" s="227"/>
      <c r="VOB1725" s="227"/>
      <c r="VOC1725" s="227"/>
      <c r="VOD1725" s="227"/>
      <c r="VOE1725" s="227"/>
      <c r="VOF1725" s="227"/>
      <c r="VOG1725" s="227"/>
      <c r="VOH1725" s="227"/>
      <c r="VOI1725" s="227"/>
      <c r="VOJ1725" s="227"/>
      <c r="VOK1725" s="227"/>
      <c r="VOL1725" s="227"/>
      <c r="VOM1725" s="227"/>
      <c r="VON1725" s="227"/>
      <c r="VOO1725" s="227"/>
      <c r="VOP1725" s="227"/>
      <c r="VOQ1725" s="227"/>
      <c r="VOR1725" s="227"/>
      <c r="VOS1725" s="227"/>
      <c r="VOT1725" s="227"/>
      <c r="VOU1725" s="227"/>
      <c r="VOV1725" s="227"/>
      <c r="VOW1725" s="227"/>
      <c r="VOX1725" s="227"/>
      <c r="VOY1725" s="227"/>
      <c r="VOZ1725" s="227"/>
      <c r="VPA1725" s="227"/>
      <c r="VPB1725" s="227"/>
      <c r="VPC1725" s="227"/>
      <c r="VPD1725" s="227"/>
      <c r="VPE1725" s="227"/>
      <c r="VPF1725" s="227"/>
      <c r="VPG1725" s="227"/>
      <c r="VPH1725" s="227"/>
      <c r="VPI1725" s="227"/>
      <c r="VPJ1725" s="227"/>
      <c r="VPK1725" s="227"/>
      <c r="VPL1725" s="227"/>
      <c r="VPM1725" s="227"/>
      <c r="VPN1725" s="227"/>
      <c r="VPO1725" s="227"/>
      <c r="VPP1725" s="227"/>
      <c r="VPQ1725" s="227"/>
      <c r="VPR1725" s="227"/>
      <c r="VPS1725" s="227"/>
      <c r="VPT1725" s="227"/>
      <c r="VPU1725" s="227"/>
      <c r="VPV1725" s="227"/>
      <c r="VPW1725" s="227"/>
      <c r="VPX1725" s="227"/>
      <c r="VPY1725" s="227"/>
      <c r="VPZ1725" s="227"/>
      <c r="VQA1725" s="227"/>
      <c r="VQB1725" s="227"/>
      <c r="VQC1725" s="227"/>
      <c r="VQD1725" s="227"/>
      <c r="VQE1725" s="227"/>
      <c r="VQF1725" s="227"/>
      <c r="VQG1725" s="227"/>
      <c r="VQH1725" s="227"/>
      <c r="VQI1725" s="227"/>
      <c r="VQJ1725" s="227"/>
      <c r="VQK1725" s="227"/>
      <c r="VQL1725" s="227"/>
      <c r="VQM1725" s="227"/>
      <c r="VQN1725" s="227"/>
      <c r="VQO1725" s="227"/>
      <c r="VQP1725" s="227"/>
      <c r="VQQ1725" s="227"/>
      <c r="VQR1725" s="227"/>
      <c r="VQS1725" s="227"/>
      <c r="VQT1725" s="227"/>
      <c r="VQU1725" s="227"/>
      <c r="VQV1725" s="227"/>
      <c r="VQW1725" s="227"/>
      <c r="VQX1725" s="227"/>
      <c r="VQY1725" s="227"/>
      <c r="VQZ1725" s="227"/>
      <c r="VRA1725" s="227"/>
      <c r="VRB1725" s="227"/>
      <c r="VRC1725" s="227"/>
      <c r="VRD1725" s="227"/>
      <c r="VRE1725" s="227"/>
      <c r="VRF1725" s="227"/>
      <c r="VRG1725" s="227"/>
      <c r="VRH1725" s="227"/>
      <c r="VRI1725" s="227"/>
      <c r="VRJ1725" s="227"/>
      <c r="VRK1725" s="227"/>
      <c r="VRL1725" s="227"/>
      <c r="VRM1725" s="227"/>
      <c r="VRN1725" s="227"/>
      <c r="VRO1725" s="227"/>
      <c r="VRP1725" s="227"/>
      <c r="VRQ1725" s="227"/>
      <c r="VRR1725" s="227"/>
      <c r="VRS1725" s="227"/>
      <c r="VRT1725" s="227"/>
      <c r="VRU1725" s="227"/>
      <c r="VRV1725" s="227"/>
      <c r="VRW1725" s="227"/>
      <c r="VRX1725" s="227"/>
      <c r="VRY1725" s="227"/>
      <c r="VRZ1725" s="227"/>
      <c r="VSA1725" s="227"/>
      <c r="VSB1725" s="227"/>
      <c r="VSC1725" s="227"/>
      <c r="VSD1725" s="227"/>
      <c r="VSE1725" s="227"/>
      <c r="VSF1725" s="227"/>
      <c r="VSG1725" s="227"/>
      <c r="VSH1725" s="227"/>
      <c r="VSI1725" s="227"/>
      <c r="VSJ1725" s="227"/>
      <c r="VSK1725" s="227"/>
      <c r="VSL1725" s="227"/>
      <c r="VSM1725" s="227"/>
      <c r="VSN1725" s="227"/>
      <c r="VSO1725" s="227"/>
      <c r="VSP1725" s="227"/>
      <c r="VSQ1725" s="227"/>
      <c r="VSR1725" s="227"/>
      <c r="VSS1725" s="227"/>
      <c r="VST1725" s="227"/>
      <c r="VSU1725" s="227"/>
      <c r="VSV1725" s="227"/>
      <c r="VSW1725" s="227"/>
      <c r="VSX1725" s="227"/>
      <c r="VSY1725" s="227"/>
      <c r="VSZ1725" s="227"/>
      <c r="VTA1725" s="227"/>
      <c r="VTB1725" s="227"/>
      <c r="VTC1725" s="227"/>
      <c r="VTD1725" s="227"/>
      <c r="VTE1725" s="227"/>
      <c r="VTF1725" s="227"/>
      <c r="VTG1725" s="227"/>
      <c r="VTH1725" s="227"/>
      <c r="VTI1725" s="227"/>
      <c r="VTJ1725" s="227"/>
      <c r="VTK1725" s="227"/>
      <c r="VTL1725" s="227"/>
      <c r="VTM1725" s="227"/>
      <c r="VTN1725" s="227"/>
      <c r="VTO1725" s="227"/>
      <c r="VTP1725" s="227"/>
      <c r="VTQ1725" s="227"/>
      <c r="VTR1725" s="227"/>
      <c r="VTS1725" s="227"/>
      <c r="VTT1725" s="227"/>
      <c r="VTU1725" s="227"/>
      <c r="VTV1725" s="227"/>
      <c r="VTW1725" s="227"/>
      <c r="VTX1725" s="227"/>
      <c r="VTY1725" s="227"/>
      <c r="VTZ1725" s="227"/>
      <c r="VUA1725" s="227"/>
      <c r="VUB1725" s="227"/>
      <c r="VUC1725" s="227"/>
      <c r="VUD1725" s="227"/>
      <c r="VUE1725" s="227"/>
      <c r="VUF1725" s="227"/>
      <c r="VUG1725" s="227"/>
      <c r="VUH1725" s="227"/>
      <c r="VUI1725" s="227"/>
      <c r="VUJ1725" s="227"/>
      <c r="VUK1725" s="227"/>
      <c r="VUL1725" s="227"/>
      <c r="VUM1725" s="227"/>
      <c r="VUN1725" s="227"/>
      <c r="VUO1725" s="227"/>
      <c r="VUP1725" s="227"/>
      <c r="VUQ1725" s="227"/>
      <c r="VUR1725" s="227"/>
      <c r="VUS1725" s="227"/>
      <c r="VUT1725" s="227"/>
      <c r="VUU1725" s="227"/>
      <c r="VUV1725" s="227"/>
      <c r="VUW1725" s="227"/>
      <c r="VUX1725" s="227"/>
      <c r="VUY1725" s="227"/>
      <c r="VUZ1725" s="227"/>
      <c r="VVA1725" s="227"/>
      <c r="VVB1725" s="227"/>
      <c r="VVC1725" s="227"/>
      <c r="VVD1725" s="227"/>
      <c r="VVE1725" s="227"/>
      <c r="VVF1725" s="227"/>
      <c r="VVG1725" s="227"/>
      <c r="VVH1725" s="227"/>
      <c r="VVI1725" s="227"/>
      <c r="VVJ1725" s="227"/>
      <c r="VVK1725" s="227"/>
      <c r="VVL1725" s="227"/>
      <c r="VVM1725" s="227"/>
      <c r="VVN1725" s="227"/>
      <c r="VVO1725" s="227"/>
      <c r="VVP1725" s="227"/>
      <c r="VVQ1725" s="227"/>
      <c r="VVR1725" s="227"/>
      <c r="VVS1725" s="227"/>
      <c r="VVT1725" s="227"/>
      <c r="VVU1725" s="227"/>
      <c r="VVV1725" s="227"/>
      <c r="VVW1725" s="227"/>
      <c r="VVX1725" s="227"/>
      <c r="VVY1725" s="227"/>
      <c r="VVZ1725" s="227"/>
      <c r="VWA1725" s="227"/>
      <c r="VWB1725" s="227"/>
      <c r="VWC1725" s="227"/>
      <c r="VWD1725" s="227"/>
      <c r="VWE1725" s="227"/>
      <c r="VWF1725" s="227"/>
      <c r="VWG1725" s="227"/>
      <c r="VWH1725" s="227"/>
      <c r="VWI1725" s="227"/>
      <c r="VWJ1725" s="227"/>
      <c r="VWK1725" s="227"/>
      <c r="VWL1725" s="227"/>
      <c r="VWM1725" s="227"/>
      <c r="VWN1725" s="227"/>
      <c r="VWO1725" s="227"/>
      <c r="VWP1725" s="227"/>
      <c r="VWQ1725" s="227"/>
      <c r="VWR1725" s="227"/>
      <c r="VWS1725" s="227"/>
      <c r="VWT1725" s="227"/>
      <c r="VWU1725" s="227"/>
      <c r="VWV1725" s="227"/>
      <c r="VWW1725" s="227"/>
      <c r="VWX1725" s="227"/>
      <c r="VWY1725" s="227"/>
      <c r="VWZ1725" s="227"/>
      <c r="VXA1725" s="227"/>
      <c r="VXB1725" s="227"/>
      <c r="VXC1725" s="227"/>
      <c r="VXD1725" s="227"/>
      <c r="VXE1725" s="227"/>
      <c r="VXF1725" s="227"/>
      <c r="VXG1725" s="227"/>
      <c r="VXH1725" s="227"/>
      <c r="VXI1725" s="227"/>
      <c r="VXJ1725" s="227"/>
      <c r="VXK1725" s="227"/>
      <c r="VXL1725" s="227"/>
      <c r="VXM1725" s="227"/>
      <c r="VXN1725" s="227"/>
      <c r="VXO1725" s="227"/>
      <c r="VXP1725" s="227"/>
      <c r="VXQ1725" s="227"/>
      <c r="VXR1725" s="227"/>
      <c r="VXS1725" s="227"/>
      <c r="VXT1725" s="227"/>
      <c r="VXU1725" s="227"/>
      <c r="VXV1725" s="227"/>
      <c r="VXW1725" s="227"/>
      <c r="VXX1725" s="227"/>
      <c r="VXY1725" s="227"/>
      <c r="VXZ1725" s="227"/>
      <c r="VYA1725" s="227"/>
      <c r="VYB1725" s="227"/>
      <c r="VYC1725" s="227"/>
      <c r="VYD1725" s="227"/>
      <c r="VYE1725" s="227"/>
      <c r="VYF1725" s="227"/>
      <c r="VYG1725" s="227"/>
      <c r="VYH1725" s="227"/>
      <c r="VYI1725" s="227"/>
      <c r="VYJ1725" s="227"/>
      <c r="VYK1725" s="227"/>
      <c r="VYL1725" s="227"/>
      <c r="VYM1725" s="227"/>
      <c r="VYN1725" s="227"/>
      <c r="VYO1725" s="227"/>
      <c r="VYP1725" s="227"/>
      <c r="VYQ1725" s="227"/>
      <c r="VYR1725" s="227"/>
      <c r="VYS1725" s="227"/>
      <c r="VYT1725" s="227"/>
      <c r="VYU1725" s="227"/>
      <c r="VYV1725" s="227"/>
      <c r="VYW1725" s="227"/>
      <c r="VYX1725" s="227"/>
      <c r="VYY1725" s="227"/>
      <c r="VYZ1725" s="227"/>
      <c r="VZA1725" s="227"/>
      <c r="VZB1725" s="227"/>
      <c r="VZC1725" s="227"/>
      <c r="VZD1725" s="227"/>
      <c r="VZE1725" s="227"/>
      <c r="VZF1725" s="227"/>
      <c r="VZG1725" s="227"/>
      <c r="VZH1725" s="227"/>
      <c r="VZI1725" s="227"/>
      <c r="VZJ1725" s="227"/>
      <c r="VZK1725" s="227"/>
      <c r="VZL1725" s="227"/>
      <c r="VZM1725" s="227"/>
      <c r="VZN1725" s="227"/>
      <c r="VZO1725" s="227"/>
      <c r="VZP1725" s="227"/>
      <c r="VZQ1725" s="227"/>
      <c r="VZR1725" s="227"/>
      <c r="VZS1725" s="227"/>
      <c r="VZT1725" s="227"/>
      <c r="VZU1725" s="227"/>
      <c r="VZV1725" s="227"/>
      <c r="VZW1725" s="227"/>
      <c r="VZX1725" s="227"/>
      <c r="VZY1725" s="227"/>
      <c r="VZZ1725" s="227"/>
      <c r="WAA1725" s="227"/>
      <c r="WAB1725" s="227"/>
      <c r="WAC1725" s="227"/>
      <c r="WAD1725" s="227"/>
      <c r="WAE1725" s="227"/>
      <c r="WAF1725" s="227"/>
      <c r="WAG1725" s="227"/>
      <c r="WAH1725" s="227"/>
      <c r="WAI1725" s="227"/>
      <c r="WAJ1725" s="227"/>
      <c r="WAK1725" s="227"/>
      <c r="WAL1725" s="227"/>
      <c r="WAM1725" s="227"/>
      <c r="WAN1725" s="227"/>
      <c r="WAO1725" s="227"/>
      <c r="WAP1725" s="227"/>
      <c r="WAQ1725" s="227"/>
      <c r="WAR1725" s="227"/>
      <c r="WAS1725" s="227"/>
      <c r="WAT1725" s="227"/>
      <c r="WAU1725" s="227"/>
      <c r="WAV1725" s="227"/>
      <c r="WAW1725" s="227"/>
      <c r="WAX1725" s="227"/>
      <c r="WAY1725" s="227"/>
      <c r="WAZ1725" s="227"/>
      <c r="WBA1725" s="227"/>
      <c r="WBB1725" s="227"/>
      <c r="WBC1725" s="227"/>
      <c r="WBD1725" s="227"/>
      <c r="WBE1725" s="227"/>
      <c r="WBF1725" s="227"/>
      <c r="WBG1725" s="227"/>
      <c r="WBH1725" s="227"/>
      <c r="WBI1725" s="227"/>
      <c r="WBJ1725" s="227"/>
      <c r="WBK1725" s="227"/>
      <c r="WBL1725" s="227"/>
      <c r="WBM1725" s="227"/>
      <c r="WBN1725" s="227"/>
      <c r="WBO1725" s="227"/>
      <c r="WBP1725" s="227"/>
      <c r="WBQ1725" s="227"/>
      <c r="WBR1725" s="227"/>
      <c r="WBS1725" s="227"/>
      <c r="WBT1725" s="227"/>
      <c r="WBU1725" s="227"/>
      <c r="WBV1725" s="227"/>
      <c r="WBW1725" s="227"/>
      <c r="WBX1725" s="227"/>
      <c r="WBY1725" s="227"/>
      <c r="WBZ1725" s="227"/>
      <c r="WCA1725" s="227"/>
      <c r="WCB1725" s="227"/>
      <c r="WCC1725" s="227"/>
      <c r="WCD1725" s="227"/>
      <c r="WCE1725" s="227"/>
      <c r="WCF1725" s="227"/>
      <c r="WCG1725" s="227"/>
      <c r="WCH1725" s="227"/>
      <c r="WCI1725" s="227"/>
      <c r="WCJ1725" s="227"/>
      <c r="WCK1725" s="227"/>
      <c r="WCL1725" s="227"/>
      <c r="WCM1725" s="227"/>
      <c r="WCN1725" s="227"/>
      <c r="WCO1725" s="227"/>
      <c r="WCP1725" s="227"/>
      <c r="WCQ1725" s="227"/>
      <c r="WCR1725" s="227"/>
      <c r="WCS1725" s="227"/>
      <c r="WCT1725" s="227"/>
      <c r="WCU1725" s="227"/>
      <c r="WCV1725" s="227"/>
      <c r="WCW1725" s="227"/>
      <c r="WCX1725" s="227"/>
      <c r="WCY1725" s="227"/>
      <c r="WCZ1725" s="227"/>
      <c r="WDA1725" s="227"/>
      <c r="WDB1725" s="227"/>
      <c r="WDC1725" s="227"/>
      <c r="WDD1725" s="227"/>
      <c r="WDE1725" s="227"/>
      <c r="WDF1725" s="227"/>
      <c r="WDG1725" s="227"/>
      <c r="WDH1725" s="227"/>
      <c r="WDI1725" s="227"/>
      <c r="WDJ1725" s="227"/>
      <c r="WDK1725" s="227"/>
      <c r="WDL1725" s="227"/>
      <c r="WDM1725" s="227"/>
      <c r="WDN1725" s="227"/>
      <c r="WDO1725" s="227"/>
      <c r="WDP1725" s="227"/>
      <c r="WDQ1725" s="227"/>
      <c r="WDR1725" s="227"/>
      <c r="WDS1725" s="227"/>
      <c r="WDT1725" s="227"/>
      <c r="WDU1725" s="227"/>
      <c r="WDV1725" s="227"/>
      <c r="WDW1725" s="227"/>
      <c r="WDX1725" s="227"/>
      <c r="WDY1725" s="227"/>
      <c r="WDZ1725" s="227"/>
      <c r="WEA1725" s="227"/>
      <c r="WEB1725" s="227"/>
      <c r="WEC1725" s="227"/>
      <c r="WED1725" s="227"/>
      <c r="WEE1725" s="227"/>
      <c r="WEF1725" s="227"/>
      <c r="WEG1725" s="227"/>
      <c r="WEH1725" s="227"/>
      <c r="WEI1725" s="227"/>
      <c r="WEJ1725" s="227"/>
      <c r="WEK1725" s="227"/>
      <c r="WEL1725" s="227"/>
      <c r="WEM1725" s="227"/>
      <c r="WEN1725" s="227"/>
      <c r="WEO1725" s="227"/>
      <c r="WEP1725" s="227"/>
      <c r="WEQ1725" s="227"/>
      <c r="WER1725" s="227"/>
      <c r="WES1725" s="227"/>
      <c r="WET1725" s="227"/>
      <c r="WEU1725" s="227"/>
      <c r="WEV1725" s="227"/>
      <c r="WEW1725" s="227"/>
      <c r="WEX1725" s="227"/>
      <c r="WEY1725" s="227"/>
      <c r="WEZ1725" s="227"/>
      <c r="WFA1725" s="227"/>
      <c r="WFB1725" s="227"/>
      <c r="WFC1725" s="227"/>
      <c r="WFD1725" s="227"/>
      <c r="WFE1725" s="227"/>
      <c r="WFF1725" s="227"/>
      <c r="WFG1725" s="227"/>
      <c r="WFH1725" s="227"/>
      <c r="WFI1725" s="227"/>
      <c r="WFJ1725" s="227"/>
      <c r="WFK1725" s="227"/>
      <c r="WFL1725" s="227"/>
      <c r="WFM1725" s="227"/>
      <c r="WFN1725" s="227"/>
      <c r="WFO1725" s="227"/>
      <c r="WFP1725" s="227"/>
      <c r="WFQ1725" s="227"/>
      <c r="WFR1725" s="227"/>
      <c r="WFS1725" s="227"/>
      <c r="WFT1725" s="227"/>
      <c r="WFU1725" s="227"/>
      <c r="WFV1725" s="227"/>
      <c r="WFW1725" s="227"/>
      <c r="WFX1725" s="227"/>
      <c r="WFY1725" s="227"/>
      <c r="WFZ1725" s="227"/>
      <c r="WGA1725" s="227"/>
      <c r="WGB1725" s="227"/>
      <c r="WGC1725" s="227"/>
      <c r="WGD1725" s="227"/>
      <c r="WGE1725" s="227"/>
      <c r="WGF1725" s="227"/>
      <c r="WGG1725" s="227"/>
      <c r="WGH1725" s="227"/>
      <c r="WGI1725" s="227"/>
      <c r="WGJ1725" s="227"/>
      <c r="WGK1725" s="227"/>
      <c r="WGL1725" s="227"/>
      <c r="WGM1725" s="227"/>
      <c r="WGN1725" s="227"/>
      <c r="WGO1725" s="227"/>
      <c r="WGP1725" s="227"/>
      <c r="WGQ1725" s="227"/>
      <c r="WGR1725" s="227"/>
      <c r="WGS1725" s="227"/>
      <c r="WGT1725" s="227"/>
      <c r="WGU1725" s="227"/>
      <c r="WGV1725" s="227"/>
      <c r="WGW1725" s="227"/>
      <c r="WGX1725" s="227"/>
      <c r="WGY1725" s="227"/>
      <c r="WGZ1725" s="227"/>
      <c r="WHA1725" s="227"/>
      <c r="WHB1725" s="227"/>
      <c r="WHC1725" s="227"/>
      <c r="WHD1725" s="227"/>
      <c r="WHE1725" s="227"/>
      <c r="WHF1725" s="227"/>
      <c r="WHG1725" s="227"/>
      <c r="WHH1725" s="227"/>
      <c r="WHI1725" s="227"/>
      <c r="WHJ1725" s="227"/>
      <c r="WHK1725" s="227"/>
      <c r="WHL1725" s="227"/>
      <c r="WHM1725" s="227"/>
      <c r="WHN1725" s="227"/>
      <c r="WHO1725" s="227"/>
      <c r="WHP1725" s="227"/>
      <c r="WHQ1725" s="227"/>
      <c r="WHR1725" s="227"/>
      <c r="WHS1725" s="227"/>
      <c r="WHT1725" s="227"/>
      <c r="WHU1725" s="227"/>
      <c r="WHV1725" s="227"/>
      <c r="WHW1725" s="227"/>
      <c r="WHX1725" s="227"/>
      <c r="WHY1725" s="227"/>
      <c r="WHZ1725" s="227"/>
      <c r="WIA1725" s="227"/>
      <c r="WIB1725" s="227"/>
      <c r="WIC1725" s="227"/>
      <c r="WID1725" s="227"/>
      <c r="WIE1725" s="227"/>
      <c r="WIF1725" s="227"/>
      <c r="WIG1725" s="227"/>
      <c r="WIH1725" s="227"/>
      <c r="WII1725" s="227"/>
      <c r="WIJ1725" s="227"/>
      <c r="WIK1725" s="227"/>
      <c r="WIL1725" s="227"/>
      <c r="WIM1725" s="227"/>
      <c r="WIN1725" s="227"/>
      <c r="WIO1725" s="227"/>
      <c r="WIP1725" s="227"/>
      <c r="WIQ1725" s="227"/>
      <c r="WIR1725" s="227"/>
      <c r="WIS1725" s="227"/>
      <c r="WIT1725" s="227"/>
      <c r="WIU1725" s="227"/>
      <c r="WIV1725" s="227"/>
      <c r="WIW1725" s="227"/>
      <c r="WIX1725" s="227"/>
      <c r="WIY1725" s="227"/>
      <c r="WIZ1725" s="227"/>
      <c r="WJA1725" s="227"/>
      <c r="WJB1725" s="227"/>
      <c r="WJC1725" s="227"/>
      <c r="WJD1725" s="227"/>
      <c r="WJE1725" s="227"/>
      <c r="WJF1725" s="227"/>
      <c r="WJG1725" s="227"/>
      <c r="WJH1725" s="227"/>
      <c r="WJI1725" s="227"/>
      <c r="WJJ1725" s="227"/>
      <c r="WJK1725" s="227"/>
      <c r="WJL1725" s="227"/>
      <c r="WJM1725" s="227"/>
      <c r="WJN1725" s="227"/>
      <c r="WJO1725" s="227"/>
      <c r="WJP1725" s="227"/>
      <c r="WJQ1725" s="227"/>
      <c r="WJR1725" s="227"/>
      <c r="WJS1725" s="227"/>
      <c r="WJT1725" s="227"/>
      <c r="WJU1725" s="227"/>
      <c r="WJV1725" s="227"/>
      <c r="WJW1725" s="227"/>
      <c r="WJX1725" s="227"/>
      <c r="WJY1725" s="227"/>
      <c r="WJZ1725" s="227"/>
      <c r="WKA1725" s="227"/>
      <c r="WKB1725" s="227"/>
      <c r="WKC1725" s="227"/>
      <c r="WKD1725" s="227"/>
      <c r="WKE1725" s="227"/>
      <c r="WKF1725" s="227"/>
      <c r="WKG1725" s="227"/>
      <c r="WKH1725" s="227"/>
      <c r="WKI1725" s="227"/>
      <c r="WKJ1725" s="227"/>
      <c r="WKK1725" s="227"/>
      <c r="WKL1725" s="227"/>
      <c r="WKM1725" s="227"/>
      <c r="WKN1725" s="227"/>
      <c r="WKO1725" s="227"/>
      <c r="WKP1725" s="227"/>
      <c r="WKQ1725" s="227"/>
      <c r="WKR1725" s="227"/>
      <c r="WKS1725" s="227"/>
      <c r="WKT1725" s="227"/>
      <c r="WKU1725" s="227"/>
      <c r="WKV1725" s="227"/>
      <c r="WKW1725" s="227"/>
      <c r="WKX1725" s="227"/>
      <c r="WKY1725" s="227"/>
      <c r="WKZ1725" s="227"/>
      <c r="WLA1725" s="227"/>
      <c r="WLB1725" s="227"/>
      <c r="WLC1725" s="227"/>
      <c r="WLD1725" s="227"/>
      <c r="WLE1725" s="227"/>
      <c r="WLF1725" s="227"/>
      <c r="WLG1725" s="227"/>
      <c r="WLH1725" s="227"/>
      <c r="WLI1725" s="227"/>
      <c r="WLJ1725" s="227"/>
      <c r="WLK1725" s="227"/>
      <c r="WLL1725" s="227"/>
      <c r="WLM1725" s="227"/>
      <c r="WLN1725" s="227"/>
      <c r="WLO1725" s="227"/>
      <c r="WLP1725" s="227"/>
      <c r="WLQ1725" s="227"/>
      <c r="WLR1725" s="227"/>
      <c r="WLS1725" s="227"/>
      <c r="WLT1725" s="227"/>
      <c r="WLU1725" s="227"/>
      <c r="WLV1725" s="227"/>
      <c r="WLW1725" s="227"/>
      <c r="WLX1725" s="227"/>
      <c r="WLY1725" s="227"/>
      <c r="WLZ1725" s="227"/>
      <c r="WMA1725" s="227"/>
      <c r="WMB1725" s="227"/>
      <c r="WMC1725" s="227"/>
      <c r="WMD1725" s="227"/>
      <c r="WME1725" s="227"/>
      <c r="WMF1725" s="227"/>
      <c r="WMG1725" s="227"/>
      <c r="WMH1725" s="227"/>
      <c r="WMI1725" s="227"/>
      <c r="WMJ1725" s="227"/>
      <c r="WMK1725" s="227"/>
      <c r="WML1725" s="227"/>
      <c r="WMM1725" s="227"/>
      <c r="WMN1725" s="227"/>
      <c r="WMO1725" s="227"/>
      <c r="WMP1725" s="227"/>
      <c r="WMQ1725" s="227"/>
      <c r="WMR1725" s="227"/>
      <c r="WMS1725" s="227"/>
      <c r="WMT1725" s="227"/>
      <c r="WMU1725" s="227"/>
      <c r="WMV1725" s="227"/>
      <c r="WMW1725" s="227"/>
      <c r="WMX1725" s="227"/>
      <c r="WMY1725" s="227"/>
      <c r="WMZ1725" s="227"/>
      <c r="WNA1725" s="227"/>
      <c r="WNB1725" s="227"/>
      <c r="WNC1725" s="227"/>
      <c r="WND1725" s="227"/>
      <c r="WNE1725" s="227"/>
      <c r="WNF1725" s="227"/>
      <c r="WNG1725" s="227"/>
      <c r="WNH1725" s="227"/>
      <c r="WNI1725" s="227"/>
      <c r="WNJ1725" s="227"/>
      <c r="WNK1725" s="227"/>
      <c r="WNL1725" s="227"/>
      <c r="WNM1725" s="227"/>
      <c r="WNN1725" s="227"/>
      <c r="WNO1725" s="227"/>
      <c r="WNP1725" s="227"/>
      <c r="WNQ1725" s="227"/>
      <c r="WNR1725" s="227"/>
      <c r="WNS1725" s="227"/>
      <c r="WNT1725" s="227"/>
      <c r="WNU1725" s="227"/>
      <c r="WNV1725" s="227"/>
      <c r="WNW1725" s="227"/>
      <c r="WNX1725" s="227"/>
      <c r="WNY1725" s="227"/>
      <c r="WNZ1725" s="227"/>
      <c r="WOA1725" s="227"/>
      <c r="WOB1725" s="227"/>
      <c r="WOC1725" s="227"/>
      <c r="WOD1725" s="227"/>
      <c r="WOE1725" s="227"/>
      <c r="WOF1725" s="227"/>
      <c r="WOG1725" s="227"/>
      <c r="WOH1725" s="227"/>
      <c r="WOI1725" s="227"/>
      <c r="WOJ1725" s="227"/>
      <c r="WOK1725" s="227"/>
      <c r="WOL1725" s="227"/>
      <c r="WOM1725" s="227"/>
      <c r="WON1725" s="227"/>
      <c r="WOO1725" s="227"/>
      <c r="WOP1725" s="227"/>
      <c r="WOQ1725" s="227"/>
      <c r="WOR1725" s="227"/>
      <c r="WOS1725" s="227"/>
      <c r="WOT1725" s="227"/>
      <c r="WOU1725" s="227"/>
      <c r="WOV1725" s="227"/>
      <c r="WOW1725" s="227"/>
      <c r="WOX1725" s="227"/>
      <c r="WOY1725" s="227"/>
      <c r="WOZ1725" s="227"/>
      <c r="WPA1725" s="227"/>
      <c r="WPB1725" s="227"/>
      <c r="WPC1725" s="227"/>
      <c r="WPD1725" s="227"/>
      <c r="WPE1725" s="227"/>
      <c r="WPF1725" s="227"/>
      <c r="WPG1725" s="227"/>
      <c r="WPH1725" s="227"/>
      <c r="WPI1725" s="227"/>
      <c r="WPJ1725" s="227"/>
      <c r="WPK1725" s="227"/>
      <c r="WPL1725" s="227"/>
      <c r="WPM1725" s="227"/>
      <c r="WPN1725" s="227"/>
      <c r="WPO1725" s="227"/>
      <c r="WPP1725" s="227"/>
      <c r="WPQ1725" s="227"/>
      <c r="WPR1725" s="227"/>
      <c r="WPS1725" s="227"/>
      <c r="WPT1725" s="227"/>
      <c r="WPU1725" s="227"/>
      <c r="WPV1725" s="227"/>
      <c r="WPW1725" s="227"/>
      <c r="WPX1725" s="227"/>
      <c r="WPY1725" s="227"/>
      <c r="WPZ1725" s="227"/>
      <c r="WQA1725" s="227"/>
      <c r="WQB1725" s="227"/>
      <c r="WQC1725" s="227"/>
      <c r="WQD1725" s="227"/>
      <c r="WQE1725" s="227"/>
      <c r="WQF1725" s="227"/>
      <c r="WQG1725" s="227"/>
      <c r="WQH1725" s="227"/>
      <c r="WQI1725" s="227"/>
      <c r="WQJ1725" s="227"/>
      <c r="WQK1725" s="227"/>
      <c r="WQL1725" s="227"/>
      <c r="WQM1725" s="227"/>
      <c r="WQN1725" s="227"/>
      <c r="WQO1725" s="227"/>
      <c r="WQP1725" s="227"/>
      <c r="WQQ1725" s="227"/>
      <c r="WQR1725" s="227"/>
      <c r="WQS1725" s="227"/>
      <c r="WQT1725" s="227"/>
      <c r="WQU1725" s="227"/>
      <c r="WQV1725" s="227"/>
      <c r="WQW1725" s="227"/>
      <c r="WQX1725" s="227"/>
      <c r="WQY1725" s="227"/>
      <c r="WQZ1725" s="227"/>
      <c r="WRA1725" s="227"/>
      <c r="WRB1725" s="227"/>
      <c r="WRC1725" s="227"/>
      <c r="WRD1725" s="227"/>
      <c r="WRE1725" s="227"/>
      <c r="WRF1725" s="227"/>
      <c r="WRG1725" s="227"/>
      <c r="WRH1725" s="227"/>
      <c r="WRI1725" s="227"/>
      <c r="WRJ1725" s="227"/>
      <c r="WRK1725" s="227"/>
      <c r="WRL1725" s="227"/>
      <c r="WRM1725" s="227"/>
      <c r="WRN1725" s="227"/>
      <c r="WRO1725" s="227"/>
      <c r="WRP1725" s="227"/>
      <c r="WRQ1725" s="227"/>
      <c r="WRR1725" s="227"/>
      <c r="WRS1725" s="227"/>
      <c r="WRT1725" s="227"/>
      <c r="WRU1725" s="227"/>
      <c r="WRV1725" s="227"/>
      <c r="WRW1725" s="227"/>
      <c r="WRX1725" s="227"/>
      <c r="WRY1725" s="227"/>
      <c r="WRZ1725" s="227"/>
      <c r="WSA1725" s="227"/>
      <c r="WSB1725" s="227"/>
      <c r="WSC1725" s="227"/>
      <c r="WSD1725" s="227"/>
      <c r="WSE1725" s="227"/>
      <c r="WSF1725" s="227"/>
      <c r="WSG1725" s="227"/>
      <c r="WSH1725" s="227"/>
      <c r="WSI1725" s="227"/>
      <c r="WSJ1725" s="227"/>
      <c r="WSK1725" s="227"/>
      <c r="WSL1725" s="227"/>
      <c r="WSM1725" s="227"/>
      <c r="WSN1725" s="227"/>
      <c r="WSO1725" s="227"/>
      <c r="WSP1725" s="227"/>
      <c r="WSQ1725" s="227"/>
      <c r="WSR1725" s="227"/>
      <c r="WSS1725" s="227"/>
      <c r="WST1725" s="227"/>
      <c r="WSU1725" s="227"/>
      <c r="WSV1725" s="227"/>
      <c r="WSW1725" s="227"/>
      <c r="WSX1725" s="227"/>
      <c r="WSY1725" s="227"/>
      <c r="WSZ1725" s="227"/>
      <c r="WTA1725" s="227"/>
      <c r="WTB1725" s="227"/>
      <c r="WTC1725" s="227"/>
      <c r="WTD1725" s="227"/>
      <c r="WTE1725" s="227"/>
      <c r="WTF1725" s="227"/>
      <c r="WTG1725" s="227"/>
      <c r="WTH1725" s="227"/>
      <c r="WTI1725" s="227"/>
      <c r="WTJ1725" s="227"/>
      <c r="WTK1725" s="227"/>
      <c r="WTL1725" s="227"/>
      <c r="WTM1725" s="227"/>
      <c r="WTN1725" s="227"/>
      <c r="WTO1725" s="227"/>
      <c r="WTP1725" s="227"/>
      <c r="WTQ1725" s="227"/>
      <c r="WTR1725" s="227"/>
      <c r="WTS1725" s="227"/>
      <c r="WTT1725" s="227"/>
      <c r="WTU1725" s="227"/>
      <c r="WTV1725" s="227"/>
      <c r="WTW1725" s="227"/>
      <c r="WTX1725" s="227"/>
      <c r="WTY1725" s="227"/>
      <c r="WTZ1725" s="227"/>
      <c r="WUA1725" s="227"/>
      <c r="WUB1725" s="227"/>
      <c r="WUC1725" s="227"/>
      <c r="WUD1725" s="227"/>
      <c r="WUE1725" s="227"/>
      <c r="WUF1725" s="227"/>
      <c r="WUG1725" s="227"/>
      <c r="WUH1725" s="227"/>
      <c r="WUI1725" s="227"/>
      <c r="WUJ1725" s="227"/>
      <c r="WUK1725" s="227"/>
      <c r="WUL1725" s="227"/>
      <c r="WUM1725" s="227"/>
      <c r="WUN1725" s="227"/>
      <c r="WUO1725" s="227"/>
      <c r="WUP1725" s="227"/>
      <c r="WUQ1725" s="227"/>
      <c r="WUR1725" s="227"/>
      <c r="WUS1725" s="227"/>
      <c r="WUT1725" s="227"/>
      <c r="WUU1725" s="227"/>
      <c r="WUV1725" s="227"/>
      <c r="WUW1725" s="227"/>
      <c r="WUX1725" s="227"/>
      <c r="WUY1725" s="227"/>
      <c r="WUZ1725" s="227"/>
      <c r="WVA1725" s="227"/>
      <c r="WVB1725" s="227"/>
      <c r="WVC1725" s="227"/>
      <c r="WVD1725" s="227"/>
      <c r="WVE1725" s="227"/>
      <c r="WVF1725" s="227"/>
      <c r="WVG1725" s="227"/>
      <c r="WVH1725" s="227"/>
      <c r="WVI1725" s="227"/>
      <c r="WVJ1725" s="227"/>
      <c r="WVK1725" s="227"/>
      <c r="WVL1725" s="227"/>
      <c r="WVM1725" s="227"/>
      <c r="WVN1725" s="227"/>
      <c r="WVO1725" s="227"/>
      <c r="WVP1725" s="227"/>
      <c r="WVQ1725" s="227"/>
      <c r="WVR1725" s="227"/>
      <c r="WVS1725" s="227"/>
      <c r="WVT1725" s="227"/>
      <c r="WVU1725" s="227"/>
      <c r="WVV1725" s="227"/>
      <c r="WVW1725" s="227"/>
      <c r="WVX1725" s="227"/>
      <c r="WVY1725" s="227"/>
      <c r="WVZ1725" s="227"/>
      <c r="WWA1725" s="227"/>
      <c r="WWB1725" s="227"/>
      <c r="WWC1725" s="227"/>
      <c r="WWD1725" s="227"/>
      <c r="WWE1725" s="227"/>
      <c r="WWF1725" s="227"/>
      <c r="WWG1725" s="227"/>
      <c r="WWH1725" s="227"/>
      <c r="WWI1725" s="227"/>
      <c r="WWJ1725" s="227"/>
      <c r="WWK1725" s="227"/>
      <c r="WWL1725" s="227"/>
      <c r="WWM1725" s="227"/>
      <c r="WWN1725" s="227"/>
      <c r="WWO1725" s="227"/>
      <c r="WWP1725" s="227"/>
      <c r="WWQ1725" s="227"/>
      <c r="WWR1725" s="227"/>
      <c r="WWS1725" s="227"/>
      <c r="WWT1725" s="227"/>
      <c r="WWU1725" s="227"/>
      <c r="WWV1725" s="227"/>
      <c r="WWW1725" s="227"/>
      <c r="WWX1725" s="227"/>
      <c r="WWY1725" s="227"/>
      <c r="WWZ1725" s="227"/>
      <c r="WXA1725" s="227"/>
      <c r="WXB1725" s="227"/>
      <c r="WXC1725" s="227"/>
      <c r="WXD1725" s="227"/>
      <c r="WXE1725" s="227"/>
      <c r="WXF1725" s="227"/>
      <c r="WXG1725" s="227"/>
      <c r="WXH1725" s="227"/>
      <c r="WXI1725" s="227"/>
      <c r="WXJ1725" s="227"/>
      <c r="WXK1725" s="227"/>
      <c r="WXL1725" s="227"/>
      <c r="WXM1725" s="227"/>
      <c r="WXN1725" s="227"/>
      <c r="WXO1725" s="227"/>
      <c r="WXP1725" s="227"/>
      <c r="WXQ1725" s="227"/>
      <c r="WXR1725" s="227"/>
      <c r="WXS1725" s="227"/>
      <c r="WXT1725" s="227"/>
      <c r="WXU1725" s="227"/>
      <c r="WXV1725" s="227"/>
      <c r="WXW1725" s="227"/>
      <c r="WXX1725" s="227"/>
      <c r="WXY1725" s="227"/>
      <c r="WXZ1725" s="227"/>
      <c r="WYA1725" s="227"/>
      <c r="WYB1725" s="227"/>
      <c r="WYC1725" s="227"/>
      <c r="WYD1725" s="227"/>
      <c r="WYE1725" s="227"/>
      <c r="WYF1725" s="227"/>
      <c r="WYG1725" s="227"/>
      <c r="WYH1725" s="227"/>
      <c r="WYI1725" s="227"/>
      <c r="WYJ1725" s="227"/>
      <c r="WYK1725" s="227"/>
      <c r="WYL1725" s="227"/>
      <c r="WYM1725" s="227"/>
      <c r="WYN1725" s="227"/>
      <c r="WYO1725" s="227"/>
      <c r="WYP1725" s="227"/>
      <c r="WYQ1725" s="227"/>
      <c r="WYR1725" s="227"/>
      <c r="WYS1725" s="227"/>
      <c r="WYT1725" s="227"/>
      <c r="WYU1725" s="227"/>
      <c r="WYV1725" s="227"/>
      <c r="WYW1725" s="227"/>
      <c r="WYX1725" s="227"/>
      <c r="WYY1725" s="227"/>
      <c r="WYZ1725" s="227"/>
      <c r="WZA1725" s="227"/>
      <c r="WZB1725" s="227"/>
      <c r="WZC1725" s="227"/>
      <c r="WZD1725" s="227"/>
      <c r="WZE1725" s="227"/>
      <c r="WZF1725" s="227"/>
      <c r="WZG1725" s="227"/>
      <c r="WZH1725" s="227"/>
      <c r="WZI1725" s="227"/>
      <c r="WZJ1725" s="227"/>
      <c r="WZK1725" s="227"/>
      <c r="WZL1725" s="227"/>
      <c r="WZM1725" s="227"/>
      <c r="WZN1725" s="227"/>
      <c r="WZO1725" s="227"/>
      <c r="WZP1725" s="227"/>
      <c r="WZQ1725" s="227"/>
      <c r="WZR1725" s="227"/>
      <c r="WZS1725" s="227"/>
      <c r="WZT1725" s="227"/>
      <c r="WZU1725" s="227"/>
      <c r="WZV1725" s="227"/>
      <c r="WZW1725" s="227"/>
      <c r="WZX1725" s="227"/>
      <c r="WZY1725" s="227"/>
      <c r="WZZ1725" s="227"/>
      <c r="XAA1725" s="227"/>
      <c r="XAB1725" s="227"/>
      <c r="XAC1725" s="227"/>
      <c r="XAD1725" s="227"/>
      <c r="XAE1725" s="227"/>
      <c r="XAF1725" s="227"/>
      <c r="XAG1725" s="227"/>
      <c r="XAH1725" s="227"/>
      <c r="XAI1725" s="227"/>
      <c r="XAJ1725" s="227"/>
      <c r="XAK1725" s="227"/>
      <c r="XAL1725" s="227"/>
      <c r="XAM1725" s="227"/>
      <c r="XAN1725" s="227"/>
      <c r="XAO1725" s="227"/>
      <c r="XAP1725" s="227"/>
      <c r="XAQ1725" s="227"/>
      <c r="XAR1725" s="227"/>
      <c r="XAS1725" s="227"/>
      <c r="XAT1725" s="227"/>
      <c r="XAU1725" s="227"/>
      <c r="XAV1725" s="227"/>
      <c r="XAW1725" s="227"/>
      <c r="XAX1725" s="227"/>
      <c r="XAY1725" s="227"/>
      <c r="XAZ1725" s="227"/>
      <c r="XBA1725" s="227"/>
      <c r="XBB1725" s="227"/>
      <c r="XBC1725" s="227"/>
      <c r="XBD1725" s="227"/>
      <c r="XBE1725" s="227"/>
      <c r="XBF1725" s="227"/>
      <c r="XBG1725" s="227"/>
      <c r="XBH1725" s="227"/>
      <c r="XBI1725" s="227"/>
      <c r="XBJ1725" s="227"/>
      <c r="XBK1725" s="227"/>
      <c r="XBL1725" s="227"/>
      <c r="XBM1725" s="227"/>
      <c r="XBN1725" s="227"/>
      <c r="XBO1725" s="227"/>
      <c r="XBP1725" s="227"/>
      <c r="XBQ1725" s="227"/>
      <c r="XBR1725" s="227"/>
      <c r="XBS1725" s="227"/>
      <c r="XBT1725" s="227"/>
      <c r="XBU1725" s="227"/>
      <c r="XBV1725" s="227"/>
      <c r="XBW1725" s="227"/>
      <c r="XBX1725" s="227"/>
      <c r="XBY1725" s="227"/>
      <c r="XBZ1725" s="227"/>
      <c r="XCA1725" s="227"/>
      <c r="XCB1725" s="227"/>
      <c r="XCC1725" s="227"/>
      <c r="XCD1725" s="227"/>
      <c r="XCE1725" s="227"/>
      <c r="XCF1725" s="227"/>
      <c r="XCG1725" s="227"/>
      <c r="XCH1725" s="227"/>
      <c r="XCI1725" s="227"/>
      <c r="XCJ1725" s="227"/>
      <c r="XCK1725" s="227"/>
      <c r="XCL1725" s="227"/>
      <c r="XCM1725" s="227"/>
      <c r="XCN1725" s="227"/>
      <c r="XCO1725" s="227"/>
      <c r="XCP1725" s="227"/>
      <c r="XCQ1725" s="227"/>
      <c r="XCR1725" s="227"/>
      <c r="XCS1725" s="227"/>
      <c r="XCT1725" s="227"/>
      <c r="XCU1725" s="227"/>
      <c r="XCV1725" s="227"/>
      <c r="XCW1725" s="227"/>
      <c r="XCX1725" s="227"/>
      <c r="XCY1725" s="227"/>
      <c r="XCZ1725" s="227"/>
      <c r="XDA1725" s="227"/>
      <c r="XDB1725" s="227"/>
      <c r="XDC1725" s="227"/>
      <c r="XDD1725" s="227"/>
      <c r="XDE1725" s="227"/>
      <c r="XDF1725" s="227"/>
      <c r="XDG1725" s="227"/>
      <c r="XDH1725" s="227"/>
      <c r="XDI1725" s="227"/>
      <c r="XDJ1725" s="227"/>
      <c r="XDK1725" s="227"/>
      <c r="XDL1725" s="227"/>
      <c r="XDM1725" s="227"/>
      <c r="XDN1725" s="227"/>
      <c r="XDO1725" s="227"/>
      <c r="XDP1725" s="227"/>
      <c r="XDQ1725" s="227"/>
      <c r="XDR1725" s="227"/>
      <c r="XDS1725" s="227"/>
      <c r="XDT1725" s="227"/>
      <c r="XDU1725" s="227"/>
      <c r="XDV1725" s="227"/>
      <c r="XDW1725" s="227"/>
      <c r="XDX1725" s="227"/>
      <c r="XDY1725" s="227"/>
      <c r="XDZ1725" s="227"/>
      <c r="XEA1725" s="227"/>
      <c r="XEB1725" s="227"/>
      <c r="XEC1725" s="227"/>
      <c r="XED1725" s="227"/>
      <c r="XEE1725" s="227"/>
      <c r="XEF1725" s="227"/>
      <c r="XEG1725" s="227"/>
      <c r="XEH1725" s="227"/>
      <c r="XEI1725" s="227"/>
      <c r="XEJ1725" s="227"/>
      <c r="XEK1725" s="227"/>
      <c r="XEL1725" s="227"/>
      <c r="XEM1725" s="227"/>
      <c r="XEN1725" s="227"/>
      <c r="XEO1725" s="227"/>
      <c r="XEP1725" s="227"/>
      <c r="XEQ1725" s="227"/>
      <c r="XER1725" s="227"/>
      <c r="XES1725" s="227"/>
      <c r="XET1725" s="227"/>
      <c r="XEU1725" s="227"/>
      <c r="XEV1725" s="227"/>
      <c r="XEW1725" s="227"/>
      <c r="XEX1725" s="227"/>
      <c r="XEY1725" s="227"/>
      <c r="XEZ1725" s="227"/>
      <c r="XFA1725" s="227"/>
      <c r="XFB1725" s="227"/>
      <c r="XFC1725" s="227"/>
      <c r="XFD1725" s="227"/>
    </row>
    <row r="1726" spans="1:16384" customFormat="1" x14ac:dyDescent="0.25">
      <c r="A1726" s="240">
        <v>489</v>
      </c>
      <c r="B1726" s="239">
        <v>44922.430555555555</v>
      </c>
      <c r="C1726" s="235">
        <v>0.43402777777777773</v>
      </c>
      <c r="D1726" s="235">
        <v>0.4375</v>
      </c>
      <c r="E1726" s="235">
        <v>0.44791666666666669</v>
      </c>
      <c r="F1726" s="236" t="s">
        <v>171</v>
      </c>
      <c r="G1726" s="236" t="s">
        <v>136</v>
      </c>
      <c r="H1726" s="229" t="s">
        <v>91</v>
      </c>
      <c r="I1726" s="229" t="s">
        <v>118</v>
      </c>
      <c r="J1726" s="229" t="s">
        <v>41</v>
      </c>
      <c r="K1726" s="236" t="s">
        <v>180</v>
      </c>
      <c r="L1726" s="237" t="s">
        <v>206</v>
      </c>
      <c r="M1726" s="236" t="s">
        <v>4386</v>
      </c>
      <c r="N1726" s="236" t="s">
        <v>44</v>
      </c>
      <c r="O1726" s="236">
        <v>1054970084</v>
      </c>
      <c r="P1726" s="236">
        <v>1214064162</v>
      </c>
      <c r="Q1726" s="303">
        <f t="shared" si="151"/>
        <v>1</v>
      </c>
      <c r="R1726" s="303">
        <f t="shared" si="152"/>
        <v>8</v>
      </c>
      <c r="S1726" s="236">
        <v>1</v>
      </c>
      <c r="T1726" s="236">
        <v>8</v>
      </c>
      <c r="U1726" s="236">
        <v>0</v>
      </c>
      <c r="V1726" s="236">
        <v>0</v>
      </c>
      <c r="W1726" s="236">
        <v>8</v>
      </c>
      <c r="X1726" s="236">
        <v>69</v>
      </c>
      <c r="Y1726" s="236">
        <v>69</v>
      </c>
      <c r="Z1726" s="236">
        <v>46</v>
      </c>
      <c r="AA1726" s="236">
        <v>1</v>
      </c>
      <c r="AB1726" s="300">
        <f t="shared" si="153"/>
        <v>36.500999999999998</v>
      </c>
      <c r="AC1726" s="300">
        <f t="shared" si="154"/>
        <v>0.21988554216867467</v>
      </c>
      <c r="AD1726" s="236">
        <v>52541.53</v>
      </c>
      <c r="AE1726" s="236" t="s">
        <v>111</v>
      </c>
      <c r="AF1726" s="236" t="s">
        <v>4387</v>
      </c>
      <c r="AG1726" s="236" t="s">
        <v>4336</v>
      </c>
      <c r="AH1726" s="236" t="s">
        <v>4389</v>
      </c>
      <c r="AI1726" s="309"/>
      <c r="AJ1726" s="309"/>
      <c r="AK1726" s="236" t="s">
        <v>48</v>
      </c>
      <c r="AL1726" s="236" t="s">
        <v>49</v>
      </c>
      <c r="AM1726" s="299">
        <f t="shared" ca="1" si="150"/>
        <v>3.3055555555547471</v>
      </c>
      <c r="AN1726" s="241"/>
      <c r="AO1726" s="288" t="s">
        <v>53</v>
      </c>
      <c r="AP1726" s="275" t="s">
        <v>4386</v>
      </c>
      <c r="AQ1726" s="288" t="s">
        <v>4639</v>
      </c>
      <c r="AR1726" s="277">
        <v>44925.736111111109</v>
      </c>
      <c r="AS1726" s="272" t="s">
        <v>483</v>
      </c>
      <c r="AT1726" s="288" t="s">
        <v>225</v>
      </c>
      <c r="AU1726" s="276">
        <v>0.73611111111111116</v>
      </c>
      <c r="AV1726" s="288">
        <v>2</v>
      </c>
      <c r="AW1726" s="288" t="s">
        <v>66</v>
      </c>
      <c r="AX1726" s="242"/>
      <c r="AY1726" s="242"/>
      <c r="AZ1726" s="242"/>
      <c r="BA1726" s="242"/>
      <c r="BB1726" s="227"/>
      <c r="BC1726" s="227"/>
      <c r="BD1726" s="227"/>
      <c r="BE1726" s="227"/>
      <c r="BF1726" s="227"/>
      <c r="BG1726" s="227"/>
      <c r="BH1726" s="227"/>
      <c r="BI1726" s="227"/>
      <c r="BJ1726" s="227"/>
      <c r="BK1726" s="227"/>
      <c r="BL1726" s="227"/>
      <c r="BM1726" s="227"/>
      <c r="BN1726" s="227"/>
      <c r="BO1726" s="227"/>
      <c r="BP1726" s="227"/>
      <c r="BQ1726" s="227"/>
      <c r="BR1726" s="227"/>
      <c r="BS1726" s="227"/>
      <c r="BT1726" s="227"/>
      <c r="BU1726" s="227"/>
      <c r="BV1726" s="227"/>
      <c r="BW1726" s="227"/>
      <c r="BX1726" s="227"/>
      <c r="BY1726" s="227"/>
      <c r="BZ1726" s="227"/>
      <c r="CA1726" s="227"/>
      <c r="CB1726" s="227"/>
      <c r="CC1726" s="227"/>
      <c r="CD1726" s="227"/>
      <c r="CE1726" s="227"/>
      <c r="CF1726" s="227"/>
      <c r="CG1726" s="227"/>
      <c r="CH1726" s="227"/>
      <c r="CI1726" s="227"/>
      <c r="CJ1726" s="227"/>
      <c r="CK1726" s="227"/>
      <c r="CL1726" s="227"/>
      <c r="CM1726" s="227"/>
      <c r="CN1726" s="227"/>
      <c r="CO1726" s="227"/>
      <c r="CP1726" s="227"/>
      <c r="CQ1726" s="227"/>
      <c r="CR1726" s="227"/>
      <c r="CS1726" s="227"/>
      <c r="CT1726" s="227"/>
      <c r="CU1726" s="227"/>
      <c r="CV1726" s="227"/>
      <c r="CW1726" s="227"/>
      <c r="CX1726" s="227"/>
      <c r="CY1726" s="227"/>
      <c r="CZ1726" s="227"/>
      <c r="DA1726" s="227"/>
      <c r="DB1726" s="227"/>
      <c r="DC1726" s="227"/>
      <c r="DD1726" s="227"/>
      <c r="DE1726" s="227"/>
      <c r="DF1726" s="227"/>
      <c r="DG1726" s="227"/>
      <c r="DH1726" s="227"/>
      <c r="DI1726" s="227"/>
      <c r="DJ1726" s="227"/>
      <c r="DK1726" s="227"/>
      <c r="DL1726" s="227"/>
      <c r="DM1726" s="227"/>
      <c r="DN1726" s="227"/>
      <c r="DO1726" s="227"/>
      <c r="DP1726" s="227"/>
      <c r="DQ1726" s="227"/>
      <c r="DR1726" s="227"/>
      <c r="DS1726" s="227"/>
      <c r="DT1726" s="227"/>
      <c r="DU1726" s="227"/>
      <c r="DV1726" s="227"/>
      <c r="DW1726" s="227"/>
      <c r="DX1726" s="227"/>
      <c r="DY1726" s="227"/>
      <c r="DZ1726" s="227"/>
      <c r="EA1726" s="227"/>
      <c r="EB1726" s="227"/>
      <c r="EC1726" s="227"/>
      <c r="ED1726" s="227"/>
      <c r="EE1726" s="227"/>
      <c r="EF1726" s="227"/>
      <c r="EG1726" s="227"/>
      <c r="EH1726" s="227"/>
      <c r="EI1726" s="227"/>
      <c r="EJ1726" s="227"/>
      <c r="EK1726" s="227"/>
      <c r="EL1726" s="227"/>
      <c r="EM1726" s="227"/>
      <c r="EN1726" s="227"/>
      <c r="EO1726" s="227"/>
      <c r="EP1726" s="227"/>
      <c r="EQ1726" s="227"/>
      <c r="ER1726" s="227"/>
      <c r="ES1726" s="227"/>
      <c r="ET1726" s="227"/>
      <c r="EU1726" s="227"/>
      <c r="EV1726" s="227"/>
      <c r="EW1726" s="227"/>
      <c r="EX1726" s="227"/>
      <c r="EY1726" s="227"/>
      <c r="EZ1726" s="227"/>
      <c r="FA1726" s="227"/>
      <c r="FB1726" s="227"/>
      <c r="FC1726" s="227"/>
      <c r="FD1726" s="227"/>
      <c r="FE1726" s="227"/>
      <c r="FF1726" s="227"/>
      <c r="FG1726" s="227"/>
      <c r="FH1726" s="227"/>
      <c r="FI1726" s="227"/>
      <c r="FJ1726" s="227"/>
      <c r="FK1726" s="227"/>
      <c r="FL1726" s="227"/>
      <c r="FM1726" s="227"/>
      <c r="FN1726" s="227"/>
      <c r="FO1726" s="227"/>
      <c r="FP1726" s="227"/>
      <c r="FQ1726" s="227"/>
      <c r="FR1726" s="227"/>
      <c r="FS1726" s="227"/>
      <c r="FT1726" s="227"/>
      <c r="FU1726" s="227"/>
      <c r="FV1726" s="227"/>
      <c r="FW1726" s="227"/>
      <c r="FX1726" s="227"/>
      <c r="FY1726" s="227"/>
      <c r="FZ1726" s="227"/>
      <c r="GA1726" s="227"/>
      <c r="GB1726" s="227"/>
      <c r="GC1726" s="227"/>
      <c r="GD1726" s="227"/>
      <c r="GE1726" s="227"/>
      <c r="GF1726" s="227"/>
      <c r="GG1726" s="227"/>
      <c r="GH1726" s="227"/>
      <c r="GI1726" s="227"/>
      <c r="GJ1726" s="227"/>
      <c r="GK1726" s="227"/>
      <c r="GL1726" s="227"/>
      <c r="GM1726" s="227"/>
      <c r="GN1726" s="227"/>
      <c r="GO1726" s="227"/>
      <c r="GP1726" s="227"/>
      <c r="GQ1726" s="227"/>
      <c r="GR1726" s="227"/>
      <c r="GS1726" s="227"/>
      <c r="GT1726" s="227"/>
      <c r="GU1726" s="227"/>
      <c r="GV1726" s="227"/>
      <c r="GW1726" s="227"/>
      <c r="GX1726" s="227"/>
      <c r="GY1726" s="227"/>
      <c r="GZ1726" s="227"/>
      <c r="HA1726" s="227"/>
      <c r="HB1726" s="227"/>
      <c r="HC1726" s="227"/>
      <c r="HD1726" s="227"/>
      <c r="HE1726" s="227"/>
      <c r="HF1726" s="227"/>
      <c r="HG1726" s="227"/>
      <c r="HH1726" s="227"/>
      <c r="HI1726" s="227"/>
      <c r="HJ1726" s="227"/>
      <c r="HK1726" s="227"/>
      <c r="HL1726" s="227"/>
      <c r="HM1726" s="227"/>
      <c r="HN1726" s="227"/>
      <c r="HO1726" s="227"/>
      <c r="HP1726" s="227"/>
      <c r="HQ1726" s="227"/>
      <c r="HR1726" s="227"/>
      <c r="HS1726" s="227"/>
      <c r="HT1726" s="227"/>
      <c r="HU1726" s="227"/>
      <c r="HV1726" s="227"/>
      <c r="HW1726" s="227"/>
      <c r="HX1726" s="227"/>
      <c r="HY1726" s="227"/>
      <c r="HZ1726" s="227"/>
      <c r="IA1726" s="227"/>
      <c r="IB1726" s="227"/>
      <c r="IC1726" s="227"/>
      <c r="ID1726" s="227"/>
      <c r="IE1726" s="227"/>
      <c r="IF1726" s="227"/>
      <c r="IG1726" s="227"/>
      <c r="IH1726" s="227"/>
      <c r="II1726" s="227"/>
      <c r="IJ1726" s="227"/>
      <c r="IK1726" s="227"/>
      <c r="IL1726" s="227"/>
      <c r="IM1726" s="227"/>
      <c r="IN1726" s="227"/>
      <c r="IO1726" s="227"/>
      <c r="IP1726" s="227"/>
      <c r="IQ1726" s="227"/>
      <c r="IR1726" s="227"/>
      <c r="IS1726" s="227"/>
      <c r="IT1726" s="227"/>
      <c r="IU1726" s="227"/>
      <c r="IV1726" s="227"/>
      <c r="IW1726" s="227"/>
      <c r="IX1726" s="227"/>
      <c r="IY1726" s="227"/>
      <c r="IZ1726" s="227"/>
      <c r="JA1726" s="227"/>
      <c r="JB1726" s="227"/>
      <c r="JC1726" s="227"/>
      <c r="JD1726" s="227"/>
      <c r="JE1726" s="227"/>
      <c r="JF1726" s="227"/>
      <c r="JG1726" s="227"/>
      <c r="JH1726" s="227"/>
      <c r="JI1726" s="227"/>
      <c r="JJ1726" s="227"/>
      <c r="JK1726" s="227"/>
      <c r="JL1726" s="227"/>
      <c r="JM1726" s="227"/>
      <c r="JN1726" s="227"/>
      <c r="JO1726" s="227"/>
      <c r="JP1726" s="227"/>
      <c r="JQ1726" s="227"/>
      <c r="JR1726" s="227"/>
      <c r="JS1726" s="227"/>
      <c r="JT1726" s="227"/>
      <c r="JU1726" s="227"/>
      <c r="JV1726" s="227"/>
      <c r="JW1726" s="227"/>
      <c r="JX1726" s="227"/>
      <c r="JY1726" s="227"/>
      <c r="JZ1726" s="227"/>
      <c r="KA1726" s="227"/>
      <c r="KB1726" s="227"/>
      <c r="KC1726" s="227"/>
      <c r="KD1726" s="227"/>
      <c r="KE1726" s="227"/>
      <c r="KF1726" s="227"/>
      <c r="KG1726" s="227"/>
      <c r="KH1726" s="227"/>
      <c r="KI1726" s="227"/>
      <c r="KJ1726" s="227"/>
      <c r="KK1726" s="227"/>
      <c r="KL1726" s="227"/>
      <c r="KM1726" s="227"/>
      <c r="KN1726" s="227"/>
      <c r="KO1726" s="227"/>
      <c r="KP1726" s="227"/>
      <c r="KQ1726" s="227"/>
      <c r="KR1726" s="227"/>
      <c r="KS1726" s="227"/>
      <c r="KT1726" s="227"/>
      <c r="KU1726" s="227"/>
      <c r="KV1726" s="227"/>
      <c r="KW1726" s="227"/>
      <c r="KX1726" s="227"/>
      <c r="KY1726" s="227"/>
      <c r="KZ1726" s="227"/>
      <c r="LA1726" s="227"/>
      <c r="LB1726" s="227"/>
      <c r="LC1726" s="227"/>
      <c r="LD1726" s="227"/>
      <c r="LE1726" s="227"/>
      <c r="LF1726" s="227"/>
      <c r="LG1726" s="227"/>
      <c r="LH1726" s="227"/>
      <c r="LI1726" s="227"/>
      <c r="LJ1726" s="227"/>
      <c r="LK1726" s="227"/>
      <c r="LL1726" s="227"/>
      <c r="LM1726" s="227"/>
      <c r="LN1726" s="227"/>
      <c r="LO1726" s="227"/>
      <c r="LP1726" s="227"/>
      <c r="LQ1726" s="227"/>
      <c r="LR1726" s="227"/>
      <c r="LS1726" s="227"/>
      <c r="LT1726" s="227"/>
      <c r="LU1726" s="227"/>
      <c r="LV1726" s="227"/>
      <c r="LW1726" s="227"/>
      <c r="LX1726" s="227"/>
      <c r="LY1726" s="227"/>
      <c r="LZ1726" s="227"/>
      <c r="MA1726" s="227"/>
      <c r="MB1726" s="227"/>
      <c r="MC1726" s="227"/>
      <c r="MD1726" s="227"/>
      <c r="ME1726" s="227"/>
      <c r="MF1726" s="227"/>
      <c r="MG1726" s="227"/>
      <c r="MH1726" s="227"/>
      <c r="MI1726" s="227"/>
      <c r="MJ1726" s="227"/>
      <c r="MK1726" s="227"/>
      <c r="ML1726" s="227"/>
      <c r="MM1726" s="227"/>
      <c r="MN1726" s="227"/>
      <c r="MO1726" s="227"/>
      <c r="MP1726" s="227"/>
      <c r="MQ1726" s="227"/>
      <c r="MR1726" s="227"/>
      <c r="MS1726" s="227"/>
      <c r="MT1726" s="227"/>
      <c r="MU1726" s="227"/>
      <c r="MV1726" s="227"/>
      <c r="MW1726" s="227"/>
      <c r="MX1726" s="227"/>
      <c r="MY1726" s="227"/>
      <c r="MZ1726" s="227"/>
      <c r="NA1726" s="227"/>
      <c r="NB1726" s="227"/>
      <c r="NC1726" s="227"/>
      <c r="ND1726" s="227"/>
      <c r="NE1726" s="227"/>
      <c r="NF1726" s="227"/>
      <c r="NG1726" s="227"/>
      <c r="NH1726" s="227"/>
      <c r="NI1726" s="227"/>
      <c r="NJ1726" s="227"/>
      <c r="NK1726" s="227"/>
      <c r="NL1726" s="227"/>
      <c r="NM1726" s="227"/>
      <c r="NN1726" s="227"/>
      <c r="NO1726" s="227"/>
      <c r="NP1726" s="227"/>
      <c r="NQ1726" s="227"/>
      <c r="NR1726" s="227"/>
      <c r="NS1726" s="227"/>
      <c r="NT1726" s="227"/>
      <c r="NU1726" s="227"/>
      <c r="NV1726" s="227"/>
      <c r="NW1726" s="227"/>
      <c r="NX1726" s="227"/>
      <c r="NY1726" s="227"/>
      <c r="NZ1726" s="227"/>
      <c r="OA1726" s="227"/>
      <c r="OB1726" s="227"/>
      <c r="OC1726" s="227"/>
      <c r="OD1726" s="227"/>
      <c r="OE1726" s="227"/>
      <c r="OF1726" s="227"/>
      <c r="OG1726" s="227"/>
      <c r="OH1726" s="227"/>
      <c r="OI1726" s="227"/>
      <c r="OJ1726" s="227"/>
      <c r="OK1726" s="227"/>
      <c r="OL1726" s="227"/>
      <c r="OM1726" s="227"/>
      <c r="ON1726" s="227"/>
      <c r="OO1726" s="227"/>
      <c r="OP1726" s="227"/>
      <c r="OQ1726" s="227"/>
      <c r="OR1726" s="227"/>
      <c r="OS1726" s="227"/>
      <c r="OT1726" s="227"/>
      <c r="OU1726" s="227"/>
      <c r="OV1726" s="227"/>
      <c r="OW1726" s="227"/>
      <c r="OX1726" s="227"/>
      <c r="OY1726" s="227"/>
      <c r="OZ1726" s="227"/>
      <c r="PA1726" s="227"/>
      <c r="PB1726" s="227"/>
      <c r="PC1726" s="227"/>
      <c r="PD1726" s="227"/>
      <c r="PE1726" s="227"/>
      <c r="PF1726" s="227"/>
      <c r="PG1726" s="227"/>
      <c r="PH1726" s="227"/>
      <c r="PI1726" s="227"/>
      <c r="PJ1726" s="227"/>
      <c r="PK1726" s="227"/>
      <c r="PL1726" s="227"/>
      <c r="PM1726" s="227"/>
      <c r="PN1726" s="227"/>
      <c r="PO1726" s="227"/>
      <c r="PP1726" s="227"/>
      <c r="PQ1726" s="227"/>
      <c r="PR1726" s="227"/>
      <c r="PS1726" s="227"/>
      <c r="PT1726" s="227"/>
      <c r="PU1726" s="227"/>
      <c r="PV1726" s="227"/>
      <c r="PW1726" s="227"/>
      <c r="PX1726" s="227"/>
      <c r="PY1726" s="227"/>
      <c r="PZ1726" s="227"/>
      <c r="QA1726" s="227"/>
      <c r="QB1726" s="227"/>
      <c r="QC1726" s="227"/>
      <c r="QD1726" s="227"/>
      <c r="QE1726" s="227"/>
      <c r="QF1726" s="227"/>
      <c r="QG1726" s="227"/>
      <c r="QH1726" s="227"/>
      <c r="QI1726" s="227"/>
      <c r="QJ1726" s="227"/>
      <c r="QK1726" s="227"/>
      <c r="QL1726" s="227"/>
      <c r="QM1726" s="227"/>
      <c r="QN1726" s="227"/>
      <c r="QO1726" s="227"/>
      <c r="QP1726" s="227"/>
      <c r="QQ1726" s="227"/>
      <c r="QR1726" s="227"/>
      <c r="QS1726" s="227"/>
      <c r="QT1726" s="227"/>
      <c r="QU1726" s="227"/>
      <c r="QV1726" s="227"/>
      <c r="QW1726" s="227"/>
      <c r="QX1726" s="227"/>
      <c r="QY1726" s="227"/>
      <c r="QZ1726" s="227"/>
      <c r="RA1726" s="227"/>
      <c r="RB1726" s="227"/>
      <c r="RC1726" s="227"/>
      <c r="RD1726" s="227"/>
      <c r="RE1726" s="227"/>
      <c r="RF1726" s="227"/>
      <c r="RG1726" s="227"/>
      <c r="RH1726" s="227"/>
      <c r="RI1726" s="227"/>
      <c r="RJ1726" s="227"/>
      <c r="RK1726" s="227"/>
      <c r="RL1726" s="227"/>
      <c r="RM1726" s="227"/>
      <c r="RN1726" s="227"/>
      <c r="RO1726" s="227"/>
      <c r="RP1726" s="227"/>
      <c r="RQ1726" s="227"/>
      <c r="RR1726" s="227"/>
      <c r="RS1726" s="227"/>
      <c r="RT1726" s="227"/>
      <c r="RU1726" s="227"/>
      <c r="RV1726" s="227"/>
      <c r="RW1726" s="227"/>
      <c r="RX1726" s="227"/>
      <c r="RY1726" s="227"/>
      <c r="RZ1726" s="227"/>
      <c r="SA1726" s="227"/>
      <c r="SB1726" s="227"/>
      <c r="SC1726" s="227"/>
      <c r="SD1726" s="227"/>
      <c r="SE1726" s="227"/>
      <c r="SF1726" s="227"/>
      <c r="SG1726" s="227"/>
      <c r="SH1726" s="227"/>
      <c r="SI1726" s="227"/>
      <c r="SJ1726" s="227"/>
      <c r="SK1726" s="227"/>
      <c r="SL1726" s="227"/>
      <c r="SM1726" s="227"/>
      <c r="SN1726" s="227"/>
      <c r="SO1726" s="227"/>
      <c r="SP1726" s="227"/>
      <c r="SQ1726" s="227"/>
      <c r="SR1726" s="227"/>
      <c r="SS1726" s="227"/>
      <c r="ST1726" s="227"/>
      <c r="SU1726" s="227"/>
      <c r="SV1726" s="227"/>
      <c r="SW1726" s="227"/>
      <c r="SX1726" s="227"/>
      <c r="SY1726" s="227"/>
      <c r="SZ1726" s="227"/>
      <c r="TA1726" s="227"/>
      <c r="TB1726" s="227"/>
      <c r="TC1726" s="227"/>
      <c r="TD1726" s="227"/>
      <c r="TE1726" s="227"/>
      <c r="TF1726" s="227"/>
      <c r="TG1726" s="227"/>
      <c r="TH1726" s="227"/>
      <c r="TI1726" s="227"/>
      <c r="TJ1726" s="227"/>
      <c r="TK1726" s="227"/>
      <c r="TL1726" s="227"/>
      <c r="TM1726" s="227"/>
      <c r="TN1726" s="227"/>
      <c r="TO1726" s="227"/>
      <c r="TP1726" s="227"/>
      <c r="TQ1726" s="227"/>
      <c r="TR1726" s="227"/>
      <c r="TS1726" s="227"/>
      <c r="TT1726" s="227"/>
      <c r="TU1726" s="227"/>
      <c r="TV1726" s="227"/>
      <c r="TW1726" s="227"/>
      <c r="TX1726" s="227"/>
      <c r="TY1726" s="227"/>
      <c r="TZ1726" s="227"/>
      <c r="UA1726" s="227"/>
      <c r="UB1726" s="227"/>
      <c r="UC1726" s="227"/>
      <c r="UD1726" s="227"/>
      <c r="UE1726" s="227"/>
      <c r="UF1726" s="227"/>
      <c r="UG1726" s="227"/>
      <c r="UH1726" s="227"/>
      <c r="UI1726" s="227"/>
      <c r="UJ1726" s="227"/>
      <c r="UK1726" s="227"/>
      <c r="UL1726" s="227"/>
      <c r="UM1726" s="227"/>
      <c r="UN1726" s="227"/>
      <c r="UO1726" s="227"/>
      <c r="UP1726" s="227"/>
      <c r="UQ1726" s="227"/>
      <c r="UR1726" s="227"/>
      <c r="US1726" s="227"/>
      <c r="UT1726" s="227"/>
      <c r="UU1726" s="227"/>
      <c r="UV1726" s="227"/>
      <c r="UW1726" s="227"/>
      <c r="UX1726" s="227"/>
      <c r="UY1726" s="227"/>
      <c r="UZ1726" s="227"/>
      <c r="VA1726" s="227"/>
      <c r="VB1726" s="227"/>
      <c r="VC1726" s="227"/>
      <c r="VD1726" s="227"/>
      <c r="VE1726" s="227"/>
      <c r="VF1726" s="227"/>
      <c r="VG1726" s="227"/>
      <c r="VH1726" s="227"/>
      <c r="VI1726" s="227"/>
      <c r="VJ1726" s="227"/>
      <c r="VK1726" s="227"/>
      <c r="VL1726" s="227"/>
      <c r="VM1726" s="227"/>
      <c r="VN1726" s="227"/>
      <c r="VO1726" s="227"/>
      <c r="VP1726" s="227"/>
      <c r="VQ1726" s="227"/>
      <c r="VR1726" s="227"/>
      <c r="VS1726" s="227"/>
      <c r="VT1726" s="227"/>
      <c r="VU1726" s="227"/>
      <c r="VV1726" s="227"/>
      <c r="VW1726" s="227"/>
      <c r="VX1726" s="227"/>
      <c r="VY1726" s="227"/>
      <c r="VZ1726" s="227"/>
      <c r="WA1726" s="227"/>
      <c r="WB1726" s="227"/>
      <c r="WC1726" s="227"/>
      <c r="WD1726" s="227"/>
      <c r="WE1726" s="227"/>
      <c r="WF1726" s="227"/>
      <c r="WG1726" s="227"/>
      <c r="WH1726" s="227"/>
      <c r="WI1726" s="227"/>
      <c r="WJ1726" s="227"/>
      <c r="WK1726" s="227"/>
      <c r="WL1726" s="227"/>
      <c r="WM1726" s="227"/>
      <c r="WN1726" s="227"/>
      <c r="WO1726" s="227"/>
      <c r="WP1726" s="227"/>
      <c r="WQ1726" s="227"/>
      <c r="WR1726" s="227"/>
      <c r="WS1726" s="227"/>
      <c r="WT1726" s="227"/>
      <c r="WU1726" s="227"/>
      <c r="WV1726" s="227"/>
      <c r="WW1726" s="227"/>
      <c r="WX1726" s="227"/>
      <c r="WY1726" s="227"/>
      <c r="WZ1726" s="227"/>
      <c r="XA1726" s="227"/>
      <c r="XB1726" s="227"/>
      <c r="XC1726" s="227"/>
      <c r="XD1726" s="227"/>
      <c r="XE1726" s="227"/>
      <c r="XF1726" s="227"/>
      <c r="XG1726" s="227"/>
      <c r="XH1726" s="227"/>
      <c r="XI1726" s="227"/>
      <c r="XJ1726" s="227"/>
      <c r="XK1726" s="227"/>
      <c r="XL1726" s="227"/>
      <c r="XM1726" s="227"/>
      <c r="XN1726" s="227"/>
      <c r="XO1726" s="227"/>
      <c r="XP1726" s="227"/>
      <c r="XQ1726" s="227"/>
      <c r="XR1726" s="227"/>
      <c r="XS1726" s="227"/>
      <c r="XT1726" s="227"/>
      <c r="XU1726" s="227"/>
      <c r="XV1726" s="227"/>
      <c r="XW1726" s="227"/>
      <c r="XX1726" s="227"/>
      <c r="XY1726" s="227"/>
      <c r="XZ1726" s="227"/>
      <c r="YA1726" s="227"/>
      <c r="YB1726" s="227"/>
      <c r="YC1726" s="227"/>
      <c r="YD1726" s="227"/>
      <c r="YE1726" s="227"/>
      <c r="YF1726" s="227"/>
      <c r="YG1726" s="227"/>
      <c r="YH1726" s="227"/>
      <c r="YI1726" s="227"/>
      <c r="YJ1726" s="227"/>
      <c r="YK1726" s="227"/>
      <c r="YL1726" s="227"/>
      <c r="YM1726" s="227"/>
      <c r="YN1726" s="227"/>
      <c r="YO1726" s="227"/>
      <c r="YP1726" s="227"/>
      <c r="YQ1726" s="227"/>
      <c r="YR1726" s="227"/>
      <c r="YS1726" s="227"/>
      <c r="YT1726" s="227"/>
      <c r="YU1726" s="227"/>
      <c r="YV1726" s="227"/>
      <c r="YW1726" s="227"/>
      <c r="YX1726" s="227"/>
      <c r="YY1726" s="227"/>
      <c r="YZ1726" s="227"/>
      <c r="ZA1726" s="227"/>
      <c r="ZB1726" s="227"/>
      <c r="ZC1726" s="227"/>
      <c r="ZD1726" s="227"/>
      <c r="ZE1726" s="227"/>
      <c r="ZF1726" s="227"/>
      <c r="ZG1726" s="227"/>
      <c r="ZH1726" s="227"/>
      <c r="ZI1726" s="227"/>
      <c r="ZJ1726" s="227"/>
      <c r="ZK1726" s="227"/>
      <c r="ZL1726" s="227"/>
      <c r="ZM1726" s="227"/>
      <c r="ZN1726" s="227"/>
      <c r="ZO1726" s="227"/>
      <c r="ZP1726" s="227"/>
      <c r="ZQ1726" s="227"/>
      <c r="ZR1726" s="227"/>
      <c r="ZS1726" s="227"/>
      <c r="ZT1726" s="227"/>
      <c r="ZU1726" s="227"/>
      <c r="ZV1726" s="227"/>
      <c r="ZW1726" s="227"/>
      <c r="ZX1726" s="227"/>
      <c r="ZY1726" s="227"/>
      <c r="ZZ1726" s="227"/>
      <c r="AAA1726" s="227"/>
      <c r="AAB1726" s="227"/>
      <c r="AAC1726" s="227"/>
      <c r="AAD1726" s="227"/>
      <c r="AAE1726" s="227"/>
      <c r="AAF1726" s="227"/>
      <c r="AAG1726" s="227"/>
      <c r="AAH1726" s="227"/>
      <c r="AAI1726" s="227"/>
      <c r="AAJ1726" s="227"/>
      <c r="AAK1726" s="227"/>
      <c r="AAL1726" s="227"/>
      <c r="AAM1726" s="227"/>
      <c r="AAN1726" s="227"/>
      <c r="AAO1726" s="227"/>
      <c r="AAP1726" s="227"/>
      <c r="AAQ1726" s="227"/>
      <c r="AAR1726" s="227"/>
      <c r="AAS1726" s="227"/>
      <c r="AAT1726" s="227"/>
      <c r="AAU1726" s="227"/>
      <c r="AAV1726" s="227"/>
      <c r="AAW1726" s="227"/>
      <c r="AAX1726" s="227"/>
      <c r="AAY1726" s="227"/>
      <c r="AAZ1726" s="227"/>
      <c r="ABA1726" s="227"/>
      <c r="ABB1726" s="227"/>
      <c r="ABC1726" s="227"/>
      <c r="ABD1726" s="227"/>
      <c r="ABE1726" s="227"/>
      <c r="ABF1726" s="227"/>
      <c r="ABG1726" s="227"/>
      <c r="ABH1726" s="227"/>
      <c r="ABI1726" s="227"/>
      <c r="ABJ1726" s="227"/>
      <c r="ABK1726" s="227"/>
      <c r="ABL1726" s="227"/>
      <c r="ABM1726" s="227"/>
      <c r="ABN1726" s="227"/>
      <c r="ABO1726" s="227"/>
      <c r="ABP1726" s="227"/>
      <c r="ABQ1726" s="227"/>
      <c r="ABR1726" s="227"/>
      <c r="ABS1726" s="227"/>
      <c r="ABT1726" s="227"/>
      <c r="ABU1726" s="227"/>
      <c r="ABV1726" s="227"/>
      <c r="ABW1726" s="227"/>
      <c r="ABX1726" s="227"/>
      <c r="ABY1726" s="227"/>
      <c r="ABZ1726" s="227"/>
      <c r="ACA1726" s="227"/>
      <c r="ACB1726" s="227"/>
      <c r="ACC1726" s="227"/>
      <c r="ACD1726" s="227"/>
      <c r="ACE1726" s="227"/>
      <c r="ACF1726" s="227"/>
      <c r="ACG1726" s="227"/>
      <c r="ACH1726" s="227"/>
      <c r="ACI1726" s="227"/>
      <c r="ACJ1726" s="227"/>
      <c r="ACK1726" s="227"/>
      <c r="ACL1726" s="227"/>
      <c r="ACM1726" s="227"/>
      <c r="ACN1726" s="227"/>
      <c r="ACO1726" s="227"/>
      <c r="ACP1726" s="227"/>
      <c r="ACQ1726" s="227"/>
      <c r="ACR1726" s="227"/>
      <c r="ACS1726" s="227"/>
      <c r="ACT1726" s="227"/>
      <c r="ACU1726" s="227"/>
      <c r="ACV1726" s="227"/>
      <c r="ACW1726" s="227"/>
      <c r="ACX1726" s="227"/>
      <c r="ACY1726" s="227"/>
      <c r="ACZ1726" s="227"/>
      <c r="ADA1726" s="227"/>
      <c r="ADB1726" s="227"/>
      <c r="ADC1726" s="227"/>
      <c r="ADD1726" s="227"/>
      <c r="ADE1726" s="227"/>
      <c r="ADF1726" s="227"/>
      <c r="ADG1726" s="227"/>
      <c r="ADH1726" s="227"/>
      <c r="ADI1726" s="227"/>
      <c r="ADJ1726" s="227"/>
      <c r="ADK1726" s="227"/>
      <c r="ADL1726" s="227"/>
      <c r="ADM1726" s="227"/>
      <c r="ADN1726" s="227"/>
      <c r="ADO1726" s="227"/>
      <c r="ADP1726" s="227"/>
      <c r="ADQ1726" s="227"/>
      <c r="ADR1726" s="227"/>
      <c r="ADS1726" s="227"/>
      <c r="ADT1726" s="227"/>
      <c r="ADU1726" s="227"/>
      <c r="ADV1726" s="227"/>
      <c r="ADW1726" s="227"/>
      <c r="ADX1726" s="227"/>
      <c r="ADY1726" s="227"/>
      <c r="ADZ1726" s="227"/>
      <c r="AEA1726" s="227"/>
      <c r="AEB1726" s="227"/>
      <c r="AEC1726" s="227"/>
      <c r="AED1726" s="227"/>
      <c r="AEE1726" s="227"/>
      <c r="AEF1726" s="227"/>
      <c r="AEG1726" s="227"/>
      <c r="AEH1726" s="227"/>
      <c r="AEI1726" s="227"/>
      <c r="AEJ1726" s="227"/>
      <c r="AEK1726" s="227"/>
      <c r="AEL1726" s="227"/>
      <c r="AEM1726" s="227"/>
      <c r="AEN1726" s="227"/>
      <c r="AEO1726" s="227"/>
      <c r="AEP1726" s="227"/>
      <c r="AEQ1726" s="227"/>
      <c r="AER1726" s="227"/>
      <c r="AES1726" s="227"/>
      <c r="AET1726" s="227"/>
      <c r="AEU1726" s="227"/>
      <c r="AEV1726" s="227"/>
      <c r="AEW1726" s="227"/>
      <c r="AEX1726" s="227"/>
      <c r="AEY1726" s="227"/>
      <c r="AEZ1726" s="227"/>
      <c r="AFA1726" s="227"/>
      <c r="AFB1726" s="227"/>
      <c r="AFC1726" s="227"/>
      <c r="AFD1726" s="227"/>
      <c r="AFE1726" s="227"/>
      <c r="AFF1726" s="227"/>
      <c r="AFG1726" s="227"/>
      <c r="AFH1726" s="227"/>
      <c r="AFI1726" s="227"/>
      <c r="AFJ1726" s="227"/>
      <c r="AFK1726" s="227"/>
      <c r="AFL1726" s="227"/>
      <c r="AFM1726" s="227"/>
      <c r="AFN1726" s="227"/>
      <c r="AFO1726" s="227"/>
      <c r="AFP1726" s="227"/>
      <c r="AFQ1726" s="227"/>
      <c r="AFR1726" s="227"/>
      <c r="AFS1726" s="227"/>
      <c r="AFT1726" s="227"/>
      <c r="AFU1726" s="227"/>
      <c r="AFV1726" s="227"/>
      <c r="AFW1726" s="227"/>
      <c r="AFX1726" s="227"/>
      <c r="AFY1726" s="227"/>
      <c r="AFZ1726" s="227"/>
      <c r="AGA1726" s="227"/>
      <c r="AGB1726" s="227"/>
      <c r="AGC1726" s="227"/>
      <c r="AGD1726" s="227"/>
      <c r="AGE1726" s="227"/>
      <c r="AGF1726" s="227"/>
      <c r="AGG1726" s="227"/>
      <c r="AGH1726" s="227"/>
      <c r="AGI1726" s="227"/>
      <c r="AGJ1726" s="227"/>
      <c r="AGK1726" s="227"/>
      <c r="AGL1726" s="227"/>
      <c r="AGM1726" s="227"/>
      <c r="AGN1726" s="227"/>
      <c r="AGO1726" s="227"/>
      <c r="AGP1726" s="227"/>
      <c r="AGQ1726" s="227"/>
      <c r="AGR1726" s="227"/>
      <c r="AGS1726" s="227"/>
      <c r="AGT1726" s="227"/>
      <c r="AGU1726" s="227"/>
      <c r="AGV1726" s="227"/>
      <c r="AGW1726" s="227"/>
      <c r="AGX1726" s="227"/>
      <c r="AGY1726" s="227"/>
      <c r="AGZ1726" s="227"/>
      <c r="AHA1726" s="227"/>
      <c r="AHB1726" s="227"/>
      <c r="AHC1726" s="227"/>
      <c r="AHD1726" s="227"/>
      <c r="AHE1726" s="227"/>
      <c r="AHF1726" s="227"/>
      <c r="AHG1726" s="227"/>
      <c r="AHH1726" s="227"/>
      <c r="AHI1726" s="227"/>
      <c r="AHJ1726" s="227"/>
      <c r="AHK1726" s="227"/>
      <c r="AHL1726" s="227"/>
      <c r="AHM1726" s="227"/>
      <c r="AHN1726" s="227"/>
      <c r="AHO1726" s="227"/>
      <c r="AHP1726" s="227"/>
      <c r="AHQ1726" s="227"/>
      <c r="AHR1726" s="227"/>
      <c r="AHS1726" s="227"/>
      <c r="AHT1726" s="227"/>
      <c r="AHU1726" s="227"/>
      <c r="AHV1726" s="227"/>
      <c r="AHW1726" s="227"/>
      <c r="AHX1726" s="227"/>
      <c r="AHY1726" s="227"/>
      <c r="AHZ1726" s="227"/>
      <c r="AIA1726" s="227"/>
      <c r="AIB1726" s="227"/>
      <c r="AIC1726" s="227"/>
      <c r="AID1726" s="227"/>
      <c r="AIE1726" s="227"/>
      <c r="AIF1726" s="227"/>
      <c r="AIG1726" s="227"/>
      <c r="AIH1726" s="227"/>
      <c r="AII1726" s="227"/>
      <c r="AIJ1726" s="227"/>
      <c r="AIK1726" s="227"/>
      <c r="AIL1726" s="227"/>
      <c r="AIM1726" s="227"/>
      <c r="AIN1726" s="227"/>
      <c r="AIO1726" s="227"/>
      <c r="AIP1726" s="227"/>
      <c r="AIQ1726" s="227"/>
      <c r="AIR1726" s="227"/>
      <c r="AIS1726" s="227"/>
      <c r="AIT1726" s="227"/>
      <c r="AIU1726" s="227"/>
      <c r="AIV1726" s="227"/>
      <c r="AIW1726" s="227"/>
      <c r="AIX1726" s="227"/>
      <c r="AIY1726" s="227"/>
      <c r="AIZ1726" s="227"/>
      <c r="AJA1726" s="227"/>
      <c r="AJB1726" s="227"/>
      <c r="AJC1726" s="227"/>
      <c r="AJD1726" s="227"/>
      <c r="AJE1726" s="227"/>
      <c r="AJF1726" s="227"/>
      <c r="AJG1726" s="227"/>
      <c r="AJH1726" s="227"/>
      <c r="AJI1726" s="227"/>
      <c r="AJJ1726" s="227"/>
      <c r="AJK1726" s="227"/>
      <c r="AJL1726" s="227"/>
      <c r="AJM1726" s="227"/>
      <c r="AJN1726" s="227"/>
      <c r="AJO1726" s="227"/>
      <c r="AJP1726" s="227"/>
      <c r="AJQ1726" s="227"/>
      <c r="AJR1726" s="227"/>
      <c r="AJS1726" s="227"/>
      <c r="AJT1726" s="227"/>
      <c r="AJU1726" s="227"/>
      <c r="AJV1726" s="227"/>
      <c r="AJW1726" s="227"/>
      <c r="AJX1726" s="227"/>
      <c r="AJY1726" s="227"/>
      <c r="AJZ1726" s="227"/>
      <c r="AKA1726" s="227"/>
      <c r="AKB1726" s="227"/>
      <c r="AKC1726" s="227"/>
      <c r="AKD1726" s="227"/>
      <c r="AKE1726" s="227"/>
      <c r="AKF1726" s="227"/>
      <c r="AKG1726" s="227"/>
      <c r="AKH1726" s="227"/>
      <c r="AKI1726" s="227"/>
      <c r="AKJ1726" s="227"/>
      <c r="AKK1726" s="227"/>
      <c r="AKL1726" s="227"/>
      <c r="AKM1726" s="227"/>
      <c r="AKN1726" s="227"/>
      <c r="AKO1726" s="227"/>
      <c r="AKP1726" s="227"/>
      <c r="AKQ1726" s="227"/>
      <c r="AKR1726" s="227"/>
      <c r="AKS1726" s="227"/>
      <c r="AKT1726" s="227"/>
      <c r="AKU1726" s="227"/>
      <c r="AKV1726" s="227"/>
      <c r="AKW1726" s="227"/>
      <c r="AKX1726" s="227"/>
      <c r="AKY1726" s="227"/>
      <c r="AKZ1726" s="227"/>
      <c r="ALA1726" s="227"/>
      <c r="ALB1726" s="227"/>
      <c r="ALC1726" s="227"/>
      <c r="ALD1726" s="227"/>
      <c r="ALE1726" s="227"/>
      <c r="ALF1726" s="227"/>
      <c r="ALG1726" s="227"/>
      <c r="ALH1726" s="227"/>
      <c r="ALI1726" s="227"/>
      <c r="ALJ1726" s="227"/>
      <c r="ALK1726" s="227"/>
      <c r="ALL1726" s="227"/>
      <c r="ALM1726" s="227"/>
      <c r="ALN1726" s="227"/>
      <c r="ALO1726" s="227"/>
      <c r="ALP1726" s="227"/>
      <c r="ALQ1726" s="227"/>
      <c r="ALR1726" s="227"/>
      <c r="ALS1726" s="227"/>
      <c r="ALT1726" s="227"/>
      <c r="ALU1726" s="227"/>
      <c r="ALV1726" s="227"/>
      <c r="ALW1726" s="227"/>
      <c r="ALX1726" s="227"/>
      <c r="ALY1726" s="227"/>
      <c r="ALZ1726" s="227"/>
      <c r="AMA1726" s="227"/>
      <c r="AMB1726" s="227"/>
      <c r="AMC1726" s="227"/>
      <c r="AMD1726" s="227"/>
      <c r="AME1726" s="227"/>
      <c r="AMF1726" s="227"/>
      <c r="AMG1726" s="227"/>
      <c r="AMH1726" s="227"/>
      <c r="AMI1726" s="227"/>
      <c r="AMJ1726" s="227"/>
      <c r="AMK1726" s="227"/>
      <c r="AML1726" s="227"/>
      <c r="AMM1726" s="227"/>
      <c r="AMN1726" s="227"/>
      <c r="AMO1726" s="227"/>
      <c r="AMP1726" s="227"/>
      <c r="AMQ1726" s="227"/>
      <c r="AMR1726" s="227"/>
      <c r="AMS1726" s="227"/>
      <c r="AMT1726" s="227"/>
      <c r="AMU1726" s="227"/>
      <c r="AMV1726" s="227"/>
      <c r="AMW1726" s="227"/>
      <c r="AMX1726" s="227"/>
      <c r="AMY1726" s="227"/>
      <c r="AMZ1726" s="227"/>
      <c r="ANA1726" s="227"/>
      <c r="ANB1726" s="227"/>
      <c r="ANC1726" s="227"/>
      <c r="AND1726" s="227"/>
      <c r="ANE1726" s="227"/>
      <c r="ANF1726" s="227"/>
      <c r="ANG1726" s="227"/>
      <c r="ANH1726" s="227"/>
      <c r="ANI1726" s="227"/>
      <c r="ANJ1726" s="227"/>
      <c r="ANK1726" s="227"/>
      <c r="ANL1726" s="227"/>
      <c r="ANM1726" s="227"/>
      <c r="ANN1726" s="227"/>
      <c r="ANO1726" s="227"/>
      <c r="ANP1726" s="227"/>
      <c r="ANQ1726" s="227"/>
      <c r="ANR1726" s="227"/>
      <c r="ANS1726" s="227"/>
      <c r="ANT1726" s="227"/>
      <c r="ANU1726" s="227"/>
      <c r="ANV1726" s="227"/>
      <c r="ANW1726" s="227"/>
      <c r="ANX1726" s="227"/>
      <c r="ANY1726" s="227"/>
      <c r="ANZ1726" s="227"/>
      <c r="AOA1726" s="227"/>
      <c r="AOB1726" s="227"/>
      <c r="AOC1726" s="227"/>
      <c r="AOD1726" s="227"/>
      <c r="AOE1726" s="227"/>
      <c r="AOF1726" s="227"/>
      <c r="AOG1726" s="227"/>
      <c r="AOH1726" s="227"/>
      <c r="AOI1726" s="227"/>
      <c r="AOJ1726" s="227"/>
      <c r="AOK1726" s="227"/>
      <c r="AOL1726" s="227"/>
      <c r="AOM1726" s="227"/>
      <c r="AON1726" s="227"/>
      <c r="AOO1726" s="227"/>
      <c r="AOP1726" s="227"/>
      <c r="AOQ1726" s="227"/>
      <c r="AOR1726" s="227"/>
      <c r="AOS1726" s="227"/>
      <c r="AOT1726" s="227"/>
      <c r="AOU1726" s="227"/>
      <c r="AOV1726" s="227"/>
      <c r="AOW1726" s="227"/>
      <c r="AOX1726" s="227"/>
      <c r="AOY1726" s="227"/>
      <c r="AOZ1726" s="227"/>
      <c r="APA1726" s="227"/>
      <c r="APB1726" s="227"/>
      <c r="APC1726" s="227"/>
      <c r="APD1726" s="227"/>
      <c r="APE1726" s="227"/>
      <c r="APF1726" s="227"/>
      <c r="APG1726" s="227"/>
      <c r="APH1726" s="227"/>
      <c r="API1726" s="227"/>
      <c r="APJ1726" s="227"/>
      <c r="APK1726" s="227"/>
      <c r="APL1726" s="227"/>
      <c r="APM1726" s="227"/>
      <c r="APN1726" s="227"/>
      <c r="APO1726" s="227"/>
      <c r="APP1726" s="227"/>
      <c r="APQ1726" s="227"/>
      <c r="APR1726" s="227"/>
      <c r="APS1726" s="227"/>
      <c r="APT1726" s="227"/>
      <c r="APU1726" s="227"/>
      <c r="APV1726" s="227"/>
      <c r="APW1726" s="227"/>
      <c r="APX1726" s="227"/>
      <c r="APY1726" s="227"/>
      <c r="APZ1726" s="227"/>
      <c r="AQA1726" s="227"/>
      <c r="AQB1726" s="227"/>
      <c r="AQC1726" s="227"/>
      <c r="AQD1726" s="227"/>
      <c r="AQE1726" s="227"/>
      <c r="AQF1726" s="227"/>
      <c r="AQG1726" s="227"/>
      <c r="AQH1726" s="227"/>
      <c r="AQI1726" s="227"/>
      <c r="AQJ1726" s="227"/>
      <c r="AQK1726" s="227"/>
      <c r="AQL1726" s="227"/>
      <c r="AQM1726" s="227"/>
      <c r="AQN1726" s="227"/>
      <c r="AQO1726" s="227"/>
      <c r="AQP1726" s="227"/>
      <c r="AQQ1726" s="227"/>
      <c r="AQR1726" s="227"/>
      <c r="AQS1726" s="227"/>
      <c r="AQT1726" s="227"/>
      <c r="AQU1726" s="227"/>
      <c r="AQV1726" s="227"/>
      <c r="AQW1726" s="227"/>
      <c r="AQX1726" s="227"/>
      <c r="AQY1726" s="227"/>
      <c r="AQZ1726" s="227"/>
      <c r="ARA1726" s="227"/>
      <c r="ARB1726" s="227"/>
      <c r="ARC1726" s="227"/>
      <c r="ARD1726" s="227"/>
      <c r="ARE1726" s="227"/>
      <c r="ARF1726" s="227"/>
      <c r="ARG1726" s="227"/>
      <c r="ARH1726" s="227"/>
      <c r="ARI1726" s="227"/>
      <c r="ARJ1726" s="227"/>
      <c r="ARK1726" s="227"/>
      <c r="ARL1726" s="227"/>
      <c r="ARM1726" s="227"/>
      <c r="ARN1726" s="227"/>
      <c r="ARO1726" s="227"/>
      <c r="ARP1726" s="227"/>
      <c r="ARQ1726" s="227"/>
      <c r="ARR1726" s="227"/>
      <c r="ARS1726" s="227"/>
      <c r="ART1726" s="227"/>
      <c r="ARU1726" s="227"/>
      <c r="ARV1726" s="227"/>
      <c r="ARW1726" s="227"/>
      <c r="ARX1726" s="227"/>
      <c r="ARY1726" s="227"/>
      <c r="ARZ1726" s="227"/>
      <c r="ASA1726" s="227"/>
      <c r="ASB1726" s="227"/>
      <c r="ASC1726" s="227"/>
      <c r="ASD1726" s="227"/>
      <c r="ASE1726" s="227"/>
      <c r="ASF1726" s="227"/>
      <c r="ASG1726" s="227"/>
      <c r="ASH1726" s="227"/>
      <c r="ASI1726" s="227"/>
      <c r="ASJ1726" s="227"/>
      <c r="ASK1726" s="227"/>
      <c r="ASL1726" s="227"/>
      <c r="ASM1726" s="227"/>
      <c r="ASN1726" s="227"/>
      <c r="ASO1726" s="227"/>
      <c r="ASP1726" s="227"/>
      <c r="ASQ1726" s="227"/>
      <c r="ASR1726" s="227"/>
      <c r="ASS1726" s="227"/>
      <c r="AST1726" s="227"/>
      <c r="ASU1726" s="227"/>
      <c r="ASV1726" s="227"/>
      <c r="ASW1726" s="227"/>
      <c r="ASX1726" s="227"/>
      <c r="ASY1726" s="227"/>
      <c r="ASZ1726" s="227"/>
      <c r="ATA1726" s="227"/>
      <c r="ATB1726" s="227"/>
      <c r="ATC1726" s="227"/>
      <c r="ATD1726" s="227"/>
      <c r="ATE1726" s="227"/>
      <c r="ATF1726" s="227"/>
      <c r="ATG1726" s="227"/>
      <c r="ATH1726" s="227"/>
      <c r="ATI1726" s="227"/>
      <c r="ATJ1726" s="227"/>
      <c r="ATK1726" s="227"/>
      <c r="ATL1726" s="227"/>
      <c r="ATM1726" s="227"/>
      <c r="ATN1726" s="227"/>
      <c r="ATO1726" s="227"/>
      <c r="ATP1726" s="227"/>
      <c r="ATQ1726" s="227"/>
      <c r="ATR1726" s="227"/>
      <c r="ATS1726" s="227"/>
      <c r="ATT1726" s="227"/>
      <c r="ATU1726" s="227"/>
      <c r="ATV1726" s="227"/>
      <c r="ATW1726" s="227"/>
      <c r="ATX1726" s="227"/>
      <c r="ATY1726" s="227"/>
      <c r="ATZ1726" s="227"/>
      <c r="AUA1726" s="227"/>
      <c r="AUB1726" s="227"/>
      <c r="AUC1726" s="227"/>
      <c r="AUD1726" s="227"/>
      <c r="AUE1726" s="227"/>
      <c r="AUF1726" s="227"/>
      <c r="AUG1726" s="227"/>
      <c r="AUH1726" s="227"/>
      <c r="AUI1726" s="227"/>
      <c r="AUJ1726" s="227"/>
      <c r="AUK1726" s="227"/>
      <c r="AUL1726" s="227"/>
      <c r="AUM1726" s="227"/>
      <c r="AUN1726" s="227"/>
      <c r="AUO1726" s="227"/>
      <c r="AUP1726" s="227"/>
      <c r="AUQ1726" s="227"/>
      <c r="AUR1726" s="227"/>
      <c r="AUS1726" s="227"/>
      <c r="AUT1726" s="227"/>
      <c r="AUU1726" s="227"/>
      <c r="AUV1726" s="227"/>
      <c r="AUW1726" s="227"/>
      <c r="AUX1726" s="227"/>
      <c r="AUY1726" s="227"/>
      <c r="AUZ1726" s="227"/>
      <c r="AVA1726" s="227"/>
      <c r="AVB1726" s="227"/>
      <c r="AVC1726" s="227"/>
      <c r="AVD1726" s="227"/>
      <c r="AVE1726" s="227"/>
      <c r="AVF1726" s="227"/>
      <c r="AVG1726" s="227"/>
      <c r="AVH1726" s="227"/>
      <c r="AVI1726" s="227"/>
      <c r="AVJ1726" s="227"/>
      <c r="AVK1726" s="227"/>
      <c r="AVL1726" s="227"/>
      <c r="AVM1726" s="227"/>
      <c r="AVN1726" s="227"/>
      <c r="AVO1726" s="227"/>
      <c r="AVP1726" s="227"/>
      <c r="AVQ1726" s="227"/>
      <c r="AVR1726" s="227"/>
      <c r="AVS1726" s="227"/>
      <c r="AVT1726" s="227"/>
      <c r="AVU1726" s="227"/>
      <c r="AVV1726" s="227"/>
      <c r="AVW1726" s="227"/>
      <c r="AVX1726" s="227"/>
      <c r="AVY1726" s="227"/>
      <c r="AVZ1726" s="227"/>
      <c r="AWA1726" s="227"/>
      <c r="AWB1726" s="227"/>
      <c r="AWC1726" s="227"/>
      <c r="AWD1726" s="227"/>
      <c r="AWE1726" s="227"/>
      <c r="AWF1726" s="227"/>
      <c r="AWG1726" s="227"/>
      <c r="AWH1726" s="227"/>
      <c r="AWI1726" s="227"/>
      <c r="AWJ1726" s="227"/>
      <c r="AWK1726" s="227"/>
      <c r="AWL1726" s="227"/>
      <c r="AWM1726" s="227"/>
      <c r="AWN1726" s="227"/>
      <c r="AWO1726" s="227"/>
      <c r="AWP1726" s="227"/>
      <c r="AWQ1726" s="227"/>
      <c r="AWR1726" s="227"/>
      <c r="AWS1726" s="227"/>
      <c r="AWT1726" s="227"/>
      <c r="AWU1726" s="227"/>
      <c r="AWV1726" s="227"/>
      <c r="AWW1726" s="227"/>
      <c r="AWX1726" s="227"/>
      <c r="AWY1726" s="227"/>
      <c r="AWZ1726" s="227"/>
      <c r="AXA1726" s="227"/>
      <c r="AXB1726" s="227"/>
      <c r="AXC1726" s="227"/>
      <c r="AXD1726" s="227"/>
      <c r="AXE1726" s="227"/>
      <c r="AXF1726" s="227"/>
      <c r="AXG1726" s="227"/>
      <c r="AXH1726" s="227"/>
      <c r="AXI1726" s="227"/>
      <c r="AXJ1726" s="227"/>
      <c r="AXK1726" s="227"/>
      <c r="AXL1726" s="227"/>
      <c r="AXM1726" s="227"/>
      <c r="AXN1726" s="227"/>
      <c r="AXO1726" s="227"/>
      <c r="AXP1726" s="227"/>
      <c r="AXQ1726" s="227"/>
      <c r="AXR1726" s="227"/>
      <c r="AXS1726" s="227"/>
      <c r="AXT1726" s="227"/>
      <c r="AXU1726" s="227"/>
      <c r="AXV1726" s="227"/>
      <c r="AXW1726" s="227"/>
      <c r="AXX1726" s="227"/>
      <c r="AXY1726" s="227"/>
      <c r="AXZ1726" s="227"/>
      <c r="AYA1726" s="227"/>
      <c r="AYB1726" s="227"/>
      <c r="AYC1726" s="227"/>
      <c r="AYD1726" s="227"/>
      <c r="AYE1726" s="227"/>
      <c r="AYF1726" s="227"/>
      <c r="AYG1726" s="227"/>
      <c r="AYH1726" s="227"/>
      <c r="AYI1726" s="227"/>
      <c r="AYJ1726" s="227"/>
      <c r="AYK1726" s="227"/>
      <c r="AYL1726" s="227"/>
      <c r="AYM1726" s="227"/>
      <c r="AYN1726" s="227"/>
      <c r="AYO1726" s="227"/>
      <c r="AYP1726" s="227"/>
      <c r="AYQ1726" s="227"/>
      <c r="AYR1726" s="227"/>
      <c r="AYS1726" s="227"/>
      <c r="AYT1726" s="227"/>
      <c r="AYU1726" s="227"/>
      <c r="AYV1726" s="227"/>
      <c r="AYW1726" s="227"/>
      <c r="AYX1726" s="227"/>
      <c r="AYY1726" s="227"/>
      <c r="AYZ1726" s="227"/>
      <c r="AZA1726" s="227"/>
      <c r="AZB1726" s="227"/>
      <c r="AZC1726" s="227"/>
      <c r="AZD1726" s="227"/>
      <c r="AZE1726" s="227"/>
      <c r="AZF1726" s="227"/>
      <c r="AZG1726" s="227"/>
      <c r="AZH1726" s="227"/>
      <c r="AZI1726" s="227"/>
      <c r="AZJ1726" s="227"/>
      <c r="AZK1726" s="227"/>
      <c r="AZL1726" s="227"/>
      <c r="AZM1726" s="227"/>
      <c r="AZN1726" s="227"/>
      <c r="AZO1726" s="227"/>
      <c r="AZP1726" s="227"/>
      <c r="AZQ1726" s="227"/>
      <c r="AZR1726" s="227"/>
      <c r="AZS1726" s="227"/>
      <c r="AZT1726" s="227"/>
      <c r="AZU1726" s="227"/>
      <c r="AZV1726" s="227"/>
      <c r="AZW1726" s="227"/>
      <c r="AZX1726" s="227"/>
      <c r="AZY1726" s="227"/>
      <c r="AZZ1726" s="227"/>
      <c r="BAA1726" s="227"/>
      <c r="BAB1726" s="227"/>
      <c r="BAC1726" s="227"/>
      <c r="BAD1726" s="227"/>
      <c r="BAE1726" s="227"/>
      <c r="BAF1726" s="227"/>
      <c r="BAG1726" s="227"/>
      <c r="BAH1726" s="227"/>
      <c r="BAI1726" s="227"/>
      <c r="BAJ1726" s="227"/>
      <c r="BAK1726" s="227"/>
      <c r="BAL1726" s="227"/>
      <c r="BAM1726" s="227"/>
      <c r="BAN1726" s="227"/>
      <c r="BAO1726" s="227"/>
      <c r="BAP1726" s="227"/>
      <c r="BAQ1726" s="227"/>
      <c r="BAR1726" s="227"/>
      <c r="BAS1726" s="227"/>
      <c r="BAT1726" s="227"/>
      <c r="BAU1726" s="227"/>
      <c r="BAV1726" s="227"/>
      <c r="BAW1726" s="227"/>
      <c r="BAX1726" s="227"/>
      <c r="BAY1726" s="227"/>
      <c r="BAZ1726" s="227"/>
      <c r="BBA1726" s="227"/>
      <c r="BBB1726" s="227"/>
      <c r="BBC1726" s="227"/>
      <c r="BBD1726" s="227"/>
      <c r="BBE1726" s="227"/>
      <c r="BBF1726" s="227"/>
      <c r="BBG1726" s="227"/>
      <c r="BBH1726" s="227"/>
      <c r="BBI1726" s="227"/>
      <c r="BBJ1726" s="227"/>
      <c r="BBK1726" s="227"/>
      <c r="BBL1726" s="227"/>
      <c r="BBM1726" s="227"/>
      <c r="BBN1726" s="227"/>
      <c r="BBO1726" s="227"/>
      <c r="BBP1726" s="227"/>
      <c r="BBQ1726" s="227"/>
      <c r="BBR1726" s="227"/>
      <c r="BBS1726" s="227"/>
      <c r="BBT1726" s="227"/>
      <c r="BBU1726" s="227"/>
      <c r="BBV1726" s="227"/>
      <c r="BBW1726" s="227"/>
      <c r="BBX1726" s="227"/>
      <c r="BBY1726" s="227"/>
      <c r="BBZ1726" s="227"/>
      <c r="BCA1726" s="227"/>
      <c r="BCB1726" s="227"/>
      <c r="BCC1726" s="227"/>
      <c r="BCD1726" s="227"/>
      <c r="BCE1726" s="227"/>
      <c r="BCF1726" s="227"/>
      <c r="BCG1726" s="227"/>
      <c r="BCH1726" s="227"/>
      <c r="BCI1726" s="227"/>
      <c r="BCJ1726" s="227"/>
      <c r="BCK1726" s="227"/>
      <c r="BCL1726" s="227"/>
      <c r="BCM1726" s="227"/>
      <c r="BCN1726" s="227"/>
      <c r="BCO1726" s="227"/>
      <c r="BCP1726" s="227"/>
      <c r="BCQ1726" s="227"/>
      <c r="BCR1726" s="227"/>
      <c r="BCS1726" s="227"/>
      <c r="BCT1726" s="227"/>
      <c r="BCU1726" s="227"/>
      <c r="BCV1726" s="227"/>
      <c r="BCW1726" s="227"/>
      <c r="BCX1726" s="227"/>
      <c r="BCY1726" s="227"/>
      <c r="BCZ1726" s="227"/>
      <c r="BDA1726" s="227"/>
      <c r="BDB1726" s="227"/>
      <c r="BDC1726" s="227"/>
      <c r="BDD1726" s="227"/>
      <c r="BDE1726" s="227"/>
      <c r="BDF1726" s="227"/>
      <c r="BDG1726" s="227"/>
      <c r="BDH1726" s="227"/>
      <c r="BDI1726" s="227"/>
      <c r="BDJ1726" s="227"/>
      <c r="BDK1726" s="227"/>
      <c r="BDL1726" s="227"/>
      <c r="BDM1726" s="227"/>
      <c r="BDN1726" s="227"/>
      <c r="BDO1726" s="227"/>
      <c r="BDP1726" s="227"/>
      <c r="BDQ1726" s="227"/>
      <c r="BDR1726" s="227"/>
      <c r="BDS1726" s="227"/>
      <c r="BDT1726" s="227"/>
      <c r="BDU1726" s="227"/>
      <c r="BDV1726" s="227"/>
      <c r="BDW1726" s="227"/>
      <c r="BDX1726" s="227"/>
      <c r="BDY1726" s="227"/>
      <c r="BDZ1726" s="227"/>
      <c r="BEA1726" s="227"/>
      <c r="BEB1726" s="227"/>
      <c r="BEC1726" s="227"/>
      <c r="BED1726" s="227"/>
      <c r="BEE1726" s="227"/>
      <c r="BEF1726" s="227"/>
      <c r="BEG1726" s="227"/>
      <c r="BEH1726" s="227"/>
      <c r="BEI1726" s="227"/>
      <c r="BEJ1726" s="227"/>
      <c r="BEK1726" s="227"/>
      <c r="BEL1726" s="227"/>
      <c r="BEM1726" s="227"/>
      <c r="BEN1726" s="227"/>
      <c r="BEO1726" s="227"/>
      <c r="BEP1726" s="227"/>
      <c r="BEQ1726" s="227"/>
      <c r="BER1726" s="227"/>
      <c r="BES1726" s="227"/>
      <c r="BET1726" s="227"/>
      <c r="BEU1726" s="227"/>
      <c r="BEV1726" s="227"/>
      <c r="BEW1726" s="227"/>
      <c r="BEX1726" s="227"/>
      <c r="BEY1726" s="227"/>
      <c r="BEZ1726" s="227"/>
      <c r="BFA1726" s="227"/>
      <c r="BFB1726" s="227"/>
      <c r="BFC1726" s="227"/>
      <c r="BFD1726" s="227"/>
      <c r="BFE1726" s="227"/>
      <c r="BFF1726" s="227"/>
      <c r="BFG1726" s="227"/>
      <c r="BFH1726" s="227"/>
      <c r="BFI1726" s="227"/>
      <c r="BFJ1726" s="227"/>
      <c r="BFK1726" s="227"/>
      <c r="BFL1726" s="227"/>
      <c r="BFM1726" s="227"/>
      <c r="BFN1726" s="227"/>
      <c r="BFO1726" s="227"/>
      <c r="BFP1726" s="227"/>
      <c r="BFQ1726" s="227"/>
      <c r="BFR1726" s="227"/>
      <c r="BFS1726" s="227"/>
      <c r="BFT1726" s="227"/>
      <c r="BFU1726" s="227"/>
      <c r="BFV1726" s="227"/>
      <c r="BFW1726" s="227"/>
      <c r="BFX1726" s="227"/>
      <c r="BFY1726" s="227"/>
      <c r="BFZ1726" s="227"/>
      <c r="BGA1726" s="227"/>
      <c r="BGB1726" s="227"/>
      <c r="BGC1726" s="227"/>
      <c r="BGD1726" s="227"/>
      <c r="BGE1726" s="227"/>
      <c r="BGF1726" s="227"/>
      <c r="BGG1726" s="227"/>
      <c r="BGH1726" s="227"/>
      <c r="BGI1726" s="227"/>
      <c r="BGJ1726" s="227"/>
      <c r="BGK1726" s="227"/>
      <c r="BGL1726" s="227"/>
      <c r="BGM1726" s="227"/>
      <c r="BGN1726" s="227"/>
      <c r="BGO1726" s="227"/>
      <c r="BGP1726" s="227"/>
      <c r="BGQ1726" s="227"/>
      <c r="BGR1726" s="227"/>
      <c r="BGS1726" s="227"/>
      <c r="BGT1726" s="227"/>
      <c r="BGU1726" s="227"/>
      <c r="BGV1726" s="227"/>
      <c r="BGW1726" s="227"/>
      <c r="BGX1726" s="227"/>
      <c r="BGY1726" s="227"/>
      <c r="BGZ1726" s="227"/>
      <c r="BHA1726" s="227"/>
      <c r="BHB1726" s="227"/>
      <c r="BHC1726" s="227"/>
      <c r="BHD1726" s="227"/>
      <c r="BHE1726" s="227"/>
      <c r="BHF1726" s="227"/>
      <c r="BHG1726" s="227"/>
      <c r="BHH1726" s="227"/>
      <c r="BHI1726" s="227"/>
      <c r="BHJ1726" s="227"/>
      <c r="BHK1726" s="227"/>
      <c r="BHL1726" s="227"/>
      <c r="BHM1726" s="227"/>
      <c r="BHN1726" s="227"/>
      <c r="BHO1726" s="227"/>
      <c r="BHP1726" s="227"/>
      <c r="BHQ1726" s="227"/>
      <c r="BHR1726" s="227"/>
      <c r="BHS1726" s="227"/>
      <c r="BHT1726" s="227"/>
      <c r="BHU1726" s="227"/>
      <c r="BHV1726" s="227"/>
      <c r="BHW1726" s="227"/>
      <c r="BHX1726" s="227"/>
      <c r="BHY1726" s="227"/>
      <c r="BHZ1726" s="227"/>
      <c r="BIA1726" s="227"/>
      <c r="BIB1726" s="227"/>
      <c r="BIC1726" s="227"/>
      <c r="BID1726" s="227"/>
      <c r="BIE1726" s="227"/>
      <c r="BIF1726" s="227"/>
      <c r="BIG1726" s="227"/>
      <c r="BIH1726" s="227"/>
      <c r="BII1726" s="227"/>
      <c r="BIJ1726" s="227"/>
      <c r="BIK1726" s="227"/>
      <c r="BIL1726" s="227"/>
      <c r="BIM1726" s="227"/>
      <c r="BIN1726" s="227"/>
      <c r="BIO1726" s="227"/>
      <c r="BIP1726" s="227"/>
      <c r="BIQ1726" s="227"/>
      <c r="BIR1726" s="227"/>
      <c r="BIS1726" s="227"/>
      <c r="BIT1726" s="227"/>
      <c r="BIU1726" s="227"/>
      <c r="BIV1726" s="227"/>
      <c r="BIW1726" s="227"/>
      <c r="BIX1726" s="227"/>
      <c r="BIY1726" s="227"/>
      <c r="BIZ1726" s="227"/>
      <c r="BJA1726" s="227"/>
      <c r="BJB1726" s="227"/>
      <c r="BJC1726" s="227"/>
      <c r="BJD1726" s="227"/>
      <c r="BJE1726" s="227"/>
      <c r="BJF1726" s="227"/>
      <c r="BJG1726" s="227"/>
      <c r="BJH1726" s="227"/>
      <c r="BJI1726" s="227"/>
      <c r="BJJ1726" s="227"/>
      <c r="BJK1726" s="227"/>
      <c r="BJL1726" s="227"/>
      <c r="BJM1726" s="227"/>
      <c r="BJN1726" s="227"/>
      <c r="BJO1726" s="227"/>
      <c r="BJP1726" s="227"/>
      <c r="BJQ1726" s="227"/>
      <c r="BJR1726" s="227"/>
      <c r="BJS1726" s="227"/>
      <c r="BJT1726" s="227"/>
      <c r="BJU1726" s="227"/>
      <c r="BJV1726" s="227"/>
      <c r="BJW1726" s="227"/>
      <c r="BJX1726" s="227"/>
      <c r="BJY1726" s="227"/>
      <c r="BJZ1726" s="227"/>
      <c r="BKA1726" s="227"/>
      <c r="BKB1726" s="227"/>
      <c r="BKC1726" s="227"/>
      <c r="BKD1726" s="227"/>
      <c r="BKE1726" s="227"/>
      <c r="BKF1726" s="227"/>
      <c r="BKG1726" s="227"/>
      <c r="BKH1726" s="227"/>
      <c r="BKI1726" s="227"/>
      <c r="BKJ1726" s="227"/>
      <c r="BKK1726" s="227"/>
      <c r="BKL1726" s="227"/>
      <c r="BKM1726" s="227"/>
      <c r="BKN1726" s="227"/>
      <c r="BKO1726" s="227"/>
      <c r="BKP1726" s="227"/>
      <c r="BKQ1726" s="227"/>
      <c r="BKR1726" s="227"/>
      <c r="BKS1726" s="227"/>
      <c r="BKT1726" s="227"/>
      <c r="BKU1726" s="227"/>
      <c r="BKV1726" s="227"/>
      <c r="BKW1726" s="227"/>
      <c r="BKX1726" s="227"/>
      <c r="BKY1726" s="227"/>
      <c r="BKZ1726" s="227"/>
      <c r="BLA1726" s="227"/>
      <c r="BLB1726" s="227"/>
      <c r="BLC1726" s="227"/>
      <c r="BLD1726" s="227"/>
      <c r="BLE1726" s="227"/>
      <c r="BLF1726" s="227"/>
      <c r="BLG1726" s="227"/>
      <c r="BLH1726" s="227"/>
      <c r="BLI1726" s="227"/>
      <c r="BLJ1726" s="227"/>
      <c r="BLK1726" s="227"/>
      <c r="BLL1726" s="227"/>
      <c r="BLM1726" s="227"/>
      <c r="BLN1726" s="227"/>
      <c r="BLO1726" s="227"/>
      <c r="BLP1726" s="227"/>
      <c r="BLQ1726" s="227"/>
      <c r="BLR1726" s="227"/>
      <c r="BLS1726" s="227"/>
      <c r="BLT1726" s="227"/>
      <c r="BLU1726" s="227"/>
      <c r="BLV1726" s="227"/>
      <c r="BLW1726" s="227"/>
      <c r="BLX1726" s="227"/>
      <c r="BLY1726" s="227"/>
      <c r="BLZ1726" s="227"/>
      <c r="BMA1726" s="227"/>
      <c r="BMB1726" s="227"/>
      <c r="BMC1726" s="227"/>
      <c r="BMD1726" s="227"/>
      <c r="BME1726" s="227"/>
      <c r="BMF1726" s="227"/>
      <c r="BMG1726" s="227"/>
      <c r="BMH1726" s="227"/>
      <c r="BMI1726" s="227"/>
      <c r="BMJ1726" s="227"/>
      <c r="BMK1726" s="227"/>
      <c r="BML1726" s="227"/>
      <c r="BMM1726" s="227"/>
      <c r="BMN1726" s="227"/>
      <c r="BMO1726" s="227"/>
      <c r="BMP1726" s="227"/>
      <c r="BMQ1726" s="227"/>
      <c r="BMR1726" s="227"/>
      <c r="BMS1726" s="227"/>
      <c r="BMT1726" s="227"/>
      <c r="BMU1726" s="227"/>
      <c r="BMV1726" s="227"/>
      <c r="BMW1726" s="227"/>
      <c r="BMX1726" s="227"/>
      <c r="BMY1726" s="227"/>
      <c r="BMZ1726" s="227"/>
      <c r="BNA1726" s="227"/>
      <c r="BNB1726" s="227"/>
      <c r="BNC1726" s="227"/>
      <c r="BND1726" s="227"/>
      <c r="BNE1726" s="227"/>
      <c r="BNF1726" s="227"/>
      <c r="BNG1726" s="227"/>
      <c r="BNH1726" s="227"/>
      <c r="BNI1726" s="227"/>
      <c r="BNJ1726" s="227"/>
      <c r="BNK1726" s="227"/>
      <c r="BNL1726" s="227"/>
      <c r="BNM1726" s="227"/>
      <c r="BNN1726" s="227"/>
      <c r="BNO1726" s="227"/>
      <c r="BNP1726" s="227"/>
      <c r="BNQ1726" s="227"/>
      <c r="BNR1726" s="227"/>
      <c r="BNS1726" s="227"/>
      <c r="BNT1726" s="227"/>
      <c r="BNU1726" s="227"/>
      <c r="BNV1726" s="227"/>
      <c r="BNW1726" s="227"/>
      <c r="BNX1726" s="227"/>
      <c r="BNY1726" s="227"/>
      <c r="BNZ1726" s="227"/>
      <c r="BOA1726" s="227"/>
      <c r="BOB1726" s="227"/>
      <c r="BOC1726" s="227"/>
      <c r="BOD1726" s="227"/>
      <c r="BOE1726" s="227"/>
      <c r="BOF1726" s="227"/>
      <c r="BOG1726" s="227"/>
      <c r="BOH1726" s="227"/>
      <c r="BOI1726" s="227"/>
      <c r="BOJ1726" s="227"/>
      <c r="BOK1726" s="227"/>
      <c r="BOL1726" s="227"/>
      <c r="BOM1726" s="227"/>
      <c r="BON1726" s="227"/>
      <c r="BOO1726" s="227"/>
      <c r="BOP1726" s="227"/>
      <c r="BOQ1726" s="227"/>
      <c r="BOR1726" s="227"/>
      <c r="BOS1726" s="227"/>
      <c r="BOT1726" s="227"/>
      <c r="BOU1726" s="227"/>
      <c r="BOV1726" s="227"/>
      <c r="BOW1726" s="227"/>
      <c r="BOX1726" s="227"/>
      <c r="BOY1726" s="227"/>
      <c r="BOZ1726" s="227"/>
      <c r="BPA1726" s="227"/>
      <c r="BPB1726" s="227"/>
      <c r="BPC1726" s="227"/>
      <c r="BPD1726" s="227"/>
      <c r="BPE1726" s="227"/>
      <c r="BPF1726" s="227"/>
      <c r="BPG1726" s="227"/>
      <c r="BPH1726" s="227"/>
      <c r="BPI1726" s="227"/>
      <c r="BPJ1726" s="227"/>
      <c r="BPK1726" s="227"/>
      <c r="BPL1726" s="227"/>
      <c r="BPM1726" s="227"/>
      <c r="BPN1726" s="227"/>
      <c r="BPO1726" s="227"/>
      <c r="BPP1726" s="227"/>
      <c r="BPQ1726" s="227"/>
      <c r="BPR1726" s="227"/>
      <c r="BPS1726" s="227"/>
      <c r="BPT1726" s="227"/>
      <c r="BPU1726" s="227"/>
      <c r="BPV1726" s="227"/>
      <c r="BPW1726" s="227"/>
      <c r="BPX1726" s="227"/>
      <c r="BPY1726" s="227"/>
      <c r="BPZ1726" s="227"/>
      <c r="BQA1726" s="227"/>
      <c r="BQB1726" s="227"/>
      <c r="BQC1726" s="227"/>
      <c r="BQD1726" s="227"/>
      <c r="BQE1726" s="227"/>
      <c r="BQF1726" s="227"/>
      <c r="BQG1726" s="227"/>
      <c r="BQH1726" s="227"/>
      <c r="BQI1726" s="227"/>
      <c r="BQJ1726" s="227"/>
      <c r="BQK1726" s="227"/>
      <c r="BQL1726" s="227"/>
      <c r="BQM1726" s="227"/>
      <c r="BQN1726" s="227"/>
      <c r="BQO1726" s="227"/>
      <c r="BQP1726" s="227"/>
      <c r="BQQ1726" s="227"/>
      <c r="BQR1726" s="227"/>
      <c r="BQS1726" s="227"/>
      <c r="BQT1726" s="227"/>
      <c r="BQU1726" s="227"/>
      <c r="BQV1726" s="227"/>
      <c r="BQW1726" s="227"/>
      <c r="BQX1726" s="227"/>
      <c r="BQY1726" s="227"/>
      <c r="BQZ1726" s="227"/>
      <c r="BRA1726" s="227"/>
      <c r="BRB1726" s="227"/>
      <c r="BRC1726" s="227"/>
      <c r="BRD1726" s="227"/>
      <c r="BRE1726" s="227"/>
      <c r="BRF1726" s="227"/>
      <c r="BRG1726" s="227"/>
      <c r="BRH1726" s="227"/>
      <c r="BRI1726" s="227"/>
      <c r="BRJ1726" s="227"/>
      <c r="BRK1726" s="227"/>
      <c r="BRL1726" s="227"/>
      <c r="BRM1726" s="227"/>
      <c r="BRN1726" s="227"/>
      <c r="BRO1726" s="227"/>
      <c r="BRP1726" s="227"/>
      <c r="BRQ1726" s="227"/>
      <c r="BRR1726" s="227"/>
      <c r="BRS1726" s="227"/>
      <c r="BRT1726" s="227"/>
      <c r="BRU1726" s="227"/>
      <c r="BRV1726" s="227"/>
      <c r="BRW1726" s="227"/>
      <c r="BRX1726" s="227"/>
      <c r="BRY1726" s="227"/>
      <c r="BRZ1726" s="227"/>
      <c r="BSA1726" s="227"/>
      <c r="BSB1726" s="227"/>
      <c r="BSC1726" s="227"/>
      <c r="BSD1726" s="227"/>
      <c r="BSE1726" s="227"/>
      <c r="BSF1726" s="227"/>
      <c r="BSG1726" s="227"/>
      <c r="BSH1726" s="227"/>
      <c r="BSI1726" s="227"/>
      <c r="BSJ1726" s="227"/>
      <c r="BSK1726" s="227"/>
      <c r="BSL1726" s="227"/>
      <c r="BSM1726" s="227"/>
      <c r="BSN1726" s="227"/>
      <c r="BSO1726" s="227"/>
      <c r="BSP1726" s="227"/>
      <c r="BSQ1726" s="227"/>
      <c r="BSR1726" s="227"/>
      <c r="BSS1726" s="227"/>
      <c r="BST1726" s="227"/>
      <c r="BSU1726" s="227"/>
      <c r="BSV1726" s="227"/>
      <c r="BSW1726" s="227"/>
      <c r="BSX1726" s="227"/>
      <c r="BSY1726" s="227"/>
      <c r="BSZ1726" s="227"/>
      <c r="BTA1726" s="227"/>
      <c r="BTB1726" s="227"/>
      <c r="BTC1726" s="227"/>
      <c r="BTD1726" s="227"/>
      <c r="BTE1726" s="227"/>
      <c r="BTF1726" s="227"/>
      <c r="BTG1726" s="227"/>
      <c r="BTH1726" s="227"/>
      <c r="BTI1726" s="227"/>
      <c r="BTJ1726" s="227"/>
      <c r="BTK1726" s="227"/>
      <c r="BTL1726" s="227"/>
      <c r="BTM1726" s="227"/>
      <c r="BTN1726" s="227"/>
      <c r="BTO1726" s="227"/>
      <c r="BTP1726" s="227"/>
      <c r="BTQ1726" s="227"/>
      <c r="BTR1726" s="227"/>
      <c r="BTS1726" s="227"/>
      <c r="BTT1726" s="227"/>
      <c r="BTU1726" s="227"/>
      <c r="BTV1726" s="227"/>
      <c r="BTW1726" s="227"/>
      <c r="BTX1726" s="227"/>
      <c r="BTY1726" s="227"/>
      <c r="BTZ1726" s="227"/>
      <c r="BUA1726" s="227"/>
      <c r="BUB1726" s="227"/>
      <c r="BUC1726" s="227"/>
      <c r="BUD1726" s="227"/>
      <c r="BUE1726" s="227"/>
      <c r="BUF1726" s="227"/>
      <c r="BUG1726" s="227"/>
      <c r="BUH1726" s="227"/>
      <c r="BUI1726" s="227"/>
      <c r="BUJ1726" s="227"/>
      <c r="BUK1726" s="227"/>
      <c r="BUL1726" s="227"/>
      <c r="BUM1726" s="227"/>
      <c r="BUN1726" s="227"/>
      <c r="BUO1726" s="227"/>
      <c r="BUP1726" s="227"/>
      <c r="BUQ1726" s="227"/>
      <c r="BUR1726" s="227"/>
      <c r="BUS1726" s="227"/>
      <c r="BUT1726" s="227"/>
      <c r="BUU1726" s="227"/>
      <c r="BUV1726" s="227"/>
      <c r="BUW1726" s="227"/>
      <c r="BUX1726" s="227"/>
      <c r="BUY1726" s="227"/>
      <c r="BUZ1726" s="227"/>
      <c r="BVA1726" s="227"/>
      <c r="BVB1726" s="227"/>
      <c r="BVC1726" s="227"/>
      <c r="BVD1726" s="227"/>
      <c r="BVE1726" s="227"/>
      <c r="BVF1726" s="227"/>
      <c r="BVG1726" s="227"/>
      <c r="BVH1726" s="227"/>
      <c r="BVI1726" s="227"/>
      <c r="BVJ1726" s="227"/>
      <c r="BVK1726" s="227"/>
      <c r="BVL1726" s="227"/>
      <c r="BVM1726" s="227"/>
      <c r="BVN1726" s="227"/>
      <c r="BVO1726" s="227"/>
      <c r="BVP1726" s="227"/>
      <c r="BVQ1726" s="227"/>
      <c r="BVR1726" s="227"/>
      <c r="BVS1726" s="227"/>
      <c r="BVT1726" s="227"/>
      <c r="BVU1726" s="227"/>
      <c r="BVV1726" s="227"/>
      <c r="BVW1726" s="227"/>
      <c r="BVX1726" s="227"/>
      <c r="BVY1726" s="227"/>
      <c r="BVZ1726" s="227"/>
      <c r="BWA1726" s="227"/>
      <c r="BWB1726" s="227"/>
      <c r="BWC1726" s="227"/>
      <c r="BWD1726" s="227"/>
      <c r="BWE1726" s="227"/>
      <c r="BWF1726" s="227"/>
      <c r="BWG1726" s="227"/>
      <c r="BWH1726" s="227"/>
      <c r="BWI1726" s="227"/>
      <c r="BWJ1726" s="227"/>
      <c r="BWK1726" s="227"/>
      <c r="BWL1726" s="227"/>
      <c r="BWM1726" s="227"/>
      <c r="BWN1726" s="227"/>
      <c r="BWO1726" s="227"/>
      <c r="BWP1726" s="227"/>
      <c r="BWQ1726" s="227"/>
      <c r="BWR1726" s="227"/>
      <c r="BWS1726" s="227"/>
      <c r="BWT1726" s="227"/>
      <c r="BWU1726" s="227"/>
      <c r="BWV1726" s="227"/>
      <c r="BWW1726" s="227"/>
      <c r="BWX1726" s="227"/>
      <c r="BWY1726" s="227"/>
      <c r="BWZ1726" s="227"/>
      <c r="BXA1726" s="227"/>
      <c r="BXB1726" s="227"/>
      <c r="BXC1726" s="227"/>
      <c r="BXD1726" s="227"/>
      <c r="BXE1726" s="227"/>
      <c r="BXF1726" s="227"/>
      <c r="BXG1726" s="227"/>
      <c r="BXH1726" s="227"/>
      <c r="BXI1726" s="227"/>
      <c r="BXJ1726" s="227"/>
      <c r="BXK1726" s="227"/>
      <c r="BXL1726" s="227"/>
      <c r="BXM1726" s="227"/>
      <c r="BXN1726" s="227"/>
      <c r="BXO1726" s="227"/>
      <c r="BXP1726" s="227"/>
      <c r="BXQ1726" s="227"/>
      <c r="BXR1726" s="227"/>
      <c r="BXS1726" s="227"/>
      <c r="BXT1726" s="227"/>
      <c r="BXU1726" s="227"/>
      <c r="BXV1726" s="227"/>
      <c r="BXW1726" s="227"/>
      <c r="BXX1726" s="227"/>
      <c r="BXY1726" s="227"/>
      <c r="BXZ1726" s="227"/>
      <c r="BYA1726" s="227"/>
      <c r="BYB1726" s="227"/>
      <c r="BYC1726" s="227"/>
      <c r="BYD1726" s="227"/>
      <c r="BYE1726" s="227"/>
      <c r="BYF1726" s="227"/>
      <c r="BYG1726" s="227"/>
      <c r="BYH1726" s="227"/>
      <c r="BYI1726" s="227"/>
      <c r="BYJ1726" s="227"/>
      <c r="BYK1726" s="227"/>
      <c r="BYL1726" s="227"/>
      <c r="BYM1726" s="227"/>
      <c r="BYN1726" s="227"/>
      <c r="BYO1726" s="227"/>
      <c r="BYP1726" s="227"/>
      <c r="BYQ1726" s="227"/>
      <c r="BYR1726" s="227"/>
      <c r="BYS1726" s="227"/>
      <c r="BYT1726" s="227"/>
      <c r="BYU1726" s="227"/>
      <c r="BYV1726" s="227"/>
      <c r="BYW1726" s="227"/>
      <c r="BYX1726" s="227"/>
      <c r="BYY1726" s="227"/>
      <c r="BYZ1726" s="227"/>
      <c r="BZA1726" s="227"/>
      <c r="BZB1726" s="227"/>
      <c r="BZC1726" s="227"/>
      <c r="BZD1726" s="227"/>
      <c r="BZE1726" s="227"/>
      <c r="BZF1726" s="227"/>
      <c r="BZG1726" s="227"/>
      <c r="BZH1726" s="227"/>
      <c r="BZI1726" s="227"/>
      <c r="BZJ1726" s="227"/>
      <c r="BZK1726" s="227"/>
      <c r="BZL1726" s="227"/>
      <c r="BZM1726" s="227"/>
      <c r="BZN1726" s="227"/>
      <c r="BZO1726" s="227"/>
      <c r="BZP1726" s="227"/>
      <c r="BZQ1726" s="227"/>
      <c r="BZR1726" s="227"/>
      <c r="BZS1726" s="227"/>
      <c r="BZT1726" s="227"/>
      <c r="BZU1726" s="227"/>
      <c r="BZV1726" s="227"/>
      <c r="BZW1726" s="227"/>
      <c r="BZX1726" s="227"/>
      <c r="BZY1726" s="227"/>
      <c r="BZZ1726" s="227"/>
      <c r="CAA1726" s="227"/>
      <c r="CAB1726" s="227"/>
      <c r="CAC1726" s="227"/>
      <c r="CAD1726" s="227"/>
      <c r="CAE1726" s="227"/>
      <c r="CAF1726" s="227"/>
      <c r="CAG1726" s="227"/>
      <c r="CAH1726" s="227"/>
      <c r="CAI1726" s="227"/>
      <c r="CAJ1726" s="227"/>
      <c r="CAK1726" s="227"/>
      <c r="CAL1726" s="227"/>
      <c r="CAM1726" s="227"/>
      <c r="CAN1726" s="227"/>
      <c r="CAO1726" s="227"/>
      <c r="CAP1726" s="227"/>
      <c r="CAQ1726" s="227"/>
      <c r="CAR1726" s="227"/>
      <c r="CAS1726" s="227"/>
      <c r="CAT1726" s="227"/>
      <c r="CAU1726" s="227"/>
      <c r="CAV1726" s="227"/>
      <c r="CAW1726" s="227"/>
      <c r="CAX1726" s="227"/>
      <c r="CAY1726" s="227"/>
      <c r="CAZ1726" s="227"/>
      <c r="CBA1726" s="227"/>
      <c r="CBB1726" s="227"/>
      <c r="CBC1726" s="227"/>
      <c r="CBD1726" s="227"/>
      <c r="CBE1726" s="227"/>
      <c r="CBF1726" s="227"/>
      <c r="CBG1726" s="227"/>
      <c r="CBH1726" s="227"/>
      <c r="CBI1726" s="227"/>
      <c r="CBJ1726" s="227"/>
      <c r="CBK1726" s="227"/>
      <c r="CBL1726" s="227"/>
      <c r="CBM1726" s="227"/>
      <c r="CBN1726" s="227"/>
      <c r="CBO1726" s="227"/>
      <c r="CBP1726" s="227"/>
      <c r="CBQ1726" s="227"/>
      <c r="CBR1726" s="227"/>
      <c r="CBS1726" s="227"/>
      <c r="CBT1726" s="227"/>
      <c r="CBU1726" s="227"/>
      <c r="CBV1726" s="227"/>
      <c r="CBW1726" s="227"/>
      <c r="CBX1726" s="227"/>
      <c r="CBY1726" s="227"/>
      <c r="CBZ1726" s="227"/>
      <c r="CCA1726" s="227"/>
      <c r="CCB1726" s="227"/>
      <c r="CCC1726" s="227"/>
      <c r="CCD1726" s="227"/>
      <c r="CCE1726" s="227"/>
      <c r="CCF1726" s="227"/>
      <c r="CCG1726" s="227"/>
      <c r="CCH1726" s="227"/>
      <c r="CCI1726" s="227"/>
      <c r="CCJ1726" s="227"/>
      <c r="CCK1726" s="227"/>
      <c r="CCL1726" s="227"/>
      <c r="CCM1726" s="227"/>
      <c r="CCN1726" s="227"/>
      <c r="CCO1726" s="227"/>
      <c r="CCP1726" s="227"/>
      <c r="CCQ1726" s="227"/>
      <c r="CCR1726" s="227"/>
      <c r="CCS1726" s="227"/>
      <c r="CCT1726" s="227"/>
      <c r="CCU1726" s="227"/>
      <c r="CCV1726" s="227"/>
      <c r="CCW1726" s="227"/>
      <c r="CCX1726" s="227"/>
      <c r="CCY1726" s="227"/>
      <c r="CCZ1726" s="227"/>
      <c r="CDA1726" s="227"/>
      <c r="CDB1726" s="227"/>
      <c r="CDC1726" s="227"/>
      <c r="CDD1726" s="227"/>
      <c r="CDE1726" s="227"/>
      <c r="CDF1726" s="227"/>
      <c r="CDG1726" s="227"/>
      <c r="CDH1726" s="227"/>
      <c r="CDI1726" s="227"/>
      <c r="CDJ1726" s="227"/>
      <c r="CDK1726" s="227"/>
      <c r="CDL1726" s="227"/>
      <c r="CDM1726" s="227"/>
      <c r="CDN1726" s="227"/>
      <c r="CDO1726" s="227"/>
      <c r="CDP1726" s="227"/>
      <c r="CDQ1726" s="227"/>
      <c r="CDR1726" s="227"/>
      <c r="CDS1726" s="227"/>
      <c r="CDT1726" s="227"/>
      <c r="CDU1726" s="227"/>
      <c r="CDV1726" s="227"/>
      <c r="CDW1726" s="227"/>
      <c r="CDX1726" s="227"/>
      <c r="CDY1726" s="227"/>
      <c r="CDZ1726" s="227"/>
      <c r="CEA1726" s="227"/>
      <c r="CEB1726" s="227"/>
      <c r="CEC1726" s="227"/>
      <c r="CED1726" s="227"/>
      <c r="CEE1726" s="227"/>
      <c r="CEF1726" s="227"/>
      <c r="CEG1726" s="227"/>
      <c r="CEH1726" s="227"/>
      <c r="CEI1726" s="227"/>
      <c r="CEJ1726" s="227"/>
      <c r="CEK1726" s="227"/>
      <c r="CEL1726" s="227"/>
      <c r="CEM1726" s="227"/>
      <c r="CEN1726" s="227"/>
      <c r="CEO1726" s="227"/>
      <c r="CEP1726" s="227"/>
      <c r="CEQ1726" s="227"/>
      <c r="CER1726" s="227"/>
      <c r="CES1726" s="227"/>
      <c r="CET1726" s="227"/>
      <c r="CEU1726" s="227"/>
      <c r="CEV1726" s="227"/>
      <c r="CEW1726" s="227"/>
      <c r="CEX1726" s="227"/>
      <c r="CEY1726" s="227"/>
      <c r="CEZ1726" s="227"/>
      <c r="CFA1726" s="227"/>
      <c r="CFB1726" s="227"/>
      <c r="CFC1726" s="227"/>
      <c r="CFD1726" s="227"/>
      <c r="CFE1726" s="227"/>
      <c r="CFF1726" s="227"/>
      <c r="CFG1726" s="227"/>
      <c r="CFH1726" s="227"/>
      <c r="CFI1726" s="227"/>
      <c r="CFJ1726" s="227"/>
      <c r="CFK1726" s="227"/>
      <c r="CFL1726" s="227"/>
      <c r="CFM1726" s="227"/>
      <c r="CFN1726" s="227"/>
      <c r="CFO1726" s="227"/>
      <c r="CFP1726" s="227"/>
      <c r="CFQ1726" s="227"/>
      <c r="CFR1726" s="227"/>
      <c r="CFS1726" s="227"/>
      <c r="CFT1726" s="227"/>
      <c r="CFU1726" s="227"/>
      <c r="CFV1726" s="227"/>
      <c r="CFW1726" s="227"/>
      <c r="CFX1726" s="227"/>
      <c r="CFY1726" s="227"/>
      <c r="CFZ1726" s="227"/>
      <c r="CGA1726" s="227"/>
      <c r="CGB1726" s="227"/>
      <c r="CGC1726" s="227"/>
      <c r="CGD1726" s="227"/>
      <c r="CGE1726" s="227"/>
      <c r="CGF1726" s="227"/>
      <c r="CGG1726" s="227"/>
      <c r="CGH1726" s="227"/>
      <c r="CGI1726" s="227"/>
      <c r="CGJ1726" s="227"/>
      <c r="CGK1726" s="227"/>
      <c r="CGL1726" s="227"/>
      <c r="CGM1726" s="227"/>
      <c r="CGN1726" s="227"/>
      <c r="CGO1726" s="227"/>
      <c r="CGP1726" s="227"/>
      <c r="CGQ1726" s="227"/>
      <c r="CGR1726" s="227"/>
      <c r="CGS1726" s="227"/>
      <c r="CGT1726" s="227"/>
      <c r="CGU1726" s="227"/>
      <c r="CGV1726" s="227"/>
      <c r="CGW1726" s="227"/>
      <c r="CGX1726" s="227"/>
      <c r="CGY1726" s="227"/>
      <c r="CGZ1726" s="227"/>
      <c r="CHA1726" s="227"/>
      <c r="CHB1726" s="227"/>
      <c r="CHC1726" s="227"/>
      <c r="CHD1726" s="227"/>
      <c r="CHE1726" s="227"/>
      <c r="CHF1726" s="227"/>
      <c r="CHG1726" s="227"/>
      <c r="CHH1726" s="227"/>
      <c r="CHI1726" s="227"/>
      <c r="CHJ1726" s="227"/>
      <c r="CHK1726" s="227"/>
      <c r="CHL1726" s="227"/>
      <c r="CHM1726" s="227"/>
      <c r="CHN1726" s="227"/>
      <c r="CHO1726" s="227"/>
      <c r="CHP1726" s="227"/>
      <c r="CHQ1726" s="227"/>
      <c r="CHR1726" s="227"/>
      <c r="CHS1726" s="227"/>
      <c r="CHT1726" s="227"/>
      <c r="CHU1726" s="227"/>
      <c r="CHV1726" s="227"/>
      <c r="CHW1726" s="227"/>
      <c r="CHX1726" s="227"/>
      <c r="CHY1726" s="227"/>
      <c r="CHZ1726" s="227"/>
      <c r="CIA1726" s="227"/>
      <c r="CIB1726" s="227"/>
      <c r="CIC1726" s="227"/>
      <c r="CID1726" s="227"/>
      <c r="CIE1726" s="227"/>
      <c r="CIF1726" s="227"/>
      <c r="CIG1726" s="227"/>
      <c r="CIH1726" s="227"/>
      <c r="CII1726" s="227"/>
      <c r="CIJ1726" s="227"/>
      <c r="CIK1726" s="227"/>
      <c r="CIL1726" s="227"/>
      <c r="CIM1726" s="227"/>
      <c r="CIN1726" s="227"/>
      <c r="CIO1726" s="227"/>
      <c r="CIP1726" s="227"/>
      <c r="CIQ1726" s="227"/>
      <c r="CIR1726" s="227"/>
      <c r="CIS1726" s="227"/>
      <c r="CIT1726" s="227"/>
      <c r="CIU1726" s="227"/>
      <c r="CIV1726" s="227"/>
      <c r="CIW1726" s="227"/>
      <c r="CIX1726" s="227"/>
      <c r="CIY1726" s="227"/>
      <c r="CIZ1726" s="227"/>
      <c r="CJA1726" s="227"/>
      <c r="CJB1726" s="227"/>
      <c r="CJC1726" s="227"/>
      <c r="CJD1726" s="227"/>
      <c r="CJE1726" s="227"/>
      <c r="CJF1726" s="227"/>
      <c r="CJG1726" s="227"/>
      <c r="CJH1726" s="227"/>
      <c r="CJI1726" s="227"/>
      <c r="CJJ1726" s="227"/>
      <c r="CJK1726" s="227"/>
      <c r="CJL1726" s="227"/>
      <c r="CJM1726" s="227"/>
      <c r="CJN1726" s="227"/>
      <c r="CJO1726" s="227"/>
      <c r="CJP1726" s="227"/>
      <c r="CJQ1726" s="227"/>
      <c r="CJR1726" s="227"/>
      <c r="CJS1726" s="227"/>
      <c r="CJT1726" s="227"/>
      <c r="CJU1726" s="227"/>
      <c r="CJV1726" s="227"/>
      <c r="CJW1726" s="227"/>
      <c r="CJX1726" s="227"/>
      <c r="CJY1726" s="227"/>
      <c r="CJZ1726" s="227"/>
      <c r="CKA1726" s="227"/>
      <c r="CKB1726" s="227"/>
      <c r="CKC1726" s="227"/>
      <c r="CKD1726" s="227"/>
      <c r="CKE1726" s="227"/>
      <c r="CKF1726" s="227"/>
      <c r="CKG1726" s="227"/>
      <c r="CKH1726" s="227"/>
      <c r="CKI1726" s="227"/>
      <c r="CKJ1726" s="227"/>
      <c r="CKK1726" s="227"/>
      <c r="CKL1726" s="227"/>
      <c r="CKM1726" s="227"/>
      <c r="CKN1726" s="227"/>
      <c r="CKO1726" s="227"/>
      <c r="CKP1726" s="227"/>
      <c r="CKQ1726" s="227"/>
      <c r="CKR1726" s="227"/>
      <c r="CKS1726" s="227"/>
      <c r="CKT1726" s="227"/>
      <c r="CKU1726" s="227"/>
      <c r="CKV1726" s="227"/>
      <c r="CKW1726" s="227"/>
      <c r="CKX1726" s="227"/>
      <c r="CKY1726" s="227"/>
      <c r="CKZ1726" s="227"/>
      <c r="CLA1726" s="227"/>
      <c r="CLB1726" s="227"/>
      <c r="CLC1726" s="227"/>
      <c r="CLD1726" s="227"/>
      <c r="CLE1726" s="227"/>
      <c r="CLF1726" s="227"/>
      <c r="CLG1726" s="227"/>
      <c r="CLH1726" s="227"/>
      <c r="CLI1726" s="227"/>
      <c r="CLJ1726" s="227"/>
      <c r="CLK1726" s="227"/>
      <c r="CLL1726" s="227"/>
      <c r="CLM1726" s="227"/>
      <c r="CLN1726" s="227"/>
      <c r="CLO1726" s="227"/>
      <c r="CLP1726" s="227"/>
      <c r="CLQ1726" s="227"/>
      <c r="CLR1726" s="227"/>
      <c r="CLS1726" s="227"/>
      <c r="CLT1726" s="227"/>
      <c r="CLU1726" s="227"/>
      <c r="CLV1726" s="227"/>
      <c r="CLW1726" s="227"/>
      <c r="CLX1726" s="227"/>
      <c r="CLY1726" s="227"/>
      <c r="CLZ1726" s="227"/>
      <c r="CMA1726" s="227"/>
      <c r="CMB1726" s="227"/>
      <c r="CMC1726" s="227"/>
      <c r="CMD1726" s="227"/>
      <c r="CME1726" s="227"/>
      <c r="CMF1726" s="227"/>
      <c r="CMG1726" s="227"/>
      <c r="CMH1726" s="227"/>
      <c r="CMI1726" s="227"/>
      <c r="CMJ1726" s="227"/>
      <c r="CMK1726" s="227"/>
      <c r="CML1726" s="227"/>
      <c r="CMM1726" s="227"/>
      <c r="CMN1726" s="227"/>
      <c r="CMO1726" s="227"/>
      <c r="CMP1726" s="227"/>
      <c r="CMQ1726" s="227"/>
      <c r="CMR1726" s="227"/>
      <c r="CMS1726" s="227"/>
      <c r="CMT1726" s="227"/>
      <c r="CMU1726" s="227"/>
      <c r="CMV1726" s="227"/>
      <c r="CMW1726" s="227"/>
      <c r="CMX1726" s="227"/>
      <c r="CMY1726" s="227"/>
      <c r="CMZ1726" s="227"/>
      <c r="CNA1726" s="227"/>
      <c r="CNB1726" s="227"/>
      <c r="CNC1726" s="227"/>
      <c r="CND1726" s="227"/>
      <c r="CNE1726" s="227"/>
      <c r="CNF1726" s="227"/>
      <c r="CNG1726" s="227"/>
      <c r="CNH1726" s="227"/>
      <c r="CNI1726" s="227"/>
      <c r="CNJ1726" s="227"/>
      <c r="CNK1726" s="227"/>
      <c r="CNL1726" s="227"/>
      <c r="CNM1726" s="227"/>
      <c r="CNN1726" s="227"/>
      <c r="CNO1726" s="227"/>
      <c r="CNP1726" s="227"/>
      <c r="CNQ1726" s="227"/>
      <c r="CNR1726" s="227"/>
      <c r="CNS1726" s="227"/>
      <c r="CNT1726" s="227"/>
      <c r="CNU1726" s="227"/>
      <c r="CNV1726" s="227"/>
      <c r="CNW1726" s="227"/>
      <c r="CNX1726" s="227"/>
      <c r="CNY1726" s="227"/>
      <c r="CNZ1726" s="227"/>
      <c r="COA1726" s="227"/>
      <c r="COB1726" s="227"/>
      <c r="COC1726" s="227"/>
      <c r="COD1726" s="227"/>
      <c r="COE1726" s="227"/>
      <c r="COF1726" s="227"/>
      <c r="COG1726" s="227"/>
      <c r="COH1726" s="227"/>
      <c r="COI1726" s="227"/>
      <c r="COJ1726" s="227"/>
      <c r="COK1726" s="227"/>
      <c r="COL1726" s="227"/>
      <c r="COM1726" s="227"/>
      <c r="CON1726" s="227"/>
      <c r="COO1726" s="227"/>
      <c r="COP1726" s="227"/>
      <c r="COQ1726" s="227"/>
      <c r="COR1726" s="227"/>
      <c r="COS1726" s="227"/>
      <c r="COT1726" s="227"/>
      <c r="COU1726" s="227"/>
      <c r="COV1726" s="227"/>
      <c r="COW1726" s="227"/>
      <c r="COX1726" s="227"/>
      <c r="COY1726" s="227"/>
      <c r="COZ1726" s="227"/>
      <c r="CPA1726" s="227"/>
      <c r="CPB1726" s="227"/>
      <c r="CPC1726" s="227"/>
      <c r="CPD1726" s="227"/>
      <c r="CPE1726" s="227"/>
      <c r="CPF1726" s="227"/>
      <c r="CPG1726" s="227"/>
      <c r="CPH1726" s="227"/>
      <c r="CPI1726" s="227"/>
      <c r="CPJ1726" s="227"/>
      <c r="CPK1726" s="227"/>
      <c r="CPL1726" s="227"/>
      <c r="CPM1726" s="227"/>
      <c r="CPN1726" s="227"/>
      <c r="CPO1726" s="227"/>
      <c r="CPP1726" s="227"/>
      <c r="CPQ1726" s="227"/>
      <c r="CPR1726" s="227"/>
      <c r="CPS1726" s="227"/>
      <c r="CPT1726" s="227"/>
      <c r="CPU1726" s="227"/>
      <c r="CPV1726" s="227"/>
      <c r="CPW1726" s="227"/>
      <c r="CPX1726" s="227"/>
      <c r="CPY1726" s="227"/>
      <c r="CPZ1726" s="227"/>
      <c r="CQA1726" s="227"/>
      <c r="CQB1726" s="227"/>
      <c r="CQC1726" s="227"/>
      <c r="CQD1726" s="227"/>
      <c r="CQE1726" s="227"/>
      <c r="CQF1726" s="227"/>
      <c r="CQG1726" s="227"/>
      <c r="CQH1726" s="227"/>
      <c r="CQI1726" s="227"/>
      <c r="CQJ1726" s="227"/>
      <c r="CQK1726" s="227"/>
      <c r="CQL1726" s="227"/>
      <c r="CQM1726" s="227"/>
      <c r="CQN1726" s="227"/>
      <c r="CQO1726" s="227"/>
      <c r="CQP1726" s="227"/>
      <c r="CQQ1726" s="227"/>
      <c r="CQR1726" s="227"/>
      <c r="CQS1726" s="227"/>
      <c r="CQT1726" s="227"/>
      <c r="CQU1726" s="227"/>
      <c r="CQV1726" s="227"/>
      <c r="CQW1726" s="227"/>
      <c r="CQX1726" s="227"/>
      <c r="CQY1726" s="227"/>
      <c r="CQZ1726" s="227"/>
      <c r="CRA1726" s="227"/>
      <c r="CRB1726" s="227"/>
      <c r="CRC1726" s="227"/>
      <c r="CRD1726" s="227"/>
      <c r="CRE1726" s="227"/>
      <c r="CRF1726" s="227"/>
      <c r="CRG1726" s="227"/>
      <c r="CRH1726" s="227"/>
      <c r="CRI1726" s="227"/>
      <c r="CRJ1726" s="227"/>
      <c r="CRK1726" s="227"/>
      <c r="CRL1726" s="227"/>
      <c r="CRM1726" s="227"/>
      <c r="CRN1726" s="227"/>
      <c r="CRO1726" s="227"/>
      <c r="CRP1726" s="227"/>
      <c r="CRQ1726" s="227"/>
      <c r="CRR1726" s="227"/>
      <c r="CRS1726" s="227"/>
      <c r="CRT1726" s="227"/>
      <c r="CRU1726" s="227"/>
      <c r="CRV1726" s="227"/>
      <c r="CRW1726" s="227"/>
      <c r="CRX1726" s="227"/>
      <c r="CRY1726" s="227"/>
      <c r="CRZ1726" s="227"/>
      <c r="CSA1726" s="227"/>
      <c r="CSB1726" s="227"/>
      <c r="CSC1726" s="227"/>
      <c r="CSD1726" s="227"/>
      <c r="CSE1726" s="227"/>
      <c r="CSF1726" s="227"/>
      <c r="CSG1726" s="227"/>
      <c r="CSH1726" s="227"/>
      <c r="CSI1726" s="227"/>
      <c r="CSJ1726" s="227"/>
      <c r="CSK1726" s="227"/>
      <c r="CSL1726" s="227"/>
      <c r="CSM1726" s="227"/>
      <c r="CSN1726" s="227"/>
      <c r="CSO1726" s="227"/>
      <c r="CSP1726" s="227"/>
      <c r="CSQ1726" s="227"/>
      <c r="CSR1726" s="227"/>
      <c r="CSS1726" s="227"/>
      <c r="CST1726" s="227"/>
      <c r="CSU1726" s="227"/>
      <c r="CSV1726" s="227"/>
      <c r="CSW1726" s="227"/>
      <c r="CSX1726" s="227"/>
      <c r="CSY1726" s="227"/>
      <c r="CSZ1726" s="227"/>
      <c r="CTA1726" s="227"/>
      <c r="CTB1726" s="227"/>
      <c r="CTC1726" s="227"/>
      <c r="CTD1726" s="227"/>
      <c r="CTE1726" s="227"/>
      <c r="CTF1726" s="227"/>
      <c r="CTG1726" s="227"/>
      <c r="CTH1726" s="227"/>
      <c r="CTI1726" s="227"/>
      <c r="CTJ1726" s="227"/>
      <c r="CTK1726" s="227"/>
      <c r="CTL1726" s="227"/>
      <c r="CTM1726" s="227"/>
      <c r="CTN1726" s="227"/>
      <c r="CTO1726" s="227"/>
      <c r="CTP1726" s="227"/>
      <c r="CTQ1726" s="227"/>
      <c r="CTR1726" s="227"/>
      <c r="CTS1726" s="227"/>
      <c r="CTT1726" s="227"/>
      <c r="CTU1726" s="227"/>
      <c r="CTV1726" s="227"/>
      <c r="CTW1726" s="227"/>
      <c r="CTX1726" s="227"/>
      <c r="CTY1726" s="227"/>
      <c r="CTZ1726" s="227"/>
      <c r="CUA1726" s="227"/>
      <c r="CUB1726" s="227"/>
      <c r="CUC1726" s="227"/>
      <c r="CUD1726" s="227"/>
      <c r="CUE1726" s="227"/>
      <c r="CUF1726" s="227"/>
      <c r="CUG1726" s="227"/>
      <c r="CUH1726" s="227"/>
      <c r="CUI1726" s="227"/>
      <c r="CUJ1726" s="227"/>
      <c r="CUK1726" s="227"/>
      <c r="CUL1726" s="227"/>
      <c r="CUM1726" s="227"/>
      <c r="CUN1726" s="227"/>
      <c r="CUO1726" s="227"/>
      <c r="CUP1726" s="227"/>
      <c r="CUQ1726" s="227"/>
      <c r="CUR1726" s="227"/>
      <c r="CUS1726" s="227"/>
      <c r="CUT1726" s="227"/>
      <c r="CUU1726" s="227"/>
      <c r="CUV1726" s="227"/>
      <c r="CUW1726" s="227"/>
      <c r="CUX1726" s="227"/>
      <c r="CUY1726" s="227"/>
      <c r="CUZ1726" s="227"/>
      <c r="CVA1726" s="227"/>
      <c r="CVB1726" s="227"/>
      <c r="CVC1726" s="227"/>
      <c r="CVD1726" s="227"/>
      <c r="CVE1726" s="227"/>
      <c r="CVF1726" s="227"/>
      <c r="CVG1726" s="227"/>
      <c r="CVH1726" s="227"/>
      <c r="CVI1726" s="227"/>
      <c r="CVJ1726" s="227"/>
      <c r="CVK1726" s="227"/>
      <c r="CVL1726" s="227"/>
      <c r="CVM1726" s="227"/>
      <c r="CVN1726" s="227"/>
      <c r="CVO1726" s="227"/>
      <c r="CVP1726" s="227"/>
      <c r="CVQ1726" s="227"/>
      <c r="CVR1726" s="227"/>
      <c r="CVS1726" s="227"/>
      <c r="CVT1726" s="227"/>
      <c r="CVU1726" s="227"/>
      <c r="CVV1726" s="227"/>
      <c r="CVW1726" s="227"/>
      <c r="CVX1726" s="227"/>
      <c r="CVY1726" s="227"/>
      <c r="CVZ1726" s="227"/>
      <c r="CWA1726" s="227"/>
      <c r="CWB1726" s="227"/>
      <c r="CWC1726" s="227"/>
      <c r="CWD1726" s="227"/>
      <c r="CWE1726" s="227"/>
      <c r="CWF1726" s="227"/>
      <c r="CWG1726" s="227"/>
      <c r="CWH1726" s="227"/>
      <c r="CWI1726" s="227"/>
      <c r="CWJ1726" s="227"/>
      <c r="CWK1726" s="227"/>
      <c r="CWL1726" s="227"/>
      <c r="CWM1726" s="227"/>
      <c r="CWN1726" s="227"/>
      <c r="CWO1726" s="227"/>
      <c r="CWP1726" s="227"/>
      <c r="CWQ1726" s="227"/>
      <c r="CWR1726" s="227"/>
      <c r="CWS1726" s="227"/>
      <c r="CWT1726" s="227"/>
      <c r="CWU1726" s="227"/>
      <c r="CWV1726" s="227"/>
      <c r="CWW1726" s="227"/>
      <c r="CWX1726" s="227"/>
      <c r="CWY1726" s="227"/>
      <c r="CWZ1726" s="227"/>
      <c r="CXA1726" s="227"/>
      <c r="CXB1726" s="227"/>
      <c r="CXC1726" s="227"/>
      <c r="CXD1726" s="227"/>
      <c r="CXE1726" s="227"/>
      <c r="CXF1726" s="227"/>
      <c r="CXG1726" s="227"/>
      <c r="CXH1726" s="227"/>
      <c r="CXI1726" s="227"/>
      <c r="CXJ1726" s="227"/>
      <c r="CXK1726" s="227"/>
      <c r="CXL1726" s="227"/>
      <c r="CXM1726" s="227"/>
      <c r="CXN1726" s="227"/>
      <c r="CXO1726" s="227"/>
      <c r="CXP1726" s="227"/>
      <c r="CXQ1726" s="227"/>
      <c r="CXR1726" s="227"/>
      <c r="CXS1726" s="227"/>
      <c r="CXT1726" s="227"/>
      <c r="CXU1726" s="227"/>
      <c r="CXV1726" s="227"/>
      <c r="CXW1726" s="227"/>
      <c r="CXX1726" s="227"/>
      <c r="CXY1726" s="227"/>
      <c r="CXZ1726" s="227"/>
      <c r="CYA1726" s="227"/>
      <c r="CYB1726" s="227"/>
      <c r="CYC1726" s="227"/>
      <c r="CYD1726" s="227"/>
      <c r="CYE1726" s="227"/>
      <c r="CYF1726" s="227"/>
      <c r="CYG1726" s="227"/>
      <c r="CYH1726" s="227"/>
      <c r="CYI1726" s="227"/>
      <c r="CYJ1726" s="227"/>
      <c r="CYK1726" s="227"/>
      <c r="CYL1726" s="227"/>
      <c r="CYM1726" s="227"/>
      <c r="CYN1726" s="227"/>
      <c r="CYO1726" s="227"/>
      <c r="CYP1726" s="227"/>
      <c r="CYQ1726" s="227"/>
      <c r="CYR1726" s="227"/>
      <c r="CYS1726" s="227"/>
      <c r="CYT1726" s="227"/>
      <c r="CYU1726" s="227"/>
      <c r="CYV1726" s="227"/>
      <c r="CYW1726" s="227"/>
      <c r="CYX1726" s="227"/>
      <c r="CYY1726" s="227"/>
      <c r="CYZ1726" s="227"/>
      <c r="CZA1726" s="227"/>
      <c r="CZB1726" s="227"/>
      <c r="CZC1726" s="227"/>
      <c r="CZD1726" s="227"/>
      <c r="CZE1726" s="227"/>
      <c r="CZF1726" s="227"/>
      <c r="CZG1726" s="227"/>
      <c r="CZH1726" s="227"/>
      <c r="CZI1726" s="227"/>
      <c r="CZJ1726" s="227"/>
      <c r="CZK1726" s="227"/>
      <c r="CZL1726" s="227"/>
      <c r="CZM1726" s="227"/>
      <c r="CZN1726" s="227"/>
      <c r="CZO1726" s="227"/>
      <c r="CZP1726" s="227"/>
      <c r="CZQ1726" s="227"/>
      <c r="CZR1726" s="227"/>
      <c r="CZS1726" s="227"/>
      <c r="CZT1726" s="227"/>
      <c r="CZU1726" s="227"/>
      <c r="CZV1726" s="227"/>
      <c r="CZW1726" s="227"/>
      <c r="CZX1726" s="227"/>
      <c r="CZY1726" s="227"/>
      <c r="CZZ1726" s="227"/>
      <c r="DAA1726" s="227"/>
      <c r="DAB1726" s="227"/>
      <c r="DAC1726" s="227"/>
      <c r="DAD1726" s="227"/>
      <c r="DAE1726" s="227"/>
      <c r="DAF1726" s="227"/>
      <c r="DAG1726" s="227"/>
      <c r="DAH1726" s="227"/>
      <c r="DAI1726" s="227"/>
      <c r="DAJ1726" s="227"/>
      <c r="DAK1726" s="227"/>
      <c r="DAL1726" s="227"/>
      <c r="DAM1726" s="227"/>
      <c r="DAN1726" s="227"/>
      <c r="DAO1726" s="227"/>
      <c r="DAP1726" s="227"/>
      <c r="DAQ1726" s="227"/>
      <c r="DAR1726" s="227"/>
      <c r="DAS1726" s="227"/>
      <c r="DAT1726" s="227"/>
      <c r="DAU1726" s="227"/>
      <c r="DAV1726" s="227"/>
      <c r="DAW1726" s="227"/>
      <c r="DAX1726" s="227"/>
      <c r="DAY1726" s="227"/>
      <c r="DAZ1726" s="227"/>
      <c r="DBA1726" s="227"/>
      <c r="DBB1726" s="227"/>
      <c r="DBC1726" s="227"/>
      <c r="DBD1726" s="227"/>
      <c r="DBE1726" s="227"/>
      <c r="DBF1726" s="227"/>
      <c r="DBG1726" s="227"/>
      <c r="DBH1726" s="227"/>
      <c r="DBI1726" s="227"/>
      <c r="DBJ1726" s="227"/>
      <c r="DBK1726" s="227"/>
      <c r="DBL1726" s="227"/>
      <c r="DBM1726" s="227"/>
      <c r="DBN1726" s="227"/>
      <c r="DBO1726" s="227"/>
      <c r="DBP1726" s="227"/>
      <c r="DBQ1726" s="227"/>
      <c r="DBR1726" s="227"/>
      <c r="DBS1726" s="227"/>
      <c r="DBT1726" s="227"/>
      <c r="DBU1726" s="227"/>
      <c r="DBV1726" s="227"/>
      <c r="DBW1726" s="227"/>
      <c r="DBX1726" s="227"/>
      <c r="DBY1726" s="227"/>
      <c r="DBZ1726" s="227"/>
      <c r="DCA1726" s="227"/>
      <c r="DCB1726" s="227"/>
      <c r="DCC1726" s="227"/>
      <c r="DCD1726" s="227"/>
      <c r="DCE1726" s="227"/>
      <c r="DCF1726" s="227"/>
      <c r="DCG1726" s="227"/>
      <c r="DCH1726" s="227"/>
      <c r="DCI1726" s="227"/>
      <c r="DCJ1726" s="227"/>
      <c r="DCK1726" s="227"/>
      <c r="DCL1726" s="227"/>
      <c r="DCM1726" s="227"/>
      <c r="DCN1726" s="227"/>
      <c r="DCO1726" s="227"/>
      <c r="DCP1726" s="227"/>
      <c r="DCQ1726" s="227"/>
      <c r="DCR1726" s="227"/>
      <c r="DCS1726" s="227"/>
      <c r="DCT1726" s="227"/>
      <c r="DCU1726" s="227"/>
      <c r="DCV1726" s="227"/>
      <c r="DCW1726" s="227"/>
      <c r="DCX1726" s="227"/>
      <c r="DCY1726" s="227"/>
      <c r="DCZ1726" s="227"/>
      <c r="DDA1726" s="227"/>
      <c r="DDB1726" s="227"/>
      <c r="DDC1726" s="227"/>
      <c r="DDD1726" s="227"/>
      <c r="DDE1726" s="227"/>
      <c r="DDF1726" s="227"/>
      <c r="DDG1726" s="227"/>
      <c r="DDH1726" s="227"/>
      <c r="DDI1726" s="227"/>
      <c r="DDJ1726" s="227"/>
      <c r="DDK1726" s="227"/>
      <c r="DDL1726" s="227"/>
      <c r="DDM1726" s="227"/>
      <c r="DDN1726" s="227"/>
      <c r="DDO1726" s="227"/>
      <c r="DDP1726" s="227"/>
      <c r="DDQ1726" s="227"/>
      <c r="DDR1726" s="227"/>
      <c r="DDS1726" s="227"/>
      <c r="DDT1726" s="227"/>
      <c r="DDU1726" s="227"/>
      <c r="DDV1726" s="227"/>
      <c r="DDW1726" s="227"/>
      <c r="DDX1726" s="227"/>
      <c r="DDY1726" s="227"/>
      <c r="DDZ1726" s="227"/>
      <c r="DEA1726" s="227"/>
      <c r="DEB1726" s="227"/>
      <c r="DEC1726" s="227"/>
      <c r="DED1726" s="227"/>
      <c r="DEE1726" s="227"/>
      <c r="DEF1726" s="227"/>
      <c r="DEG1726" s="227"/>
      <c r="DEH1726" s="227"/>
      <c r="DEI1726" s="227"/>
      <c r="DEJ1726" s="227"/>
      <c r="DEK1726" s="227"/>
      <c r="DEL1726" s="227"/>
      <c r="DEM1726" s="227"/>
      <c r="DEN1726" s="227"/>
      <c r="DEO1726" s="227"/>
      <c r="DEP1726" s="227"/>
      <c r="DEQ1726" s="227"/>
      <c r="DER1726" s="227"/>
      <c r="DES1726" s="227"/>
      <c r="DET1726" s="227"/>
      <c r="DEU1726" s="227"/>
      <c r="DEV1726" s="227"/>
      <c r="DEW1726" s="227"/>
      <c r="DEX1726" s="227"/>
      <c r="DEY1726" s="227"/>
      <c r="DEZ1726" s="227"/>
      <c r="DFA1726" s="227"/>
      <c r="DFB1726" s="227"/>
      <c r="DFC1726" s="227"/>
      <c r="DFD1726" s="227"/>
      <c r="DFE1726" s="227"/>
      <c r="DFF1726" s="227"/>
      <c r="DFG1726" s="227"/>
      <c r="DFH1726" s="227"/>
      <c r="DFI1726" s="227"/>
      <c r="DFJ1726" s="227"/>
      <c r="DFK1726" s="227"/>
      <c r="DFL1726" s="227"/>
      <c r="DFM1726" s="227"/>
      <c r="DFN1726" s="227"/>
      <c r="DFO1726" s="227"/>
      <c r="DFP1726" s="227"/>
      <c r="DFQ1726" s="227"/>
      <c r="DFR1726" s="227"/>
      <c r="DFS1726" s="227"/>
      <c r="DFT1726" s="227"/>
      <c r="DFU1726" s="227"/>
      <c r="DFV1726" s="227"/>
      <c r="DFW1726" s="227"/>
      <c r="DFX1726" s="227"/>
      <c r="DFY1726" s="227"/>
      <c r="DFZ1726" s="227"/>
      <c r="DGA1726" s="227"/>
      <c r="DGB1726" s="227"/>
      <c r="DGC1726" s="227"/>
      <c r="DGD1726" s="227"/>
      <c r="DGE1726" s="227"/>
      <c r="DGF1726" s="227"/>
      <c r="DGG1726" s="227"/>
      <c r="DGH1726" s="227"/>
      <c r="DGI1726" s="227"/>
      <c r="DGJ1726" s="227"/>
      <c r="DGK1726" s="227"/>
      <c r="DGL1726" s="227"/>
      <c r="DGM1726" s="227"/>
      <c r="DGN1726" s="227"/>
      <c r="DGO1726" s="227"/>
      <c r="DGP1726" s="227"/>
      <c r="DGQ1726" s="227"/>
      <c r="DGR1726" s="227"/>
      <c r="DGS1726" s="227"/>
      <c r="DGT1726" s="227"/>
      <c r="DGU1726" s="227"/>
      <c r="DGV1726" s="227"/>
      <c r="DGW1726" s="227"/>
      <c r="DGX1726" s="227"/>
      <c r="DGY1726" s="227"/>
      <c r="DGZ1726" s="227"/>
      <c r="DHA1726" s="227"/>
      <c r="DHB1726" s="227"/>
      <c r="DHC1726" s="227"/>
      <c r="DHD1726" s="227"/>
      <c r="DHE1726" s="227"/>
      <c r="DHF1726" s="227"/>
      <c r="DHG1726" s="227"/>
      <c r="DHH1726" s="227"/>
      <c r="DHI1726" s="227"/>
      <c r="DHJ1726" s="227"/>
      <c r="DHK1726" s="227"/>
      <c r="DHL1726" s="227"/>
      <c r="DHM1726" s="227"/>
      <c r="DHN1726" s="227"/>
      <c r="DHO1726" s="227"/>
      <c r="DHP1726" s="227"/>
      <c r="DHQ1726" s="227"/>
      <c r="DHR1726" s="227"/>
      <c r="DHS1726" s="227"/>
      <c r="DHT1726" s="227"/>
      <c r="DHU1726" s="227"/>
      <c r="DHV1726" s="227"/>
      <c r="DHW1726" s="227"/>
      <c r="DHX1726" s="227"/>
      <c r="DHY1726" s="227"/>
      <c r="DHZ1726" s="227"/>
      <c r="DIA1726" s="227"/>
      <c r="DIB1726" s="227"/>
      <c r="DIC1726" s="227"/>
      <c r="DID1726" s="227"/>
      <c r="DIE1726" s="227"/>
      <c r="DIF1726" s="227"/>
      <c r="DIG1726" s="227"/>
      <c r="DIH1726" s="227"/>
      <c r="DII1726" s="227"/>
      <c r="DIJ1726" s="227"/>
      <c r="DIK1726" s="227"/>
      <c r="DIL1726" s="227"/>
      <c r="DIM1726" s="227"/>
      <c r="DIN1726" s="227"/>
      <c r="DIO1726" s="227"/>
      <c r="DIP1726" s="227"/>
      <c r="DIQ1726" s="227"/>
      <c r="DIR1726" s="227"/>
      <c r="DIS1726" s="227"/>
      <c r="DIT1726" s="227"/>
      <c r="DIU1726" s="227"/>
      <c r="DIV1726" s="227"/>
      <c r="DIW1726" s="227"/>
      <c r="DIX1726" s="227"/>
      <c r="DIY1726" s="227"/>
      <c r="DIZ1726" s="227"/>
      <c r="DJA1726" s="227"/>
      <c r="DJB1726" s="227"/>
      <c r="DJC1726" s="227"/>
      <c r="DJD1726" s="227"/>
      <c r="DJE1726" s="227"/>
      <c r="DJF1726" s="227"/>
      <c r="DJG1726" s="227"/>
      <c r="DJH1726" s="227"/>
      <c r="DJI1726" s="227"/>
      <c r="DJJ1726" s="227"/>
      <c r="DJK1726" s="227"/>
      <c r="DJL1726" s="227"/>
      <c r="DJM1726" s="227"/>
      <c r="DJN1726" s="227"/>
      <c r="DJO1726" s="227"/>
      <c r="DJP1726" s="227"/>
      <c r="DJQ1726" s="227"/>
      <c r="DJR1726" s="227"/>
      <c r="DJS1726" s="227"/>
      <c r="DJT1726" s="227"/>
      <c r="DJU1726" s="227"/>
      <c r="DJV1726" s="227"/>
      <c r="DJW1726" s="227"/>
      <c r="DJX1726" s="227"/>
      <c r="DJY1726" s="227"/>
      <c r="DJZ1726" s="227"/>
      <c r="DKA1726" s="227"/>
      <c r="DKB1726" s="227"/>
      <c r="DKC1726" s="227"/>
      <c r="DKD1726" s="227"/>
      <c r="DKE1726" s="227"/>
      <c r="DKF1726" s="227"/>
      <c r="DKG1726" s="227"/>
      <c r="DKH1726" s="227"/>
      <c r="DKI1726" s="227"/>
      <c r="DKJ1726" s="227"/>
      <c r="DKK1726" s="227"/>
      <c r="DKL1726" s="227"/>
      <c r="DKM1726" s="227"/>
      <c r="DKN1726" s="227"/>
      <c r="DKO1726" s="227"/>
      <c r="DKP1726" s="227"/>
      <c r="DKQ1726" s="227"/>
      <c r="DKR1726" s="227"/>
      <c r="DKS1726" s="227"/>
      <c r="DKT1726" s="227"/>
      <c r="DKU1726" s="227"/>
      <c r="DKV1726" s="227"/>
      <c r="DKW1726" s="227"/>
      <c r="DKX1726" s="227"/>
      <c r="DKY1726" s="227"/>
      <c r="DKZ1726" s="227"/>
      <c r="DLA1726" s="227"/>
      <c r="DLB1726" s="227"/>
      <c r="DLC1726" s="227"/>
      <c r="DLD1726" s="227"/>
      <c r="DLE1726" s="227"/>
      <c r="DLF1726" s="227"/>
      <c r="DLG1726" s="227"/>
      <c r="DLH1726" s="227"/>
      <c r="DLI1726" s="227"/>
      <c r="DLJ1726" s="227"/>
      <c r="DLK1726" s="227"/>
      <c r="DLL1726" s="227"/>
      <c r="DLM1726" s="227"/>
      <c r="DLN1726" s="227"/>
      <c r="DLO1726" s="227"/>
      <c r="DLP1726" s="227"/>
      <c r="DLQ1726" s="227"/>
      <c r="DLR1726" s="227"/>
      <c r="DLS1726" s="227"/>
      <c r="DLT1726" s="227"/>
      <c r="DLU1726" s="227"/>
      <c r="DLV1726" s="227"/>
      <c r="DLW1726" s="227"/>
      <c r="DLX1726" s="227"/>
      <c r="DLY1726" s="227"/>
      <c r="DLZ1726" s="227"/>
      <c r="DMA1726" s="227"/>
      <c r="DMB1726" s="227"/>
      <c r="DMC1726" s="227"/>
      <c r="DMD1726" s="227"/>
      <c r="DME1726" s="227"/>
      <c r="DMF1726" s="227"/>
      <c r="DMG1726" s="227"/>
      <c r="DMH1726" s="227"/>
      <c r="DMI1726" s="227"/>
      <c r="DMJ1726" s="227"/>
      <c r="DMK1726" s="227"/>
      <c r="DML1726" s="227"/>
      <c r="DMM1726" s="227"/>
      <c r="DMN1726" s="227"/>
      <c r="DMO1726" s="227"/>
      <c r="DMP1726" s="227"/>
      <c r="DMQ1726" s="227"/>
      <c r="DMR1726" s="227"/>
      <c r="DMS1726" s="227"/>
      <c r="DMT1726" s="227"/>
      <c r="DMU1726" s="227"/>
      <c r="DMV1726" s="227"/>
      <c r="DMW1726" s="227"/>
      <c r="DMX1726" s="227"/>
      <c r="DMY1726" s="227"/>
      <c r="DMZ1726" s="227"/>
      <c r="DNA1726" s="227"/>
      <c r="DNB1726" s="227"/>
      <c r="DNC1726" s="227"/>
      <c r="DND1726" s="227"/>
      <c r="DNE1726" s="227"/>
      <c r="DNF1726" s="227"/>
      <c r="DNG1726" s="227"/>
      <c r="DNH1726" s="227"/>
      <c r="DNI1726" s="227"/>
      <c r="DNJ1726" s="227"/>
      <c r="DNK1726" s="227"/>
      <c r="DNL1726" s="227"/>
      <c r="DNM1726" s="227"/>
      <c r="DNN1726" s="227"/>
      <c r="DNO1726" s="227"/>
      <c r="DNP1726" s="227"/>
      <c r="DNQ1726" s="227"/>
      <c r="DNR1726" s="227"/>
      <c r="DNS1726" s="227"/>
      <c r="DNT1726" s="227"/>
      <c r="DNU1726" s="227"/>
      <c r="DNV1726" s="227"/>
      <c r="DNW1726" s="227"/>
      <c r="DNX1726" s="227"/>
      <c r="DNY1726" s="227"/>
      <c r="DNZ1726" s="227"/>
      <c r="DOA1726" s="227"/>
      <c r="DOB1726" s="227"/>
      <c r="DOC1726" s="227"/>
      <c r="DOD1726" s="227"/>
      <c r="DOE1726" s="227"/>
      <c r="DOF1726" s="227"/>
      <c r="DOG1726" s="227"/>
      <c r="DOH1726" s="227"/>
      <c r="DOI1726" s="227"/>
      <c r="DOJ1726" s="227"/>
      <c r="DOK1726" s="227"/>
      <c r="DOL1726" s="227"/>
      <c r="DOM1726" s="227"/>
      <c r="DON1726" s="227"/>
      <c r="DOO1726" s="227"/>
      <c r="DOP1726" s="227"/>
      <c r="DOQ1726" s="227"/>
      <c r="DOR1726" s="227"/>
      <c r="DOS1726" s="227"/>
      <c r="DOT1726" s="227"/>
      <c r="DOU1726" s="227"/>
      <c r="DOV1726" s="227"/>
      <c r="DOW1726" s="227"/>
      <c r="DOX1726" s="227"/>
      <c r="DOY1726" s="227"/>
      <c r="DOZ1726" s="227"/>
      <c r="DPA1726" s="227"/>
      <c r="DPB1726" s="227"/>
      <c r="DPC1726" s="227"/>
      <c r="DPD1726" s="227"/>
      <c r="DPE1726" s="227"/>
      <c r="DPF1726" s="227"/>
      <c r="DPG1726" s="227"/>
      <c r="DPH1726" s="227"/>
      <c r="DPI1726" s="227"/>
      <c r="DPJ1726" s="227"/>
      <c r="DPK1726" s="227"/>
      <c r="DPL1726" s="227"/>
      <c r="DPM1726" s="227"/>
      <c r="DPN1726" s="227"/>
      <c r="DPO1726" s="227"/>
      <c r="DPP1726" s="227"/>
      <c r="DPQ1726" s="227"/>
      <c r="DPR1726" s="227"/>
      <c r="DPS1726" s="227"/>
      <c r="DPT1726" s="227"/>
      <c r="DPU1726" s="227"/>
      <c r="DPV1726" s="227"/>
      <c r="DPW1726" s="227"/>
      <c r="DPX1726" s="227"/>
      <c r="DPY1726" s="227"/>
      <c r="DPZ1726" s="227"/>
      <c r="DQA1726" s="227"/>
      <c r="DQB1726" s="227"/>
      <c r="DQC1726" s="227"/>
      <c r="DQD1726" s="227"/>
      <c r="DQE1726" s="227"/>
      <c r="DQF1726" s="227"/>
      <c r="DQG1726" s="227"/>
      <c r="DQH1726" s="227"/>
      <c r="DQI1726" s="227"/>
      <c r="DQJ1726" s="227"/>
      <c r="DQK1726" s="227"/>
      <c r="DQL1726" s="227"/>
      <c r="DQM1726" s="227"/>
      <c r="DQN1726" s="227"/>
      <c r="DQO1726" s="227"/>
      <c r="DQP1726" s="227"/>
      <c r="DQQ1726" s="227"/>
      <c r="DQR1726" s="227"/>
      <c r="DQS1726" s="227"/>
      <c r="DQT1726" s="227"/>
      <c r="DQU1726" s="227"/>
      <c r="DQV1726" s="227"/>
      <c r="DQW1726" s="227"/>
      <c r="DQX1726" s="227"/>
      <c r="DQY1726" s="227"/>
      <c r="DQZ1726" s="227"/>
      <c r="DRA1726" s="227"/>
      <c r="DRB1726" s="227"/>
      <c r="DRC1726" s="227"/>
      <c r="DRD1726" s="227"/>
      <c r="DRE1726" s="227"/>
      <c r="DRF1726" s="227"/>
      <c r="DRG1726" s="227"/>
      <c r="DRH1726" s="227"/>
      <c r="DRI1726" s="227"/>
      <c r="DRJ1726" s="227"/>
      <c r="DRK1726" s="227"/>
      <c r="DRL1726" s="227"/>
      <c r="DRM1726" s="227"/>
      <c r="DRN1726" s="227"/>
      <c r="DRO1726" s="227"/>
      <c r="DRP1726" s="227"/>
      <c r="DRQ1726" s="227"/>
      <c r="DRR1726" s="227"/>
      <c r="DRS1726" s="227"/>
      <c r="DRT1726" s="227"/>
      <c r="DRU1726" s="227"/>
      <c r="DRV1726" s="227"/>
      <c r="DRW1726" s="227"/>
      <c r="DRX1726" s="227"/>
      <c r="DRY1726" s="227"/>
      <c r="DRZ1726" s="227"/>
      <c r="DSA1726" s="227"/>
      <c r="DSB1726" s="227"/>
      <c r="DSC1726" s="227"/>
      <c r="DSD1726" s="227"/>
      <c r="DSE1726" s="227"/>
      <c r="DSF1726" s="227"/>
      <c r="DSG1726" s="227"/>
      <c r="DSH1726" s="227"/>
      <c r="DSI1726" s="227"/>
      <c r="DSJ1726" s="227"/>
      <c r="DSK1726" s="227"/>
      <c r="DSL1726" s="227"/>
      <c r="DSM1726" s="227"/>
      <c r="DSN1726" s="227"/>
      <c r="DSO1726" s="227"/>
      <c r="DSP1726" s="227"/>
      <c r="DSQ1726" s="227"/>
      <c r="DSR1726" s="227"/>
      <c r="DSS1726" s="227"/>
      <c r="DST1726" s="227"/>
      <c r="DSU1726" s="227"/>
      <c r="DSV1726" s="227"/>
      <c r="DSW1726" s="227"/>
      <c r="DSX1726" s="227"/>
      <c r="DSY1726" s="227"/>
      <c r="DSZ1726" s="227"/>
      <c r="DTA1726" s="227"/>
      <c r="DTB1726" s="227"/>
      <c r="DTC1726" s="227"/>
      <c r="DTD1726" s="227"/>
      <c r="DTE1726" s="227"/>
      <c r="DTF1726" s="227"/>
      <c r="DTG1726" s="227"/>
      <c r="DTH1726" s="227"/>
      <c r="DTI1726" s="227"/>
      <c r="DTJ1726" s="227"/>
      <c r="DTK1726" s="227"/>
      <c r="DTL1726" s="227"/>
      <c r="DTM1726" s="227"/>
      <c r="DTN1726" s="227"/>
      <c r="DTO1726" s="227"/>
      <c r="DTP1726" s="227"/>
      <c r="DTQ1726" s="227"/>
      <c r="DTR1726" s="227"/>
      <c r="DTS1726" s="227"/>
      <c r="DTT1726" s="227"/>
      <c r="DTU1726" s="227"/>
      <c r="DTV1726" s="227"/>
      <c r="DTW1726" s="227"/>
      <c r="DTX1726" s="227"/>
      <c r="DTY1726" s="227"/>
      <c r="DTZ1726" s="227"/>
      <c r="DUA1726" s="227"/>
      <c r="DUB1726" s="227"/>
      <c r="DUC1726" s="227"/>
      <c r="DUD1726" s="227"/>
      <c r="DUE1726" s="227"/>
      <c r="DUF1726" s="227"/>
      <c r="DUG1726" s="227"/>
      <c r="DUH1726" s="227"/>
      <c r="DUI1726" s="227"/>
      <c r="DUJ1726" s="227"/>
      <c r="DUK1726" s="227"/>
      <c r="DUL1726" s="227"/>
      <c r="DUM1726" s="227"/>
      <c r="DUN1726" s="227"/>
      <c r="DUO1726" s="227"/>
      <c r="DUP1726" s="227"/>
      <c r="DUQ1726" s="227"/>
      <c r="DUR1726" s="227"/>
      <c r="DUS1726" s="227"/>
      <c r="DUT1726" s="227"/>
      <c r="DUU1726" s="227"/>
      <c r="DUV1726" s="227"/>
      <c r="DUW1726" s="227"/>
      <c r="DUX1726" s="227"/>
      <c r="DUY1726" s="227"/>
      <c r="DUZ1726" s="227"/>
      <c r="DVA1726" s="227"/>
      <c r="DVB1726" s="227"/>
      <c r="DVC1726" s="227"/>
      <c r="DVD1726" s="227"/>
      <c r="DVE1726" s="227"/>
      <c r="DVF1726" s="227"/>
      <c r="DVG1726" s="227"/>
      <c r="DVH1726" s="227"/>
      <c r="DVI1726" s="227"/>
      <c r="DVJ1726" s="227"/>
      <c r="DVK1726" s="227"/>
      <c r="DVL1726" s="227"/>
      <c r="DVM1726" s="227"/>
      <c r="DVN1726" s="227"/>
      <c r="DVO1726" s="227"/>
      <c r="DVP1726" s="227"/>
      <c r="DVQ1726" s="227"/>
      <c r="DVR1726" s="227"/>
      <c r="DVS1726" s="227"/>
      <c r="DVT1726" s="227"/>
      <c r="DVU1726" s="227"/>
      <c r="DVV1726" s="227"/>
      <c r="DVW1726" s="227"/>
      <c r="DVX1726" s="227"/>
      <c r="DVY1726" s="227"/>
      <c r="DVZ1726" s="227"/>
      <c r="DWA1726" s="227"/>
      <c r="DWB1726" s="227"/>
      <c r="DWC1726" s="227"/>
      <c r="DWD1726" s="227"/>
      <c r="DWE1726" s="227"/>
      <c r="DWF1726" s="227"/>
      <c r="DWG1726" s="227"/>
      <c r="DWH1726" s="227"/>
      <c r="DWI1726" s="227"/>
      <c r="DWJ1726" s="227"/>
      <c r="DWK1726" s="227"/>
      <c r="DWL1726" s="227"/>
      <c r="DWM1726" s="227"/>
      <c r="DWN1726" s="227"/>
      <c r="DWO1726" s="227"/>
      <c r="DWP1726" s="227"/>
      <c r="DWQ1726" s="227"/>
      <c r="DWR1726" s="227"/>
      <c r="DWS1726" s="227"/>
      <c r="DWT1726" s="227"/>
      <c r="DWU1726" s="227"/>
      <c r="DWV1726" s="227"/>
      <c r="DWW1726" s="227"/>
      <c r="DWX1726" s="227"/>
      <c r="DWY1726" s="227"/>
      <c r="DWZ1726" s="227"/>
      <c r="DXA1726" s="227"/>
      <c r="DXB1726" s="227"/>
      <c r="DXC1726" s="227"/>
      <c r="DXD1726" s="227"/>
      <c r="DXE1726" s="227"/>
      <c r="DXF1726" s="227"/>
      <c r="DXG1726" s="227"/>
      <c r="DXH1726" s="227"/>
      <c r="DXI1726" s="227"/>
      <c r="DXJ1726" s="227"/>
      <c r="DXK1726" s="227"/>
      <c r="DXL1726" s="227"/>
      <c r="DXM1726" s="227"/>
      <c r="DXN1726" s="227"/>
      <c r="DXO1726" s="227"/>
      <c r="DXP1726" s="227"/>
      <c r="DXQ1726" s="227"/>
      <c r="DXR1726" s="227"/>
      <c r="DXS1726" s="227"/>
      <c r="DXT1726" s="227"/>
      <c r="DXU1726" s="227"/>
      <c r="DXV1726" s="227"/>
      <c r="DXW1726" s="227"/>
      <c r="DXX1726" s="227"/>
      <c r="DXY1726" s="227"/>
      <c r="DXZ1726" s="227"/>
      <c r="DYA1726" s="227"/>
      <c r="DYB1726" s="227"/>
      <c r="DYC1726" s="227"/>
      <c r="DYD1726" s="227"/>
      <c r="DYE1726" s="227"/>
      <c r="DYF1726" s="227"/>
      <c r="DYG1726" s="227"/>
      <c r="DYH1726" s="227"/>
      <c r="DYI1726" s="227"/>
      <c r="DYJ1726" s="227"/>
      <c r="DYK1726" s="227"/>
      <c r="DYL1726" s="227"/>
      <c r="DYM1726" s="227"/>
      <c r="DYN1726" s="227"/>
      <c r="DYO1726" s="227"/>
      <c r="DYP1726" s="227"/>
      <c r="DYQ1726" s="227"/>
      <c r="DYR1726" s="227"/>
      <c r="DYS1726" s="227"/>
      <c r="DYT1726" s="227"/>
      <c r="DYU1726" s="227"/>
      <c r="DYV1726" s="227"/>
      <c r="DYW1726" s="227"/>
      <c r="DYX1726" s="227"/>
      <c r="DYY1726" s="227"/>
      <c r="DYZ1726" s="227"/>
      <c r="DZA1726" s="227"/>
      <c r="DZB1726" s="227"/>
      <c r="DZC1726" s="227"/>
      <c r="DZD1726" s="227"/>
      <c r="DZE1726" s="227"/>
      <c r="DZF1726" s="227"/>
      <c r="DZG1726" s="227"/>
      <c r="DZH1726" s="227"/>
      <c r="DZI1726" s="227"/>
      <c r="DZJ1726" s="227"/>
      <c r="DZK1726" s="227"/>
      <c r="DZL1726" s="227"/>
      <c r="DZM1726" s="227"/>
      <c r="DZN1726" s="227"/>
      <c r="DZO1726" s="227"/>
      <c r="DZP1726" s="227"/>
      <c r="DZQ1726" s="227"/>
      <c r="DZR1726" s="227"/>
      <c r="DZS1726" s="227"/>
      <c r="DZT1726" s="227"/>
      <c r="DZU1726" s="227"/>
      <c r="DZV1726" s="227"/>
      <c r="DZW1726" s="227"/>
      <c r="DZX1726" s="227"/>
      <c r="DZY1726" s="227"/>
      <c r="DZZ1726" s="227"/>
      <c r="EAA1726" s="227"/>
      <c r="EAB1726" s="227"/>
      <c r="EAC1726" s="227"/>
      <c r="EAD1726" s="227"/>
      <c r="EAE1726" s="227"/>
      <c r="EAF1726" s="227"/>
      <c r="EAG1726" s="227"/>
      <c r="EAH1726" s="227"/>
      <c r="EAI1726" s="227"/>
      <c r="EAJ1726" s="227"/>
      <c r="EAK1726" s="227"/>
      <c r="EAL1726" s="227"/>
      <c r="EAM1726" s="227"/>
      <c r="EAN1726" s="227"/>
      <c r="EAO1726" s="227"/>
      <c r="EAP1726" s="227"/>
      <c r="EAQ1726" s="227"/>
      <c r="EAR1726" s="227"/>
      <c r="EAS1726" s="227"/>
      <c r="EAT1726" s="227"/>
      <c r="EAU1726" s="227"/>
      <c r="EAV1726" s="227"/>
      <c r="EAW1726" s="227"/>
      <c r="EAX1726" s="227"/>
      <c r="EAY1726" s="227"/>
      <c r="EAZ1726" s="227"/>
      <c r="EBA1726" s="227"/>
      <c r="EBB1726" s="227"/>
      <c r="EBC1726" s="227"/>
      <c r="EBD1726" s="227"/>
      <c r="EBE1726" s="227"/>
      <c r="EBF1726" s="227"/>
      <c r="EBG1726" s="227"/>
      <c r="EBH1726" s="227"/>
      <c r="EBI1726" s="227"/>
      <c r="EBJ1726" s="227"/>
      <c r="EBK1726" s="227"/>
      <c r="EBL1726" s="227"/>
      <c r="EBM1726" s="227"/>
      <c r="EBN1726" s="227"/>
      <c r="EBO1726" s="227"/>
      <c r="EBP1726" s="227"/>
      <c r="EBQ1726" s="227"/>
      <c r="EBR1726" s="227"/>
      <c r="EBS1726" s="227"/>
      <c r="EBT1726" s="227"/>
      <c r="EBU1726" s="227"/>
      <c r="EBV1726" s="227"/>
      <c r="EBW1726" s="227"/>
      <c r="EBX1726" s="227"/>
      <c r="EBY1726" s="227"/>
      <c r="EBZ1726" s="227"/>
      <c r="ECA1726" s="227"/>
      <c r="ECB1726" s="227"/>
      <c r="ECC1726" s="227"/>
      <c r="ECD1726" s="227"/>
      <c r="ECE1726" s="227"/>
      <c r="ECF1726" s="227"/>
      <c r="ECG1726" s="227"/>
      <c r="ECH1726" s="227"/>
      <c r="ECI1726" s="227"/>
      <c r="ECJ1726" s="227"/>
      <c r="ECK1726" s="227"/>
      <c r="ECL1726" s="227"/>
      <c r="ECM1726" s="227"/>
      <c r="ECN1726" s="227"/>
      <c r="ECO1726" s="227"/>
      <c r="ECP1726" s="227"/>
      <c r="ECQ1726" s="227"/>
      <c r="ECR1726" s="227"/>
      <c r="ECS1726" s="227"/>
      <c r="ECT1726" s="227"/>
      <c r="ECU1726" s="227"/>
      <c r="ECV1726" s="227"/>
      <c r="ECW1726" s="227"/>
      <c r="ECX1726" s="227"/>
      <c r="ECY1726" s="227"/>
      <c r="ECZ1726" s="227"/>
      <c r="EDA1726" s="227"/>
      <c r="EDB1726" s="227"/>
      <c r="EDC1726" s="227"/>
      <c r="EDD1726" s="227"/>
      <c r="EDE1726" s="227"/>
      <c r="EDF1726" s="227"/>
      <c r="EDG1726" s="227"/>
      <c r="EDH1726" s="227"/>
      <c r="EDI1726" s="227"/>
      <c r="EDJ1726" s="227"/>
      <c r="EDK1726" s="227"/>
      <c r="EDL1726" s="227"/>
      <c r="EDM1726" s="227"/>
      <c r="EDN1726" s="227"/>
      <c r="EDO1726" s="227"/>
      <c r="EDP1726" s="227"/>
      <c r="EDQ1726" s="227"/>
      <c r="EDR1726" s="227"/>
      <c r="EDS1726" s="227"/>
      <c r="EDT1726" s="227"/>
      <c r="EDU1726" s="227"/>
      <c r="EDV1726" s="227"/>
      <c r="EDW1726" s="227"/>
      <c r="EDX1726" s="227"/>
      <c r="EDY1726" s="227"/>
      <c r="EDZ1726" s="227"/>
      <c r="EEA1726" s="227"/>
      <c r="EEB1726" s="227"/>
      <c r="EEC1726" s="227"/>
      <c r="EED1726" s="227"/>
      <c r="EEE1726" s="227"/>
      <c r="EEF1726" s="227"/>
      <c r="EEG1726" s="227"/>
      <c r="EEH1726" s="227"/>
      <c r="EEI1726" s="227"/>
      <c r="EEJ1726" s="227"/>
      <c r="EEK1726" s="227"/>
      <c r="EEL1726" s="227"/>
      <c r="EEM1726" s="227"/>
      <c r="EEN1726" s="227"/>
      <c r="EEO1726" s="227"/>
      <c r="EEP1726" s="227"/>
      <c r="EEQ1726" s="227"/>
      <c r="EER1726" s="227"/>
      <c r="EES1726" s="227"/>
      <c r="EET1726" s="227"/>
      <c r="EEU1726" s="227"/>
      <c r="EEV1726" s="227"/>
      <c r="EEW1726" s="227"/>
      <c r="EEX1726" s="227"/>
      <c r="EEY1726" s="227"/>
      <c r="EEZ1726" s="227"/>
      <c r="EFA1726" s="227"/>
      <c r="EFB1726" s="227"/>
      <c r="EFC1726" s="227"/>
      <c r="EFD1726" s="227"/>
      <c r="EFE1726" s="227"/>
      <c r="EFF1726" s="227"/>
      <c r="EFG1726" s="227"/>
      <c r="EFH1726" s="227"/>
      <c r="EFI1726" s="227"/>
      <c r="EFJ1726" s="227"/>
      <c r="EFK1726" s="227"/>
      <c r="EFL1726" s="227"/>
      <c r="EFM1726" s="227"/>
      <c r="EFN1726" s="227"/>
      <c r="EFO1726" s="227"/>
      <c r="EFP1726" s="227"/>
      <c r="EFQ1726" s="227"/>
      <c r="EFR1726" s="227"/>
      <c r="EFS1726" s="227"/>
      <c r="EFT1726" s="227"/>
      <c r="EFU1726" s="227"/>
      <c r="EFV1726" s="227"/>
      <c r="EFW1726" s="227"/>
      <c r="EFX1726" s="227"/>
      <c r="EFY1726" s="227"/>
      <c r="EFZ1726" s="227"/>
      <c r="EGA1726" s="227"/>
      <c r="EGB1726" s="227"/>
      <c r="EGC1726" s="227"/>
      <c r="EGD1726" s="227"/>
      <c r="EGE1726" s="227"/>
      <c r="EGF1726" s="227"/>
      <c r="EGG1726" s="227"/>
      <c r="EGH1726" s="227"/>
      <c r="EGI1726" s="227"/>
      <c r="EGJ1726" s="227"/>
      <c r="EGK1726" s="227"/>
      <c r="EGL1726" s="227"/>
      <c r="EGM1726" s="227"/>
      <c r="EGN1726" s="227"/>
      <c r="EGO1726" s="227"/>
      <c r="EGP1726" s="227"/>
      <c r="EGQ1726" s="227"/>
      <c r="EGR1726" s="227"/>
      <c r="EGS1726" s="227"/>
      <c r="EGT1726" s="227"/>
      <c r="EGU1726" s="227"/>
      <c r="EGV1726" s="227"/>
      <c r="EGW1726" s="227"/>
      <c r="EGX1726" s="227"/>
      <c r="EGY1726" s="227"/>
      <c r="EGZ1726" s="227"/>
      <c r="EHA1726" s="227"/>
      <c r="EHB1726" s="227"/>
      <c r="EHC1726" s="227"/>
      <c r="EHD1726" s="227"/>
      <c r="EHE1726" s="227"/>
      <c r="EHF1726" s="227"/>
      <c r="EHG1726" s="227"/>
      <c r="EHH1726" s="227"/>
      <c r="EHI1726" s="227"/>
      <c r="EHJ1726" s="227"/>
      <c r="EHK1726" s="227"/>
      <c r="EHL1726" s="227"/>
      <c r="EHM1726" s="227"/>
      <c r="EHN1726" s="227"/>
      <c r="EHO1726" s="227"/>
      <c r="EHP1726" s="227"/>
      <c r="EHQ1726" s="227"/>
      <c r="EHR1726" s="227"/>
      <c r="EHS1726" s="227"/>
      <c r="EHT1726" s="227"/>
      <c r="EHU1726" s="227"/>
      <c r="EHV1726" s="227"/>
      <c r="EHW1726" s="227"/>
      <c r="EHX1726" s="227"/>
      <c r="EHY1726" s="227"/>
      <c r="EHZ1726" s="227"/>
      <c r="EIA1726" s="227"/>
      <c r="EIB1726" s="227"/>
      <c r="EIC1726" s="227"/>
      <c r="EID1726" s="227"/>
      <c r="EIE1726" s="227"/>
      <c r="EIF1726" s="227"/>
      <c r="EIG1726" s="227"/>
      <c r="EIH1726" s="227"/>
      <c r="EII1726" s="227"/>
      <c r="EIJ1726" s="227"/>
      <c r="EIK1726" s="227"/>
      <c r="EIL1726" s="227"/>
      <c r="EIM1726" s="227"/>
      <c r="EIN1726" s="227"/>
      <c r="EIO1726" s="227"/>
      <c r="EIP1726" s="227"/>
      <c r="EIQ1726" s="227"/>
      <c r="EIR1726" s="227"/>
      <c r="EIS1726" s="227"/>
      <c r="EIT1726" s="227"/>
      <c r="EIU1726" s="227"/>
      <c r="EIV1726" s="227"/>
      <c r="EIW1726" s="227"/>
      <c r="EIX1726" s="227"/>
      <c r="EIY1726" s="227"/>
      <c r="EIZ1726" s="227"/>
      <c r="EJA1726" s="227"/>
      <c r="EJB1726" s="227"/>
      <c r="EJC1726" s="227"/>
      <c r="EJD1726" s="227"/>
      <c r="EJE1726" s="227"/>
      <c r="EJF1726" s="227"/>
      <c r="EJG1726" s="227"/>
      <c r="EJH1726" s="227"/>
      <c r="EJI1726" s="227"/>
      <c r="EJJ1726" s="227"/>
      <c r="EJK1726" s="227"/>
      <c r="EJL1726" s="227"/>
      <c r="EJM1726" s="227"/>
      <c r="EJN1726" s="227"/>
      <c r="EJO1726" s="227"/>
      <c r="EJP1726" s="227"/>
      <c r="EJQ1726" s="227"/>
      <c r="EJR1726" s="227"/>
      <c r="EJS1726" s="227"/>
      <c r="EJT1726" s="227"/>
      <c r="EJU1726" s="227"/>
      <c r="EJV1726" s="227"/>
      <c r="EJW1726" s="227"/>
      <c r="EJX1726" s="227"/>
      <c r="EJY1726" s="227"/>
      <c r="EJZ1726" s="227"/>
      <c r="EKA1726" s="227"/>
      <c r="EKB1726" s="227"/>
      <c r="EKC1726" s="227"/>
      <c r="EKD1726" s="227"/>
      <c r="EKE1726" s="227"/>
      <c r="EKF1726" s="227"/>
      <c r="EKG1726" s="227"/>
      <c r="EKH1726" s="227"/>
      <c r="EKI1726" s="227"/>
      <c r="EKJ1726" s="227"/>
      <c r="EKK1726" s="227"/>
      <c r="EKL1726" s="227"/>
      <c r="EKM1726" s="227"/>
      <c r="EKN1726" s="227"/>
      <c r="EKO1726" s="227"/>
      <c r="EKP1726" s="227"/>
      <c r="EKQ1726" s="227"/>
      <c r="EKR1726" s="227"/>
      <c r="EKS1726" s="227"/>
      <c r="EKT1726" s="227"/>
      <c r="EKU1726" s="227"/>
      <c r="EKV1726" s="227"/>
      <c r="EKW1726" s="227"/>
      <c r="EKX1726" s="227"/>
      <c r="EKY1726" s="227"/>
      <c r="EKZ1726" s="227"/>
      <c r="ELA1726" s="227"/>
      <c r="ELB1726" s="227"/>
      <c r="ELC1726" s="227"/>
      <c r="ELD1726" s="227"/>
      <c r="ELE1726" s="227"/>
      <c r="ELF1726" s="227"/>
      <c r="ELG1726" s="227"/>
      <c r="ELH1726" s="227"/>
      <c r="ELI1726" s="227"/>
      <c r="ELJ1726" s="227"/>
      <c r="ELK1726" s="227"/>
      <c r="ELL1726" s="227"/>
      <c r="ELM1726" s="227"/>
      <c r="ELN1726" s="227"/>
      <c r="ELO1726" s="227"/>
      <c r="ELP1726" s="227"/>
      <c r="ELQ1726" s="227"/>
      <c r="ELR1726" s="227"/>
      <c r="ELS1726" s="227"/>
      <c r="ELT1726" s="227"/>
      <c r="ELU1726" s="227"/>
      <c r="ELV1726" s="227"/>
      <c r="ELW1726" s="227"/>
      <c r="ELX1726" s="227"/>
      <c r="ELY1726" s="227"/>
      <c r="ELZ1726" s="227"/>
      <c r="EMA1726" s="227"/>
      <c r="EMB1726" s="227"/>
      <c r="EMC1726" s="227"/>
      <c r="EMD1726" s="227"/>
      <c r="EME1726" s="227"/>
      <c r="EMF1726" s="227"/>
      <c r="EMG1726" s="227"/>
      <c r="EMH1726" s="227"/>
      <c r="EMI1726" s="227"/>
      <c r="EMJ1726" s="227"/>
      <c r="EMK1726" s="227"/>
      <c r="EML1726" s="227"/>
      <c r="EMM1726" s="227"/>
      <c r="EMN1726" s="227"/>
      <c r="EMO1726" s="227"/>
      <c r="EMP1726" s="227"/>
      <c r="EMQ1726" s="227"/>
      <c r="EMR1726" s="227"/>
      <c r="EMS1726" s="227"/>
      <c r="EMT1726" s="227"/>
      <c r="EMU1726" s="227"/>
      <c r="EMV1726" s="227"/>
      <c r="EMW1726" s="227"/>
      <c r="EMX1726" s="227"/>
      <c r="EMY1726" s="227"/>
      <c r="EMZ1726" s="227"/>
      <c r="ENA1726" s="227"/>
      <c r="ENB1726" s="227"/>
      <c r="ENC1726" s="227"/>
      <c r="END1726" s="227"/>
      <c r="ENE1726" s="227"/>
      <c r="ENF1726" s="227"/>
      <c r="ENG1726" s="227"/>
      <c r="ENH1726" s="227"/>
      <c r="ENI1726" s="227"/>
      <c r="ENJ1726" s="227"/>
      <c r="ENK1726" s="227"/>
      <c r="ENL1726" s="227"/>
      <c r="ENM1726" s="227"/>
      <c r="ENN1726" s="227"/>
      <c r="ENO1726" s="227"/>
      <c r="ENP1726" s="227"/>
      <c r="ENQ1726" s="227"/>
      <c r="ENR1726" s="227"/>
      <c r="ENS1726" s="227"/>
      <c r="ENT1726" s="227"/>
      <c r="ENU1726" s="227"/>
      <c r="ENV1726" s="227"/>
      <c r="ENW1726" s="227"/>
      <c r="ENX1726" s="227"/>
      <c r="ENY1726" s="227"/>
      <c r="ENZ1726" s="227"/>
      <c r="EOA1726" s="227"/>
      <c r="EOB1726" s="227"/>
      <c r="EOC1726" s="227"/>
      <c r="EOD1726" s="227"/>
      <c r="EOE1726" s="227"/>
      <c r="EOF1726" s="227"/>
      <c r="EOG1726" s="227"/>
      <c r="EOH1726" s="227"/>
      <c r="EOI1726" s="227"/>
      <c r="EOJ1726" s="227"/>
      <c r="EOK1726" s="227"/>
      <c r="EOL1726" s="227"/>
      <c r="EOM1726" s="227"/>
      <c r="EON1726" s="227"/>
      <c r="EOO1726" s="227"/>
      <c r="EOP1726" s="227"/>
      <c r="EOQ1726" s="227"/>
      <c r="EOR1726" s="227"/>
      <c r="EOS1726" s="227"/>
      <c r="EOT1726" s="227"/>
      <c r="EOU1726" s="227"/>
      <c r="EOV1726" s="227"/>
      <c r="EOW1726" s="227"/>
      <c r="EOX1726" s="227"/>
      <c r="EOY1726" s="227"/>
      <c r="EOZ1726" s="227"/>
      <c r="EPA1726" s="227"/>
      <c r="EPB1726" s="227"/>
      <c r="EPC1726" s="227"/>
      <c r="EPD1726" s="227"/>
      <c r="EPE1726" s="227"/>
      <c r="EPF1726" s="227"/>
      <c r="EPG1726" s="227"/>
      <c r="EPH1726" s="227"/>
      <c r="EPI1726" s="227"/>
      <c r="EPJ1726" s="227"/>
      <c r="EPK1726" s="227"/>
      <c r="EPL1726" s="227"/>
      <c r="EPM1726" s="227"/>
      <c r="EPN1726" s="227"/>
      <c r="EPO1726" s="227"/>
      <c r="EPP1726" s="227"/>
      <c r="EPQ1726" s="227"/>
      <c r="EPR1726" s="227"/>
      <c r="EPS1726" s="227"/>
      <c r="EPT1726" s="227"/>
      <c r="EPU1726" s="227"/>
      <c r="EPV1726" s="227"/>
      <c r="EPW1726" s="227"/>
      <c r="EPX1726" s="227"/>
      <c r="EPY1726" s="227"/>
      <c r="EPZ1726" s="227"/>
      <c r="EQA1726" s="227"/>
      <c r="EQB1726" s="227"/>
      <c r="EQC1726" s="227"/>
      <c r="EQD1726" s="227"/>
      <c r="EQE1726" s="227"/>
      <c r="EQF1726" s="227"/>
      <c r="EQG1726" s="227"/>
      <c r="EQH1726" s="227"/>
      <c r="EQI1726" s="227"/>
      <c r="EQJ1726" s="227"/>
      <c r="EQK1726" s="227"/>
      <c r="EQL1726" s="227"/>
      <c r="EQM1726" s="227"/>
      <c r="EQN1726" s="227"/>
      <c r="EQO1726" s="227"/>
      <c r="EQP1726" s="227"/>
      <c r="EQQ1726" s="227"/>
      <c r="EQR1726" s="227"/>
      <c r="EQS1726" s="227"/>
      <c r="EQT1726" s="227"/>
      <c r="EQU1726" s="227"/>
      <c r="EQV1726" s="227"/>
      <c r="EQW1726" s="227"/>
      <c r="EQX1726" s="227"/>
      <c r="EQY1726" s="227"/>
      <c r="EQZ1726" s="227"/>
      <c r="ERA1726" s="227"/>
      <c r="ERB1726" s="227"/>
      <c r="ERC1726" s="227"/>
      <c r="ERD1726" s="227"/>
      <c r="ERE1726" s="227"/>
      <c r="ERF1726" s="227"/>
      <c r="ERG1726" s="227"/>
      <c r="ERH1726" s="227"/>
      <c r="ERI1726" s="227"/>
      <c r="ERJ1726" s="227"/>
      <c r="ERK1726" s="227"/>
      <c r="ERL1726" s="227"/>
      <c r="ERM1726" s="227"/>
      <c r="ERN1726" s="227"/>
      <c r="ERO1726" s="227"/>
      <c r="ERP1726" s="227"/>
      <c r="ERQ1726" s="227"/>
      <c r="ERR1726" s="227"/>
      <c r="ERS1726" s="227"/>
      <c r="ERT1726" s="227"/>
      <c r="ERU1726" s="227"/>
      <c r="ERV1726" s="227"/>
      <c r="ERW1726" s="227"/>
      <c r="ERX1726" s="227"/>
      <c r="ERY1726" s="227"/>
      <c r="ERZ1726" s="227"/>
      <c r="ESA1726" s="227"/>
      <c r="ESB1726" s="227"/>
      <c r="ESC1726" s="227"/>
      <c r="ESD1726" s="227"/>
      <c r="ESE1726" s="227"/>
      <c r="ESF1726" s="227"/>
      <c r="ESG1726" s="227"/>
      <c r="ESH1726" s="227"/>
      <c r="ESI1726" s="227"/>
      <c r="ESJ1726" s="227"/>
      <c r="ESK1726" s="227"/>
      <c r="ESL1726" s="227"/>
      <c r="ESM1726" s="227"/>
      <c r="ESN1726" s="227"/>
      <c r="ESO1726" s="227"/>
      <c r="ESP1726" s="227"/>
      <c r="ESQ1726" s="227"/>
      <c r="ESR1726" s="227"/>
      <c r="ESS1726" s="227"/>
      <c r="EST1726" s="227"/>
      <c r="ESU1726" s="227"/>
      <c r="ESV1726" s="227"/>
      <c r="ESW1726" s="227"/>
      <c r="ESX1726" s="227"/>
      <c r="ESY1726" s="227"/>
      <c r="ESZ1726" s="227"/>
      <c r="ETA1726" s="227"/>
      <c r="ETB1726" s="227"/>
      <c r="ETC1726" s="227"/>
      <c r="ETD1726" s="227"/>
      <c r="ETE1726" s="227"/>
      <c r="ETF1726" s="227"/>
      <c r="ETG1726" s="227"/>
      <c r="ETH1726" s="227"/>
      <c r="ETI1726" s="227"/>
      <c r="ETJ1726" s="227"/>
      <c r="ETK1726" s="227"/>
      <c r="ETL1726" s="227"/>
      <c r="ETM1726" s="227"/>
      <c r="ETN1726" s="227"/>
      <c r="ETO1726" s="227"/>
      <c r="ETP1726" s="227"/>
      <c r="ETQ1726" s="227"/>
      <c r="ETR1726" s="227"/>
      <c r="ETS1726" s="227"/>
      <c r="ETT1726" s="227"/>
      <c r="ETU1726" s="227"/>
      <c r="ETV1726" s="227"/>
      <c r="ETW1726" s="227"/>
      <c r="ETX1726" s="227"/>
      <c r="ETY1726" s="227"/>
      <c r="ETZ1726" s="227"/>
      <c r="EUA1726" s="227"/>
      <c r="EUB1726" s="227"/>
      <c r="EUC1726" s="227"/>
      <c r="EUD1726" s="227"/>
      <c r="EUE1726" s="227"/>
      <c r="EUF1726" s="227"/>
      <c r="EUG1726" s="227"/>
      <c r="EUH1726" s="227"/>
      <c r="EUI1726" s="227"/>
      <c r="EUJ1726" s="227"/>
      <c r="EUK1726" s="227"/>
      <c r="EUL1726" s="227"/>
      <c r="EUM1726" s="227"/>
      <c r="EUN1726" s="227"/>
      <c r="EUO1726" s="227"/>
      <c r="EUP1726" s="227"/>
      <c r="EUQ1726" s="227"/>
      <c r="EUR1726" s="227"/>
      <c r="EUS1726" s="227"/>
      <c r="EUT1726" s="227"/>
      <c r="EUU1726" s="227"/>
      <c r="EUV1726" s="227"/>
      <c r="EUW1726" s="227"/>
      <c r="EUX1726" s="227"/>
      <c r="EUY1726" s="227"/>
      <c r="EUZ1726" s="227"/>
      <c r="EVA1726" s="227"/>
      <c r="EVB1726" s="227"/>
      <c r="EVC1726" s="227"/>
      <c r="EVD1726" s="227"/>
      <c r="EVE1726" s="227"/>
      <c r="EVF1726" s="227"/>
      <c r="EVG1726" s="227"/>
      <c r="EVH1726" s="227"/>
      <c r="EVI1726" s="227"/>
      <c r="EVJ1726" s="227"/>
      <c r="EVK1726" s="227"/>
      <c r="EVL1726" s="227"/>
      <c r="EVM1726" s="227"/>
      <c r="EVN1726" s="227"/>
      <c r="EVO1726" s="227"/>
      <c r="EVP1726" s="227"/>
      <c r="EVQ1726" s="227"/>
      <c r="EVR1726" s="227"/>
      <c r="EVS1726" s="227"/>
      <c r="EVT1726" s="227"/>
      <c r="EVU1726" s="227"/>
      <c r="EVV1726" s="227"/>
      <c r="EVW1726" s="227"/>
      <c r="EVX1726" s="227"/>
      <c r="EVY1726" s="227"/>
      <c r="EVZ1726" s="227"/>
      <c r="EWA1726" s="227"/>
      <c r="EWB1726" s="227"/>
      <c r="EWC1726" s="227"/>
      <c r="EWD1726" s="227"/>
      <c r="EWE1726" s="227"/>
      <c r="EWF1726" s="227"/>
      <c r="EWG1726" s="227"/>
      <c r="EWH1726" s="227"/>
      <c r="EWI1726" s="227"/>
      <c r="EWJ1726" s="227"/>
      <c r="EWK1726" s="227"/>
      <c r="EWL1726" s="227"/>
      <c r="EWM1726" s="227"/>
      <c r="EWN1726" s="227"/>
      <c r="EWO1726" s="227"/>
      <c r="EWP1726" s="227"/>
      <c r="EWQ1726" s="227"/>
      <c r="EWR1726" s="227"/>
      <c r="EWS1726" s="227"/>
      <c r="EWT1726" s="227"/>
      <c r="EWU1726" s="227"/>
      <c r="EWV1726" s="227"/>
      <c r="EWW1726" s="227"/>
      <c r="EWX1726" s="227"/>
      <c r="EWY1726" s="227"/>
      <c r="EWZ1726" s="227"/>
      <c r="EXA1726" s="227"/>
      <c r="EXB1726" s="227"/>
      <c r="EXC1726" s="227"/>
      <c r="EXD1726" s="227"/>
      <c r="EXE1726" s="227"/>
      <c r="EXF1726" s="227"/>
      <c r="EXG1726" s="227"/>
      <c r="EXH1726" s="227"/>
      <c r="EXI1726" s="227"/>
      <c r="EXJ1726" s="227"/>
      <c r="EXK1726" s="227"/>
      <c r="EXL1726" s="227"/>
      <c r="EXM1726" s="227"/>
      <c r="EXN1726" s="227"/>
      <c r="EXO1726" s="227"/>
      <c r="EXP1726" s="227"/>
      <c r="EXQ1726" s="227"/>
      <c r="EXR1726" s="227"/>
      <c r="EXS1726" s="227"/>
      <c r="EXT1726" s="227"/>
      <c r="EXU1726" s="227"/>
      <c r="EXV1726" s="227"/>
      <c r="EXW1726" s="227"/>
      <c r="EXX1726" s="227"/>
      <c r="EXY1726" s="227"/>
      <c r="EXZ1726" s="227"/>
      <c r="EYA1726" s="227"/>
      <c r="EYB1726" s="227"/>
      <c r="EYC1726" s="227"/>
      <c r="EYD1726" s="227"/>
      <c r="EYE1726" s="227"/>
      <c r="EYF1726" s="227"/>
      <c r="EYG1726" s="227"/>
      <c r="EYH1726" s="227"/>
      <c r="EYI1726" s="227"/>
      <c r="EYJ1726" s="227"/>
      <c r="EYK1726" s="227"/>
      <c r="EYL1726" s="227"/>
      <c r="EYM1726" s="227"/>
      <c r="EYN1726" s="227"/>
      <c r="EYO1726" s="227"/>
      <c r="EYP1726" s="227"/>
      <c r="EYQ1726" s="227"/>
      <c r="EYR1726" s="227"/>
      <c r="EYS1726" s="227"/>
      <c r="EYT1726" s="227"/>
      <c r="EYU1726" s="227"/>
      <c r="EYV1726" s="227"/>
      <c r="EYW1726" s="227"/>
      <c r="EYX1726" s="227"/>
      <c r="EYY1726" s="227"/>
      <c r="EYZ1726" s="227"/>
      <c r="EZA1726" s="227"/>
      <c r="EZB1726" s="227"/>
      <c r="EZC1726" s="227"/>
      <c r="EZD1726" s="227"/>
      <c r="EZE1726" s="227"/>
      <c r="EZF1726" s="227"/>
      <c r="EZG1726" s="227"/>
      <c r="EZH1726" s="227"/>
      <c r="EZI1726" s="227"/>
      <c r="EZJ1726" s="227"/>
      <c r="EZK1726" s="227"/>
      <c r="EZL1726" s="227"/>
      <c r="EZM1726" s="227"/>
      <c r="EZN1726" s="227"/>
      <c r="EZO1726" s="227"/>
      <c r="EZP1726" s="227"/>
      <c r="EZQ1726" s="227"/>
      <c r="EZR1726" s="227"/>
      <c r="EZS1726" s="227"/>
      <c r="EZT1726" s="227"/>
      <c r="EZU1726" s="227"/>
      <c r="EZV1726" s="227"/>
      <c r="EZW1726" s="227"/>
      <c r="EZX1726" s="227"/>
      <c r="EZY1726" s="227"/>
      <c r="EZZ1726" s="227"/>
      <c r="FAA1726" s="227"/>
      <c r="FAB1726" s="227"/>
      <c r="FAC1726" s="227"/>
      <c r="FAD1726" s="227"/>
      <c r="FAE1726" s="227"/>
      <c r="FAF1726" s="227"/>
      <c r="FAG1726" s="227"/>
      <c r="FAH1726" s="227"/>
      <c r="FAI1726" s="227"/>
      <c r="FAJ1726" s="227"/>
      <c r="FAK1726" s="227"/>
      <c r="FAL1726" s="227"/>
      <c r="FAM1726" s="227"/>
      <c r="FAN1726" s="227"/>
      <c r="FAO1726" s="227"/>
      <c r="FAP1726" s="227"/>
      <c r="FAQ1726" s="227"/>
      <c r="FAR1726" s="227"/>
      <c r="FAS1726" s="227"/>
      <c r="FAT1726" s="227"/>
      <c r="FAU1726" s="227"/>
      <c r="FAV1726" s="227"/>
      <c r="FAW1726" s="227"/>
      <c r="FAX1726" s="227"/>
      <c r="FAY1726" s="227"/>
      <c r="FAZ1726" s="227"/>
      <c r="FBA1726" s="227"/>
      <c r="FBB1726" s="227"/>
      <c r="FBC1726" s="227"/>
      <c r="FBD1726" s="227"/>
      <c r="FBE1726" s="227"/>
      <c r="FBF1726" s="227"/>
      <c r="FBG1726" s="227"/>
      <c r="FBH1726" s="227"/>
      <c r="FBI1726" s="227"/>
      <c r="FBJ1726" s="227"/>
      <c r="FBK1726" s="227"/>
      <c r="FBL1726" s="227"/>
      <c r="FBM1726" s="227"/>
      <c r="FBN1726" s="227"/>
      <c r="FBO1726" s="227"/>
      <c r="FBP1726" s="227"/>
      <c r="FBQ1726" s="227"/>
      <c r="FBR1726" s="227"/>
      <c r="FBS1726" s="227"/>
      <c r="FBT1726" s="227"/>
      <c r="FBU1726" s="227"/>
      <c r="FBV1726" s="227"/>
      <c r="FBW1726" s="227"/>
      <c r="FBX1726" s="227"/>
      <c r="FBY1726" s="227"/>
      <c r="FBZ1726" s="227"/>
      <c r="FCA1726" s="227"/>
      <c r="FCB1726" s="227"/>
      <c r="FCC1726" s="227"/>
      <c r="FCD1726" s="227"/>
      <c r="FCE1726" s="227"/>
      <c r="FCF1726" s="227"/>
      <c r="FCG1726" s="227"/>
      <c r="FCH1726" s="227"/>
      <c r="FCI1726" s="227"/>
      <c r="FCJ1726" s="227"/>
      <c r="FCK1726" s="227"/>
      <c r="FCL1726" s="227"/>
      <c r="FCM1726" s="227"/>
      <c r="FCN1726" s="227"/>
      <c r="FCO1726" s="227"/>
      <c r="FCP1726" s="227"/>
      <c r="FCQ1726" s="227"/>
      <c r="FCR1726" s="227"/>
      <c r="FCS1726" s="227"/>
      <c r="FCT1726" s="227"/>
      <c r="FCU1726" s="227"/>
      <c r="FCV1726" s="227"/>
      <c r="FCW1726" s="227"/>
      <c r="FCX1726" s="227"/>
      <c r="FCY1726" s="227"/>
      <c r="FCZ1726" s="227"/>
      <c r="FDA1726" s="227"/>
      <c r="FDB1726" s="227"/>
      <c r="FDC1726" s="227"/>
      <c r="FDD1726" s="227"/>
      <c r="FDE1726" s="227"/>
      <c r="FDF1726" s="227"/>
      <c r="FDG1726" s="227"/>
      <c r="FDH1726" s="227"/>
      <c r="FDI1726" s="227"/>
      <c r="FDJ1726" s="227"/>
      <c r="FDK1726" s="227"/>
      <c r="FDL1726" s="227"/>
      <c r="FDM1726" s="227"/>
      <c r="FDN1726" s="227"/>
      <c r="FDO1726" s="227"/>
      <c r="FDP1726" s="227"/>
      <c r="FDQ1726" s="227"/>
      <c r="FDR1726" s="227"/>
      <c r="FDS1726" s="227"/>
      <c r="FDT1726" s="227"/>
      <c r="FDU1726" s="227"/>
      <c r="FDV1726" s="227"/>
      <c r="FDW1726" s="227"/>
      <c r="FDX1726" s="227"/>
      <c r="FDY1726" s="227"/>
      <c r="FDZ1726" s="227"/>
      <c r="FEA1726" s="227"/>
      <c r="FEB1726" s="227"/>
      <c r="FEC1726" s="227"/>
      <c r="FED1726" s="227"/>
      <c r="FEE1726" s="227"/>
      <c r="FEF1726" s="227"/>
      <c r="FEG1726" s="227"/>
      <c r="FEH1726" s="227"/>
      <c r="FEI1726" s="227"/>
      <c r="FEJ1726" s="227"/>
      <c r="FEK1726" s="227"/>
      <c r="FEL1726" s="227"/>
      <c r="FEM1726" s="227"/>
      <c r="FEN1726" s="227"/>
      <c r="FEO1726" s="227"/>
      <c r="FEP1726" s="227"/>
      <c r="FEQ1726" s="227"/>
      <c r="FER1726" s="227"/>
      <c r="FES1726" s="227"/>
      <c r="FET1726" s="227"/>
      <c r="FEU1726" s="227"/>
      <c r="FEV1726" s="227"/>
      <c r="FEW1726" s="227"/>
      <c r="FEX1726" s="227"/>
      <c r="FEY1726" s="227"/>
      <c r="FEZ1726" s="227"/>
      <c r="FFA1726" s="227"/>
      <c r="FFB1726" s="227"/>
      <c r="FFC1726" s="227"/>
      <c r="FFD1726" s="227"/>
      <c r="FFE1726" s="227"/>
      <c r="FFF1726" s="227"/>
      <c r="FFG1726" s="227"/>
      <c r="FFH1726" s="227"/>
      <c r="FFI1726" s="227"/>
      <c r="FFJ1726" s="227"/>
      <c r="FFK1726" s="227"/>
      <c r="FFL1726" s="227"/>
      <c r="FFM1726" s="227"/>
      <c r="FFN1726" s="227"/>
      <c r="FFO1726" s="227"/>
      <c r="FFP1726" s="227"/>
      <c r="FFQ1726" s="227"/>
      <c r="FFR1726" s="227"/>
      <c r="FFS1726" s="227"/>
      <c r="FFT1726" s="227"/>
      <c r="FFU1726" s="227"/>
      <c r="FFV1726" s="227"/>
      <c r="FFW1726" s="227"/>
      <c r="FFX1726" s="227"/>
      <c r="FFY1726" s="227"/>
      <c r="FFZ1726" s="227"/>
      <c r="FGA1726" s="227"/>
      <c r="FGB1726" s="227"/>
      <c r="FGC1726" s="227"/>
      <c r="FGD1726" s="227"/>
      <c r="FGE1726" s="227"/>
      <c r="FGF1726" s="227"/>
      <c r="FGG1726" s="227"/>
      <c r="FGH1726" s="227"/>
      <c r="FGI1726" s="227"/>
      <c r="FGJ1726" s="227"/>
      <c r="FGK1726" s="227"/>
      <c r="FGL1726" s="227"/>
      <c r="FGM1726" s="227"/>
      <c r="FGN1726" s="227"/>
      <c r="FGO1726" s="227"/>
      <c r="FGP1726" s="227"/>
      <c r="FGQ1726" s="227"/>
      <c r="FGR1726" s="227"/>
      <c r="FGS1726" s="227"/>
      <c r="FGT1726" s="227"/>
      <c r="FGU1726" s="227"/>
      <c r="FGV1726" s="227"/>
      <c r="FGW1726" s="227"/>
      <c r="FGX1726" s="227"/>
      <c r="FGY1726" s="227"/>
      <c r="FGZ1726" s="227"/>
      <c r="FHA1726" s="227"/>
      <c r="FHB1726" s="227"/>
      <c r="FHC1726" s="227"/>
      <c r="FHD1726" s="227"/>
      <c r="FHE1726" s="227"/>
      <c r="FHF1726" s="227"/>
      <c r="FHG1726" s="227"/>
      <c r="FHH1726" s="227"/>
      <c r="FHI1726" s="227"/>
      <c r="FHJ1726" s="227"/>
      <c r="FHK1726" s="227"/>
      <c r="FHL1726" s="227"/>
      <c r="FHM1726" s="227"/>
      <c r="FHN1726" s="227"/>
      <c r="FHO1726" s="227"/>
      <c r="FHP1726" s="227"/>
      <c r="FHQ1726" s="227"/>
      <c r="FHR1726" s="227"/>
      <c r="FHS1726" s="227"/>
      <c r="FHT1726" s="227"/>
      <c r="FHU1726" s="227"/>
      <c r="FHV1726" s="227"/>
      <c r="FHW1726" s="227"/>
      <c r="FHX1726" s="227"/>
      <c r="FHY1726" s="227"/>
      <c r="FHZ1726" s="227"/>
      <c r="FIA1726" s="227"/>
      <c r="FIB1726" s="227"/>
      <c r="FIC1726" s="227"/>
      <c r="FID1726" s="227"/>
      <c r="FIE1726" s="227"/>
      <c r="FIF1726" s="227"/>
      <c r="FIG1726" s="227"/>
      <c r="FIH1726" s="227"/>
      <c r="FII1726" s="227"/>
      <c r="FIJ1726" s="227"/>
      <c r="FIK1726" s="227"/>
      <c r="FIL1726" s="227"/>
      <c r="FIM1726" s="227"/>
      <c r="FIN1726" s="227"/>
      <c r="FIO1726" s="227"/>
      <c r="FIP1726" s="227"/>
      <c r="FIQ1726" s="227"/>
      <c r="FIR1726" s="227"/>
      <c r="FIS1726" s="227"/>
      <c r="FIT1726" s="227"/>
      <c r="FIU1726" s="227"/>
      <c r="FIV1726" s="227"/>
      <c r="FIW1726" s="227"/>
      <c r="FIX1726" s="227"/>
      <c r="FIY1726" s="227"/>
      <c r="FIZ1726" s="227"/>
      <c r="FJA1726" s="227"/>
      <c r="FJB1726" s="227"/>
      <c r="FJC1726" s="227"/>
      <c r="FJD1726" s="227"/>
      <c r="FJE1726" s="227"/>
      <c r="FJF1726" s="227"/>
      <c r="FJG1726" s="227"/>
      <c r="FJH1726" s="227"/>
      <c r="FJI1726" s="227"/>
      <c r="FJJ1726" s="227"/>
      <c r="FJK1726" s="227"/>
      <c r="FJL1726" s="227"/>
      <c r="FJM1726" s="227"/>
      <c r="FJN1726" s="227"/>
      <c r="FJO1726" s="227"/>
      <c r="FJP1726" s="227"/>
      <c r="FJQ1726" s="227"/>
      <c r="FJR1726" s="227"/>
      <c r="FJS1726" s="227"/>
      <c r="FJT1726" s="227"/>
      <c r="FJU1726" s="227"/>
      <c r="FJV1726" s="227"/>
      <c r="FJW1726" s="227"/>
      <c r="FJX1726" s="227"/>
      <c r="FJY1726" s="227"/>
      <c r="FJZ1726" s="227"/>
      <c r="FKA1726" s="227"/>
      <c r="FKB1726" s="227"/>
      <c r="FKC1726" s="227"/>
      <c r="FKD1726" s="227"/>
      <c r="FKE1726" s="227"/>
      <c r="FKF1726" s="227"/>
      <c r="FKG1726" s="227"/>
      <c r="FKH1726" s="227"/>
      <c r="FKI1726" s="227"/>
      <c r="FKJ1726" s="227"/>
      <c r="FKK1726" s="227"/>
      <c r="FKL1726" s="227"/>
      <c r="FKM1726" s="227"/>
      <c r="FKN1726" s="227"/>
      <c r="FKO1726" s="227"/>
      <c r="FKP1726" s="227"/>
      <c r="FKQ1726" s="227"/>
      <c r="FKR1726" s="227"/>
      <c r="FKS1726" s="227"/>
      <c r="FKT1726" s="227"/>
      <c r="FKU1726" s="227"/>
      <c r="FKV1726" s="227"/>
      <c r="FKW1726" s="227"/>
      <c r="FKX1726" s="227"/>
      <c r="FKY1726" s="227"/>
      <c r="FKZ1726" s="227"/>
      <c r="FLA1726" s="227"/>
      <c r="FLB1726" s="227"/>
      <c r="FLC1726" s="227"/>
      <c r="FLD1726" s="227"/>
      <c r="FLE1726" s="227"/>
      <c r="FLF1726" s="227"/>
      <c r="FLG1726" s="227"/>
      <c r="FLH1726" s="227"/>
      <c r="FLI1726" s="227"/>
      <c r="FLJ1726" s="227"/>
      <c r="FLK1726" s="227"/>
      <c r="FLL1726" s="227"/>
      <c r="FLM1726" s="227"/>
      <c r="FLN1726" s="227"/>
      <c r="FLO1726" s="227"/>
      <c r="FLP1726" s="227"/>
      <c r="FLQ1726" s="227"/>
      <c r="FLR1726" s="227"/>
      <c r="FLS1726" s="227"/>
      <c r="FLT1726" s="227"/>
      <c r="FLU1726" s="227"/>
      <c r="FLV1726" s="227"/>
      <c r="FLW1726" s="227"/>
      <c r="FLX1726" s="227"/>
      <c r="FLY1726" s="227"/>
      <c r="FLZ1726" s="227"/>
      <c r="FMA1726" s="227"/>
      <c r="FMB1726" s="227"/>
      <c r="FMC1726" s="227"/>
      <c r="FMD1726" s="227"/>
      <c r="FME1726" s="227"/>
      <c r="FMF1726" s="227"/>
      <c r="FMG1726" s="227"/>
      <c r="FMH1726" s="227"/>
      <c r="FMI1726" s="227"/>
      <c r="FMJ1726" s="227"/>
      <c r="FMK1726" s="227"/>
      <c r="FML1726" s="227"/>
      <c r="FMM1726" s="227"/>
      <c r="FMN1726" s="227"/>
      <c r="FMO1726" s="227"/>
      <c r="FMP1726" s="227"/>
      <c r="FMQ1726" s="227"/>
      <c r="FMR1726" s="227"/>
      <c r="FMS1726" s="227"/>
      <c r="FMT1726" s="227"/>
      <c r="FMU1726" s="227"/>
      <c r="FMV1726" s="227"/>
      <c r="FMW1726" s="227"/>
      <c r="FMX1726" s="227"/>
      <c r="FMY1726" s="227"/>
      <c r="FMZ1726" s="227"/>
      <c r="FNA1726" s="227"/>
      <c r="FNB1726" s="227"/>
      <c r="FNC1726" s="227"/>
      <c r="FND1726" s="227"/>
      <c r="FNE1726" s="227"/>
      <c r="FNF1726" s="227"/>
      <c r="FNG1726" s="227"/>
      <c r="FNH1726" s="227"/>
      <c r="FNI1726" s="227"/>
      <c r="FNJ1726" s="227"/>
      <c r="FNK1726" s="227"/>
      <c r="FNL1726" s="227"/>
      <c r="FNM1726" s="227"/>
      <c r="FNN1726" s="227"/>
      <c r="FNO1726" s="227"/>
      <c r="FNP1726" s="227"/>
      <c r="FNQ1726" s="227"/>
      <c r="FNR1726" s="227"/>
      <c r="FNS1726" s="227"/>
      <c r="FNT1726" s="227"/>
      <c r="FNU1726" s="227"/>
      <c r="FNV1726" s="227"/>
      <c r="FNW1726" s="227"/>
      <c r="FNX1726" s="227"/>
      <c r="FNY1726" s="227"/>
      <c r="FNZ1726" s="227"/>
      <c r="FOA1726" s="227"/>
      <c r="FOB1726" s="227"/>
      <c r="FOC1726" s="227"/>
      <c r="FOD1726" s="227"/>
      <c r="FOE1726" s="227"/>
      <c r="FOF1726" s="227"/>
      <c r="FOG1726" s="227"/>
      <c r="FOH1726" s="227"/>
      <c r="FOI1726" s="227"/>
      <c r="FOJ1726" s="227"/>
      <c r="FOK1726" s="227"/>
      <c r="FOL1726" s="227"/>
      <c r="FOM1726" s="227"/>
      <c r="FON1726" s="227"/>
      <c r="FOO1726" s="227"/>
      <c r="FOP1726" s="227"/>
      <c r="FOQ1726" s="227"/>
      <c r="FOR1726" s="227"/>
      <c r="FOS1726" s="227"/>
      <c r="FOT1726" s="227"/>
      <c r="FOU1726" s="227"/>
      <c r="FOV1726" s="227"/>
      <c r="FOW1726" s="227"/>
      <c r="FOX1726" s="227"/>
      <c r="FOY1726" s="227"/>
      <c r="FOZ1726" s="227"/>
      <c r="FPA1726" s="227"/>
      <c r="FPB1726" s="227"/>
      <c r="FPC1726" s="227"/>
      <c r="FPD1726" s="227"/>
      <c r="FPE1726" s="227"/>
      <c r="FPF1726" s="227"/>
      <c r="FPG1726" s="227"/>
      <c r="FPH1726" s="227"/>
      <c r="FPI1726" s="227"/>
      <c r="FPJ1726" s="227"/>
      <c r="FPK1726" s="227"/>
      <c r="FPL1726" s="227"/>
      <c r="FPM1726" s="227"/>
      <c r="FPN1726" s="227"/>
      <c r="FPO1726" s="227"/>
      <c r="FPP1726" s="227"/>
      <c r="FPQ1726" s="227"/>
      <c r="FPR1726" s="227"/>
      <c r="FPS1726" s="227"/>
      <c r="FPT1726" s="227"/>
      <c r="FPU1726" s="227"/>
      <c r="FPV1726" s="227"/>
      <c r="FPW1726" s="227"/>
      <c r="FPX1726" s="227"/>
      <c r="FPY1726" s="227"/>
      <c r="FPZ1726" s="227"/>
      <c r="FQA1726" s="227"/>
      <c r="FQB1726" s="227"/>
      <c r="FQC1726" s="227"/>
      <c r="FQD1726" s="227"/>
      <c r="FQE1726" s="227"/>
      <c r="FQF1726" s="227"/>
      <c r="FQG1726" s="227"/>
      <c r="FQH1726" s="227"/>
      <c r="FQI1726" s="227"/>
      <c r="FQJ1726" s="227"/>
      <c r="FQK1726" s="227"/>
      <c r="FQL1726" s="227"/>
      <c r="FQM1726" s="227"/>
      <c r="FQN1726" s="227"/>
      <c r="FQO1726" s="227"/>
      <c r="FQP1726" s="227"/>
      <c r="FQQ1726" s="227"/>
      <c r="FQR1726" s="227"/>
      <c r="FQS1726" s="227"/>
      <c r="FQT1726" s="227"/>
      <c r="FQU1726" s="227"/>
      <c r="FQV1726" s="227"/>
      <c r="FQW1726" s="227"/>
      <c r="FQX1726" s="227"/>
      <c r="FQY1726" s="227"/>
      <c r="FQZ1726" s="227"/>
      <c r="FRA1726" s="227"/>
      <c r="FRB1726" s="227"/>
      <c r="FRC1726" s="227"/>
      <c r="FRD1726" s="227"/>
      <c r="FRE1726" s="227"/>
      <c r="FRF1726" s="227"/>
      <c r="FRG1726" s="227"/>
      <c r="FRH1726" s="227"/>
      <c r="FRI1726" s="227"/>
      <c r="FRJ1726" s="227"/>
      <c r="FRK1726" s="227"/>
      <c r="FRL1726" s="227"/>
      <c r="FRM1726" s="227"/>
      <c r="FRN1726" s="227"/>
      <c r="FRO1726" s="227"/>
      <c r="FRP1726" s="227"/>
      <c r="FRQ1726" s="227"/>
      <c r="FRR1726" s="227"/>
      <c r="FRS1726" s="227"/>
      <c r="FRT1726" s="227"/>
      <c r="FRU1726" s="227"/>
      <c r="FRV1726" s="227"/>
      <c r="FRW1726" s="227"/>
      <c r="FRX1726" s="227"/>
      <c r="FRY1726" s="227"/>
      <c r="FRZ1726" s="227"/>
      <c r="FSA1726" s="227"/>
      <c r="FSB1726" s="227"/>
      <c r="FSC1726" s="227"/>
      <c r="FSD1726" s="227"/>
      <c r="FSE1726" s="227"/>
      <c r="FSF1726" s="227"/>
      <c r="FSG1726" s="227"/>
      <c r="FSH1726" s="227"/>
      <c r="FSI1726" s="227"/>
      <c r="FSJ1726" s="227"/>
      <c r="FSK1726" s="227"/>
      <c r="FSL1726" s="227"/>
      <c r="FSM1726" s="227"/>
      <c r="FSN1726" s="227"/>
      <c r="FSO1726" s="227"/>
      <c r="FSP1726" s="227"/>
      <c r="FSQ1726" s="227"/>
      <c r="FSR1726" s="227"/>
      <c r="FSS1726" s="227"/>
      <c r="FST1726" s="227"/>
      <c r="FSU1726" s="227"/>
      <c r="FSV1726" s="227"/>
      <c r="FSW1726" s="227"/>
      <c r="FSX1726" s="227"/>
      <c r="FSY1726" s="227"/>
      <c r="FSZ1726" s="227"/>
      <c r="FTA1726" s="227"/>
      <c r="FTB1726" s="227"/>
      <c r="FTC1726" s="227"/>
      <c r="FTD1726" s="227"/>
      <c r="FTE1726" s="227"/>
      <c r="FTF1726" s="227"/>
      <c r="FTG1726" s="227"/>
      <c r="FTH1726" s="227"/>
      <c r="FTI1726" s="227"/>
      <c r="FTJ1726" s="227"/>
      <c r="FTK1726" s="227"/>
      <c r="FTL1726" s="227"/>
      <c r="FTM1726" s="227"/>
      <c r="FTN1726" s="227"/>
      <c r="FTO1726" s="227"/>
      <c r="FTP1726" s="227"/>
      <c r="FTQ1726" s="227"/>
      <c r="FTR1726" s="227"/>
      <c r="FTS1726" s="227"/>
      <c r="FTT1726" s="227"/>
      <c r="FTU1726" s="227"/>
      <c r="FTV1726" s="227"/>
      <c r="FTW1726" s="227"/>
      <c r="FTX1726" s="227"/>
      <c r="FTY1726" s="227"/>
      <c r="FTZ1726" s="227"/>
      <c r="FUA1726" s="227"/>
      <c r="FUB1726" s="227"/>
      <c r="FUC1726" s="227"/>
      <c r="FUD1726" s="227"/>
      <c r="FUE1726" s="227"/>
      <c r="FUF1726" s="227"/>
      <c r="FUG1726" s="227"/>
      <c r="FUH1726" s="227"/>
      <c r="FUI1726" s="227"/>
      <c r="FUJ1726" s="227"/>
      <c r="FUK1726" s="227"/>
      <c r="FUL1726" s="227"/>
      <c r="FUM1726" s="227"/>
      <c r="FUN1726" s="227"/>
      <c r="FUO1726" s="227"/>
      <c r="FUP1726" s="227"/>
      <c r="FUQ1726" s="227"/>
      <c r="FUR1726" s="227"/>
      <c r="FUS1726" s="227"/>
      <c r="FUT1726" s="227"/>
      <c r="FUU1726" s="227"/>
      <c r="FUV1726" s="227"/>
      <c r="FUW1726" s="227"/>
      <c r="FUX1726" s="227"/>
      <c r="FUY1726" s="227"/>
      <c r="FUZ1726" s="227"/>
      <c r="FVA1726" s="227"/>
      <c r="FVB1726" s="227"/>
      <c r="FVC1726" s="227"/>
      <c r="FVD1726" s="227"/>
      <c r="FVE1726" s="227"/>
      <c r="FVF1726" s="227"/>
      <c r="FVG1726" s="227"/>
      <c r="FVH1726" s="227"/>
      <c r="FVI1726" s="227"/>
      <c r="FVJ1726" s="227"/>
      <c r="FVK1726" s="227"/>
      <c r="FVL1726" s="227"/>
      <c r="FVM1726" s="227"/>
      <c r="FVN1726" s="227"/>
      <c r="FVO1726" s="227"/>
      <c r="FVP1726" s="227"/>
      <c r="FVQ1726" s="227"/>
      <c r="FVR1726" s="227"/>
      <c r="FVS1726" s="227"/>
      <c r="FVT1726" s="227"/>
      <c r="FVU1726" s="227"/>
      <c r="FVV1726" s="227"/>
      <c r="FVW1726" s="227"/>
      <c r="FVX1726" s="227"/>
      <c r="FVY1726" s="227"/>
      <c r="FVZ1726" s="227"/>
      <c r="FWA1726" s="227"/>
      <c r="FWB1726" s="227"/>
      <c r="FWC1726" s="227"/>
      <c r="FWD1726" s="227"/>
      <c r="FWE1726" s="227"/>
      <c r="FWF1726" s="227"/>
      <c r="FWG1726" s="227"/>
      <c r="FWH1726" s="227"/>
      <c r="FWI1726" s="227"/>
      <c r="FWJ1726" s="227"/>
      <c r="FWK1726" s="227"/>
      <c r="FWL1726" s="227"/>
      <c r="FWM1726" s="227"/>
      <c r="FWN1726" s="227"/>
      <c r="FWO1726" s="227"/>
      <c r="FWP1726" s="227"/>
      <c r="FWQ1726" s="227"/>
      <c r="FWR1726" s="227"/>
      <c r="FWS1726" s="227"/>
      <c r="FWT1726" s="227"/>
      <c r="FWU1726" s="227"/>
      <c r="FWV1726" s="227"/>
      <c r="FWW1726" s="227"/>
      <c r="FWX1726" s="227"/>
      <c r="FWY1726" s="227"/>
      <c r="FWZ1726" s="227"/>
      <c r="FXA1726" s="227"/>
      <c r="FXB1726" s="227"/>
      <c r="FXC1726" s="227"/>
      <c r="FXD1726" s="227"/>
      <c r="FXE1726" s="227"/>
      <c r="FXF1726" s="227"/>
      <c r="FXG1726" s="227"/>
      <c r="FXH1726" s="227"/>
      <c r="FXI1726" s="227"/>
      <c r="FXJ1726" s="227"/>
      <c r="FXK1726" s="227"/>
      <c r="FXL1726" s="227"/>
      <c r="FXM1726" s="227"/>
      <c r="FXN1726" s="227"/>
      <c r="FXO1726" s="227"/>
      <c r="FXP1726" s="227"/>
      <c r="FXQ1726" s="227"/>
      <c r="FXR1726" s="227"/>
      <c r="FXS1726" s="227"/>
      <c r="FXT1726" s="227"/>
      <c r="FXU1726" s="227"/>
      <c r="FXV1726" s="227"/>
      <c r="FXW1726" s="227"/>
      <c r="FXX1726" s="227"/>
      <c r="FXY1726" s="227"/>
      <c r="FXZ1726" s="227"/>
      <c r="FYA1726" s="227"/>
      <c r="FYB1726" s="227"/>
      <c r="FYC1726" s="227"/>
      <c r="FYD1726" s="227"/>
      <c r="FYE1726" s="227"/>
      <c r="FYF1726" s="227"/>
      <c r="FYG1726" s="227"/>
      <c r="FYH1726" s="227"/>
      <c r="FYI1726" s="227"/>
      <c r="FYJ1726" s="227"/>
      <c r="FYK1726" s="227"/>
      <c r="FYL1726" s="227"/>
      <c r="FYM1726" s="227"/>
      <c r="FYN1726" s="227"/>
      <c r="FYO1726" s="227"/>
      <c r="FYP1726" s="227"/>
      <c r="FYQ1726" s="227"/>
      <c r="FYR1726" s="227"/>
      <c r="FYS1726" s="227"/>
      <c r="FYT1726" s="227"/>
      <c r="FYU1726" s="227"/>
      <c r="FYV1726" s="227"/>
      <c r="FYW1726" s="227"/>
      <c r="FYX1726" s="227"/>
      <c r="FYY1726" s="227"/>
      <c r="FYZ1726" s="227"/>
      <c r="FZA1726" s="227"/>
      <c r="FZB1726" s="227"/>
      <c r="FZC1726" s="227"/>
      <c r="FZD1726" s="227"/>
      <c r="FZE1726" s="227"/>
      <c r="FZF1726" s="227"/>
      <c r="FZG1726" s="227"/>
      <c r="FZH1726" s="227"/>
      <c r="FZI1726" s="227"/>
      <c r="FZJ1726" s="227"/>
      <c r="FZK1726" s="227"/>
      <c r="FZL1726" s="227"/>
      <c r="FZM1726" s="227"/>
      <c r="FZN1726" s="227"/>
      <c r="FZO1726" s="227"/>
      <c r="FZP1726" s="227"/>
      <c r="FZQ1726" s="227"/>
      <c r="FZR1726" s="227"/>
      <c r="FZS1726" s="227"/>
      <c r="FZT1726" s="227"/>
      <c r="FZU1726" s="227"/>
      <c r="FZV1726" s="227"/>
      <c r="FZW1726" s="227"/>
      <c r="FZX1726" s="227"/>
      <c r="FZY1726" s="227"/>
      <c r="FZZ1726" s="227"/>
      <c r="GAA1726" s="227"/>
      <c r="GAB1726" s="227"/>
      <c r="GAC1726" s="227"/>
      <c r="GAD1726" s="227"/>
      <c r="GAE1726" s="227"/>
      <c r="GAF1726" s="227"/>
      <c r="GAG1726" s="227"/>
      <c r="GAH1726" s="227"/>
      <c r="GAI1726" s="227"/>
      <c r="GAJ1726" s="227"/>
      <c r="GAK1726" s="227"/>
      <c r="GAL1726" s="227"/>
      <c r="GAM1726" s="227"/>
      <c r="GAN1726" s="227"/>
      <c r="GAO1726" s="227"/>
      <c r="GAP1726" s="227"/>
      <c r="GAQ1726" s="227"/>
      <c r="GAR1726" s="227"/>
      <c r="GAS1726" s="227"/>
      <c r="GAT1726" s="227"/>
      <c r="GAU1726" s="227"/>
      <c r="GAV1726" s="227"/>
      <c r="GAW1726" s="227"/>
      <c r="GAX1726" s="227"/>
      <c r="GAY1726" s="227"/>
      <c r="GAZ1726" s="227"/>
      <c r="GBA1726" s="227"/>
      <c r="GBB1726" s="227"/>
      <c r="GBC1726" s="227"/>
      <c r="GBD1726" s="227"/>
      <c r="GBE1726" s="227"/>
      <c r="GBF1726" s="227"/>
      <c r="GBG1726" s="227"/>
      <c r="GBH1726" s="227"/>
      <c r="GBI1726" s="227"/>
      <c r="GBJ1726" s="227"/>
      <c r="GBK1726" s="227"/>
      <c r="GBL1726" s="227"/>
      <c r="GBM1726" s="227"/>
      <c r="GBN1726" s="227"/>
      <c r="GBO1726" s="227"/>
      <c r="GBP1726" s="227"/>
      <c r="GBQ1726" s="227"/>
      <c r="GBR1726" s="227"/>
      <c r="GBS1726" s="227"/>
      <c r="GBT1726" s="227"/>
      <c r="GBU1726" s="227"/>
      <c r="GBV1726" s="227"/>
      <c r="GBW1726" s="227"/>
      <c r="GBX1726" s="227"/>
      <c r="GBY1726" s="227"/>
      <c r="GBZ1726" s="227"/>
      <c r="GCA1726" s="227"/>
      <c r="GCB1726" s="227"/>
      <c r="GCC1726" s="227"/>
      <c r="GCD1726" s="227"/>
      <c r="GCE1726" s="227"/>
      <c r="GCF1726" s="227"/>
      <c r="GCG1726" s="227"/>
      <c r="GCH1726" s="227"/>
      <c r="GCI1726" s="227"/>
      <c r="GCJ1726" s="227"/>
      <c r="GCK1726" s="227"/>
      <c r="GCL1726" s="227"/>
      <c r="GCM1726" s="227"/>
      <c r="GCN1726" s="227"/>
      <c r="GCO1726" s="227"/>
      <c r="GCP1726" s="227"/>
      <c r="GCQ1726" s="227"/>
      <c r="GCR1726" s="227"/>
      <c r="GCS1726" s="227"/>
      <c r="GCT1726" s="227"/>
      <c r="GCU1726" s="227"/>
      <c r="GCV1726" s="227"/>
      <c r="GCW1726" s="227"/>
      <c r="GCX1726" s="227"/>
      <c r="GCY1726" s="227"/>
      <c r="GCZ1726" s="227"/>
      <c r="GDA1726" s="227"/>
      <c r="GDB1726" s="227"/>
      <c r="GDC1726" s="227"/>
      <c r="GDD1726" s="227"/>
      <c r="GDE1726" s="227"/>
      <c r="GDF1726" s="227"/>
      <c r="GDG1726" s="227"/>
      <c r="GDH1726" s="227"/>
      <c r="GDI1726" s="227"/>
      <c r="GDJ1726" s="227"/>
      <c r="GDK1726" s="227"/>
      <c r="GDL1726" s="227"/>
      <c r="GDM1726" s="227"/>
      <c r="GDN1726" s="227"/>
      <c r="GDO1726" s="227"/>
      <c r="GDP1726" s="227"/>
      <c r="GDQ1726" s="227"/>
      <c r="GDR1726" s="227"/>
      <c r="GDS1726" s="227"/>
      <c r="GDT1726" s="227"/>
      <c r="GDU1726" s="227"/>
      <c r="GDV1726" s="227"/>
      <c r="GDW1726" s="227"/>
      <c r="GDX1726" s="227"/>
      <c r="GDY1726" s="227"/>
      <c r="GDZ1726" s="227"/>
      <c r="GEA1726" s="227"/>
      <c r="GEB1726" s="227"/>
      <c r="GEC1726" s="227"/>
      <c r="GED1726" s="227"/>
      <c r="GEE1726" s="227"/>
      <c r="GEF1726" s="227"/>
      <c r="GEG1726" s="227"/>
      <c r="GEH1726" s="227"/>
      <c r="GEI1726" s="227"/>
      <c r="GEJ1726" s="227"/>
      <c r="GEK1726" s="227"/>
      <c r="GEL1726" s="227"/>
      <c r="GEM1726" s="227"/>
      <c r="GEN1726" s="227"/>
      <c r="GEO1726" s="227"/>
      <c r="GEP1726" s="227"/>
      <c r="GEQ1726" s="227"/>
      <c r="GER1726" s="227"/>
      <c r="GES1726" s="227"/>
      <c r="GET1726" s="227"/>
      <c r="GEU1726" s="227"/>
      <c r="GEV1726" s="227"/>
      <c r="GEW1726" s="227"/>
      <c r="GEX1726" s="227"/>
      <c r="GEY1726" s="227"/>
      <c r="GEZ1726" s="227"/>
      <c r="GFA1726" s="227"/>
      <c r="GFB1726" s="227"/>
      <c r="GFC1726" s="227"/>
      <c r="GFD1726" s="227"/>
      <c r="GFE1726" s="227"/>
      <c r="GFF1726" s="227"/>
      <c r="GFG1726" s="227"/>
      <c r="GFH1726" s="227"/>
      <c r="GFI1726" s="227"/>
      <c r="GFJ1726" s="227"/>
      <c r="GFK1726" s="227"/>
      <c r="GFL1726" s="227"/>
      <c r="GFM1726" s="227"/>
      <c r="GFN1726" s="227"/>
      <c r="GFO1726" s="227"/>
      <c r="GFP1726" s="227"/>
      <c r="GFQ1726" s="227"/>
      <c r="GFR1726" s="227"/>
      <c r="GFS1726" s="227"/>
      <c r="GFT1726" s="227"/>
      <c r="GFU1726" s="227"/>
      <c r="GFV1726" s="227"/>
      <c r="GFW1726" s="227"/>
      <c r="GFX1726" s="227"/>
      <c r="GFY1726" s="227"/>
      <c r="GFZ1726" s="227"/>
      <c r="GGA1726" s="227"/>
      <c r="GGB1726" s="227"/>
      <c r="GGC1726" s="227"/>
      <c r="GGD1726" s="227"/>
      <c r="GGE1726" s="227"/>
      <c r="GGF1726" s="227"/>
      <c r="GGG1726" s="227"/>
      <c r="GGH1726" s="227"/>
      <c r="GGI1726" s="227"/>
      <c r="GGJ1726" s="227"/>
      <c r="GGK1726" s="227"/>
      <c r="GGL1726" s="227"/>
      <c r="GGM1726" s="227"/>
      <c r="GGN1726" s="227"/>
      <c r="GGO1726" s="227"/>
      <c r="GGP1726" s="227"/>
      <c r="GGQ1726" s="227"/>
      <c r="GGR1726" s="227"/>
      <c r="GGS1726" s="227"/>
      <c r="GGT1726" s="227"/>
      <c r="GGU1726" s="227"/>
      <c r="GGV1726" s="227"/>
      <c r="GGW1726" s="227"/>
      <c r="GGX1726" s="227"/>
      <c r="GGY1726" s="227"/>
      <c r="GGZ1726" s="227"/>
      <c r="GHA1726" s="227"/>
      <c r="GHB1726" s="227"/>
      <c r="GHC1726" s="227"/>
      <c r="GHD1726" s="227"/>
      <c r="GHE1726" s="227"/>
      <c r="GHF1726" s="227"/>
      <c r="GHG1726" s="227"/>
      <c r="GHH1726" s="227"/>
      <c r="GHI1726" s="227"/>
      <c r="GHJ1726" s="227"/>
      <c r="GHK1726" s="227"/>
      <c r="GHL1726" s="227"/>
      <c r="GHM1726" s="227"/>
      <c r="GHN1726" s="227"/>
      <c r="GHO1726" s="227"/>
      <c r="GHP1726" s="227"/>
      <c r="GHQ1726" s="227"/>
      <c r="GHR1726" s="227"/>
      <c r="GHS1726" s="227"/>
      <c r="GHT1726" s="227"/>
      <c r="GHU1726" s="227"/>
      <c r="GHV1726" s="227"/>
      <c r="GHW1726" s="227"/>
      <c r="GHX1726" s="227"/>
      <c r="GHY1726" s="227"/>
      <c r="GHZ1726" s="227"/>
      <c r="GIA1726" s="227"/>
      <c r="GIB1726" s="227"/>
      <c r="GIC1726" s="227"/>
      <c r="GID1726" s="227"/>
      <c r="GIE1726" s="227"/>
      <c r="GIF1726" s="227"/>
      <c r="GIG1726" s="227"/>
      <c r="GIH1726" s="227"/>
      <c r="GII1726" s="227"/>
      <c r="GIJ1726" s="227"/>
      <c r="GIK1726" s="227"/>
      <c r="GIL1726" s="227"/>
      <c r="GIM1726" s="227"/>
      <c r="GIN1726" s="227"/>
      <c r="GIO1726" s="227"/>
      <c r="GIP1726" s="227"/>
      <c r="GIQ1726" s="227"/>
      <c r="GIR1726" s="227"/>
      <c r="GIS1726" s="227"/>
      <c r="GIT1726" s="227"/>
      <c r="GIU1726" s="227"/>
      <c r="GIV1726" s="227"/>
      <c r="GIW1726" s="227"/>
      <c r="GIX1726" s="227"/>
      <c r="GIY1726" s="227"/>
      <c r="GIZ1726" s="227"/>
      <c r="GJA1726" s="227"/>
      <c r="GJB1726" s="227"/>
      <c r="GJC1726" s="227"/>
      <c r="GJD1726" s="227"/>
      <c r="GJE1726" s="227"/>
      <c r="GJF1726" s="227"/>
      <c r="GJG1726" s="227"/>
      <c r="GJH1726" s="227"/>
      <c r="GJI1726" s="227"/>
      <c r="GJJ1726" s="227"/>
      <c r="GJK1726" s="227"/>
      <c r="GJL1726" s="227"/>
      <c r="GJM1726" s="227"/>
      <c r="GJN1726" s="227"/>
      <c r="GJO1726" s="227"/>
      <c r="GJP1726" s="227"/>
      <c r="GJQ1726" s="227"/>
      <c r="GJR1726" s="227"/>
      <c r="GJS1726" s="227"/>
      <c r="GJT1726" s="227"/>
      <c r="GJU1726" s="227"/>
      <c r="GJV1726" s="227"/>
      <c r="GJW1726" s="227"/>
      <c r="GJX1726" s="227"/>
      <c r="GJY1726" s="227"/>
      <c r="GJZ1726" s="227"/>
      <c r="GKA1726" s="227"/>
      <c r="GKB1726" s="227"/>
      <c r="GKC1726" s="227"/>
      <c r="GKD1726" s="227"/>
      <c r="GKE1726" s="227"/>
      <c r="GKF1726" s="227"/>
      <c r="GKG1726" s="227"/>
      <c r="GKH1726" s="227"/>
      <c r="GKI1726" s="227"/>
      <c r="GKJ1726" s="227"/>
      <c r="GKK1726" s="227"/>
      <c r="GKL1726" s="227"/>
      <c r="GKM1726" s="227"/>
      <c r="GKN1726" s="227"/>
      <c r="GKO1726" s="227"/>
      <c r="GKP1726" s="227"/>
      <c r="GKQ1726" s="227"/>
      <c r="GKR1726" s="227"/>
      <c r="GKS1726" s="227"/>
      <c r="GKT1726" s="227"/>
      <c r="GKU1726" s="227"/>
      <c r="GKV1726" s="227"/>
      <c r="GKW1726" s="227"/>
      <c r="GKX1726" s="227"/>
      <c r="GKY1726" s="227"/>
      <c r="GKZ1726" s="227"/>
      <c r="GLA1726" s="227"/>
      <c r="GLB1726" s="227"/>
      <c r="GLC1726" s="227"/>
      <c r="GLD1726" s="227"/>
      <c r="GLE1726" s="227"/>
      <c r="GLF1726" s="227"/>
      <c r="GLG1726" s="227"/>
      <c r="GLH1726" s="227"/>
      <c r="GLI1726" s="227"/>
      <c r="GLJ1726" s="227"/>
      <c r="GLK1726" s="227"/>
      <c r="GLL1726" s="227"/>
      <c r="GLM1726" s="227"/>
      <c r="GLN1726" s="227"/>
      <c r="GLO1726" s="227"/>
      <c r="GLP1726" s="227"/>
      <c r="GLQ1726" s="227"/>
      <c r="GLR1726" s="227"/>
      <c r="GLS1726" s="227"/>
      <c r="GLT1726" s="227"/>
      <c r="GLU1726" s="227"/>
      <c r="GLV1726" s="227"/>
      <c r="GLW1726" s="227"/>
      <c r="GLX1726" s="227"/>
      <c r="GLY1726" s="227"/>
      <c r="GLZ1726" s="227"/>
      <c r="GMA1726" s="227"/>
      <c r="GMB1726" s="227"/>
      <c r="GMC1726" s="227"/>
      <c r="GMD1726" s="227"/>
      <c r="GME1726" s="227"/>
      <c r="GMF1726" s="227"/>
      <c r="GMG1726" s="227"/>
      <c r="GMH1726" s="227"/>
      <c r="GMI1726" s="227"/>
      <c r="GMJ1726" s="227"/>
      <c r="GMK1726" s="227"/>
      <c r="GML1726" s="227"/>
      <c r="GMM1726" s="227"/>
      <c r="GMN1726" s="227"/>
      <c r="GMO1726" s="227"/>
      <c r="GMP1726" s="227"/>
      <c r="GMQ1726" s="227"/>
      <c r="GMR1726" s="227"/>
      <c r="GMS1726" s="227"/>
      <c r="GMT1726" s="227"/>
      <c r="GMU1726" s="227"/>
      <c r="GMV1726" s="227"/>
      <c r="GMW1726" s="227"/>
      <c r="GMX1726" s="227"/>
      <c r="GMY1726" s="227"/>
      <c r="GMZ1726" s="227"/>
      <c r="GNA1726" s="227"/>
      <c r="GNB1726" s="227"/>
      <c r="GNC1726" s="227"/>
      <c r="GND1726" s="227"/>
      <c r="GNE1726" s="227"/>
      <c r="GNF1726" s="227"/>
      <c r="GNG1726" s="227"/>
      <c r="GNH1726" s="227"/>
      <c r="GNI1726" s="227"/>
      <c r="GNJ1726" s="227"/>
      <c r="GNK1726" s="227"/>
      <c r="GNL1726" s="227"/>
      <c r="GNM1726" s="227"/>
      <c r="GNN1726" s="227"/>
      <c r="GNO1726" s="227"/>
      <c r="GNP1726" s="227"/>
      <c r="GNQ1726" s="227"/>
      <c r="GNR1726" s="227"/>
      <c r="GNS1726" s="227"/>
      <c r="GNT1726" s="227"/>
      <c r="GNU1726" s="227"/>
      <c r="GNV1726" s="227"/>
      <c r="GNW1726" s="227"/>
      <c r="GNX1726" s="227"/>
      <c r="GNY1726" s="227"/>
      <c r="GNZ1726" s="227"/>
      <c r="GOA1726" s="227"/>
      <c r="GOB1726" s="227"/>
      <c r="GOC1726" s="227"/>
      <c r="GOD1726" s="227"/>
      <c r="GOE1726" s="227"/>
      <c r="GOF1726" s="227"/>
      <c r="GOG1726" s="227"/>
      <c r="GOH1726" s="227"/>
      <c r="GOI1726" s="227"/>
      <c r="GOJ1726" s="227"/>
      <c r="GOK1726" s="227"/>
      <c r="GOL1726" s="227"/>
      <c r="GOM1726" s="227"/>
      <c r="GON1726" s="227"/>
      <c r="GOO1726" s="227"/>
      <c r="GOP1726" s="227"/>
      <c r="GOQ1726" s="227"/>
      <c r="GOR1726" s="227"/>
      <c r="GOS1726" s="227"/>
      <c r="GOT1726" s="227"/>
      <c r="GOU1726" s="227"/>
      <c r="GOV1726" s="227"/>
      <c r="GOW1726" s="227"/>
      <c r="GOX1726" s="227"/>
      <c r="GOY1726" s="227"/>
      <c r="GOZ1726" s="227"/>
      <c r="GPA1726" s="227"/>
      <c r="GPB1726" s="227"/>
      <c r="GPC1726" s="227"/>
      <c r="GPD1726" s="227"/>
      <c r="GPE1726" s="227"/>
      <c r="GPF1726" s="227"/>
      <c r="GPG1726" s="227"/>
      <c r="GPH1726" s="227"/>
      <c r="GPI1726" s="227"/>
      <c r="GPJ1726" s="227"/>
      <c r="GPK1726" s="227"/>
      <c r="GPL1726" s="227"/>
      <c r="GPM1726" s="227"/>
      <c r="GPN1726" s="227"/>
      <c r="GPO1726" s="227"/>
      <c r="GPP1726" s="227"/>
      <c r="GPQ1726" s="227"/>
      <c r="GPR1726" s="227"/>
      <c r="GPS1726" s="227"/>
      <c r="GPT1726" s="227"/>
      <c r="GPU1726" s="227"/>
      <c r="GPV1726" s="227"/>
      <c r="GPW1726" s="227"/>
      <c r="GPX1726" s="227"/>
      <c r="GPY1726" s="227"/>
      <c r="GPZ1726" s="227"/>
      <c r="GQA1726" s="227"/>
      <c r="GQB1726" s="227"/>
      <c r="GQC1726" s="227"/>
      <c r="GQD1726" s="227"/>
      <c r="GQE1726" s="227"/>
      <c r="GQF1726" s="227"/>
      <c r="GQG1726" s="227"/>
      <c r="GQH1726" s="227"/>
      <c r="GQI1726" s="227"/>
      <c r="GQJ1726" s="227"/>
      <c r="GQK1726" s="227"/>
      <c r="GQL1726" s="227"/>
      <c r="GQM1726" s="227"/>
      <c r="GQN1726" s="227"/>
      <c r="GQO1726" s="227"/>
      <c r="GQP1726" s="227"/>
      <c r="GQQ1726" s="227"/>
      <c r="GQR1726" s="227"/>
      <c r="GQS1726" s="227"/>
      <c r="GQT1726" s="227"/>
      <c r="GQU1726" s="227"/>
      <c r="GQV1726" s="227"/>
      <c r="GQW1726" s="227"/>
      <c r="GQX1726" s="227"/>
      <c r="GQY1726" s="227"/>
      <c r="GQZ1726" s="227"/>
      <c r="GRA1726" s="227"/>
      <c r="GRB1726" s="227"/>
      <c r="GRC1726" s="227"/>
      <c r="GRD1726" s="227"/>
      <c r="GRE1726" s="227"/>
      <c r="GRF1726" s="227"/>
      <c r="GRG1726" s="227"/>
      <c r="GRH1726" s="227"/>
      <c r="GRI1726" s="227"/>
      <c r="GRJ1726" s="227"/>
      <c r="GRK1726" s="227"/>
      <c r="GRL1726" s="227"/>
      <c r="GRM1726" s="227"/>
      <c r="GRN1726" s="227"/>
      <c r="GRO1726" s="227"/>
      <c r="GRP1726" s="227"/>
      <c r="GRQ1726" s="227"/>
      <c r="GRR1726" s="227"/>
      <c r="GRS1726" s="227"/>
      <c r="GRT1726" s="227"/>
      <c r="GRU1726" s="227"/>
      <c r="GRV1726" s="227"/>
      <c r="GRW1726" s="227"/>
      <c r="GRX1726" s="227"/>
      <c r="GRY1726" s="227"/>
      <c r="GRZ1726" s="227"/>
      <c r="GSA1726" s="227"/>
      <c r="GSB1726" s="227"/>
      <c r="GSC1726" s="227"/>
      <c r="GSD1726" s="227"/>
      <c r="GSE1726" s="227"/>
      <c r="GSF1726" s="227"/>
      <c r="GSG1726" s="227"/>
      <c r="GSH1726" s="227"/>
      <c r="GSI1726" s="227"/>
      <c r="GSJ1726" s="227"/>
      <c r="GSK1726" s="227"/>
      <c r="GSL1726" s="227"/>
      <c r="GSM1726" s="227"/>
      <c r="GSN1726" s="227"/>
      <c r="GSO1726" s="227"/>
      <c r="GSP1726" s="227"/>
      <c r="GSQ1726" s="227"/>
      <c r="GSR1726" s="227"/>
      <c r="GSS1726" s="227"/>
      <c r="GST1726" s="227"/>
      <c r="GSU1726" s="227"/>
      <c r="GSV1726" s="227"/>
      <c r="GSW1726" s="227"/>
      <c r="GSX1726" s="227"/>
      <c r="GSY1726" s="227"/>
      <c r="GSZ1726" s="227"/>
      <c r="GTA1726" s="227"/>
      <c r="GTB1726" s="227"/>
      <c r="GTC1726" s="227"/>
      <c r="GTD1726" s="227"/>
      <c r="GTE1726" s="227"/>
      <c r="GTF1726" s="227"/>
      <c r="GTG1726" s="227"/>
      <c r="GTH1726" s="227"/>
      <c r="GTI1726" s="227"/>
      <c r="GTJ1726" s="227"/>
      <c r="GTK1726" s="227"/>
      <c r="GTL1726" s="227"/>
      <c r="GTM1726" s="227"/>
      <c r="GTN1726" s="227"/>
      <c r="GTO1726" s="227"/>
      <c r="GTP1726" s="227"/>
      <c r="GTQ1726" s="227"/>
      <c r="GTR1726" s="227"/>
      <c r="GTS1726" s="227"/>
      <c r="GTT1726" s="227"/>
      <c r="GTU1726" s="227"/>
      <c r="GTV1726" s="227"/>
      <c r="GTW1726" s="227"/>
      <c r="GTX1726" s="227"/>
      <c r="GTY1726" s="227"/>
      <c r="GTZ1726" s="227"/>
      <c r="GUA1726" s="227"/>
      <c r="GUB1726" s="227"/>
      <c r="GUC1726" s="227"/>
      <c r="GUD1726" s="227"/>
      <c r="GUE1726" s="227"/>
      <c r="GUF1726" s="227"/>
      <c r="GUG1726" s="227"/>
      <c r="GUH1726" s="227"/>
      <c r="GUI1726" s="227"/>
      <c r="GUJ1726" s="227"/>
      <c r="GUK1726" s="227"/>
      <c r="GUL1726" s="227"/>
      <c r="GUM1726" s="227"/>
      <c r="GUN1726" s="227"/>
      <c r="GUO1726" s="227"/>
      <c r="GUP1726" s="227"/>
      <c r="GUQ1726" s="227"/>
      <c r="GUR1726" s="227"/>
      <c r="GUS1726" s="227"/>
      <c r="GUT1726" s="227"/>
      <c r="GUU1726" s="227"/>
      <c r="GUV1726" s="227"/>
      <c r="GUW1726" s="227"/>
      <c r="GUX1726" s="227"/>
      <c r="GUY1726" s="227"/>
      <c r="GUZ1726" s="227"/>
      <c r="GVA1726" s="227"/>
      <c r="GVB1726" s="227"/>
      <c r="GVC1726" s="227"/>
      <c r="GVD1726" s="227"/>
      <c r="GVE1726" s="227"/>
      <c r="GVF1726" s="227"/>
      <c r="GVG1726" s="227"/>
      <c r="GVH1726" s="227"/>
      <c r="GVI1726" s="227"/>
      <c r="GVJ1726" s="227"/>
      <c r="GVK1726" s="227"/>
      <c r="GVL1726" s="227"/>
      <c r="GVM1726" s="227"/>
      <c r="GVN1726" s="227"/>
      <c r="GVO1726" s="227"/>
      <c r="GVP1726" s="227"/>
      <c r="GVQ1726" s="227"/>
      <c r="GVR1726" s="227"/>
      <c r="GVS1726" s="227"/>
      <c r="GVT1726" s="227"/>
      <c r="GVU1726" s="227"/>
      <c r="GVV1726" s="227"/>
      <c r="GVW1726" s="227"/>
      <c r="GVX1726" s="227"/>
      <c r="GVY1726" s="227"/>
      <c r="GVZ1726" s="227"/>
      <c r="GWA1726" s="227"/>
      <c r="GWB1726" s="227"/>
      <c r="GWC1726" s="227"/>
      <c r="GWD1726" s="227"/>
      <c r="GWE1726" s="227"/>
      <c r="GWF1726" s="227"/>
      <c r="GWG1726" s="227"/>
      <c r="GWH1726" s="227"/>
      <c r="GWI1726" s="227"/>
      <c r="GWJ1726" s="227"/>
      <c r="GWK1726" s="227"/>
      <c r="GWL1726" s="227"/>
      <c r="GWM1726" s="227"/>
      <c r="GWN1726" s="227"/>
      <c r="GWO1726" s="227"/>
      <c r="GWP1726" s="227"/>
      <c r="GWQ1726" s="227"/>
      <c r="GWR1726" s="227"/>
      <c r="GWS1726" s="227"/>
      <c r="GWT1726" s="227"/>
      <c r="GWU1726" s="227"/>
      <c r="GWV1726" s="227"/>
      <c r="GWW1726" s="227"/>
      <c r="GWX1726" s="227"/>
      <c r="GWY1726" s="227"/>
      <c r="GWZ1726" s="227"/>
      <c r="GXA1726" s="227"/>
      <c r="GXB1726" s="227"/>
      <c r="GXC1726" s="227"/>
      <c r="GXD1726" s="227"/>
      <c r="GXE1726" s="227"/>
      <c r="GXF1726" s="227"/>
      <c r="GXG1726" s="227"/>
      <c r="GXH1726" s="227"/>
      <c r="GXI1726" s="227"/>
      <c r="GXJ1726" s="227"/>
      <c r="GXK1726" s="227"/>
      <c r="GXL1726" s="227"/>
      <c r="GXM1726" s="227"/>
      <c r="GXN1726" s="227"/>
      <c r="GXO1726" s="227"/>
      <c r="GXP1726" s="227"/>
      <c r="GXQ1726" s="227"/>
      <c r="GXR1726" s="227"/>
      <c r="GXS1726" s="227"/>
      <c r="GXT1726" s="227"/>
      <c r="GXU1726" s="227"/>
      <c r="GXV1726" s="227"/>
      <c r="GXW1726" s="227"/>
      <c r="GXX1726" s="227"/>
      <c r="GXY1726" s="227"/>
      <c r="GXZ1726" s="227"/>
      <c r="GYA1726" s="227"/>
      <c r="GYB1726" s="227"/>
      <c r="GYC1726" s="227"/>
      <c r="GYD1726" s="227"/>
      <c r="GYE1726" s="227"/>
      <c r="GYF1726" s="227"/>
      <c r="GYG1726" s="227"/>
      <c r="GYH1726" s="227"/>
      <c r="GYI1726" s="227"/>
      <c r="GYJ1726" s="227"/>
      <c r="GYK1726" s="227"/>
      <c r="GYL1726" s="227"/>
      <c r="GYM1726" s="227"/>
      <c r="GYN1726" s="227"/>
      <c r="GYO1726" s="227"/>
      <c r="GYP1726" s="227"/>
      <c r="GYQ1726" s="227"/>
      <c r="GYR1726" s="227"/>
      <c r="GYS1726" s="227"/>
      <c r="GYT1726" s="227"/>
      <c r="GYU1726" s="227"/>
      <c r="GYV1726" s="227"/>
      <c r="GYW1726" s="227"/>
      <c r="GYX1726" s="227"/>
      <c r="GYY1726" s="227"/>
      <c r="GYZ1726" s="227"/>
      <c r="GZA1726" s="227"/>
      <c r="GZB1726" s="227"/>
      <c r="GZC1726" s="227"/>
      <c r="GZD1726" s="227"/>
      <c r="GZE1726" s="227"/>
      <c r="GZF1726" s="227"/>
      <c r="GZG1726" s="227"/>
      <c r="GZH1726" s="227"/>
      <c r="GZI1726" s="227"/>
      <c r="GZJ1726" s="227"/>
      <c r="GZK1726" s="227"/>
      <c r="GZL1726" s="227"/>
      <c r="GZM1726" s="227"/>
      <c r="GZN1726" s="227"/>
      <c r="GZO1726" s="227"/>
      <c r="GZP1726" s="227"/>
      <c r="GZQ1726" s="227"/>
      <c r="GZR1726" s="227"/>
      <c r="GZS1726" s="227"/>
      <c r="GZT1726" s="227"/>
      <c r="GZU1726" s="227"/>
      <c r="GZV1726" s="227"/>
      <c r="GZW1726" s="227"/>
      <c r="GZX1726" s="227"/>
      <c r="GZY1726" s="227"/>
      <c r="GZZ1726" s="227"/>
      <c r="HAA1726" s="227"/>
      <c r="HAB1726" s="227"/>
      <c r="HAC1726" s="227"/>
      <c r="HAD1726" s="227"/>
      <c r="HAE1726" s="227"/>
      <c r="HAF1726" s="227"/>
      <c r="HAG1726" s="227"/>
      <c r="HAH1726" s="227"/>
      <c r="HAI1726" s="227"/>
      <c r="HAJ1726" s="227"/>
      <c r="HAK1726" s="227"/>
      <c r="HAL1726" s="227"/>
      <c r="HAM1726" s="227"/>
      <c r="HAN1726" s="227"/>
      <c r="HAO1726" s="227"/>
      <c r="HAP1726" s="227"/>
      <c r="HAQ1726" s="227"/>
      <c r="HAR1726" s="227"/>
      <c r="HAS1726" s="227"/>
      <c r="HAT1726" s="227"/>
      <c r="HAU1726" s="227"/>
      <c r="HAV1726" s="227"/>
      <c r="HAW1726" s="227"/>
      <c r="HAX1726" s="227"/>
      <c r="HAY1726" s="227"/>
      <c r="HAZ1726" s="227"/>
      <c r="HBA1726" s="227"/>
      <c r="HBB1726" s="227"/>
      <c r="HBC1726" s="227"/>
      <c r="HBD1726" s="227"/>
      <c r="HBE1726" s="227"/>
      <c r="HBF1726" s="227"/>
      <c r="HBG1726" s="227"/>
      <c r="HBH1726" s="227"/>
      <c r="HBI1726" s="227"/>
      <c r="HBJ1726" s="227"/>
      <c r="HBK1726" s="227"/>
      <c r="HBL1726" s="227"/>
      <c r="HBM1726" s="227"/>
      <c r="HBN1726" s="227"/>
      <c r="HBO1726" s="227"/>
      <c r="HBP1726" s="227"/>
      <c r="HBQ1726" s="227"/>
      <c r="HBR1726" s="227"/>
      <c r="HBS1726" s="227"/>
      <c r="HBT1726" s="227"/>
      <c r="HBU1726" s="227"/>
      <c r="HBV1726" s="227"/>
      <c r="HBW1726" s="227"/>
      <c r="HBX1726" s="227"/>
      <c r="HBY1726" s="227"/>
      <c r="HBZ1726" s="227"/>
      <c r="HCA1726" s="227"/>
      <c r="HCB1726" s="227"/>
      <c r="HCC1726" s="227"/>
      <c r="HCD1726" s="227"/>
      <c r="HCE1726" s="227"/>
      <c r="HCF1726" s="227"/>
      <c r="HCG1726" s="227"/>
      <c r="HCH1726" s="227"/>
      <c r="HCI1726" s="227"/>
      <c r="HCJ1726" s="227"/>
      <c r="HCK1726" s="227"/>
      <c r="HCL1726" s="227"/>
      <c r="HCM1726" s="227"/>
      <c r="HCN1726" s="227"/>
      <c r="HCO1726" s="227"/>
      <c r="HCP1726" s="227"/>
      <c r="HCQ1726" s="227"/>
      <c r="HCR1726" s="227"/>
      <c r="HCS1726" s="227"/>
      <c r="HCT1726" s="227"/>
      <c r="HCU1726" s="227"/>
      <c r="HCV1726" s="227"/>
      <c r="HCW1726" s="227"/>
      <c r="HCX1726" s="227"/>
      <c r="HCY1726" s="227"/>
      <c r="HCZ1726" s="227"/>
      <c r="HDA1726" s="227"/>
      <c r="HDB1726" s="227"/>
      <c r="HDC1726" s="227"/>
      <c r="HDD1726" s="227"/>
      <c r="HDE1726" s="227"/>
      <c r="HDF1726" s="227"/>
      <c r="HDG1726" s="227"/>
      <c r="HDH1726" s="227"/>
      <c r="HDI1726" s="227"/>
      <c r="HDJ1726" s="227"/>
      <c r="HDK1726" s="227"/>
      <c r="HDL1726" s="227"/>
      <c r="HDM1726" s="227"/>
      <c r="HDN1726" s="227"/>
      <c r="HDO1726" s="227"/>
      <c r="HDP1726" s="227"/>
      <c r="HDQ1726" s="227"/>
      <c r="HDR1726" s="227"/>
      <c r="HDS1726" s="227"/>
      <c r="HDT1726" s="227"/>
      <c r="HDU1726" s="227"/>
      <c r="HDV1726" s="227"/>
      <c r="HDW1726" s="227"/>
      <c r="HDX1726" s="227"/>
      <c r="HDY1726" s="227"/>
      <c r="HDZ1726" s="227"/>
      <c r="HEA1726" s="227"/>
      <c r="HEB1726" s="227"/>
      <c r="HEC1726" s="227"/>
      <c r="HED1726" s="227"/>
      <c r="HEE1726" s="227"/>
      <c r="HEF1726" s="227"/>
      <c r="HEG1726" s="227"/>
      <c r="HEH1726" s="227"/>
      <c r="HEI1726" s="227"/>
      <c r="HEJ1726" s="227"/>
      <c r="HEK1726" s="227"/>
      <c r="HEL1726" s="227"/>
      <c r="HEM1726" s="227"/>
      <c r="HEN1726" s="227"/>
      <c r="HEO1726" s="227"/>
      <c r="HEP1726" s="227"/>
      <c r="HEQ1726" s="227"/>
      <c r="HER1726" s="227"/>
      <c r="HES1726" s="227"/>
      <c r="HET1726" s="227"/>
      <c r="HEU1726" s="227"/>
      <c r="HEV1726" s="227"/>
      <c r="HEW1726" s="227"/>
      <c r="HEX1726" s="227"/>
      <c r="HEY1726" s="227"/>
      <c r="HEZ1726" s="227"/>
      <c r="HFA1726" s="227"/>
      <c r="HFB1726" s="227"/>
      <c r="HFC1726" s="227"/>
      <c r="HFD1726" s="227"/>
      <c r="HFE1726" s="227"/>
      <c r="HFF1726" s="227"/>
      <c r="HFG1726" s="227"/>
      <c r="HFH1726" s="227"/>
      <c r="HFI1726" s="227"/>
      <c r="HFJ1726" s="227"/>
      <c r="HFK1726" s="227"/>
      <c r="HFL1726" s="227"/>
      <c r="HFM1726" s="227"/>
      <c r="HFN1726" s="227"/>
      <c r="HFO1726" s="227"/>
      <c r="HFP1726" s="227"/>
      <c r="HFQ1726" s="227"/>
      <c r="HFR1726" s="227"/>
      <c r="HFS1726" s="227"/>
      <c r="HFT1726" s="227"/>
      <c r="HFU1726" s="227"/>
      <c r="HFV1726" s="227"/>
      <c r="HFW1726" s="227"/>
      <c r="HFX1726" s="227"/>
      <c r="HFY1726" s="227"/>
      <c r="HFZ1726" s="227"/>
      <c r="HGA1726" s="227"/>
      <c r="HGB1726" s="227"/>
      <c r="HGC1726" s="227"/>
      <c r="HGD1726" s="227"/>
      <c r="HGE1726" s="227"/>
      <c r="HGF1726" s="227"/>
      <c r="HGG1726" s="227"/>
      <c r="HGH1726" s="227"/>
      <c r="HGI1726" s="227"/>
      <c r="HGJ1726" s="227"/>
      <c r="HGK1726" s="227"/>
      <c r="HGL1726" s="227"/>
      <c r="HGM1726" s="227"/>
      <c r="HGN1726" s="227"/>
      <c r="HGO1726" s="227"/>
      <c r="HGP1726" s="227"/>
      <c r="HGQ1726" s="227"/>
      <c r="HGR1726" s="227"/>
      <c r="HGS1726" s="227"/>
      <c r="HGT1726" s="227"/>
      <c r="HGU1726" s="227"/>
      <c r="HGV1726" s="227"/>
      <c r="HGW1726" s="227"/>
      <c r="HGX1726" s="227"/>
      <c r="HGY1726" s="227"/>
      <c r="HGZ1726" s="227"/>
      <c r="HHA1726" s="227"/>
      <c r="HHB1726" s="227"/>
      <c r="HHC1726" s="227"/>
      <c r="HHD1726" s="227"/>
      <c r="HHE1726" s="227"/>
      <c r="HHF1726" s="227"/>
      <c r="HHG1726" s="227"/>
      <c r="HHH1726" s="227"/>
      <c r="HHI1726" s="227"/>
      <c r="HHJ1726" s="227"/>
      <c r="HHK1726" s="227"/>
      <c r="HHL1726" s="227"/>
      <c r="HHM1726" s="227"/>
      <c r="HHN1726" s="227"/>
      <c r="HHO1726" s="227"/>
      <c r="HHP1726" s="227"/>
      <c r="HHQ1726" s="227"/>
      <c r="HHR1726" s="227"/>
      <c r="HHS1726" s="227"/>
      <c r="HHT1726" s="227"/>
      <c r="HHU1726" s="227"/>
      <c r="HHV1726" s="227"/>
      <c r="HHW1726" s="227"/>
      <c r="HHX1726" s="227"/>
      <c r="HHY1726" s="227"/>
      <c r="HHZ1726" s="227"/>
      <c r="HIA1726" s="227"/>
      <c r="HIB1726" s="227"/>
      <c r="HIC1726" s="227"/>
      <c r="HID1726" s="227"/>
      <c r="HIE1726" s="227"/>
      <c r="HIF1726" s="227"/>
      <c r="HIG1726" s="227"/>
      <c r="HIH1726" s="227"/>
      <c r="HII1726" s="227"/>
      <c r="HIJ1726" s="227"/>
      <c r="HIK1726" s="227"/>
      <c r="HIL1726" s="227"/>
      <c r="HIM1726" s="227"/>
      <c r="HIN1726" s="227"/>
      <c r="HIO1726" s="227"/>
      <c r="HIP1726" s="227"/>
      <c r="HIQ1726" s="227"/>
      <c r="HIR1726" s="227"/>
      <c r="HIS1726" s="227"/>
      <c r="HIT1726" s="227"/>
      <c r="HIU1726" s="227"/>
      <c r="HIV1726" s="227"/>
      <c r="HIW1726" s="227"/>
      <c r="HIX1726" s="227"/>
      <c r="HIY1726" s="227"/>
      <c r="HIZ1726" s="227"/>
      <c r="HJA1726" s="227"/>
      <c r="HJB1726" s="227"/>
      <c r="HJC1726" s="227"/>
      <c r="HJD1726" s="227"/>
      <c r="HJE1726" s="227"/>
      <c r="HJF1726" s="227"/>
      <c r="HJG1726" s="227"/>
      <c r="HJH1726" s="227"/>
      <c r="HJI1726" s="227"/>
      <c r="HJJ1726" s="227"/>
      <c r="HJK1726" s="227"/>
      <c r="HJL1726" s="227"/>
      <c r="HJM1726" s="227"/>
      <c r="HJN1726" s="227"/>
      <c r="HJO1726" s="227"/>
      <c r="HJP1726" s="227"/>
      <c r="HJQ1726" s="227"/>
      <c r="HJR1726" s="227"/>
      <c r="HJS1726" s="227"/>
      <c r="HJT1726" s="227"/>
      <c r="HJU1726" s="227"/>
      <c r="HJV1726" s="227"/>
      <c r="HJW1726" s="227"/>
      <c r="HJX1726" s="227"/>
      <c r="HJY1726" s="227"/>
      <c r="HJZ1726" s="227"/>
      <c r="HKA1726" s="227"/>
      <c r="HKB1726" s="227"/>
      <c r="HKC1726" s="227"/>
      <c r="HKD1726" s="227"/>
      <c r="HKE1726" s="227"/>
      <c r="HKF1726" s="227"/>
      <c r="HKG1726" s="227"/>
      <c r="HKH1726" s="227"/>
      <c r="HKI1726" s="227"/>
      <c r="HKJ1726" s="227"/>
      <c r="HKK1726" s="227"/>
      <c r="HKL1726" s="227"/>
      <c r="HKM1726" s="227"/>
      <c r="HKN1726" s="227"/>
      <c r="HKO1726" s="227"/>
      <c r="HKP1726" s="227"/>
      <c r="HKQ1726" s="227"/>
      <c r="HKR1726" s="227"/>
      <c r="HKS1726" s="227"/>
      <c r="HKT1726" s="227"/>
      <c r="HKU1726" s="227"/>
      <c r="HKV1726" s="227"/>
      <c r="HKW1726" s="227"/>
      <c r="HKX1726" s="227"/>
      <c r="HKY1726" s="227"/>
      <c r="HKZ1726" s="227"/>
      <c r="HLA1726" s="227"/>
      <c r="HLB1726" s="227"/>
      <c r="HLC1726" s="227"/>
      <c r="HLD1726" s="227"/>
      <c r="HLE1726" s="227"/>
      <c r="HLF1726" s="227"/>
      <c r="HLG1726" s="227"/>
      <c r="HLH1726" s="227"/>
      <c r="HLI1726" s="227"/>
      <c r="HLJ1726" s="227"/>
      <c r="HLK1726" s="227"/>
      <c r="HLL1726" s="227"/>
      <c r="HLM1726" s="227"/>
      <c r="HLN1726" s="227"/>
      <c r="HLO1726" s="227"/>
      <c r="HLP1726" s="227"/>
      <c r="HLQ1726" s="227"/>
      <c r="HLR1726" s="227"/>
      <c r="HLS1726" s="227"/>
      <c r="HLT1726" s="227"/>
      <c r="HLU1726" s="227"/>
      <c r="HLV1726" s="227"/>
      <c r="HLW1726" s="227"/>
      <c r="HLX1726" s="227"/>
      <c r="HLY1726" s="227"/>
      <c r="HLZ1726" s="227"/>
      <c r="HMA1726" s="227"/>
      <c r="HMB1726" s="227"/>
      <c r="HMC1726" s="227"/>
      <c r="HMD1726" s="227"/>
      <c r="HME1726" s="227"/>
      <c r="HMF1726" s="227"/>
      <c r="HMG1726" s="227"/>
      <c r="HMH1726" s="227"/>
      <c r="HMI1726" s="227"/>
      <c r="HMJ1726" s="227"/>
      <c r="HMK1726" s="227"/>
      <c r="HML1726" s="227"/>
      <c r="HMM1726" s="227"/>
      <c r="HMN1726" s="227"/>
      <c r="HMO1726" s="227"/>
      <c r="HMP1726" s="227"/>
      <c r="HMQ1726" s="227"/>
      <c r="HMR1726" s="227"/>
      <c r="HMS1726" s="227"/>
      <c r="HMT1726" s="227"/>
      <c r="HMU1726" s="227"/>
      <c r="HMV1726" s="227"/>
      <c r="HMW1726" s="227"/>
      <c r="HMX1726" s="227"/>
      <c r="HMY1726" s="227"/>
      <c r="HMZ1726" s="227"/>
      <c r="HNA1726" s="227"/>
      <c r="HNB1726" s="227"/>
      <c r="HNC1726" s="227"/>
      <c r="HND1726" s="227"/>
      <c r="HNE1726" s="227"/>
      <c r="HNF1726" s="227"/>
      <c r="HNG1726" s="227"/>
      <c r="HNH1726" s="227"/>
      <c r="HNI1726" s="227"/>
      <c r="HNJ1726" s="227"/>
      <c r="HNK1726" s="227"/>
      <c r="HNL1726" s="227"/>
      <c r="HNM1726" s="227"/>
      <c r="HNN1726" s="227"/>
      <c r="HNO1726" s="227"/>
      <c r="HNP1726" s="227"/>
      <c r="HNQ1726" s="227"/>
      <c r="HNR1726" s="227"/>
      <c r="HNS1726" s="227"/>
      <c r="HNT1726" s="227"/>
      <c r="HNU1726" s="227"/>
      <c r="HNV1726" s="227"/>
      <c r="HNW1726" s="227"/>
      <c r="HNX1726" s="227"/>
      <c r="HNY1726" s="227"/>
      <c r="HNZ1726" s="227"/>
      <c r="HOA1726" s="227"/>
      <c r="HOB1726" s="227"/>
      <c r="HOC1726" s="227"/>
      <c r="HOD1726" s="227"/>
      <c r="HOE1726" s="227"/>
      <c r="HOF1726" s="227"/>
      <c r="HOG1726" s="227"/>
      <c r="HOH1726" s="227"/>
      <c r="HOI1726" s="227"/>
      <c r="HOJ1726" s="227"/>
      <c r="HOK1726" s="227"/>
      <c r="HOL1726" s="227"/>
      <c r="HOM1726" s="227"/>
      <c r="HON1726" s="227"/>
      <c r="HOO1726" s="227"/>
      <c r="HOP1726" s="227"/>
      <c r="HOQ1726" s="227"/>
      <c r="HOR1726" s="227"/>
      <c r="HOS1726" s="227"/>
      <c r="HOT1726" s="227"/>
      <c r="HOU1726" s="227"/>
      <c r="HOV1726" s="227"/>
      <c r="HOW1726" s="227"/>
      <c r="HOX1726" s="227"/>
      <c r="HOY1726" s="227"/>
      <c r="HOZ1726" s="227"/>
      <c r="HPA1726" s="227"/>
      <c r="HPB1726" s="227"/>
      <c r="HPC1726" s="227"/>
      <c r="HPD1726" s="227"/>
      <c r="HPE1726" s="227"/>
      <c r="HPF1726" s="227"/>
      <c r="HPG1726" s="227"/>
      <c r="HPH1726" s="227"/>
      <c r="HPI1726" s="227"/>
      <c r="HPJ1726" s="227"/>
      <c r="HPK1726" s="227"/>
      <c r="HPL1726" s="227"/>
      <c r="HPM1726" s="227"/>
      <c r="HPN1726" s="227"/>
      <c r="HPO1726" s="227"/>
      <c r="HPP1726" s="227"/>
      <c r="HPQ1726" s="227"/>
      <c r="HPR1726" s="227"/>
      <c r="HPS1726" s="227"/>
      <c r="HPT1726" s="227"/>
      <c r="HPU1726" s="227"/>
      <c r="HPV1726" s="227"/>
      <c r="HPW1726" s="227"/>
      <c r="HPX1726" s="227"/>
      <c r="HPY1726" s="227"/>
      <c r="HPZ1726" s="227"/>
      <c r="HQA1726" s="227"/>
      <c r="HQB1726" s="227"/>
      <c r="HQC1726" s="227"/>
      <c r="HQD1726" s="227"/>
      <c r="HQE1726" s="227"/>
      <c r="HQF1726" s="227"/>
      <c r="HQG1726" s="227"/>
      <c r="HQH1726" s="227"/>
      <c r="HQI1726" s="227"/>
      <c r="HQJ1726" s="227"/>
      <c r="HQK1726" s="227"/>
      <c r="HQL1726" s="227"/>
      <c r="HQM1726" s="227"/>
      <c r="HQN1726" s="227"/>
      <c r="HQO1726" s="227"/>
      <c r="HQP1726" s="227"/>
      <c r="HQQ1726" s="227"/>
      <c r="HQR1726" s="227"/>
      <c r="HQS1726" s="227"/>
      <c r="HQT1726" s="227"/>
      <c r="HQU1726" s="227"/>
      <c r="HQV1726" s="227"/>
      <c r="HQW1726" s="227"/>
      <c r="HQX1726" s="227"/>
      <c r="HQY1726" s="227"/>
      <c r="HQZ1726" s="227"/>
      <c r="HRA1726" s="227"/>
      <c r="HRB1726" s="227"/>
      <c r="HRC1726" s="227"/>
      <c r="HRD1726" s="227"/>
      <c r="HRE1726" s="227"/>
      <c r="HRF1726" s="227"/>
      <c r="HRG1726" s="227"/>
      <c r="HRH1726" s="227"/>
      <c r="HRI1726" s="227"/>
      <c r="HRJ1726" s="227"/>
      <c r="HRK1726" s="227"/>
      <c r="HRL1726" s="227"/>
      <c r="HRM1726" s="227"/>
      <c r="HRN1726" s="227"/>
      <c r="HRO1726" s="227"/>
      <c r="HRP1726" s="227"/>
      <c r="HRQ1726" s="227"/>
      <c r="HRR1726" s="227"/>
      <c r="HRS1726" s="227"/>
      <c r="HRT1726" s="227"/>
      <c r="HRU1726" s="227"/>
      <c r="HRV1726" s="227"/>
      <c r="HRW1726" s="227"/>
      <c r="HRX1726" s="227"/>
      <c r="HRY1726" s="227"/>
      <c r="HRZ1726" s="227"/>
      <c r="HSA1726" s="227"/>
      <c r="HSB1726" s="227"/>
      <c r="HSC1726" s="227"/>
      <c r="HSD1726" s="227"/>
      <c r="HSE1726" s="227"/>
      <c r="HSF1726" s="227"/>
      <c r="HSG1726" s="227"/>
      <c r="HSH1726" s="227"/>
      <c r="HSI1726" s="227"/>
      <c r="HSJ1726" s="227"/>
      <c r="HSK1726" s="227"/>
      <c r="HSL1726" s="227"/>
      <c r="HSM1726" s="227"/>
      <c r="HSN1726" s="227"/>
      <c r="HSO1726" s="227"/>
      <c r="HSP1726" s="227"/>
      <c r="HSQ1726" s="227"/>
      <c r="HSR1726" s="227"/>
      <c r="HSS1726" s="227"/>
      <c r="HST1726" s="227"/>
      <c r="HSU1726" s="227"/>
      <c r="HSV1726" s="227"/>
      <c r="HSW1726" s="227"/>
      <c r="HSX1726" s="227"/>
      <c r="HSY1726" s="227"/>
      <c r="HSZ1726" s="227"/>
      <c r="HTA1726" s="227"/>
      <c r="HTB1726" s="227"/>
      <c r="HTC1726" s="227"/>
      <c r="HTD1726" s="227"/>
      <c r="HTE1726" s="227"/>
      <c r="HTF1726" s="227"/>
      <c r="HTG1726" s="227"/>
      <c r="HTH1726" s="227"/>
      <c r="HTI1726" s="227"/>
      <c r="HTJ1726" s="227"/>
      <c r="HTK1726" s="227"/>
      <c r="HTL1726" s="227"/>
      <c r="HTM1726" s="227"/>
      <c r="HTN1726" s="227"/>
      <c r="HTO1726" s="227"/>
      <c r="HTP1726" s="227"/>
      <c r="HTQ1726" s="227"/>
      <c r="HTR1726" s="227"/>
      <c r="HTS1726" s="227"/>
      <c r="HTT1726" s="227"/>
      <c r="HTU1726" s="227"/>
      <c r="HTV1726" s="227"/>
      <c r="HTW1726" s="227"/>
      <c r="HTX1726" s="227"/>
      <c r="HTY1726" s="227"/>
      <c r="HTZ1726" s="227"/>
      <c r="HUA1726" s="227"/>
      <c r="HUB1726" s="227"/>
      <c r="HUC1726" s="227"/>
      <c r="HUD1726" s="227"/>
      <c r="HUE1726" s="227"/>
      <c r="HUF1726" s="227"/>
      <c r="HUG1726" s="227"/>
      <c r="HUH1726" s="227"/>
      <c r="HUI1726" s="227"/>
      <c r="HUJ1726" s="227"/>
      <c r="HUK1726" s="227"/>
      <c r="HUL1726" s="227"/>
      <c r="HUM1726" s="227"/>
      <c r="HUN1726" s="227"/>
      <c r="HUO1726" s="227"/>
      <c r="HUP1726" s="227"/>
      <c r="HUQ1726" s="227"/>
      <c r="HUR1726" s="227"/>
      <c r="HUS1726" s="227"/>
      <c r="HUT1726" s="227"/>
      <c r="HUU1726" s="227"/>
      <c r="HUV1726" s="227"/>
      <c r="HUW1726" s="227"/>
      <c r="HUX1726" s="227"/>
      <c r="HUY1726" s="227"/>
      <c r="HUZ1726" s="227"/>
      <c r="HVA1726" s="227"/>
      <c r="HVB1726" s="227"/>
      <c r="HVC1726" s="227"/>
      <c r="HVD1726" s="227"/>
      <c r="HVE1726" s="227"/>
      <c r="HVF1726" s="227"/>
      <c r="HVG1726" s="227"/>
      <c r="HVH1726" s="227"/>
      <c r="HVI1726" s="227"/>
      <c r="HVJ1726" s="227"/>
      <c r="HVK1726" s="227"/>
      <c r="HVL1726" s="227"/>
      <c r="HVM1726" s="227"/>
      <c r="HVN1726" s="227"/>
      <c r="HVO1726" s="227"/>
      <c r="HVP1726" s="227"/>
      <c r="HVQ1726" s="227"/>
      <c r="HVR1726" s="227"/>
      <c r="HVS1726" s="227"/>
      <c r="HVT1726" s="227"/>
      <c r="HVU1726" s="227"/>
      <c r="HVV1726" s="227"/>
      <c r="HVW1726" s="227"/>
      <c r="HVX1726" s="227"/>
      <c r="HVY1726" s="227"/>
      <c r="HVZ1726" s="227"/>
      <c r="HWA1726" s="227"/>
      <c r="HWB1726" s="227"/>
      <c r="HWC1726" s="227"/>
      <c r="HWD1726" s="227"/>
      <c r="HWE1726" s="227"/>
      <c r="HWF1726" s="227"/>
      <c r="HWG1726" s="227"/>
      <c r="HWH1726" s="227"/>
      <c r="HWI1726" s="227"/>
      <c r="HWJ1726" s="227"/>
      <c r="HWK1726" s="227"/>
      <c r="HWL1726" s="227"/>
      <c r="HWM1726" s="227"/>
      <c r="HWN1726" s="227"/>
      <c r="HWO1726" s="227"/>
      <c r="HWP1726" s="227"/>
      <c r="HWQ1726" s="227"/>
      <c r="HWR1726" s="227"/>
      <c r="HWS1726" s="227"/>
      <c r="HWT1726" s="227"/>
      <c r="HWU1726" s="227"/>
      <c r="HWV1726" s="227"/>
      <c r="HWW1726" s="227"/>
      <c r="HWX1726" s="227"/>
      <c r="HWY1726" s="227"/>
      <c r="HWZ1726" s="227"/>
      <c r="HXA1726" s="227"/>
      <c r="HXB1726" s="227"/>
      <c r="HXC1726" s="227"/>
      <c r="HXD1726" s="227"/>
      <c r="HXE1726" s="227"/>
      <c r="HXF1726" s="227"/>
      <c r="HXG1726" s="227"/>
      <c r="HXH1726" s="227"/>
      <c r="HXI1726" s="227"/>
      <c r="HXJ1726" s="227"/>
      <c r="HXK1726" s="227"/>
      <c r="HXL1726" s="227"/>
      <c r="HXM1726" s="227"/>
      <c r="HXN1726" s="227"/>
      <c r="HXO1726" s="227"/>
      <c r="HXP1726" s="227"/>
      <c r="HXQ1726" s="227"/>
      <c r="HXR1726" s="227"/>
      <c r="HXS1726" s="227"/>
      <c r="HXT1726" s="227"/>
      <c r="HXU1726" s="227"/>
      <c r="HXV1726" s="227"/>
      <c r="HXW1726" s="227"/>
      <c r="HXX1726" s="227"/>
      <c r="HXY1726" s="227"/>
      <c r="HXZ1726" s="227"/>
      <c r="HYA1726" s="227"/>
      <c r="HYB1726" s="227"/>
      <c r="HYC1726" s="227"/>
      <c r="HYD1726" s="227"/>
      <c r="HYE1726" s="227"/>
      <c r="HYF1726" s="227"/>
      <c r="HYG1726" s="227"/>
      <c r="HYH1726" s="227"/>
      <c r="HYI1726" s="227"/>
      <c r="HYJ1726" s="227"/>
      <c r="HYK1726" s="227"/>
      <c r="HYL1726" s="227"/>
      <c r="HYM1726" s="227"/>
      <c r="HYN1726" s="227"/>
      <c r="HYO1726" s="227"/>
      <c r="HYP1726" s="227"/>
      <c r="HYQ1726" s="227"/>
      <c r="HYR1726" s="227"/>
      <c r="HYS1726" s="227"/>
      <c r="HYT1726" s="227"/>
      <c r="HYU1726" s="227"/>
      <c r="HYV1726" s="227"/>
      <c r="HYW1726" s="227"/>
      <c r="HYX1726" s="227"/>
      <c r="HYY1726" s="227"/>
      <c r="HYZ1726" s="227"/>
      <c r="HZA1726" s="227"/>
      <c r="HZB1726" s="227"/>
      <c r="HZC1726" s="227"/>
      <c r="HZD1726" s="227"/>
      <c r="HZE1726" s="227"/>
      <c r="HZF1726" s="227"/>
      <c r="HZG1726" s="227"/>
      <c r="HZH1726" s="227"/>
      <c r="HZI1726" s="227"/>
      <c r="HZJ1726" s="227"/>
      <c r="HZK1726" s="227"/>
      <c r="HZL1726" s="227"/>
      <c r="HZM1726" s="227"/>
      <c r="HZN1726" s="227"/>
      <c r="HZO1726" s="227"/>
      <c r="HZP1726" s="227"/>
      <c r="HZQ1726" s="227"/>
      <c r="HZR1726" s="227"/>
      <c r="HZS1726" s="227"/>
      <c r="HZT1726" s="227"/>
      <c r="HZU1726" s="227"/>
      <c r="HZV1726" s="227"/>
      <c r="HZW1726" s="227"/>
      <c r="HZX1726" s="227"/>
      <c r="HZY1726" s="227"/>
      <c r="HZZ1726" s="227"/>
      <c r="IAA1726" s="227"/>
      <c r="IAB1726" s="227"/>
      <c r="IAC1726" s="227"/>
      <c r="IAD1726" s="227"/>
      <c r="IAE1726" s="227"/>
      <c r="IAF1726" s="227"/>
      <c r="IAG1726" s="227"/>
      <c r="IAH1726" s="227"/>
      <c r="IAI1726" s="227"/>
      <c r="IAJ1726" s="227"/>
      <c r="IAK1726" s="227"/>
      <c r="IAL1726" s="227"/>
      <c r="IAM1726" s="227"/>
      <c r="IAN1726" s="227"/>
      <c r="IAO1726" s="227"/>
      <c r="IAP1726" s="227"/>
      <c r="IAQ1726" s="227"/>
      <c r="IAR1726" s="227"/>
      <c r="IAS1726" s="227"/>
      <c r="IAT1726" s="227"/>
      <c r="IAU1726" s="227"/>
      <c r="IAV1726" s="227"/>
      <c r="IAW1726" s="227"/>
      <c r="IAX1726" s="227"/>
      <c r="IAY1726" s="227"/>
      <c r="IAZ1726" s="227"/>
      <c r="IBA1726" s="227"/>
      <c r="IBB1726" s="227"/>
      <c r="IBC1726" s="227"/>
      <c r="IBD1726" s="227"/>
      <c r="IBE1726" s="227"/>
      <c r="IBF1726" s="227"/>
      <c r="IBG1726" s="227"/>
      <c r="IBH1726" s="227"/>
      <c r="IBI1726" s="227"/>
      <c r="IBJ1726" s="227"/>
      <c r="IBK1726" s="227"/>
      <c r="IBL1726" s="227"/>
      <c r="IBM1726" s="227"/>
      <c r="IBN1726" s="227"/>
      <c r="IBO1726" s="227"/>
      <c r="IBP1726" s="227"/>
      <c r="IBQ1726" s="227"/>
      <c r="IBR1726" s="227"/>
      <c r="IBS1726" s="227"/>
      <c r="IBT1726" s="227"/>
      <c r="IBU1726" s="227"/>
      <c r="IBV1726" s="227"/>
      <c r="IBW1726" s="227"/>
      <c r="IBX1726" s="227"/>
      <c r="IBY1726" s="227"/>
      <c r="IBZ1726" s="227"/>
      <c r="ICA1726" s="227"/>
      <c r="ICB1726" s="227"/>
      <c r="ICC1726" s="227"/>
      <c r="ICD1726" s="227"/>
      <c r="ICE1726" s="227"/>
      <c r="ICF1726" s="227"/>
      <c r="ICG1726" s="227"/>
      <c r="ICH1726" s="227"/>
      <c r="ICI1726" s="227"/>
      <c r="ICJ1726" s="227"/>
      <c r="ICK1726" s="227"/>
      <c r="ICL1726" s="227"/>
      <c r="ICM1726" s="227"/>
      <c r="ICN1726" s="227"/>
      <c r="ICO1726" s="227"/>
      <c r="ICP1726" s="227"/>
      <c r="ICQ1726" s="227"/>
      <c r="ICR1726" s="227"/>
      <c r="ICS1726" s="227"/>
      <c r="ICT1726" s="227"/>
      <c r="ICU1726" s="227"/>
      <c r="ICV1726" s="227"/>
      <c r="ICW1726" s="227"/>
      <c r="ICX1726" s="227"/>
      <c r="ICY1726" s="227"/>
      <c r="ICZ1726" s="227"/>
      <c r="IDA1726" s="227"/>
      <c r="IDB1726" s="227"/>
      <c r="IDC1726" s="227"/>
      <c r="IDD1726" s="227"/>
      <c r="IDE1726" s="227"/>
      <c r="IDF1726" s="227"/>
      <c r="IDG1726" s="227"/>
      <c r="IDH1726" s="227"/>
      <c r="IDI1726" s="227"/>
      <c r="IDJ1726" s="227"/>
      <c r="IDK1726" s="227"/>
      <c r="IDL1726" s="227"/>
      <c r="IDM1726" s="227"/>
      <c r="IDN1726" s="227"/>
      <c r="IDO1726" s="227"/>
      <c r="IDP1726" s="227"/>
      <c r="IDQ1726" s="227"/>
      <c r="IDR1726" s="227"/>
      <c r="IDS1726" s="227"/>
      <c r="IDT1726" s="227"/>
      <c r="IDU1726" s="227"/>
      <c r="IDV1726" s="227"/>
      <c r="IDW1726" s="227"/>
      <c r="IDX1726" s="227"/>
      <c r="IDY1726" s="227"/>
      <c r="IDZ1726" s="227"/>
      <c r="IEA1726" s="227"/>
      <c r="IEB1726" s="227"/>
      <c r="IEC1726" s="227"/>
      <c r="IED1726" s="227"/>
      <c r="IEE1726" s="227"/>
      <c r="IEF1726" s="227"/>
      <c r="IEG1726" s="227"/>
      <c r="IEH1726" s="227"/>
      <c r="IEI1726" s="227"/>
      <c r="IEJ1726" s="227"/>
      <c r="IEK1726" s="227"/>
      <c r="IEL1726" s="227"/>
      <c r="IEM1726" s="227"/>
      <c r="IEN1726" s="227"/>
      <c r="IEO1726" s="227"/>
      <c r="IEP1726" s="227"/>
      <c r="IEQ1726" s="227"/>
      <c r="IER1726" s="227"/>
      <c r="IES1726" s="227"/>
      <c r="IET1726" s="227"/>
      <c r="IEU1726" s="227"/>
      <c r="IEV1726" s="227"/>
      <c r="IEW1726" s="227"/>
      <c r="IEX1726" s="227"/>
      <c r="IEY1726" s="227"/>
      <c r="IEZ1726" s="227"/>
      <c r="IFA1726" s="227"/>
      <c r="IFB1726" s="227"/>
      <c r="IFC1726" s="227"/>
      <c r="IFD1726" s="227"/>
      <c r="IFE1726" s="227"/>
      <c r="IFF1726" s="227"/>
      <c r="IFG1726" s="227"/>
      <c r="IFH1726" s="227"/>
      <c r="IFI1726" s="227"/>
      <c r="IFJ1726" s="227"/>
      <c r="IFK1726" s="227"/>
      <c r="IFL1726" s="227"/>
      <c r="IFM1726" s="227"/>
      <c r="IFN1726" s="227"/>
      <c r="IFO1726" s="227"/>
      <c r="IFP1726" s="227"/>
      <c r="IFQ1726" s="227"/>
      <c r="IFR1726" s="227"/>
      <c r="IFS1726" s="227"/>
      <c r="IFT1726" s="227"/>
      <c r="IFU1726" s="227"/>
      <c r="IFV1726" s="227"/>
      <c r="IFW1726" s="227"/>
      <c r="IFX1726" s="227"/>
      <c r="IFY1726" s="227"/>
      <c r="IFZ1726" s="227"/>
      <c r="IGA1726" s="227"/>
      <c r="IGB1726" s="227"/>
      <c r="IGC1726" s="227"/>
      <c r="IGD1726" s="227"/>
      <c r="IGE1726" s="227"/>
      <c r="IGF1726" s="227"/>
      <c r="IGG1726" s="227"/>
      <c r="IGH1726" s="227"/>
      <c r="IGI1726" s="227"/>
      <c r="IGJ1726" s="227"/>
      <c r="IGK1726" s="227"/>
      <c r="IGL1726" s="227"/>
      <c r="IGM1726" s="227"/>
      <c r="IGN1726" s="227"/>
      <c r="IGO1726" s="227"/>
      <c r="IGP1726" s="227"/>
      <c r="IGQ1726" s="227"/>
      <c r="IGR1726" s="227"/>
      <c r="IGS1726" s="227"/>
      <c r="IGT1726" s="227"/>
      <c r="IGU1726" s="227"/>
      <c r="IGV1726" s="227"/>
      <c r="IGW1726" s="227"/>
      <c r="IGX1726" s="227"/>
      <c r="IGY1726" s="227"/>
      <c r="IGZ1726" s="227"/>
      <c r="IHA1726" s="227"/>
      <c r="IHB1726" s="227"/>
      <c r="IHC1726" s="227"/>
      <c r="IHD1726" s="227"/>
      <c r="IHE1726" s="227"/>
      <c r="IHF1726" s="227"/>
      <c r="IHG1726" s="227"/>
      <c r="IHH1726" s="227"/>
      <c r="IHI1726" s="227"/>
      <c r="IHJ1726" s="227"/>
      <c r="IHK1726" s="227"/>
      <c r="IHL1726" s="227"/>
      <c r="IHM1726" s="227"/>
      <c r="IHN1726" s="227"/>
      <c r="IHO1726" s="227"/>
      <c r="IHP1726" s="227"/>
      <c r="IHQ1726" s="227"/>
      <c r="IHR1726" s="227"/>
      <c r="IHS1726" s="227"/>
      <c r="IHT1726" s="227"/>
      <c r="IHU1726" s="227"/>
      <c r="IHV1726" s="227"/>
      <c r="IHW1726" s="227"/>
      <c r="IHX1726" s="227"/>
      <c r="IHY1726" s="227"/>
      <c r="IHZ1726" s="227"/>
      <c r="IIA1726" s="227"/>
      <c r="IIB1726" s="227"/>
      <c r="IIC1726" s="227"/>
      <c r="IID1726" s="227"/>
      <c r="IIE1726" s="227"/>
      <c r="IIF1726" s="227"/>
      <c r="IIG1726" s="227"/>
      <c r="IIH1726" s="227"/>
      <c r="III1726" s="227"/>
      <c r="IIJ1726" s="227"/>
      <c r="IIK1726" s="227"/>
      <c r="IIL1726" s="227"/>
      <c r="IIM1726" s="227"/>
      <c r="IIN1726" s="227"/>
      <c r="IIO1726" s="227"/>
      <c r="IIP1726" s="227"/>
      <c r="IIQ1726" s="227"/>
      <c r="IIR1726" s="227"/>
      <c r="IIS1726" s="227"/>
      <c r="IIT1726" s="227"/>
      <c r="IIU1726" s="227"/>
      <c r="IIV1726" s="227"/>
      <c r="IIW1726" s="227"/>
      <c r="IIX1726" s="227"/>
      <c r="IIY1726" s="227"/>
      <c r="IIZ1726" s="227"/>
      <c r="IJA1726" s="227"/>
      <c r="IJB1726" s="227"/>
      <c r="IJC1726" s="227"/>
      <c r="IJD1726" s="227"/>
      <c r="IJE1726" s="227"/>
      <c r="IJF1726" s="227"/>
      <c r="IJG1726" s="227"/>
      <c r="IJH1726" s="227"/>
      <c r="IJI1726" s="227"/>
      <c r="IJJ1726" s="227"/>
      <c r="IJK1726" s="227"/>
      <c r="IJL1726" s="227"/>
      <c r="IJM1726" s="227"/>
      <c r="IJN1726" s="227"/>
      <c r="IJO1726" s="227"/>
      <c r="IJP1726" s="227"/>
      <c r="IJQ1726" s="227"/>
      <c r="IJR1726" s="227"/>
      <c r="IJS1726" s="227"/>
      <c r="IJT1726" s="227"/>
      <c r="IJU1726" s="227"/>
      <c r="IJV1726" s="227"/>
      <c r="IJW1726" s="227"/>
      <c r="IJX1726" s="227"/>
      <c r="IJY1726" s="227"/>
      <c r="IJZ1726" s="227"/>
      <c r="IKA1726" s="227"/>
      <c r="IKB1726" s="227"/>
      <c r="IKC1726" s="227"/>
      <c r="IKD1726" s="227"/>
      <c r="IKE1726" s="227"/>
      <c r="IKF1726" s="227"/>
      <c r="IKG1726" s="227"/>
      <c r="IKH1726" s="227"/>
      <c r="IKI1726" s="227"/>
      <c r="IKJ1726" s="227"/>
      <c r="IKK1726" s="227"/>
      <c r="IKL1726" s="227"/>
      <c r="IKM1726" s="227"/>
      <c r="IKN1726" s="227"/>
      <c r="IKO1726" s="227"/>
      <c r="IKP1726" s="227"/>
      <c r="IKQ1726" s="227"/>
      <c r="IKR1726" s="227"/>
      <c r="IKS1726" s="227"/>
      <c r="IKT1726" s="227"/>
      <c r="IKU1726" s="227"/>
      <c r="IKV1726" s="227"/>
      <c r="IKW1726" s="227"/>
      <c r="IKX1726" s="227"/>
      <c r="IKY1726" s="227"/>
      <c r="IKZ1726" s="227"/>
      <c r="ILA1726" s="227"/>
      <c r="ILB1726" s="227"/>
      <c r="ILC1726" s="227"/>
      <c r="ILD1726" s="227"/>
      <c r="ILE1726" s="227"/>
      <c r="ILF1726" s="227"/>
      <c r="ILG1726" s="227"/>
      <c r="ILH1726" s="227"/>
      <c r="ILI1726" s="227"/>
      <c r="ILJ1726" s="227"/>
      <c r="ILK1726" s="227"/>
      <c r="ILL1726" s="227"/>
      <c r="ILM1726" s="227"/>
      <c r="ILN1726" s="227"/>
      <c r="ILO1726" s="227"/>
      <c r="ILP1726" s="227"/>
      <c r="ILQ1726" s="227"/>
      <c r="ILR1726" s="227"/>
      <c r="ILS1726" s="227"/>
      <c r="ILT1726" s="227"/>
      <c r="ILU1726" s="227"/>
      <c r="ILV1726" s="227"/>
      <c r="ILW1726" s="227"/>
      <c r="ILX1726" s="227"/>
      <c r="ILY1726" s="227"/>
      <c r="ILZ1726" s="227"/>
      <c r="IMA1726" s="227"/>
      <c r="IMB1726" s="227"/>
      <c r="IMC1726" s="227"/>
      <c r="IMD1726" s="227"/>
      <c r="IME1726" s="227"/>
      <c r="IMF1726" s="227"/>
      <c r="IMG1726" s="227"/>
      <c r="IMH1726" s="227"/>
      <c r="IMI1726" s="227"/>
      <c r="IMJ1726" s="227"/>
      <c r="IMK1726" s="227"/>
      <c r="IML1726" s="227"/>
      <c r="IMM1726" s="227"/>
      <c r="IMN1726" s="227"/>
      <c r="IMO1726" s="227"/>
      <c r="IMP1726" s="227"/>
      <c r="IMQ1726" s="227"/>
      <c r="IMR1726" s="227"/>
      <c r="IMS1726" s="227"/>
      <c r="IMT1726" s="227"/>
      <c r="IMU1726" s="227"/>
      <c r="IMV1726" s="227"/>
      <c r="IMW1726" s="227"/>
      <c r="IMX1726" s="227"/>
      <c r="IMY1726" s="227"/>
      <c r="IMZ1726" s="227"/>
      <c r="INA1726" s="227"/>
      <c r="INB1726" s="227"/>
      <c r="INC1726" s="227"/>
      <c r="IND1726" s="227"/>
      <c r="INE1726" s="227"/>
      <c r="INF1726" s="227"/>
      <c r="ING1726" s="227"/>
      <c r="INH1726" s="227"/>
      <c r="INI1726" s="227"/>
      <c r="INJ1726" s="227"/>
      <c r="INK1726" s="227"/>
      <c r="INL1726" s="227"/>
      <c r="INM1726" s="227"/>
      <c r="INN1726" s="227"/>
      <c r="INO1726" s="227"/>
      <c r="INP1726" s="227"/>
      <c r="INQ1726" s="227"/>
      <c r="INR1726" s="227"/>
      <c r="INS1726" s="227"/>
      <c r="INT1726" s="227"/>
      <c r="INU1726" s="227"/>
      <c r="INV1726" s="227"/>
      <c r="INW1726" s="227"/>
      <c r="INX1726" s="227"/>
      <c r="INY1726" s="227"/>
      <c r="INZ1726" s="227"/>
      <c r="IOA1726" s="227"/>
      <c r="IOB1726" s="227"/>
      <c r="IOC1726" s="227"/>
      <c r="IOD1726" s="227"/>
      <c r="IOE1726" s="227"/>
      <c r="IOF1726" s="227"/>
      <c r="IOG1726" s="227"/>
      <c r="IOH1726" s="227"/>
      <c r="IOI1726" s="227"/>
      <c r="IOJ1726" s="227"/>
      <c r="IOK1726" s="227"/>
      <c r="IOL1726" s="227"/>
      <c r="IOM1726" s="227"/>
      <c r="ION1726" s="227"/>
      <c r="IOO1726" s="227"/>
      <c r="IOP1726" s="227"/>
      <c r="IOQ1726" s="227"/>
      <c r="IOR1726" s="227"/>
      <c r="IOS1726" s="227"/>
      <c r="IOT1726" s="227"/>
      <c r="IOU1726" s="227"/>
      <c r="IOV1726" s="227"/>
      <c r="IOW1726" s="227"/>
      <c r="IOX1726" s="227"/>
      <c r="IOY1726" s="227"/>
      <c r="IOZ1726" s="227"/>
      <c r="IPA1726" s="227"/>
      <c r="IPB1726" s="227"/>
      <c r="IPC1726" s="227"/>
      <c r="IPD1726" s="227"/>
      <c r="IPE1726" s="227"/>
      <c r="IPF1726" s="227"/>
      <c r="IPG1726" s="227"/>
      <c r="IPH1726" s="227"/>
      <c r="IPI1726" s="227"/>
      <c r="IPJ1726" s="227"/>
      <c r="IPK1726" s="227"/>
      <c r="IPL1726" s="227"/>
      <c r="IPM1726" s="227"/>
      <c r="IPN1726" s="227"/>
      <c r="IPO1726" s="227"/>
      <c r="IPP1726" s="227"/>
      <c r="IPQ1726" s="227"/>
      <c r="IPR1726" s="227"/>
      <c r="IPS1726" s="227"/>
      <c r="IPT1726" s="227"/>
      <c r="IPU1726" s="227"/>
      <c r="IPV1726" s="227"/>
      <c r="IPW1726" s="227"/>
      <c r="IPX1726" s="227"/>
      <c r="IPY1726" s="227"/>
      <c r="IPZ1726" s="227"/>
      <c r="IQA1726" s="227"/>
      <c r="IQB1726" s="227"/>
      <c r="IQC1726" s="227"/>
      <c r="IQD1726" s="227"/>
      <c r="IQE1726" s="227"/>
      <c r="IQF1726" s="227"/>
      <c r="IQG1726" s="227"/>
      <c r="IQH1726" s="227"/>
      <c r="IQI1726" s="227"/>
      <c r="IQJ1726" s="227"/>
      <c r="IQK1726" s="227"/>
      <c r="IQL1726" s="227"/>
      <c r="IQM1726" s="227"/>
      <c r="IQN1726" s="227"/>
      <c r="IQO1726" s="227"/>
      <c r="IQP1726" s="227"/>
      <c r="IQQ1726" s="227"/>
      <c r="IQR1726" s="227"/>
      <c r="IQS1726" s="227"/>
      <c r="IQT1726" s="227"/>
      <c r="IQU1726" s="227"/>
      <c r="IQV1726" s="227"/>
      <c r="IQW1726" s="227"/>
      <c r="IQX1726" s="227"/>
      <c r="IQY1726" s="227"/>
      <c r="IQZ1726" s="227"/>
      <c r="IRA1726" s="227"/>
      <c r="IRB1726" s="227"/>
      <c r="IRC1726" s="227"/>
      <c r="IRD1726" s="227"/>
      <c r="IRE1726" s="227"/>
      <c r="IRF1726" s="227"/>
      <c r="IRG1726" s="227"/>
      <c r="IRH1726" s="227"/>
      <c r="IRI1726" s="227"/>
      <c r="IRJ1726" s="227"/>
      <c r="IRK1726" s="227"/>
      <c r="IRL1726" s="227"/>
      <c r="IRM1726" s="227"/>
      <c r="IRN1726" s="227"/>
      <c r="IRO1726" s="227"/>
      <c r="IRP1726" s="227"/>
      <c r="IRQ1726" s="227"/>
      <c r="IRR1726" s="227"/>
      <c r="IRS1726" s="227"/>
      <c r="IRT1726" s="227"/>
      <c r="IRU1726" s="227"/>
      <c r="IRV1726" s="227"/>
      <c r="IRW1726" s="227"/>
      <c r="IRX1726" s="227"/>
      <c r="IRY1726" s="227"/>
      <c r="IRZ1726" s="227"/>
      <c r="ISA1726" s="227"/>
      <c r="ISB1726" s="227"/>
      <c r="ISC1726" s="227"/>
      <c r="ISD1726" s="227"/>
      <c r="ISE1726" s="227"/>
      <c r="ISF1726" s="227"/>
      <c r="ISG1726" s="227"/>
      <c r="ISH1726" s="227"/>
      <c r="ISI1726" s="227"/>
      <c r="ISJ1726" s="227"/>
      <c r="ISK1726" s="227"/>
      <c r="ISL1726" s="227"/>
      <c r="ISM1726" s="227"/>
      <c r="ISN1726" s="227"/>
      <c r="ISO1726" s="227"/>
      <c r="ISP1726" s="227"/>
      <c r="ISQ1726" s="227"/>
      <c r="ISR1726" s="227"/>
      <c r="ISS1726" s="227"/>
      <c r="IST1726" s="227"/>
      <c r="ISU1726" s="227"/>
      <c r="ISV1726" s="227"/>
      <c r="ISW1726" s="227"/>
      <c r="ISX1726" s="227"/>
      <c r="ISY1726" s="227"/>
      <c r="ISZ1726" s="227"/>
      <c r="ITA1726" s="227"/>
      <c r="ITB1726" s="227"/>
      <c r="ITC1726" s="227"/>
      <c r="ITD1726" s="227"/>
      <c r="ITE1726" s="227"/>
      <c r="ITF1726" s="227"/>
      <c r="ITG1726" s="227"/>
      <c r="ITH1726" s="227"/>
      <c r="ITI1726" s="227"/>
      <c r="ITJ1726" s="227"/>
      <c r="ITK1726" s="227"/>
      <c r="ITL1726" s="227"/>
      <c r="ITM1726" s="227"/>
      <c r="ITN1726" s="227"/>
      <c r="ITO1726" s="227"/>
      <c r="ITP1726" s="227"/>
      <c r="ITQ1726" s="227"/>
      <c r="ITR1726" s="227"/>
      <c r="ITS1726" s="227"/>
      <c r="ITT1726" s="227"/>
      <c r="ITU1726" s="227"/>
      <c r="ITV1726" s="227"/>
      <c r="ITW1726" s="227"/>
      <c r="ITX1726" s="227"/>
      <c r="ITY1726" s="227"/>
      <c r="ITZ1726" s="227"/>
      <c r="IUA1726" s="227"/>
      <c r="IUB1726" s="227"/>
      <c r="IUC1726" s="227"/>
      <c r="IUD1726" s="227"/>
      <c r="IUE1726" s="227"/>
      <c r="IUF1726" s="227"/>
      <c r="IUG1726" s="227"/>
      <c r="IUH1726" s="227"/>
      <c r="IUI1726" s="227"/>
      <c r="IUJ1726" s="227"/>
      <c r="IUK1726" s="227"/>
      <c r="IUL1726" s="227"/>
      <c r="IUM1726" s="227"/>
      <c r="IUN1726" s="227"/>
      <c r="IUO1726" s="227"/>
      <c r="IUP1726" s="227"/>
      <c r="IUQ1726" s="227"/>
      <c r="IUR1726" s="227"/>
      <c r="IUS1726" s="227"/>
      <c r="IUT1726" s="227"/>
      <c r="IUU1726" s="227"/>
      <c r="IUV1726" s="227"/>
      <c r="IUW1726" s="227"/>
      <c r="IUX1726" s="227"/>
      <c r="IUY1726" s="227"/>
      <c r="IUZ1726" s="227"/>
      <c r="IVA1726" s="227"/>
      <c r="IVB1726" s="227"/>
      <c r="IVC1726" s="227"/>
      <c r="IVD1726" s="227"/>
      <c r="IVE1726" s="227"/>
      <c r="IVF1726" s="227"/>
      <c r="IVG1726" s="227"/>
      <c r="IVH1726" s="227"/>
      <c r="IVI1726" s="227"/>
      <c r="IVJ1726" s="227"/>
      <c r="IVK1726" s="227"/>
      <c r="IVL1726" s="227"/>
      <c r="IVM1726" s="227"/>
      <c r="IVN1726" s="227"/>
      <c r="IVO1726" s="227"/>
      <c r="IVP1726" s="227"/>
      <c r="IVQ1726" s="227"/>
      <c r="IVR1726" s="227"/>
      <c r="IVS1726" s="227"/>
      <c r="IVT1726" s="227"/>
      <c r="IVU1726" s="227"/>
      <c r="IVV1726" s="227"/>
      <c r="IVW1726" s="227"/>
      <c r="IVX1726" s="227"/>
      <c r="IVY1726" s="227"/>
      <c r="IVZ1726" s="227"/>
      <c r="IWA1726" s="227"/>
      <c r="IWB1726" s="227"/>
      <c r="IWC1726" s="227"/>
      <c r="IWD1726" s="227"/>
      <c r="IWE1726" s="227"/>
      <c r="IWF1726" s="227"/>
      <c r="IWG1726" s="227"/>
      <c r="IWH1726" s="227"/>
      <c r="IWI1726" s="227"/>
      <c r="IWJ1726" s="227"/>
      <c r="IWK1726" s="227"/>
      <c r="IWL1726" s="227"/>
      <c r="IWM1726" s="227"/>
      <c r="IWN1726" s="227"/>
      <c r="IWO1726" s="227"/>
      <c r="IWP1726" s="227"/>
      <c r="IWQ1726" s="227"/>
      <c r="IWR1726" s="227"/>
      <c r="IWS1726" s="227"/>
      <c r="IWT1726" s="227"/>
      <c r="IWU1726" s="227"/>
      <c r="IWV1726" s="227"/>
      <c r="IWW1726" s="227"/>
      <c r="IWX1726" s="227"/>
      <c r="IWY1726" s="227"/>
      <c r="IWZ1726" s="227"/>
      <c r="IXA1726" s="227"/>
      <c r="IXB1726" s="227"/>
      <c r="IXC1726" s="227"/>
      <c r="IXD1726" s="227"/>
      <c r="IXE1726" s="227"/>
      <c r="IXF1726" s="227"/>
      <c r="IXG1726" s="227"/>
      <c r="IXH1726" s="227"/>
      <c r="IXI1726" s="227"/>
      <c r="IXJ1726" s="227"/>
      <c r="IXK1726" s="227"/>
      <c r="IXL1726" s="227"/>
      <c r="IXM1726" s="227"/>
      <c r="IXN1726" s="227"/>
      <c r="IXO1726" s="227"/>
      <c r="IXP1726" s="227"/>
      <c r="IXQ1726" s="227"/>
      <c r="IXR1726" s="227"/>
      <c r="IXS1726" s="227"/>
      <c r="IXT1726" s="227"/>
      <c r="IXU1726" s="227"/>
      <c r="IXV1726" s="227"/>
      <c r="IXW1726" s="227"/>
      <c r="IXX1726" s="227"/>
      <c r="IXY1726" s="227"/>
      <c r="IXZ1726" s="227"/>
      <c r="IYA1726" s="227"/>
      <c r="IYB1726" s="227"/>
      <c r="IYC1726" s="227"/>
      <c r="IYD1726" s="227"/>
      <c r="IYE1726" s="227"/>
      <c r="IYF1726" s="227"/>
      <c r="IYG1726" s="227"/>
      <c r="IYH1726" s="227"/>
      <c r="IYI1726" s="227"/>
      <c r="IYJ1726" s="227"/>
      <c r="IYK1726" s="227"/>
      <c r="IYL1726" s="227"/>
      <c r="IYM1726" s="227"/>
      <c r="IYN1726" s="227"/>
      <c r="IYO1726" s="227"/>
      <c r="IYP1726" s="227"/>
      <c r="IYQ1726" s="227"/>
      <c r="IYR1726" s="227"/>
      <c r="IYS1726" s="227"/>
      <c r="IYT1726" s="227"/>
      <c r="IYU1726" s="227"/>
      <c r="IYV1726" s="227"/>
      <c r="IYW1726" s="227"/>
      <c r="IYX1726" s="227"/>
      <c r="IYY1726" s="227"/>
      <c r="IYZ1726" s="227"/>
      <c r="IZA1726" s="227"/>
      <c r="IZB1726" s="227"/>
      <c r="IZC1726" s="227"/>
      <c r="IZD1726" s="227"/>
      <c r="IZE1726" s="227"/>
      <c r="IZF1726" s="227"/>
      <c r="IZG1726" s="227"/>
      <c r="IZH1726" s="227"/>
      <c r="IZI1726" s="227"/>
      <c r="IZJ1726" s="227"/>
      <c r="IZK1726" s="227"/>
      <c r="IZL1726" s="227"/>
      <c r="IZM1726" s="227"/>
      <c r="IZN1726" s="227"/>
      <c r="IZO1726" s="227"/>
      <c r="IZP1726" s="227"/>
      <c r="IZQ1726" s="227"/>
      <c r="IZR1726" s="227"/>
      <c r="IZS1726" s="227"/>
      <c r="IZT1726" s="227"/>
      <c r="IZU1726" s="227"/>
      <c r="IZV1726" s="227"/>
      <c r="IZW1726" s="227"/>
      <c r="IZX1726" s="227"/>
      <c r="IZY1726" s="227"/>
      <c r="IZZ1726" s="227"/>
      <c r="JAA1726" s="227"/>
      <c r="JAB1726" s="227"/>
      <c r="JAC1726" s="227"/>
      <c r="JAD1726" s="227"/>
      <c r="JAE1726" s="227"/>
      <c r="JAF1726" s="227"/>
      <c r="JAG1726" s="227"/>
      <c r="JAH1726" s="227"/>
      <c r="JAI1726" s="227"/>
      <c r="JAJ1726" s="227"/>
      <c r="JAK1726" s="227"/>
      <c r="JAL1726" s="227"/>
      <c r="JAM1726" s="227"/>
      <c r="JAN1726" s="227"/>
      <c r="JAO1726" s="227"/>
      <c r="JAP1726" s="227"/>
      <c r="JAQ1726" s="227"/>
      <c r="JAR1726" s="227"/>
      <c r="JAS1726" s="227"/>
      <c r="JAT1726" s="227"/>
      <c r="JAU1726" s="227"/>
      <c r="JAV1726" s="227"/>
      <c r="JAW1726" s="227"/>
      <c r="JAX1726" s="227"/>
      <c r="JAY1726" s="227"/>
      <c r="JAZ1726" s="227"/>
      <c r="JBA1726" s="227"/>
      <c r="JBB1726" s="227"/>
      <c r="JBC1726" s="227"/>
      <c r="JBD1726" s="227"/>
      <c r="JBE1726" s="227"/>
      <c r="JBF1726" s="227"/>
      <c r="JBG1726" s="227"/>
      <c r="JBH1726" s="227"/>
      <c r="JBI1726" s="227"/>
      <c r="JBJ1726" s="227"/>
      <c r="JBK1726" s="227"/>
      <c r="JBL1726" s="227"/>
      <c r="JBM1726" s="227"/>
      <c r="JBN1726" s="227"/>
      <c r="JBO1726" s="227"/>
      <c r="JBP1726" s="227"/>
      <c r="JBQ1726" s="227"/>
      <c r="JBR1726" s="227"/>
      <c r="JBS1726" s="227"/>
      <c r="JBT1726" s="227"/>
      <c r="JBU1726" s="227"/>
      <c r="JBV1726" s="227"/>
      <c r="JBW1726" s="227"/>
      <c r="JBX1726" s="227"/>
      <c r="JBY1726" s="227"/>
      <c r="JBZ1726" s="227"/>
      <c r="JCA1726" s="227"/>
      <c r="JCB1726" s="227"/>
      <c r="JCC1726" s="227"/>
      <c r="JCD1726" s="227"/>
      <c r="JCE1726" s="227"/>
      <c r="JCF1726" s="227"/>
      <c r="JCG1726" s="227"/>
      <c r="JCH1726" s="227"/>
      <c r="JCI1726" s="227"/>
      <c r="JCJ1726" s="227"/>
      <c r="JCK1726" s="227"/>
      <c r="JCL1726" s="227"/>
      <c r="JCM1726" s="227"/>
      <c r="JCN1726" s="227"/>
      <c r="JCO1726" s="227"/>
      <c r="JCP1726" s="227"/>
      <c r="JCQ1726" s="227"/>
      <c r="JCR1726" s="227"/>
      <c r="JCS1726" s="227"/>
      <c r="JCT1726" s="227"/>
      <c r="JCU1726" s="227"/>
      <c r="JCV1726" s="227"/>
      <c r="JCW1726" s="227"/>
      <c r="JCX1726" s="227"/>
      <c r="JCY1726" s="227"/>
      <c r="JCZ1726" s="227"/>
      <c r="JDA1726" s="227"/>
      <c r="JDB1726" s="227"/>
      <c r="JDC1726" s="227"/>
      <c r="JDD1726" s="227"/>
      <c r="JDE1726" s="227"/>
      <c r="JDF1726" s="227"/>
      <c r="JDG1726" s="227"/>
      <c r="JDH1726" s="227"/>
      <c r="JDI1726" s="227"/>
      <c r="JDJ1726" s="227"/>
      <c r="JDK1726" s="227"/>
      <c r="JDL1726" s="227"/>
      <c r="JDM1726" s="227"/>
      <c r="JDN1726" s="227"/>
      <c r="JDO1726" s="227"/>
      <c r="JDP1726" s="227"/>
      <c r="JDQ1726" s="227"/>
      <c r="JDR1726" s="227"/>
      <c r="JDS1726" s="227"/>
      <c r="JDT1726" s="227"/>
      <c r="JDU1726" s="227"/>
      <c r="JDV1726" s="227"/>
      <c r="JDW1726" s="227"/>
      <c r="JDX1726" s="227"/>
      <c r="JDY1726" s="227"/>
      <c r="JDZ1726" s="227"/>
      <c r="JEA1726" s="227"/>
      <c r="JEB1726" s="227"/>
      <c r="JEC1726" s="227"/>
      <c r="JED1726" s="227"/>
      <c r="JEE1726" s="227"/>
      <c r="JEF1726" s="227"/>
      <c r="JEG1726" s="227"/>
      <c r="JEH1726" s="227"/>
      <c r="JEI1726" s="227"/>
      <c r="JEJ1726" s="227"/>
      <c r="JEK1726" s="227"/>
      <c r="JEL1726" s="227"/>
      <c r="JEM1726" s="227"/>
      <c r="JEN1726" s="227"/>
      <c r="JEO1726" s="227"/>
      <c r="JEP1726" s="227"/>
      <c r="JEQ1726" s="227"/>
      <c r="JER1726" s="227"/>
      <c r="JES1726" s="227"/>
      <c r="JET1726" s="227"/>
      <c r="JEU1726" s="227"/>
      <c r="JEV1726" s="227"/>
      <c r="JEW1726" s="227"/>
      <c r="JEX1726" s="227"/>
      <c r="JEY1726" s="227"/>
      <c r="JEZ1726" s="227"/>
      <c r="JFA1726" s="227"/>
      <c r="JFB1726" s="227"/>
      <c r="JFC1726" s="227"/>
      <c r="JFD1726" s="227"/>
      <c r="JFE1726" s="227"/>
      <c r="JFF1726" s="227"/>
      <c r="JFG1726" s="227"/>
      <c r="JFH1726" s="227"/>
      <c r="JFI1726" s="227"/>
      <c r="JFJ1726" s="227"/>
      <c r="JFK1726" s="227"/>
      <c r="JFL1726" s="227"/>
      <c r="JFM1726" s="227"/>
      <c r="JFN1726" s="227"/>
      <c r="JFO1726" s="227"/>
      <c r="JFP1726" s="227"/>
      <c r="JFQ1726" s="227"/>
      <c r="JFR1726" s="227"/>
      <c r="JFS1726" s="227"/>
      <c r="JFT1726" s="227"/>
      <c r="JFU1726" s="227"/>
      <c r="JFV1726" s="227"/>
      <c r="JFW1726" s="227"/>
      <c r="JFX1726" s="227"/>
      <c r="JFY1726" s="227"/>
      <c r="JFZ1726" s="227"/>
      <c r="JGA1726" s="227"/>
      <c r="JGB1726" s="227"/>
      <c r="JGC1726" s="227"/>
      <c r="JGD1726" s="227"/>
      <c r="JGE1726" s="227"/>
      <c r="JGF1726" s="227"/>
      <c r="JGG1726" s="227"/>
      <c r="JGH1726" s="227"/>
      <c r="JGI1726" s="227"/>
      <c r="JGJ1726" s="227"/>
      <c r="JGK1726" s="227"/>
      <c r="JGL1726" s="227"/>
      <c r="JGM1726" s="227"/>
      <c r="JGN1726" s="227"/>
      <c r="JGO1726" s="227"/>
      <c r="JGP1726" s="227"/>
      <c r="JGQ1726" s="227"/>
      <c r="JGR1726" s="227"/>
      <c r="JGS1726" s="227"/>
      <c r="JGT1726" s="227"/>
      <c r="JGU1726" s="227"/>
      <c r="JGV1726" s="227"/>
      <c r="JGW1726" s="227"/>
      <c r="JGX1726" s="227"/>
      <c r="JGY1726" s="227"/>
      <c r="JGZ1726" s="227"/>
      <c r="JHA1726" s="227"/>
      <c r="JHB1726" s="227"/>
      <c r="JHC1726" s="227"/>
      <c r="JHD1726" s="227"/>
      <c r="JHE1726" s="227"/>
      <c r="JHF1726" s="227"/>
      <c r="JHG1726" s="227"/>
      <c r="JHH1726" s="227"/>
      <c r="JHI1726" s="227"/>
      <c r="JHJ1726" s="227"/>
      <c r="JHK1726" s="227"/>
      <c r="JHL1726" s="227"/>
      <c r="JHM1726" s="227"/>
      <c r="JHN1726" s="227"/>
      <c r="JHO1726" s="227"/>
      <c r="JHP1726" s="227"/>
      <c r="JHQ1726" s="227"/>
      <c r="JHR1726" s="227"/>
      <c r="JHS1726" s="227"/>
      <c r="JHT1726" s="227"/>
      <c r="JHU1726" s="227"/>
      <c r="JHV1726" s="227"/>
      <c r="JHW1726" s="227"/>
      <c r="JHX1726" s="227"/>
      <c r="JHY1726" s="227"/>
      <c r="JHZ1726" s="227"/>
      <c r="JIA1726" s="227"/>
      <c r="JIB1726" s="227"/>
      <c r="JIC1726" s="227"/>
      <c r="JID1726" s="227"/>
      <c r="JIE1726" s="227"/>
      <c r="JIF1726" s="227"/>
      <c r="JIG1726" s="227"/>
      <c r="JIH1726" s="227"/>
      <c r="JII1726" s="227"/>
      <c r="JIJ1726" s="227"/>
      <c r="JIK1726" s="227"/>
      <c r="JIL1726" s="227"/>
      <c r="JIM1726" s="227"/>
      <c r="JIN1726" s="227"/>
      <c r="JIO1726" s="227"/>
      <c r="JIP1726" s="227"/>
      <c r="JIQ1726" s="227"/>
      <c r="JIR1726" s="227"/>
      <c r="JIS1726" s="227"/>
      <c r="JIT1726" s="227"/>
      <c r="JIU1726" s="227"/>
      <c r="JIV1726" s="227"/>
      <c r="JIW1726" s="227"/>
      <c r="JIX1726" s="227"/>
      <c r="JIY1726" s="227"/>
      <c r="JIZ1726" s="227"/>
      <c r="JJA1726" s="227"/>
      <c r="JJB1726" s="227"/>
      <c r="JJC1726" s="227"/>
      <c r="JJD1726" s="227"/>
      <c r="JJE1726" s="227"/>
      <c r="JJF1726" s="227"/>
      <c r="JJG1726" s="227"/>
      <c r="JJH1726" s="227"/>
      <c r="JJI1726" s="227"/>
      <c r="JJJ1726" s="227"/>
      <c r="JJK1726" s="227"/>
      <c r="JJL1726" s="227"/>
      <c r="JJM1726" s="227"/>
      <c r="JJN1726" s="227"/>
      <c r="JJO1726" s="227"/>
      <c r="JJP1726" s="227"/>
      <c r="JJQ1726" s="227"/>
      <c r="JJR1726" s="227"/>
      <c r="JJS1726" s="227"/>
      <c r="JJT1726" s="227"/>
      <c r="JJU1726" s="227"/>
      <c r="JJV1726" s="227"/>
      <c r="JJW1726" s="227"/>
      <c r="JJX1726" s="227"/>
      <c r="JJY1726" s="227"/>
      <c r="JJZ1726" s="227"/>
      <c r="JKA1726" s="227"/>
      <c r="JKB1726" s="227"/>
      <c r="JKC1726" s="227"/>
      <c r="JKD1726" s="227"/>
      <c r="JKE1726" s="227"/>
      <c r="JKF1726" s="227"/>
      <c r="JKG1726" s="227"/>
      <c r="JKH1726" s="227"/>
      <c r="JKI1726" s="227"/>
      <c r="JKJ1726" s="227"/>
      <c r="JKK1726" s="227"/>
      <c r="JKL1726" s="227"/>
      <c r="JKM1726" s="227"/>
      <c r="JKN1726" s="227"/>
      <c r="JKO1726" s="227"/>
      <c r="JKP1726" s="227"/>
      <c r="JKQ1726" s="227"/>
      <c r="JKR1726" s="227"/>
      <c r="JKS1726" s="227"/>
      <c r="JKT1726" s="227"/>
      <c r="JKU1726" s="227"/>
      <c r="JKV1726" s="227"/>
      <c r="JKW1726" s="227"/>
      <c r="JKX1726" s="227"/>
      <c r="JKY1726" s="227"/>
      <c r="JKZ1726" s="227"/>
      <c r="JLA1726" s="227"/>
      <c r="JLB1726" s="227"/>
      <c r="JLC1726" s="227"/>
      <c r="JLD1726" s="227"/>
      <c r="JLE1726" s="227"/>
      <c r="JLF1726" s="227"/>
      <c r="JLG1726" s="227"/>
      <c r="JLH1726" s="227"/>
      <c r="JLI1726" s="227"/>
      <c r="JLJ1726" s="227"/>
      <c r="JLK1726" s="227"/>
      <c r="JLL1726" s="227"/>
      <c r="JLM1726" s="227"/>
      <c r="JLN1726" s="227"/>
      <c r="JLO1726" s="227"/>
      <c r="JLP1726" s="227"/>
      <c r="JLQ1726" s="227"/>
      <c r="JLR1726" s="227"/>
      <c r="JLS1726" s="227"/>
      <c r="JLT1726" s="227"/>
      <c r="JLU1726" s="227"/>
      <c r="JLV1726" s="227"/>
      <c r="JLW1726" s="227"/>
      <c r="JLX1726" s="227"/>
      <c r="JLY1726" s="227"/>
      <c r="JLZ1726" s="227"/>
      <c r="JMA1726" s="227"/>
      <c r="JMB1726" s="227"/>
      <c r="JMC1726" s="227"/>
      <c r="JMD1726" s="227"/>
      <c r="JME1726" s="227"/>
      <c r="JMF1726" s="227"/>
      <c r="JMG1726" s="227"/>
      <c r="JMH1726" s="227"/>
      <c r="JMI1726" s="227"/>
      <c r="JMJ1726" s="227"/>
      <c r="JMK1726" s="227"/>
      <c r="JML1726" s="227"/>
      <c r="JMM1726" s="227"/>
      <c r="JMN1726" s="227"/>
      <c r="JMO1726" s="227"/>
      <c r="JMP1726" s="227"/>
      <c r="JMQ1726" s="227"/>
      <c r="JMR1726" s="227"/>
      <c r="JMS1726" s="227"/>
      <c r="JMT1726" s="227"/>
      <c r="JMU1726" s="227"/>
      <c r="JMV1726" s="227"/>
      <c r="JMW1726" s="227"/>
      <c r="JMX1726" s="227"/>
      <c r="JMY1726" s="227"/>
      <c r="JMZ1726" s="227"/>
      <c r="JNA1726" s="227"/>
      <c r="JNB1726" s="227"/>
      <c r="JNC1726" s="227"/>
      <c r="JND1726" s="227"/>
      <c r="JNE1726" s="227"/>
      <c r="JNF1726" s="227"/>
      <c r="JNG1726" s="227"/>
      <c r="JNH1726" s="227"/>
      <c r="JNI1726" s="227"/>
      <c r="JNJ1726" s="227"/>
      <c r="JNK1726" s="227"/>
      <c r="JNL1726" s="227"/>
      <c r="JNM1726" s="227"/>
      <c r="JNN1726" s="227"/>
      <c r="JNO1726" s="227"/>
      <c r="JNP1726" s="227"/>
      <c r="JNQ1726" s="227"/>
      <c r="JNR1726" s="227"/>
      <c r="JNS1726" s="227"/>
      <c r="JNT1726" s="227"/>
      <c r="JNU1726" s="227"/>
      <c r="JNV1726" s="227"/>
      <c r="JNW1726" s="227"/>
      <c r="JNX1726" s="227"/>
      <c r="JNY1726" s="227"/>
      <c r="JNZ1726" s="227"/>
      <c r="JOA1726" s="227"/>
      <c r="JOB1726" s="227"/>
      <c r="JOC1726" s="227"/>
      <c r="JOD1726" s="227"/>
      <c r="JOE1726" s="227"/>
      <c r="JOF1726" s="227"/>
      <c r="JOG1726" s="227"/>
      <c r="JOH1726" s="227"/>
      <c r="JOI1726" s="227"/>
      <c r="JOJ1726" s="227"/>
      <c r="JOK1726" s="227"/>
      <c r="JOL1726" s="227"/>
      <c r="JOM1726" s="227"/>
      <c r="JON1726" s="227"/>
      <c r="JOO1726" s="227"/>
      <c r="JOP1726" s="227"/>
      <c r="JOQ1726" s="227"/>
      <c r="JOR1726" s="227"/>
      <c r="JOS1726" s="227"/>
      <c r="JOT1726" s="227"/>
      <c r="JOU1726" s="227"/>
      <c r="JOV1726" s="227"/>
      <c r="JOW1726" s="227"/>
      <c r="JOX1726" s="227"/>
      <c r="JOY1726" s="227"/>
      <c r="JOZ1726" s="227"/>
      <c r="JPA1726" s="227"/>
      <c r="JPB1726" s="227"/>
      <c r="JPC1726" s="227"/>
      <c r="JPD1726" s="227"/>
      <c r="JPE1726" s="227"/>
      <c r="JPF1726" s="227"/>
      <c r="JPG1726" s="227"/>
      <c r="JPH1726" s="227"/>
      <c r="JPI1726" s="227"/>
      <c r="JPJ1726" s="227"/>
      <c r="JPK1726" s="227"/>
      <c r="JPL1726" s="227"/>
      <c r="JPM1726" s="227"/>
      <c r="JPN1726" s="227"/>
      <c r="JPO1726" s="227"/>
      <c r="JPP1726" s="227"/>
      <c r="JPQ1726" s="227"/>
      <c r="JPR1726" s="227"/>
      <c r="JPS1726" s="227"/>
      <c r="JPT1726" s="227"/>
      <c r="JPU1726" s="227"/>
      <c r="JPV1726" s="227"/>
      <c r="JPW1726" s="227"/>
      <c r="JPX1726" s="227"/>
      <c r="JPY1726" s="227"/>
      <c r="JPZ1726" s="227"/>
      <c r="JQA1726" s="227"/>
      <c r="JQB1726" s="227"/>
      <c r="JQC1726" s="227"/>
      <c r="JQD1726" s="227"/>
      <c r="JQE1726" s="227"/>
      <c r="JQF1726" s="227"/>
      <c r="JQG1726" s="227"/>
      <c r="JQH1726" s="227"/>
      <c r="JQI1726" s="227"/>
      <c r="JQJ1726" s="227"/>
      <c r="JQK1726" s="227"/>
      <c r="JQL1726" s="227"/>
      <c r="JQM1726" s="227"/>
      <c r="JQN1726" s="227"/>
      <c r="JQO1726" s="227"/>
      <c r="JQP1726" s="227"/>
      <c r="JQQ1726" s="227"/>
      <c r="JQR1726" s="227"/>
      <c r="JQS1726" s="227"/>
      <c r="JQT1726" s="227"/>
      <c r="JQU1726" s="227"/>
      <c r="JQV1726" s="227"/>
      <c r="JQW1726" s="227"/>
      <c r="JQX1726" s="227"/>
      <c r="JQY1726" s="227"/>
      <c r="JQZ1726" s="227"/>
      <c r="JRA1726" s="227"/>
      <c r="JRB1726" s="227"/>
      <c r="JRC1726" s="227"/>
      <c r="JRD1726" s="227"/>
      <c r="JRE1726" s="227"/>
      <c r="JRF1726" s="227"/>
      <c r="JRG1726" s="227"/>
      <c r="JRH1726" s="227"/>
      <c r="JRI1726" s="227"/>
      <c r="JRJ1726" s="227"/>
      <c r="JRK1726" s="227"/>
      <c r="JRL1726" s="227"/>
      <c r="JRM1726" s="227"/>
      <c r="JRN1726" s="227"/>
      <c r="JRO1726" s="227"/>
      <c r="JRP1726" s="227"/>
      <c r="JRQ1726" s="227"/>
      <c r="JRR1726" s="227"/>
      <c r="JRS1726" s="227"/>
      <c r="JRT1726" s="227"/>
      <c r="JRU1726" s="227"/>
      <c r="JRV1726" s="227"/>
      <c r="JRW1726" s="227"/>
      <c r="JRX1726" s="227"/>
      <c r="JRY1726" s="227"/>
      <c r="JRZ1726" s="227"/>
      <c r="JSA1726" s="227"/>
      <c r="JSB1726" s="227"/>
      <c r="JSC1726" s="227"/>
      <c r="JSD1726" s="227"/>
      <c r="JSE1726" s="227"/>
      <c r="JSF1726" s="227"/>
      <c r="JSG1726" s="227"/>
      <c r="JSH1726" s="227"/>
      <c r="JSI1726" s="227"/>
      <c r="JSJ1726" s="227"/>
      <c r="JSK1726" s="227"/>
      <c r="JSL1726" s="227"/>
      <c r="JSM1726" s="227"/>
      <c r="JSN1726" s="227"/>
      <c r="JSO1726" s="227"/>
      <c r="JSP1726" s="227"/>
      <c r="JSQ1726" s="227"/>
      <c r="JSR1726" s="227"/>
      <c r="JSS1726" s="227"/>
      <c r="JST1726" s="227"/>
      <c r="JSU1726" s="227"/>
      <c r="JSV1726" s="227"/>
      <c r="JSW1726" s="227"/>
      <c r="JSX1726" s="227"/>
      <c r="JSY1726" s="227"/>
      <c r="JSZ1726" s="227"/>
      <c r="JTA1726" s="227"/>
      <c r="JTB1726" s="227"/>
      <c r="JTC1726" s="227"/>
      <c r="JTD1726" s="227"/>
      <c r="JTE1726" s="227"/>
      <c r="JTF1726" s="227"/>
      <c r="JTG1726" s="227"/>
      <c r="JTH1726" s="227"/>
      <c r="JTI1726" s="227"/>
      <c r="JTJ1726" s="227"/>
      <c r="JTK1726" s="227"/>
      <c r="JTL1726" s="227"/>
      <c r="JTM1726" s="227"/>
      <c r="JTN1726" s="227"/>
      <c r="JTO1726" s="227"/>
      <c r="JTP1726" s="227"/>
      <c r="JTQ1726" s="227"/>
      <c r="JTR1726" s="227"/>
      <c r="JTS1726" s="227"/>
      <c r="JTT1726" s="227"/>
      <c r="JTU1726" s="227"/>
      <c r="JTV1726" s="227"/>
      <c r="JTW1726" s="227"/>
      <c r="JTX1726" s="227"/>
      <c r="JTY1726" s="227"/>
      <c r="JTZ1726" s="227"/>
      <c r="JUA1726" s="227"/>
      <c r="JUB1726" s="227"/>
      <c r="JUC1726" s="227"/>
      <c r="JUD1726" s="227"/>
      <c r="JUE1726" s="227"/>
      <c r="JUF1726" s="227"/>
      <c r="JUG1726" s="227"/>
      <c r="JUH1726" s="227"/>
      <c r="JUI1726" s="227"/>
      <c r="JUJ1726" s="227"/>
      <c r="JUK1726" s="227"/>
      <c r="JUL1726" s="227"/>
      <c r="JUM1726" s="227"/>
      <c r="JUN1726" s="227"/>
      <c r="JUO1726" s="227"/>
      <c r="JUP1726" s="227"/>
      <c r="JUQ1726" s="227"/>
      <c r="JUR1726" s="227"/>
      <c r="JUS1726" s="227"/>
      <c r="JUT1726" s="227"/>
      <c r="JUU1726" s="227"/>
      <c r="JUV1726" s="227"/>
      <c r="JUW1726" s="227"/>
      <c r="JUX1726" s="227"/>
      <c r="JUY1726" s="227"/>
      <c r="JUZ1726" s="227"/>
      <c r="JVA1726" s="227"/>
      <c r="JVB1726" s="227"/>
      <c r="JVC1726" s="227"/>
      <c r="JVD1726" s="227"/>
      <c r="JVE1726" s="227"/>
      <c r="JVF1726" s="227"/>
      <c r="JVG1726" s="227"/>
      <c r="JVH1726" s="227"/>
      <c r="JVI1726" s="227"/>
      <c r="JVJ1726" s="227"/>
      <c r="JVK1726" s="227"/>
      <c r="JVL1726" s="227"/>
      <c r="JVM1726" s="227"/>
      <c r="JVN1726" s="227"/>
      <c r="JVO1726" s="227"/>
      <c r="JVP1726" s="227"/>
      <c r="JVQ1726" s="227"/>
      <c r="JVR1726" s="227"/>
      <c r="JVS1726" s="227"/>
      <c r="JVT1726" s="227"/>
      <c r="JVU1726" s="227"/>
      <c r="JVV1726" s="227"/>
      <c r="JVW1726" s="227"/>
      <c r="JVX1726" s="227"/>
      <c r="JVY1726" s="227"/>
      <c r="JVZ1726" s="227"/>
      <c r="JWA1726" s="227"/>
      <c r="JWB1726" s="227"/>
      <c r="JWC1726" s="227"/>
      <c r="JWD1726" s="227"/>
      <c r="JWE1726" s="227"/>
      <c r="JWF1726" s="227"/>
      <c r="JWG1726" s="227"/>
      <c r="JWH1726" s="227"/>
      <c r="JWI1726" s="227"/>
      <c r="JWJ1726" s="227"/>
      <c r="JWK1726" s="227"/>
      <c r="JWL1726" s="227"/>
      <c r="JWM1726" s="227"/>
      <c r="JWN1726" s="227"/>
      <c r="JWO1726" s="227"/>
      <c r="JWP1726" s="227"/>
      <c r="JWQ1726" s="227"/>
      <c r="JWR1726" s="227"/>
      <c r="JWS1726" s="227"/>
      <c r="JWT1726" s="227"/>
      <c r="JWU1726" s="227"/>
      <c r="JWV1726" s="227"/>
      <c r="JWW1726" s="227"/>
      <c r="JWX1726" s="227"/>
      <c r="JWY1726" s="227"/>
      <c r="JWZ1726" s="227"/>
      <c r="JXA1726" s="227"/>
      <c r="JXB1726" s="227"/>
      <c r="JXC1726" s="227"/>
      <c r="JXD1726" s="227"/>
      <c r="JXE1726" s="227"/>
      <c r="JXF1726" s="227"/>
      <c r="JXG1726" s="227"/>
      <c r="JXH1726" s="227"/>
      <c r="JXI1726" s="227"/>
      <c r="JXJ1726" s="227"/>
      <c r="JXK1726" s="227"/>
      <c r="JXL1726" s="227"/>
      <c r="JXM1726" s="227"/>
      <c r="JXN1726" s="227"/>
      <c r="JXO1726" s="227"/>
      <c r="JXP1726" s="227"/>
      <c r="JXQ1726" s="227"/>
      <c r="JXR1726" s="227"/>
      <c r="JXS1726" s="227"/>
      <c r="JXT1726" s="227"/>
      <c r="JXU1726" s="227"/>
      <c r="JXV1726" s="227"/>
      <c r="JXW1726" s="227"/>
      <c r="JXX1726" s="227"/>
      <c r="JXY1726" s="227"/>
      <c r="JXZ1726" s="227"/>
      <c r="JYA1726" s="227"/>
      <c r="JYB1726" s="227"/>
      <c r="JYC1726" s="227"/>
      <c r="JYD1726" s="227"/>
      <c r="JYE1726" s="227"/>
      <c r="JYF1726" s="227"/>
      <c r="JYG1726" s="227"/>
      <c r="JYH1726" s="227"/>
      <c r="JYI1726" s="227"/>
      <c r="JYJ1726" s="227"/>
      <c r="JYK1726" s="227"/>
      <c r="JYL1726" s="227"/>
      <c r="JYM1726" s="227"/>
      <c r="JYN1726" s="227"/>
      <c r="JYO1726" s="227"/>
      <c r="JYP1726" s="227"/>
      <c r="JYQ1726" s="227"/>
      <c r="JYR1726" s="227"/>
      <c r="JYS1726" s="227"/>
      <c r="JYT1726" s="227"/>
      <c r="JYU1726" s="227"/>
      <c r="JYV1726" s="227"/>
      <c r="JYW1726" s="227"/>
      <c r="JYX1726" s="227"/>
      <c r="JYY1726" s="227"/>
      <c r="JYZ1726" s="227"/>
      <c r="JZA1726" s="227"/>
      <c r="JZB1726" s="227"/>
      <c r="JZC1726" s="227"/>
      <c r="JZD1726" s="227"/>
      <c r="JZE1726" s="227"/>
      <c r="JZF1726" s="227"/>
      <c r="JZG1726" s="227"/>
      <c r="JZH1726" s="227"/>
      <c r="JZI1726" s="227"/>
      <c r="JZJ1726" s="227"/>
      <c r="JZK1726" s="227"/>
      <c r="JZL1726" s="227"/>
      <c r="JZM1726" s="227"/>
      <c r="JZN1726" s="227"/>
      <c r="JZO1726" s="227"/>
      <c r="JZP1726" s="227"/>
      <c r="JZQ1726" s="227"/>
      <c r="JZR1726" s="227"/>
      <c r="JZS1726" s="227"/>
      <c r="JZT1726" s="227"/>
      <c r="JZU1726" s="227"/>
      <c r="JZV1726" s="227"/>
      <c r="JZW1726" s="227"/>
      <c r="JZX1726" s="227"/>
      <c r="JZY1726" s="227"/>
      <c r="JZZ1726" s="227"/>
      <c r="KAA1726" s="227"/>
      <c r="KAB1726" s="227"/>
      <c r="KAC1726" s="227"/>
      <c r="KAD1726" s="227"/>
      <c r="KAE1726" s="227"/>
      <c r="KAF1726" s="227"/>
      <c r="KAG1726" s="227"/>
      <c r="KAH1726" s="227"/>
      <c r="KAI1726" s="227"/>
      <c r="KAJ1726" s="227"/>
      <c r="KAK1726" s="227"/>
      <c r="KAL1726" s="227"/>
      <c r="KAM1726" s="227"/>
      <c r="KAN1726" s="227"/>
      <c r="KAO1726" s="227"/>
      <c r="KAP1726" s="227"/>
      <c r="KAQ1726" s="227"/>
      <c r="KAR1726" s="227"/>
      <c r="KAS1726" s="227"/>
      <c r="KAT1726" s="227"/>
      <c r="KAU1726" s="227"/>
      <c r="KAV1726" s="227"/>
      <c r="KAW1726" s="227"/>
      <c r="KAX1726" s="227"/>
      <c r="KAY1726" s="227"/>
      <c r="KAZ1726" s="227"/>
      <c r="KBA1726" s="227"/>
      <c r="KBB1726" s="227"/>
      <c r="KBC1726" s="227"/>
      <c r="KBD1726" s="227"/>
      <c r="KBE1726" s="227"/>
      <c r="KBF1726" s="227"/>
      <c r="KBG1726" s="227"/>
      <c r="KBH1726" s="227"/>
      <c r="KBI1726" s="227"/>
      <c r="KBJ1726" s="227"/>
      <c r="KBK1726" s="227"/>
      <c r="KBL1726" s="227"/>
      <c r="KBM1726" s="227"/>
      <c r="KBN1726" s="227"/>
      <c r="KBO1726" s="227"/>
      <c r="KBP1726" s="227"/>
      <c r="KBQ1726" s="227"/>
      <c r="KBR1726" s="227"/>
      <c r="KBS1726" s="227"/>
      <c r="KBT1726" s="227"/>
      <c r="KBU1726" s="227"/>
      <c r="KBV1726" s="227"/>
      <c r="KBW1726" s="227"/>
      <c r="KBX1726" s="227"/>
      <c r="KBY1726" s="227"/>
      <c r="KBZ1726" s="227"/>
      <c r="KCA1726" s="227"/>
      <c r="KCB1726" s="227"/>
      <c r="KCC1726" s="227"/>
      <c r="KCD1726" s="227"/>
      <c r="KCE1726" s="227"/>
      <c r="KCF1726" s="227"/>
      <c r="KCG1726" s="227"/>
      <c r="KCH1726" s="227"/>
      <c r="KCI1726" s="227"/>
      <c r="KCJ1726" s="227"/>
      <c r="KCK1726" s="227"/>
      <c r="KCL1726" s="227"/>
      <c r="KCM1726" s="227"/>
      <c r="KCN1726" s="227"/>
      <c r="KCO1726" s="227"/>
      <c r="KCP1726" s="227"/>
      <c r="KCQ1726" s="227"/>
      <c r="KCR1726" s="227"/>
      <c r="KCS1726" s="227"/>
      <c r="KCT1726" s="227"/>
      <c r="KCU1726" s="227"/>
      <c r="KCV1726" s="227"/>
      <c r="KCW1726" s="227"/>
      <c r="KCX1726" s="227"/>
      <c r="KCY1726" s="227"/>
      <c r="KCZ1726" s="227"/>
      <c r="KDA1726" s="227"/>
      <c r="KDB1726" s="227"/>
      <c r="KDC1726" s="227"/>
      <c r="KDD1726" s="227"/>
      <c r="KDE1726" s="227"/>
      <c r="KDF1726" s="227"/>
      <c r="KDG1726" s="227"/>
      <c r="KDH1726" s="227"/>
      <c r="KDI1726" s="227"/>
      <c r="KDJ1726" s="227"/>
      <c r="KDK1726" s="227"/>
      <c r="KDL1726" s="227"/>
      <c r="KDM1726" s="227"/>
      <c r="KDN1726" s="227"/>
      <c r="KDO1726" s="227"/>
      <c r="KDP1726" s="227"/>
      <c r="KDQ1726" s="227"/>
      <c r="KDR1726" s="227"/>
      <c r="KDS1726" s="227"/>
      <c r="KDT1726" s="227"/>
      <c r="KDU1726" s="227"/>
      <c r="KDV1726" s="227"/>
      <c r="KDW1726" s="227"/>
      <c r="KDX1726" s="227"/>
      <c r="KDY1726" s="227"/>
      <c r="KDZ1726" s="227"/>
      <c r="KEA1726" s="227"/>
      <c r="KEB1726" s="227"/>
      <c r="KEC1726" s="227"/>
      <c r="KED1726" s="227"/>
      <c r="KEE1726" s="227"/>
      <c r="KEF1726" s="227"/>
      <c r="KEG1726" s="227"/>
      <c r="KEH1726" s="227"/>
      <c r="KEI1726" s="227"/>
      <c r="KEJ1726" s="227"/>
      <c r="KEK1726" s="227"/>
      <c r="KEL1726" s="227"/>
      <c r="KEM1726" s="227"/>
      <c r="KEN1726" s="227"/>
      <c r="KEO1726" s="227"/>
      <c r="KEP1726" s="227"/>
      <c r="KEQ1726" s="227"/>
      <c r="KER1726" s="227"/>
      <c r="KES1726" s="227"/>
      <c r="KET1726" s="227"/>
      <c r="KEU1726" s="227"/>
      <c r="KEV1726" s="227"/>
      <c r="KEW1726" s="227"/>
      <c r="KEX1726" s="227"/>
      <c r="KEY1726" s="227"/>
      <c r="KEZ1726" s="227"/>
      <c r="KFA1726" s="227"/>
      <c r="KFB1726" s="227"/>
      <c r="KFC1726" s="227"/>
      <c r="KFD1726" s="227"/>
      <c r="KFE1726" s="227"/>
      <c r="KFF1726" s="227"/>
      <c r="KFG1726" s="227"/>
      <c r="KFH1726" s="227"/>
      <c r="KFI1726" s="227"/>
      <c r="KFJ1726" s="227"/>
      <c r="KFK1726" s="227"/>
      <c r="KFL1726" s="227"/>
      <c r="KFM1726" s="227"/>
      <c r="KFN1726" s="227"/>
      <c r="KFO1726" s="227"/>
      <c r="KFP1726" s="227"/>
      <c r="KFQ1726" s="227"/>
      <c r="KFR1726" s="227"/>
      <c r="KFS1726" s="227"/>
      <c r="KFT1726" s="227"/>
      <c r="KFU1726" s="227"/>
      <c r="KFV1726" s="227"/>
      <c r="KFW1726" s="227"/>
      <c r="KFX1726" s="227"/>
      <c r="KFY1726" s="227"/>
      <c r="KFZ1726" s="227"/>
      <c r="KGA1726" s="227"/>
      <c r="KGB1726" s="227"/>
      <c r="KGC1726" s="227"/>
      <c r="KGD1726" s="227"/>
      <c r="KGE1726" s="227"/>
      <c r="KGF1726" s="227"/>
      <c r="KGG1726" s="227"/>
      <c r="KGH1726" s="227"/>
      <c r="KGI1726" s="227"/>
      <c r="KGJ1726" s="227"/>
      <c r="KGK1726" s="227"/>
      <c r="KGL1726" s="227"/>
      <c r="KGM1726" s="227"/>
      <c r="KGN1726" s="227"/>
      <c r="KGO1726" s="227"/>
      <c r="KGP1726" s="227"/>
      <c r="KGQ1726" s="227"/>
      <c r="KGR1726" s="227"/>
      <c r="KGS1726" s="227"/>
      <c r="KGT1726" s="227"/>
      <c r="KGU1726" s="227"/>
      <c r="KGV1726" s="227"/>
      <c r="KGW1726" s="227"/>
      <c r="KGX1726" s="227"/>
      <c r="KGY1726" s="227"/>
      <c r="KGZ1726" s="227"/>
      <c r="KHA1726" s="227"/>
      <c r="KHB1726" s="227"/>
      <c r="KHC1726" s="227"/>
      <c r="KHD1726" s="227"/>
      <c r="KHE1726" s="227"/>
      <c r="KHF1726" s="227"/>
      <c r="KHG1726" s="227"/>
      <c r="KHH1726" s="227"/>
      <c r="KHI1726" s="227"/>
      <c r="KHJ1726" s="227"/>
      <c r="KHK1726" s="227"/>
      <c r="KHL1726" s="227"/>
      <c r="KHM1726" s="227"/>
      <c r="KHN1726" s="227"/>
      <c r="KHO1726" s="227"/>
      <c r="KHP1726" s="227"/>
      <c r="KHQ1726" s="227"/>
      <c r="KHR1726" s="227"/>
      <c r="KHS1726" s="227"/>
      <c r="KHT1726" s="227"/>
      <c r="KHU1726" s="227"/>
      <c r="KHV1726" s="227"/>
      <c r="KHW1726" s="227"/>
      <c r="KHX1726" s="227"/>
      <c r="KHY1726" s="227"/>
      <c r="KHZ1726" s="227"/>
      <c r="KIA1726" s="227"/>
      <c r="KIB1726" s="227"/>
      <c r="KIC1726" s="227"/>
      <c r="KID1726" s="227"/>
      <c r="KIE1726" s="227"/>
      <c r="KIF1726" s="227"/>
      <c r="KIG1726" s="227"/>
      <c r="KIH1726" s="227"/>
      <c r="KII1726" s="227"/>
      <c r="KIJ1726" s="227"/>
      <c r="KIK1726" s="227"/>
      <c r="KIL1726" s="227"/>
      <c r="KIM1726" s="227"/>
      <c r="KIN1726" s="227"/>
      <c r="KIO1726" s="227"/>
      <c r="KIP1726" s="227"/>
      <c r="KIQ1726" s="227"/>
      <c r="KIR1726" s="227"/>
      <c r="KIS1726" s="227"/>
      <c r="KIT1726" s="227"/>
      <c r="KIU1726" s="227"/>
      <c r="KIV1726" s="227"/>
      <c r="KIW1726" s="227"/>
      <c r="KIX1726" s="227"/>
      <c r="KIY1726" s="227"/>
      <c r="KIZ1726" s="227"/>
      <c r="KJA1726" s="227"/>
      <c r="KJB1726" s="227"/>
      <c r="KJC1726" s="227"/>
      <c r="KJD1726" s="227"/>
      <c r="KJE1726" s="227"/>
      <c r="KJF1726" s="227"/>
      <c r="KJG1726" s="227"/>
      <c r="KJH1726" s="227"/>
      <c r="KJI1726" s="227"/>
      <c r="KJJ1726" s="227"/>
      <c r="KJK1726" s="227"/>
      <c r="KJL1726" s="227"/>
      <c r="KJM1726" s="227"/>
      <c r="KJN1726" s="227"/>
      <c r="KJO1726" s="227"/>
      <c r="KJP1726" s="227"/>
      <c r="KJQ1726" s="227"/>
      <c r="KJR1726" s="227"/>
      <c r="KJS1726" s="227"/>
      <c r="KJT1726" s="227"/>
      <c r="KJU1726" s="227"/>
      <c r="KJV1726" s="227"/>
      <c r="KJW1726" s="227"/>
      <c r="KJX1726" s="227"/>
      <c r="KJY1726" s="227"/>
      <c r="KJZ1726" s="227"/>
      <c r="KKA1726" s="227"/>
      <c r="KKB1726" s="227"/>
      <c r="KKC1726" s="227"/>
      <c r="KKD1726" s="227"/>
      <c r="KKE1726" s="227"/>
      <c r="KKF1726" s="227"/>
      <c r="KKG1726" s="227"/>
      <c r="KKH1726" s="227"/>
      <c r="KKI1726" s="227"/>
      <c r="KKJ1726" s="227"/>
      <c r="KKK1726" s="227"/>
      <c r="KKL1726" s="227"/>
      <c r="KKM1726" s="227"/>
      <c r="KKN1726" s="227"/>
      <c r="KKO1726" s="227"/>
      <c r="KKP1726" s="227"/>
      <c r="KKQ1726" s="227"/>
      <c r="KKR1726" s="227"/>
      <c r="KKS1726" s="227"/>
      <c r="KKT1726" s="227"/>
      <c r="KKU1726" s="227"/>
      <c r="KKV1726" s="227"/>
      <c r="KKW1726" s="227"/>
      <c r="KKX1726" s="227"/>
      <c r="KKY1726" s="227"/>
      <c r="KKZ1726" s="227"/>
      <c r="KLA1726" s="227"/>
      <c r="KLB1726" s="227"/>
      <c r="KLC1726" s="227"/>
      <c r="KLD1726" s="227"/>
      <c r="KLE1726" s="227"/>
      <c r="KLF1726" s="227"/>
      <c r="KLG1726" s="227"/>
      <c r="KLH1726" s="227"/>
      <c r="KLI1726" s="227"/>
      <c r="KLJ1726" s="227"/>
      <c r="KLK1726" s="227"/>
      <c r="KLL1726" s="227"/>
      <c r="KLM1726" s="227"/>
      <c r="KLN1726" s="227"/>
      <c r="KLO1726" s="227"/>
      <c r="KLP1726" s="227"/>
      <c r="KLQ1726" s="227"/>
      <c r="KLR1726" s="227"/>
      <c r="KLS1726" s="227"/>
      <c r="KLT1726" s="227"/>
      <c r="KLU1726" s="227"/>
      <c r="KLV1726" s="227"/>
      <c r="KLW1726" s="227"/>
      <c r="KLX1726" s="227"/>
      <c r="KLY1726" s="227"/>
      <c r="KLZ1726" s="227"/>
      <c r="KMA1726" s="227"/>
      <c r="KMB1726" s="227"/>
      <c r="KMC1726" s="227"/>
      <c r="KMD1726" s="227"/>
      <c r="KME1726" s="227"/>
      <c r="KMF1726" s="227"/>
      <c r="KMG1726" s="227"/>
      <c r="KMH1726" s="227"/>
      <c r="KMI1726" s="227"/>
      <c r="KMJ1726" s="227"/>
      <c r="KMK1726" s="227"/>
      <c r="KML1726" s="227"/>
      <c r="KMM1726" s="227"/>
      <c r="KMN1726" s="227"/>
      <c r="KMO1726" s="227"/>
      <c r="KMP1726" s="227"/>
      <c r="KMQ1726" s="227"/>
      <c r="KMR1726" s="227"/>
      <c r="KMS1726" s="227"/>
      <c r="KMT1726" s="227"/>
      <c r="KMU1726" s="227"/>
      <c r="KMV1726" s="227"/>
      <c r="KMW1726" s="227"/>
      <c r="KMX1726" s="227"/>
      <c r="KMY1726" s="227"/>
      <c r="KMZ1726" s="227"/>
      <c r="KNA1726" s="227"/>
      <c r="KNB1726" s="227"/>
      <c r="KNC1726" s="227"/>
      <c r="KND1726" s="227"/>
      <c r="KNE1726" s="227"/>
      <c r="KNF1726" s="227"/>
      <c r="KNG1726" s="227"/>
      <c r="KNH1726" s="227"/>
      <c r="KNI1726" s="227"/>
      <c r="KNJ1726" s="227"/>
      <c r="KNK1726" s="227"/>
      <c r="KNL1726" s="227"/>
      <c r="KNM1726" s="227"/>
      <c r="KNN1726" s="227"/>
      <c r="KNO1726" s="227"/>
      <c r="KNP1726" s="227"/>
      <c r="KNQ1726" s="227"/>
      <c r="KNR1726" s="227"/>
      <c r="KNS1726" s="227"/>
      <c r="KNT1726" s="227"/>
      <c r="KNU1726" s="227"/>
      <c r="KNV1726" s="227"/>
      <c r="KNW1726" s="227"/>
      <c r="KNX1726" s="227"/>
      <c r="KNY1726" s="227"/>
      <c r="KNZ1726" s="227"/>
      <c r="KOA1726" s="227"/>
      <c r="KOB1726" s="227"/>
      <c r="KOC1726" s="227"/>
      <c r="KOD1726" s="227"/>
      <c r="KOE1726" s="227"/>
      <c r="KOF1726" s="227"/>
      <c r="KOG1726" s="227"/>
      <c r="KOH1726" s="227"/>
      <c r="KOI1726" s="227"/>
      <c r="KOJ1726" s="227"/>
      <c r="KOK1726" s="227"/>
      <c r="KOL1726" s="227"/>
      <c r="KOM1726" s="227"/>
      <c r="KON1726" s="227"/>
      <c r="KOO1726" s="227"/>
      <c r="KOP1726" s="227"/>
      <c r="KOQ1726" s="227"/>
      <c r="KOR1726" s="227"/>
      <c r="KOS1726" s="227"/>
      <c r="KOT1726" s="227"/>
      <c r="KOU1726" s="227"/>
      <c r="KOV1726" s="227"/>
      <c r="KOW1726" s="227"/>
      <c r="KOX1726" s="227"/>
      <c r="KOY1726" s="227"/>
      <c r="KOZ1726" s="227"/>
      <c r="KPA1726" s="227"/>
      <c r="KPB1726" s="227"/>
      <c r="KPC1726" s="227"/>
      <c r="KPD1726" s="227"/>
      <c r="KPE1726" s="227"/>
      <c r="KPF1726" s="227"/>
      <c r="KPG1726" s="227"/>
      <c r="KPH1726" s="227"/>
      <c r="KPI1726" s="227"/>
      <c r="KPJ1726" s="227"/>
      <c r="KPK1726" s="227"/>
      <c r="KPL1726" s="227"/>
      <c r="KPM1726" s="227"/>
      <c r="KPN1726" s="227"/>
      <c r="KPO1726" s="227"/>
      <c r="KPP1726" s="227"/>
      <c r="KPQ1726" s="227"/>
      <c r="KPR1726" s="227"/>
      <c r="KPS1726" s="227"/>
      <c r="KPT1726" s="227"/>
      <c r="KPU1726" s="227"/>
      <c r="KPV1726" s="227"/>
      <c r="KPW1726" s="227"/>
      <c r="KPX1726" s="227"/>
      <c r="KPY1726" s="227"/>
      <c r="KPZ1726" s="227"/>
      <c r="KQA1726" s="227"/>
      <c r="KQB1726" s="227"/>
      <c r="KQC1726" s="227"/>
      <c r="KQD1726" s="227"/>
      <c r="KQE1726" s="227"/>
      <c r="KQF1726" s="227"/>
      <c r="KQG1726" s="227"/>
      <c r="KQH1726" s="227"/>
      <c r="KQI1726" s="227"/>
      <c r="KQJ1726" s="227"/>
      <c r="KQK1726" s="227"/>
      <c r="KQL1726" s="227"/>
      <c r="KQM1726" s="227"/>
      <c r="KQN1726" s="227"/>
      <c r="KQO1726" s="227"/>
      <c r="KQP1726" s="227"/>
      <c r="KQQ1726" s="227"/>
      <c r="KQR1726" s="227"/>
      <c r="KQS1726" s="227"/>
      <c r="KQT1726" s="227"/>
      <c r="KQU1726" s="227"/>
      <c r="KQV1726" s="227"/>
      <c r="KQW1726" s="227"/>
      <c r="KQX1726" s="227"/>
      <c r="KQY1726" s="227"/>
      <c r="KQZ1726" s="227"/>
      <c r="KRA1726" s="227"/>
      <c r="KRB1726" s="227"/>
      <c r="KRC1726" s="227"/>
      <c r="KRD1726" s="227"/>
      <c r="KRE1726" s="227"/>
      <c r="KRF1726" s="227"/>
      <c r="KRG1726" s="227"/>
      <c r="KRH1726" s="227"/>
      <c r="KRI1726" s="227"/>
      <c r="KRJ1726" s="227"/>
      <c r="KRK1726" s="227"/>
      <c r="KRL1726" s="227"/>
      <c r="KRM1726" s="227"/>
      <c r="KRN1726" s="227"/>
      <c r="KRO1726" s="227"/>
      <c r="KRP1726" s="227"/>
      <c r="KRQ1726" s="227"/>
      <c r="KRR1726" s="227"/>
      <c r="KRS1726" s="227"/>
      <c r="KRT1726" s="227"/>
      <c r="KRU1726" s="227"/>
      <c r="KRV1726" s="227"/>
      <c r="KRW1726" s="227"/>
      <c r="KRX1726" s="227"/>
      <c r="KRY1726" s="227"/>
      <c r="KRZ1726" s="227"/>
      <c r="KSA1726" s="227"/>
      <c r="KSB1726" s="227"/>
      <c r="KSC1726" s="227"/>
      <c r="KSD1726" s="227"/>
      <c r="KSE1726" s="227"/>
      <c r="KSF1726" s="227"/>
      <c r="KSG1726" s="227"/>
      <c r="KSH1726" s="227"/>
      <c r="KSI1726" s="227"/>
      <c r="KSJ1726" s="227"/>
      <c r="KSK1726" s="227"/>
      <c r="KSL1726" s="227"/>
      <c r="KSM1726" s="227"/>
      <c r="KSN1726" s="227"/>
      <c r="KSO1726" s="227"/>
      <c r="KSP1726" s="227"/>
      <c r="KSQ1726" s="227"/>
      <c r="KSR1726" s="227"/>
      <c r="KSS1726" s="227"/>
      <c r="KST1726" s="227"/>
      <c r="KSU1726" s="227"/>
      <c r="KSV1726" s="227"/>
      <c r="KSW1726" s="227"/>
      <c r="KSX1726" s="227"/>
      <c r="KSY1726" s="227"/>
      <c r="KSZ1726" s="227"/>
      <c r="KTA1726" s="227"/>
      <c r="KTB1726" s="227"/>
      <c r="KTC1726" s="227"/>
      <c r="KTD1726" s="227"/>
      <c r="KTE1726" s="227"/>
      <c r="KTF1726" s="227"/>
      <c r="KTG1726" s="227"/>
      <c r="KTH1726" s="227"/>
      <c r="KTI1726" s="227"/>
      <c r="KTJ1726" s="227"/>
      <c r="KTK1726" s="227"/>
      <c r="KTL1726" s="227"/>
      <c r="KTM1726" s="227"/>
      <c r="KTN1726" s="227"/>
      <c r="KTO1726" s="227"/>
      <c r="KTP1726" s="227"/>
      <c r="KTQ1726" s="227"/>
      <c r="KTR1726" s="227"/>
      <c r="KTS1726" s="227"/>
      <c r="KTT1726" s="227"/>
      <c r="KTU1726" s="227"/>
      <c r="KTV1726" s="227"/>
      <c r="KTW1726" s="227"/>
      <c r="KTX1726" s="227"/>
      <c r="KTY1726" s="227"/>
      <c r="KTZ1726" s="227"/>
      <c r="KUA1726" s="227"/>
      <c r="KUB1726" s="227"/>
      <c r="KUC1726" s="227"/>
      <c r="KUD1726" s="227"/>
      <c r="KUE1726" s="227"/>
      <c r="KUF1726" s="227"/>
      <c r="KUG1726" s="227"/>
      <c r="KUH1726" s="227"/>
      <c r="KUI1726" s="227"/>
      <c r="KUJ1726" s="227"/>
      <c r="KUK1726" s="227"/>
      <c r="KUL1726" s="227"/>
      <c r="KUM1726" s="227"/>
      <c r="KUN1726" s="227"/>
      <c r="KUO1726" s="227"/>
      <c r="KUP1726" s="227"/>
      <c r="KUQ1726" s="227"/>
      <c r="KUR1726" s="227"/>
      <c r="KUS1726" s="227"/>
      <c r="KUT1726" s="227"/>
      <c r="KUU1726" s="227"/>
      <c r="KUV1726" s="227"/>
      <c r="KUW1726" s="227"/>
      <c r="KUX1726" s="227"/>
      <c r="KUY1726" s="227"/>
      <c r="KUZ1726" s="227"/>
      <c r="KVA1726" s="227"/>
      <c r="KVB1726" s="227"/>
      <c r="KVC1726" s="227"/>
      <c r="KVD1726" s="227"/>
      <c r="KVE1726" s="227"/>
      <c r="KVF1726" s="227"/>
      <c r="KVG1726" s="227"/>
      <c r="KVH1726" s="227"/>
      <c r="KVI1726" s="227"/>
      <c r="KVJ1726" s="227"/>
      <c r="KVK1726" s="227"/>
      <c r="KVL1726" s="227"/>
      <c r="KVM1726" s="227"/>
      <c r="KVN1726" s="227"/>
      <c r="KVO1726" s="227"/>
      <c r="KVP1726" s="227"/>
      <c r="KVQ1726" s="227"/>
      <c r="KVR1726" s="227"/>
      <c r="KVS1726" s="227"/>
      <c r="KVT1726" s="227"/>
      <c r="KVU1726" s="227"/>
      <c r="KVV1726" s="227"/>
      <c r="KVW1726" s="227"/>
      <c r="KVX1726" s="227"/>
      <c r="KVY1726" s="227"/>
      <c r="KVZ1726" s="227"/>
      <c r="KWA1726" s="227"/>
      <c r="KWB1726" s="227"/>
      <c r="KWC1726" s="227"/>
      <c r="KWD1726" s="227"/>
      <c r="KWE1726" s="227"/>
      <c r="KWF1726" s="227"/>
      <c r="KWG1726" s="227"/>
      <c r="KWH1726" s="227"/>
      <c r="KWI1726" s="227"/>
      <c r="KWJ1726" s="227"/>
      <c r="KWK1726" s="227"/>
      <c r="KWL1726" s="227"/>
      <c r="KWM1726" s="227"/>
      <c r="KWN1726" s="227"/>
      <c r="KWO1726" s="227"/>
      <c r="KWP1726" s="227"/>
      <c r="KWQ1726" s="227"/>
      <c r="KWR1726" s="227"/>
      <c r="KWS1726" s="227"/>
      <c r="KWT1726" s="227"/>
      <c r="KWU1726" s="227"/>
      <c r="KWV1726" s="227"/>
      <c r="KWW1726" s="227"/>
      <c r="KWX1726" s="227"/>
      <c r="KWY1726" s="227"/>
      <c r="KWZ1726" s="227"/>
      <c r="KXA1726" s="227"/>
      <c r="KXB1726" s="227"/>
      <c r="KXC1726" s="227"/>
      <c r="KXD1726" s="227"/>
      <c r="KXE1726" s="227"/>
      <c r="KXF1726" s="227"/>
      <c r="KXG1726" s="227"/>
      <c r="KXH1726" s="227"/>
      <c r="KXI1726" s="227"/>
      <c r="KXJ1726" s="227"/>
      <c r="KXK1726" s="227"/>
      <c r="KXL1726" s="227"/>
      <c r="KXM1726" s="227"/>
      <c r="KXN1726" s="227"/>
      <c r="KXO1726" s="227"/>
      <c r="KXP1726" s="227"/>
      <c r="KXQ1726" s="227"/>
      <c r="KXR1726" s="227"/>
      <c r="KXS1726" s="227"/>
      <c r="KXT1726" s="227"/>
      <c r="KXU1726" s="227"/>
      <c r="KXV1726" s="227"/>
      <c r="KXW1726" s="227"/>
      <c r="KXX1726" s="227"/>
      <c r="KXY1726" s="227"/>
      <c r="KXZ1726" s="227"/>
      <c r="KYA1726" s="227"/>
      <c r="KYB1726" s="227"/>
      <c r="KYC1726" s="227"/>
      <c r="KYD1726" s="227"/>
      <c r="KYE1726" s="227"/>
      <c r="KYF1726" s="227"/>
      <c r="KYG1726" s="227"/>
      <c r="KYH1726" s="227"/>
      <c r="KYI1726" s="227"/>
      <c r="KYJ1726" s="227"/>
      <c r="KYK1726" s="227"/>
      <c r="KYL1726" s="227"/>
      <c r="KYM1726" s="227"/>
      <c r="KYN1726" s="227"/>
      <c r="KYO1726" s="227"/>
      <c r="KYP1726" s="227"/>
      <c r="KYQ1726" s="227"/>
      <c r="KYR1726" s="227"/>
      <c r="KYS1726" s="227"/>
      <c r="KYT1726" s="227"/>
      <c r="KYU1726" s="227"/>
      <c r="KYV1726" s="227"/>
      <c r="KYW1726" s="227"/>
      <c r="KYX1726" s="227"/>
      <c r="KYY1726" s="227"/>
      <c r="KYZ1726" s="227"/>
      <c r="KZA1726" s="227"/>
      <c r="KZB1726" s="227"/>
      <c r="KZC1726" s="227"/>
      <c r="KZD1726" s="227"/>
      <c r="KZE1726" s="227"/>
      <c r="KZF1726" s="227"/>
      <c r="KZG1726" s="227"/>
      <c r="KZH1726" s="227"/>
      <c r="KZI1726" s="227"/>
      <c r="KZJ1726" s="227"/>
      <c r="KZK1726" s="227"/>
      <c r="KZL1726" s="227"/>
      <c r="KZM1726" s="227"/>
      <c r="KZN1726" s="227"/>
      <c r="KZO1726" s="227"/>
      <c r="KZP1726" s="227"/>
      <c r="KZQ1726" s="227"/>
      <c r="KZR1726" s="227"/>
      <c r="KZS1726" s="227"/>
      <c r="KZT1726" s="227"/>
      <c r="KZU1726" s="227"/>
      <c r="KZV1726" s="227"/>
      <c r="KZW1726" s="227"/>
      <c r="KZX1726" s="227"/>
      <c r="KZY1726" s="227"/>
      <c r="KZZ1726" s="227"/>
      <c r="LAA1726" s="227"/>
      <c r="LAB1726" s="227"/>
      <c r="LAC1726" s="227"/>
      <c r="LAD1726" s="227"/>
      <c r="LAE1726" s="227"/>
      <c r="LAF1726" s="227"/>
      <c r="LAG1726" s="227"/>
      <c r="LAH1726" s="227"/>
      <c r="LAI1726" s="227"/>
      <c r="LAJ1726" s="227"/>
      <c r="LAK1726" s="227"/>
      <c r="LAL1726" s="227"/>
      <c r="LAM1726" s="227"/>
      <c r="LAN1726" s="227"/>
      <c r="LAO1726" s="227"/>
      <c r="LAP1726" s="227"/>
      <c r="LAQ1726" s="227"/>
      <c r="LAR1726" s="227"/>
      <c r="LAS1726" s="227"/>
      <c r="LAT1726" s="227"/>
      <c r="LAU1726" s="227"/>
      <c r="LAV1726" s="227"/>
      <c r="LAW1726" s="227"/>
      <c r="LAX1726" s="227"/>
      <c r="LAY1726" s="227"/>
      <c r="LAZ1726" s="227"/>
      <c r="LBA1726" s="227"/>
      <c r="LBB1726" s="227"/>
      <c r="LBC1726" s="227"/>
      <c r="LBD1726" s="227"/>
      <c r="LBE1726" s="227"/>
      <c r="LBF1726" s="227"/>
      <c r="LBG1726" s="227"/>
      <c r="LBH1726" s="227"/>
      <c r="LBI1726" s="227"/>
      <c r="LBJ1726" s="227"/>
      <c r="LBK1726" s="227"/>
      <c r="LBL1726" s="227"/>
      <c r="LBM1726" s="227"/>
      <c r="LBN1726" s="227"/>
      <c r="LBO1726" s="227"/>
      <c r="LBP1726" s="227"/>
      <c r="LBQ1726" s="227"/>
      <c r="LBR1726" s="227"/>
      <c r="LBS1726" s="227"/>
      <c r="LBT1726" s="227"/>
      <c r="LBU1726" s="227"/>
      <c r="LBV1726" s="227"/>
      <c r="LBW1726" s="227"/>
      <c r="LBX1726" s="227"/>
      <c r="LBY1726" s="227"/>
      <c r="LBZ1726" s="227"/>
      <c r="LCA1726" s="227"/>
      <c r="LCB1726" s="227"/>
      <c r="LCC1726" s="227"/>
      <c r="LCD1726" s="227"/>
      <c r="LCE1726" s="227"/>
      <c r="LCF1726" s="227"/>
      <c r="LCG1726" s="227"/>
      <c r="LCH1726" s="227"/>
      <c r="LCI1726" s="227"/>
      <c r="LCJ1726" s="227"/>
      <c r="LCK1726" s="227"/>
      <c r="LCL1726" s="227"/>
      <c r="LCM1726" s="227"/>
      <c r="LCN1726" s="227"/>
      <c r="LCO1726" s="227"/>
      <c r="LCP1726" s="227"/>
      <c r="LCQ1726" s="227"/>
      <c r="LCR1726" s="227"/>
      <c r="LCS1726" s="227"/>
      <c r="LCT1726" s="227"/>
      <c r="LCU1726" s="227"/>
      <c r="LCV1726" s="227"/>
      <c r="LCW1726" s="227"/>
      <c r="LCX1726" s="227"/>
      <c r="LCY1726" s="227"/>
      <c r="LCZ1726" s="227"/>
      <c r="LDA1726" s="227"/>
      <c r="LDB1726" s="227"/>
      <c r="LDC1726" s="227"/>
      <c r="LDD1726" s="227"/>
      <c r="LDE1726" s="227"/>
      <c r="LDF1726" s="227"/>
      <c r="LDG1726" s="227"/>
      <c r="LDH1726" s="227"/>
      <c r="LDI1726" s="227"/>
      <c r="LDJ1726" s="227"/>
      <c r="LDK1726" s="227"/>
      <c r="LDL1726" s="227"/>
      <c r="LDM1726" s="227"/>
      <c r="LDN1726" s="227"/>
      <c r="LDO1726" s="227"/>
      <c r="LDP1726" s="227"/>
      <c r="LDQ1726" s="227"/>
      <c r="LDR1726" s="227"/>
      <c r="LDS1726" s="227"/>
      <c r="LDT1726" s="227"/>
      <c r="LDU1726" s="227"/>
      <c r="LDV1726" s="227"/>
      <c r="LDW1726" s="227"/>
      <c r="LDX1726" s="227"/>
      <c r="LDY1726" s="227"/>
      <c r="LDZ1726" s="227"/>
      <c r="LEA1726" s="227"/>
      <c r="LEB1726" s="227"/>
      <c r="LEC1726" s="227"/>
      <c r="LED1726" s="227"/>
      <c r="LEE1726" s="227"/>
      <c r="LEF1726" s="227"/>
      <c r="LEG1726" s="227"/>
      <c r="LEH1726" s="227"/>
      <c r="LEI1726" s="227"/>
      <c r="LEJ1726" s="227"/>
      <c r="LEK1726" s="227"/>
      <c r="LEL1726" s="227"/>
      <c r="LEM1726" s="227"/>
      <c r="LEN1726" s="227"/>
      <c r="LEO1726" s="227"/>
      <c r="LEP1726" s="227"/>
      <c r="LEQ1726" s="227"/>
      <c r="LER1726" s="227"/>
      <c r="LES1726" s="227"/>
      <c r="LET1726" s="227"/>
      <c r="LEU1726" s="227"/>
      <c r="LEV1726" s="227"/>
      <c r="LEW1726" s="227"/>
      <c r="LEX1726" s="227"/>
      <c r="LEY1726" s="227"/>
      <c r="LEZ1726" s="227"/>
      <c r="LFA1726" s="227"/>
      <c r="LFB1726" s="227"/>
      <c r="LFC1726" s="227"/>
      <c r="LFD1726" s="227"/>
      <c r="LFE1726" s="227"/>
      <c r="LFF1726" s="227"/>
      <c r="LFG1726" s="227"/>
      <c r="LFH1726" s="227"/>
      <c r="LFI1726" s="227"/>
      <c r="LFJ1726" s="227"/>
      <c r="LFK1726" s="227"/>
      <c r="LFL1726" s="227"/>
      <c r="LFM1726" s="227"/>
      <c r="LFN1726" s="227"/>
      <c r="LFO1726" s="227"/>
      <c r="LFP1726" s="227"/>
      <c r="LFQ1726" s="227"/>
      <c r="LFR1726" s="227"/>
      <c r="LFS1726" s="227"/>
      <c r="LFT1726" s="227"/>
      <c r="LFU1726" s="227"/>
      <c r="LFV1726" s="227"/>
      <c r="LFW1726" s="227"/>
      <c r="LFX1726" s="227"/>
      <c r="LFY1726" s="227"/>
      <c r="LFZ1726" s="227"/>
      <c r="LGA1726" s="227"/>
      <c r="LGB1726" s="227"/>
      <c r="LGC1726" s="227"/>
      <c r="LGD1726" s="227"/>
      <c r="LGE1726" s="227"/>
      <c r="LGF1726" s="227"/>
      <c r="LGG1726" s="227"/>
      <c r="LGH1726" s="227"/>
      <c r="LGI1726" s="227"/>
      <c r="LGJ1726" s="227"/>
      <c r="LGK1726" s="227"/>
      <c r="LGL1726" s="227"/>
      <c r="LGM1726" s="227"/>
      <c r="LGN1726" s="227"/>
      <c r="LGO1726" s="227"/>
      <c r="LGP1726" s="227"/>
      <c r="LGQ1726" s="227"/>
      <c r="LGR1726" s="227"/>
      <c r="LGS1726" s="227"/>
      <c r="LGT1726" s="227"/>
      <c r="LGU1726" s="227"/>
      <c r="LGV1726" s="227"/>
      <c r="LGW1726" s="227"/>
      <c r="LGX1726" s="227"/>
      <c r="LGY1726" s="227"/>
      <c r="LGZ1726" s="227"/>
      <c r="LHA1726" s="227"/>
      <c r="LHB1726" s="227"/>
      <c r="LHC1726" s="227"/>
      <c r="LHD1726" s="227"/>
      <c r="LHE1726" s="227"/>
      <c r="LHF1726" s="227"/>
      <c r="LHG1726" s="227"/>
      <c r="LHH1726" s="227"/>
      <c r="LHI1726" s="227"/>
      <c r="LHJ1726" s="227"/>
      <c r="LHK1726" s="227"/>
      <c r="LHL1726" s="227"/>
      <c r="LHM1726" s="227"/>
      <c r="LHN1726" s="227"/>
      <c r="LHO1726" s="227"/>
      <c r="LHP1726" s="227"/>
      <c r="LHQ1726" s="227"/>
      <c r="LHR1726" s="227"/>
      <c r="LHS1726" s="227"/>
      <c r="LHT1726" s="227"/>
      <c r="LHU1726" s="227"/>
      <c r="LHV1726" s="227"/>
      <c r="LHW1726" s="227"/>
      <c r="LHX1726" s="227"/>
      <c r="LHY1726" s="227"/>
      <c r="LHZ1726" s="227"/>
      <c r="LIA1726" s="227"/>
      <c r="LIB1726" s="227"/>
      <c r="LIC1726" s="227"/>
      <c r="LID1726" s="227"/>
      <c r="LIE1726" s="227"/>
      <c r="LIF1726" s="227"/>
      <c r="LIG1726" s="227"/>
      <c r="LIH1726" s="227"/>
      <c r="LII1726" s="227"/>
      <c r="LIJ1726" s="227"/>
      <c r="LIK1726" s="227"/>
      <c r="LIL1726" s="227"/>
      <c r="LIM1726" s="227"/>
      <c r="LIN1726" s="227"/>
      <c r="LIO1726" s="227"/>
      <c r="LIP1726" s="227"/>
      <c r="LIQ1726" s="227"/>
      <c r="LIR1726" s="227"/>
      <c r="LIS1726" s="227"/>
      <c r="LIT1726" s="227"/>
      <c r="LIU1726" s="227"/>
      <c r="LIV1726" s="227"/>
      <c r="LIW1726" s="227"/>
      <c r="LIX1726" s="227"/>
      <c r="LIY1726" s="227"/>
      <c r="LIZ1726" s="227"/>
      <c r="LJA1726" s="227"/>
      <c r="LJB1726" s="227"/>
      <c r="LJC1726" s="227"/>
      <c r="LJD1726" s="227"/>
      <c r="LJE1726" s="227"/>
      <c r="LJF1726" s="227"/>
      <c r="LJG1726" s="227"/>
      <c r="LJH1726" s="227"/>
      <c r="LJI1726" s="227"/>
      <c r="LJJ1726" s="227"/>
      <c r="LJK1726" s="227"/>
      <c r="LJL1726" s="227"/>
      <c r="LJM1726" s="227"/>
      <c r="LJN1726" s="227"/>
      <c r="LJO1726" s="227"/>
      <c r="LJP1726" s="227"/>
      <c r="LJQ1726" s="227"/>
      <c r="LJR1726" s="227"/>
      <c r="LJS1726" s="227"/>
      <c r="LJT1726" s="227"/>
      <c r="LJU1726" s="227"/>
      <c r="LJV1726" s="227"/>
      <c r="LJW1726" s="227"/>
      <c r="LJX1726" s="227"/>
      <c r="LJY1726" s="227"/>
      <c r="LJZ1726" s="227"/>
      <c r="LKA1726" s="227"/>
      <c r="LKB1726" s="227"/>
      <c r="LKC1726" s="227"/>
      <c r="LKD1726" s="227"/>
      <c r="LKE1726" s="227"/>
      <c r="LKF1726" s="227"/>
      <c r="LKG1726" s="227"/>
      <c r="LKH1726" s="227"/>
      <c r="LKI1726" s="227"/>
      <c r="LKJ1726" s="227"/>
      <c r="LKK1726" s="227"/>
      <c r="LKL1726" s="227"/>
      <c r="LKM1726" s="227"/>
      <c r="LKN1726" s="227"/>
      <c r="LKO1726" s="227"/>
      <c r="LKP1726" s="227"/>
      <c r="LKQ1726" s="227"/>
      <c r="LKR1726" s="227"/>
      <c r="LKS1726" s="227"/>
      <c r="LKT1726" s="227"/>
      <c r="LKU1726" s="227"/>
      <c r="LKV1726" s="227"/>
      <c r="LKW1726" s="227"/>
      <c r="LKX1726" s="227"/>
      <c r="LKY1726" s="227"/>
      <c r="LKZ1726" s="227"/>
      <c r="LLA1726" s="227"/>
      <c r="LLB1726" s="227"/>
      <c r="LLC1726" s="227"/>
      <c r="LLD1726" s="227"/>
      <c r="LLE1726" s="227"/>
      <c r="LLF1726" s="227"/>
      <c r="LLG1726" s="227"/>
      <c r="LLH1726" s="227"/>
      <c r="LLI1726" s="227"/>
      <c r="LLJ1726" s="227"/>
      <c r="LLK1726" s="227"/>
      <c r="LLL1726" s="227"/>
      <c r="LLM1726" s="227"/>
      <c r="LLN1726" s="227"/>
      <c r="LLO1726" s="227"/>
      <c r="LLP1726" s="227"/>
      <c r="LLQ1726" s="227"/>
      <c r="LLR1726" s="227"/>
      <c r="LLS1726" s="227"/>
      <c r="LLT1726" s="227"/>
      <c r="LLU1726" s="227"/>
      <c r="LLV1726" s="227"/>
      <c r="LLW1726" s="227"/>
      <c r="LLX1726" s="227"/>
      <c r="LLY1726" s="227"/>
      <c r="LLZ1726" s="227"/>
      <c r="LMA1726" s="227"/>
      <c r="LMB1726" s="227"/>
      <c r="LMC1726" s="227"/>
      <c r="LMD1726" s="227"/>
      <c r="LME1726" s="227"/>
      <c r="LMF1726" s="227"/>
      <c r="LMG1726" s="227"/>
      <c r="LMH1726" s="227"/>
      <c r="LMI1726" s="227"/>
      <c r="LMJ1726" s="227"/>
      <c r="LMK1726" s="227"/>
      <c r="LML1726" s="227"/>
      <c r="LMM1726" s="227"/>
      <c r="LMN1726" s="227"/>
      <c r="LMO1726" s="227"/>
      <c r="LMP1726" s="227"/>
      <c r="LMQ1726" s="227"/>
      <c r="LMR1726" s="227"/>
      <c r="LMS1726" s="227"/>
      <c r="LMT1726" s="227"/>
      <c r="LMU1726" s="227"/>
      <c r="LMV1726" s="227"/>
      <c r="LMW1726" s="227"/>
      <c r="LMX1726" s="227"/>
      <c r="LMY1726" s="227"/>
      <c r="LMZ1726" s="227"/>
      <c r="LNA1726" s="227"/>
      <c r="LNB1726" s="227"/>
      <c r="LNC1726" s="227"/>
      <c r="LND1726" s="227"/>
      <c r="LNE1726" s="227"/>
      <c r="LNF1726" s="227"/>
      <c r="LNG1726" s="227"/>
      <c r="LNH1726" s="227"/>
      <c r="LNI1726" s="227"/>
      <c r="LNJ1726" s="227"/>
      <c r="LNK1726" s="227"/>
      <c r="LNL1726" s="227"/>
      <c r="LNM1726" s="227"/>
      <c r="LNN1726" s="227"/>
      <c r="LNO1726" s="227"/>
      <c r="LNP1726" s="227"/>
      <c r="LNQ1726" s="227"/>
      <c r="LNR1726" s="227"/>
      <c r="LNS1726" s="227"/>
      <c r="LNT1726" s="227"/>
      <c r="LNU1726" s="227"/>
      <c r="LNV1726" s="227"/>
      <c r="LNW1726" s="227"/>
      <c r="LNX1726" s="227"/>
      <c r="LNY1726" s="227"/>
      <c r="LNZ1726" s="227"/>
      <c r="LOA1726" s="227"/>
      <c r="LOB1726" s="227"/>
      <c r="LOC1726" s="227"/>
      <c r="LOD1726" s="227"/>
      <c r="LOE1726" s="227"/>
      <c r="LOF1726" s="227"/>
      <c r="LOG1726" s="227"/>
      <c r="LOH1726" s="227"/>
      <c r="LOI1726" s="227"/>
      <c r="LOJ1726" s="227"/>
      <c r="LOK1726" s="227"/>
      <c r="LOL1726" s="227"/>
      <c r="LOM1726" s="227"/>
      <c r="LON1726" s="227"/>
      <c r="LOO1726" s="227"/>
      <c r="LOP1726" s="227"/>
      <c r="LOQ1726" s="227"/>
      <c r="LOR1726" s="227"/>
      <c r="LOS1726" s="227"/>
      <c r="LOT1726" s="227"/>
      <c r="LOU1726" s="227"/>
      <c r="LOV1726" s="227"/>
      <c r="LOW1726" s="227"/>
      <c r="LOX1726" s="227"/>
      <c r="LOY1726" s="227"/>
      <c r="LOZ1726" s="227"/>
      <c r="LPA1726" s="227"/>
      <c r="LPB1726" s="227"/>
      <c r="LPC1726" s="227"/>
      <c r="LPD1726" s="227"/>
      <c r="LPE1726" s="227"/>
      <c r="LPF1726" s="227"/>
      <c r="LPG1726" s="227"/>
      <c r="LPH1726" s="227"/>
      <c r="LPI1726" s="227"/>
      <c r="LPJ1726" s="227"/>
      <c r="LPK1726" s="227"/>
      <c r="LPL1726" s="227"/>
      <c r="LPM1726" s="227"/>
      <c r="LPN1726" s="227"/>
      <c r="LPO1726" s="227"/>
      <c r="LPP1726" s="227"/>
      <c r="LPQ1726" s="227"/>
      <c r="LPR1726" s="227"/>
      <c r="LPS1726" s="227"/>
      <c r="LPT1726" s="227"/>
      <c r="LPU1726" s="227"/>
      <c r="LPV1726" s="227"/>
      <c r="LPW1726" s="227"/>
      <c r="LPX1726" s="227"/>
      <c r="LPY1726" s="227"/>
      <c r="LPZ1726" s="227"/>
      <c r="LQA1726" s="227"/>
      <c r="LQB1726" s="227"/>
      <c r="LQC1726" s="227"/>
      <c r="LQD1726" s="227"/>
      <c r="LQE1726" s="227"/>
      <c r="LQF1726" s="227"/>
      <c r="LQG1726" s="227"/>
      <c r="LQH1726" s="227"/>
      <c r="LQI1726" s="227"/>
      <c r="LQJ1726" s="227"/>
      <c r="LQK1726" s="227"/>
      <c r="LQL1726" s="227"/>
      <c r="LQM1726" s="227"/>
      <c r="LQN1726" s="227"/>
      <c r="LQO1726" s="227"/>
      <c r="LQP1726" s="227"/>
      <c r="LQQ1726" s="227"/>
      <c r="LQR1726" s="227"/>
      <c r="LQS1726" s="227"/>
      <c r="LQT1726" s="227"/>
      <c r="LQU1726" s="227"/>
      <c r="LQV1726" s="227"/>
      <c r="LQW1726" s="227"/>
      <c r="LQX1726" s="227"/>
      <c r="LQY1726" s="227"/>
      <c r="LQZ1726" s="227"/>
      <c r="LRA1726" s="227"/>
      <c r="LRB1726" s="227"/>
      <c r="LRC1726" s="227"/>
      <c r="LRD1726" s="227"/>
      <c r="LRE1726" s="227"/>
      <c r="LRF1726" s="227"/>
      <c r="LRG1726" s="227"/>
      <c r="LRH1726" s="227"/>
      <c r="LRI1726" s="227"/>
      <c r="LRJ1726" s="227"/>
      <c r="LRK1726" s="227"/>
      <c r="LRL1726" s="227"/>
      <c r="LRM1726" s="227"/>
      <c r="LRN1726" s="227"/>
      <c r="LRO1726" s="227"/>
      <c r="LRP1726" s="227"/>
      <c r="LRQ1726" s="227"/>
      <c r="LRR1726" s="227"/>
      <c r="LRS1726" s="227"/>
      <c r="LRT1726" s="227"/>
      <c r="LRU1726" s="227"/>
      <c r="LRV1726" s="227"/>
      <c r="LRW1726" s="227"/>
      <c r="LRX1726" s="227"/>
      <c r="LRY1726" s="227"/>
      <c r="LRZ1726" s="227"/>
      <c r="LSA1726" s="227"/>
      <c r="LSB1726" s="227"/>
      <c r="LSC1726" s="227"/>
      <c r="LSD1726" s="227"/>
      <c r="LSE1726" s="227"/>
      <c r="LSF1726" s="227"/>
      <c r="LSG1726" s="227"/>
      <c r="LSH1726" s="227"/>
      <c r="LSI1726" s="227"/>
      <c r="LSJ1726" s="227"/>
      <c r="LSK1726" s="227"/>
      <c r="LSL1726" s="227"/>
      <c r="LSM1726" s="227"/>
      <c r="LSN1726" s="227"/>
      <c r="LSO1726" s="227"/>
      <c r="LSP1726" s="227"/>
      <c r="LSQ1726" s="227"/>
      <c r="LSR1726" s="227"/>
      <c r="LSS1726" s="227"/>
      <c r="LST1726" s="227"/>
      <c r="LSU1726" s="227"/>
      <c r="LSV1726" s="227"/>
      <c r="LSW1726" s="227"/>
      <c r="LSX1726" s="227"/>
      <c r="LSY1726" s="227"/>
      <c r="LSZ1726" s="227"/>
      <c r="LTA1726" s="227"/>
      <c r="LTB1726" s="227"/>
      <c r="LTC1726" s="227"/>
      <c r="LTD1726" s="227"/>
      <c r="LTE1726" s="227"/>
      <c r="LTF1726" s="227"/>
      <c r="LTG1726" s="227"/>
      <c r="LTH1726" s="227"/>
      <c r="LTI1726" s="227"/>
      <c r="LTJ1726" s="227"/>
      <c r="LTK1726" s="227"/>
      <c r="LTL1726" s="227"/>
      <c r="LTM1726" s="227"/>
      <c r="LTN1726" s="227"/>
      <c r="LTO1726" s="227"/>
      <c r="LTP1726" s="227"/>
      <c r="LTQ1726" s="227"/>
      <c r="LTR1726" s="227"/>
      <c r="LTS1726" s="227"/>
      <c r="LTT1726" s="227"/>
      <c r="LTU1726" s="227"/>
      <c r="LTV1726" s="227"/>
      <c r="LTW1726" s="227"/>
      <c r="LTX1726" s="227"/>
      <c r="LTY1726" s="227"/>
      <c r="LTZ1726" s="227"/>
      <c r="LUA1726" s="227"/>
      <c r="LUB1726" s="227"/>
      <c r="LUC1726" s="227"/>
      <c r="LUD1726" s="227"/>
      <c r="LUE1726" s="227"/>
      <c r="LUF1726" s="227"/>
      <c r="LUG1726" s="227"/>
      <c r="LUH1726" s="227"/>
      <c r="LUI1726" s="227"/>
      <c r="LUJ1726" s="227"/>
      <c r="LUK1726" s="227"/>
      <c r="LUL1726" s="227"/>
      <c r="LUM1726" s="227"/>
      <c r="LUN1726" s="227"/>
      <c r="LUO1726" s="227"/>
      <c r="LUP1726" s="227"/>
      <c r="LUQ1726" s="227"/>
      <c r="LUR1726" s="227"/>
      <c r="LUS1726" s="227"/>
      <c r="LUT1726" s="227"/>
      <c r="LUU1726" s="227"/>
      <c r="LUV1726" s="227"/>
      <c r="LUW1726" s="227"/>
      <c r="LUX1726" s="227"/>
      <c r="LUY1726" s="227"/>
      <c r="LUZ1726" s="227"/>
      <c r="LVA1726" s="227"/>
      <c r="LVB1726" s="227"/>
      <c r="LVC1726" s="227"/>
      <c r="LVD1726" s="227"/>
      <c r="LVE1726" s="227"/>
      <c r="LVF1726" s="227"/>
      <c r="LVG1726" s="227"/>
      <c r="LVH1726" s="227"/>
      <c r="LVI1726" s="227"/>
      <c r="LVJ1726" s="227"/>
      <c r="LVK1726" s="227"/>
      <c r="LVL1726" s="227"/>
      <c r="LVM1726" s="227"/>
      <c r="LVN1726" s="227"/>
      <c r="LVO1726" s="227"/>
      <c r="LVP1726" s="227"/>
      <c r="LVQ1726" s="227"/>
      <c r="LVR1726" s="227"/>
      <c r="LVS1726" s="227"/>
      <c r="LVT1726" s="227"/>
      <c r="LVU1726" s="227"/>
      <c r="LVV1726" s="227"/>
      <c r="LVW1726" s="227"/>
      <c r="LVX1726" s="227"/>
      <c r="LVY1726" s="227"/>
      <c r="LVZ1726" s="227"/>
      <c r="LWA1726" s="227"/>
      <c r="LWB1726" s="227"/>
      <c r="LWC1726" s="227"/>
      <c r="LWD1726" s="227"/>
      <c r="LWE1726" s="227"/>
      <c r="LWF1726" s="227"/>
      <c r="LWG1726" s="227"/>
      <c r="LWH1726" s="227"/>
      <c r="LWI1726" s="227"/>
      <c r="LWJ1726" s="227"/>
      <c r="LWK1726" s="227"/>
      <c r="LWL1726" s="227"/>
      <c r="LWM1726" s="227"/>
      <c r="LWN1726" s="227"/>
      <c r="LWO1726" s="227"/>
      <c r="LWP1726" s="227"/>
      <c r="LWQ1726" s="227"/>
      <c r="LWR1726" s="227"/>
      <c r="LWS1726" s="227"/>
      <c r="LWT1726" s="227"/>
      <c r="LWU1726" s="227"/>
      <c r="LWV1726" s="227"/>
      <c r="LWW1726" s="227"/>
      <c r="LWX1726" s="227"/>
      <c r="LWY1726" s="227"/>
      <c r="LWZ1726" s="227"/>
      <c r="LXA1726" s="227"/>
      <c r="LXB1726" s="227"/>
      <c r="LXC1726" s="227"/>
      <c r="LXD1726" s="227"/>
      <c r="LXE1726" s="227"/>
      <c r="LXF1726" s="227"/>
      <c r="LXG1726" s="227"/>
      <c r="LXH1726" s="227"/>
      <c r="LXI1726" s="227"/>
      <c r="LXJ1726" s="227"/>
      <c r="LXK1726" s="227"/>
      <c r="LXL1726" s="227"/>
      <c r="LXM1726" s="227"/>
      <c r="LXN1726" s="227"/>
      <c r="LXO1726" s="227"/>
      <c r="LXP1726" s="227"/>
      <c r="LXQ1726" s="227"/>
      <c r="LXR1726" s="227"/>
      <c r="LXS1726" s="227"/>
      <c r="LXT1726" s="227"/>
      <c r="LXU1726" s="227"/>
      <c r="LXV1726" s="227"/>
      <c r="LXW1726" s="227"/>
      <c r="LXX1726" s="227"/>
      <c r="LXY1726" s="227"/>
      <c r="LXZ1726" s="227"/>
      <c r="LYA1726" s="227"/>
      <c r="LYB1726" s="227"/>
      <c r="LYC1726" s="227"/>
      <c r="LYD1726" s="227"/>
      <c r="LYE1726" s="227"/>
      <c r="LYF1726" s="227"/>
      <c r="LYG1726" s="227"/>
      <c r="LYH1726" s="227"/>
      <c r="LYI1726" s="227"/>
      <c r="LYJ1726" s="227"/>
      <c r="LYK1726" s="227"/>
      <c r="LYL1726" s="227"/>
      <c r="LYM1726" s="227"/>
      <c r="LYN1726" s="227"/>
      <c r="LYO1726" s="227"/>
      <c r="LYP1726" s="227"/>
      <c r="LYQ1726" s="227"/>
      <c r="LYR1726" s="227"/>
      <c r="LYS1726" s="227"/>
      <c r="LYT1726" s="227"/>
      <c r="LYU1726" s="227"/>
      <c r="LYV1726" s="227"/>
      <c r="LYW1726" s="227"/>
      <c r="LYX1726" s="227"/>
      <c r="LYY1726" s="227"/>
      <c r="LYZ1726" s="227"/>
      <c r="LZA1726" s="227"/>
      <c r="LZB1726" s="227"/>
      <c r="LZC1726" s="227"/>
      <c r="LZD1726" s="227"/>
      <c r="LZE1726" s="227"/>
      <c r="LZF1726" s="227"/>
      <c r="LZG1726" s="227"/>
      <c r="LZH1726" s="227"/>
      <c r="LZI1726" s="227"/>
      <c r="LZJ1726" s="227"/>
      <c r="LZK1726" s="227"/>
      <c r="LZL1726" s="227"/>
      <c r="LZM1726" s="227"/>
      <c r="LZN1726" s="227"/>
      <c r="LZO1726" s="227"/>
      <c r="LZP1726" s="227"/>
      <c r="LZQ1726" s="227"/>
      <c r="LZR1726" s="227"/>
      <c r="LZS1726" s="227"/>
      <c r="LZT1726" s="227"/>
      <c r="LZU1726" s="227"/>
      <c r="LZV1726" s="227"/>
      <c r="LZW1726" s="227"/>
      <c r="LZX1726" s="227"/>
      <c r="LZY1726" s="227"/>
      <c r="LZZ1726" s="227"/>
      <c r="MAA1726" s="227"/>
      <c r="MAB1726" s="227"/>
      <c r="MAC1726" s="227"/>
      <c r="MAD1726" s="227"/>
      <c r="MAE1726" s="227"/>
      <c r="MAF1726" s="227"/>
      <c r="MAG1726" s="227"/>
      <c r="MAH1726" s="227"/>
      <c r="MAI1726" s="227"/>
      <c r="MAJ1726" s="227"/>
      <c r="MAK1726" s="227"/>
      <c r="MAL1726" s="227"/>
      <c r="MAM1726" s="227"/>
      <c r="MAN1726" s="227"/>
      <c r="MAO1726" s="227"/>
      <c r="MAP1726" s="227"/>
      <c r="MAQ1726" s="227"/>
      <c r="MAR1726" s="227"/>
      <c r="MAS1726" s="227"/>
      <c r="MAT1726" s="227"/>
      <c r="MAU1726" s="227"/>
      <c r="MAV1726" s="227"/>
      <c r="MAW1726" s="227"/>
      <c r="MAX1726" s="227"/>
      <c r="MAY1726" s="227"/>
      <c r="MAZ1726" s="227"/>
      <c r="MBA1726" s="227"/>
      <c r="MBB1726" s="227"/>
      <c r="MBC1726" s="227"/>
      <c r="MBD1726" s="227"/>
      <c r="MBE1726" s="227"/>
      <c r="MBF1726" s="227"/>
      <c r="MBG1726" s="227"/>
      <c r="MBH1726" s="227"/>
      <c r="MBI1726" s="227"/>
      <c r="MBJ1726" s="227"/>
      <c r="MBK1726" s="227"/>
      <c r="MBL1726" s="227"/>
      <c r="MBM1726" s="227"/>
      <c r="MBN1726" s="227"/>
      <c r="MBO1726" s="227"/>
      <c r="MBP1726" s="227"/>
      <c r="MBQ1726" s="227"/>
      <c r="MBR1726" s="227"/>
      <c r="MBS1726" s="227"/>
      <c r="MBT1726" s="227"/>
      <c r="MBU1726" s="227"/>
      <c r="MBV1726" s="227"/>
      <c r="MBW1726" s="227"/>
      <c r="MBX1726" s="227"/>
      <c r="MBY1726" s="227"/>
      <c r="MBZ1726" s="227"/>
      <c r="MCA1726" s="227"/>
      <c r="MCB1726" s="227"/>
      <c r="MCC1726" s="227"/>
      <c r="MCD1726" s="227"/>
      <c r="MCE1726" s="227"/>
      <c r="MCF1726" s="227"/>
      <c r="MCG1726" s="227"/>
      <c r="MCH1726" s="227"/>
      <c r="MCI1726" s="227"/>
      <c r="MCJ1726" s="227"/>
      <c r="MCK1726" s="227"/>
      <c r="MCL1726" s="227"/>
      <c r="MCM1726" s="227"/>
      <c r="MCN1726" s="227"/>
      <c r="MCO1726" s="227"/>
      <c r="MCP1726" s="227"/>
      <c r="MCQ1726" s="227"/>
      <c r="MCR1726" s="227"/>
      <c r="MCS1726" s="227"/>
      <c r="MCT1726" s="227"/>
      <c r="MCU1726" s="227"/>
      <c r="MCV1726" s="227"/>
      <c r="MCW1726" s="227"/>
      <c r="MCX1726" s="227"/>
      <c r="MCY1726" s="227"/>
      <c r="MCZ1726" s="227"/>
      <c r="MDA1726" s="227"/>
      <c r="MDB1726" s="227"/>
      <c r="MDC1726" s="227"/>
      <c r="MDD1726" s="227"/>
      <c r="MDE1726" s="227"/>
      <c r="MDF1726" s="227"/>
      <c r="MDG1726" s="227"/>
      <c r="MDH1726" s="227"/>
      <c r="MDI1726" s="227"/>
      <c r="MDJ1726" s="227"/>
      <c r="MDK1726" s="227"/>
      <c r="MDL1726" s="227"/>
      <c r="MDM1726" s="227"/>
      <c r="MDN1726" s="227"/>
      <c r="MDO1726" s="227"/>
      <c r="MDP1726" s="227"/>
      <c r="MDQ1726" s="227"/>
      <c r="MDR1726" s="227"/>
      <c r="MDS1726" s="227"/>
      <c r="MDT1726" s="227"/>
      <c r="MDU1726" s="227"/>
      <c r="MDV1726" s="227"/>
      <c r="MDW1726" s="227"/>
      <c r="MDX1726" s="227"/>
      <c r="MDY1726" s="227"/>
      <c r="MDZ1726" s="227"/>
      <c r="MEA1726" s="227"/>
      <c r="MEB1726" s="227"/>
      <c r="MEC1726" s="227"/>
      <c r="MED1726" s="227"/>
      <c r="MEE1726" s="227"/>
      <c r="MEF1726" s="227"/>
      <c r="MEG1726" s="227"/>
      <c r="MEH1726" s="227"/>
      <c r="MEI1726" s="227"/>
      <c r="MEJ1726" s="227"/>
      <c r="MEK1726" s="227"/>
      <c r="MEL1726" s="227"/>
      <c r="MEM1726" s="227"/>
      <c r="MEN1726" s="227"/>
      <c r="MEO1726" s="227"/>
      <c r="MEP1726" s="227"/>
      <c r="MEQ1726" s="227"/>
      <c r="MER1726" s="227"/>
      <c r="MES1726" s="227"/>
      <c r="MET1726" s="227"/>
      <c r="MEU1726" s="227"/>
      <c r="MEV1726" s="227"/>
      <c r="MEW1726" s="227"/>
      <c r="MEX1726" s="227"/>
      <c r="MEY1726" s="227"/>
      <c r="MEZ1726" s="227"/>
      <c r="MFA1726" s="227"/>
      <c r="MFB1726" s="227"/>
      <c r="MFC1726" s="227"/>
      <c r="MFD1726" s="227"/>
      <c r="MFE1726" s="227"/>
      <c r="MFF1726" s="227"/>
      <c r="MFG1726" s="227"/>
      <c r="MFH1726" s="227"/>
      <c r="MFI1726" s="227"/>
      <c r="MFJ1726" s="227"/>
      <c r="MFK1726" s="227"/>
      <c r="MFL1726" s="227"/>
      <c r="MFM1726" s="227"/>
      <c r="MFN1726" s="227"/>
      <c r="MFO1726" s="227"/>
      <c r="MFP1726" s="227"/>
      <c r="MFQ1726" s="227"/>
      <c r="MFR1726" s="227"/>
      <c r="MFS1726" s="227"/>
      <c r="MFT1726" s="227"/>
      <c r="MFU1726" s="227"/>
      <c r="MFV1726" s="227"/>
      <c r="MFW1726" s="227"/>
      <c r="MFX1726" s="227"/>
      <c r="MFY1726" s="227"/>
      <c r="MFZ1726" s="227"/>
      <c r="MGA1726" s="227"/>
      <c r="MGB1726" s="227"/>
      <c r="MGC1726" s="227"/>
      <c r="MGD1726" s="227"/>
      <c r="MGE1726" s="227"/>
      <c r="MGF1726" s="227"/>
      <c r="MGG1726" s="227"/>
      <c r="MGH1726" s="227"/>
      <c r="MGI1726" s="227"/>
      <c r="MGJ1726" s="227"/>
      <c r="MGK1726" s="227"/>
      <c r="MGL1726" s="227"/>
      <c r="MGM1726" s="227"/>
      <c r="MGN1726" s="227"/>
      <c r="MGO1726" s="227"/>
      <c r="MGP1726" s="227"/>
      <c r="MGQ1726" s="227"/>
      <c r="MGR1726" s="227"/>
      <c r="MGS1726" s="227"/>
      <c r="MGT1726" s="227"/>
      <c r="MGU1726" s="227"/>
      <c r="MGV1726" s="227"/>
      <c r="MGW1726" s="227"/>
      <c r="MGX1726" s="227"/>
      <c r="MGY1726" s="227"/>
      <c r="MGZ1726" s="227"/>
      <c r="MHA1726" s="227"/>
      <c r="MHB1726" s="227"/>
      <c r="MHC1726" s="227"/>
      <c r="MHD1726" s="227"/>
      <c r="MHE1726" s="227"/>
      <c r="MHF1726" s="227"/>
      <c r="MHG1726" s="227"/>
      <c r="MHH1726" s="227"/>
      <c r="MHI1726" s="227"/>
      <c r="MHJ1726" s="227"/>
      <c r="MHK1726" s="227"/>
      <c r="MHL1726" s="227"/>
      <c r="MHM1726" s="227"/>
      <c r="MHN1726" s="227"/>
      <c r="MHO1726" s="227"/>
      <c r="MHP1726" s="227"/>
      <c r="MHQ1726" s="227"/>
      <c r="MHR1726" s="227"/>
      <c r="MHS1726" s="227"/>
      <c r="MHT1726" s="227"/>
      <c r="MHU1726" s="227"/>
      <c r="MHV1726" s="227"/>
      <c r="MHW1726" s="227"/>
      <c r="MHX1726" s="227"/>
      <c r="MHY1726" s="227"/>
      <c r="MHZ1726" s="227"/>
      <c r="MIA1726" s="227"/>
      <c r="MIB1726" s="227"/>
      <c r="MIC1726" s="227"/>
      <c r="MID1726" s="227"/>
      <c r="MIE1726" s="227"/>
      <c r="MIF1726" s="227"/>
      <c r="MIG1726" s="227"/>
      <c r="MIH1726" s="227"/>
      <c r="MII1726" s="227"/>
      <c r="MIJ1726" s="227"/>
      <c r="MIK1726" s="227"/>
      <c r="MIL1726" s="227"/>
      <c r="MIM1726" s="227"/>
      <c r="MIN1726" s="227"/>
      <c r="MIO1726" s="227"/>
      <c r="MIP1726" s="227"/>
      <c r="MIQ1726" s="227"/>
      <c r="MIR1726" s="227"/>
      <c r="MIS1726" s="227"/>
      <c r="MIT1726" s="227"/>
      <c r="MIU1726" s="227"/>
      <c r="MIV1726" s="227"/>
      <c r="MIW1726" s="227"/>
      <c r="MIX1726" s="227"/>
      <c r="MIY1726" s="227"/>
      <c r="MIZ1726" s="227"/>
      <c r="MJA1726" s="227"/>
      <c r="MJB1726" s="227"/>
      <c r="MJC1726" s="227"/>
      <c r="MJD1726" s="227"/>
      <c r="MJE1726" s="227"/>
      <c r="MJF1726" s="227"/>
      <c r="MJG1726" s="227"/>
      <c r="MJH1726" s="227"/>
      <c r="MJI1726" s="227"/>
      <c r="MJJ1726" s="227"/>
      <c r="MJK1726" s="227"/>
      <c r="MJL1726" s="227"/>
      <c r="MJM1726" s="227"/>
      <c r="MJN1726" s="227"/>
      <c r="MJO1726" s="227"/>
      <c r="MJP1726" s="227"/>
      <c r="MJQ1726" s="227"/>
      <c r="MJR1726" s="227"/>
      <c r="MJS1726" s="227"/>
      <c r="MJT1726" s="227"/>
      <c r="MJU1726" s="227"/>
      <c r="MJV1726" s="227"/>
      <c r="MJW1726" s="227"/>
      <c r="MJX1726" s="227"/>
      <c r="MJY1726" s="227"/>
      <c r="MJZ1726" s="227"/>
      <c r="MKA1726" s="227"/>
      <c r="MKB1726" s="227"/>
      <c r="MKC1726" s="227"/>
      <c r="MKD1726" s="227"/>
      <c r="MKE1726" s="227"/>
      <c r="MKF1726" s="227"/>
      <c r="MKG1726" s="227"/>
      <c r="MKH1726" s="227"/>
      <c r="MKI1726" s="227"/>
      <c r="MKJ1726" s="227"/>
      <c r="MKK1726" s="227"/>
      <c r="MKL1726" s="227"/>
      <c r="MKM1726" s="227"/>
      <c r="MKN1726" s="227"/>
      <c r="MKO1726" s="227"/>
      <c r="MKP1726" s="227"/>
      <c r="MKQ1726" s="227"/>
      <c r="MKR1726" s="227"/>
      <c r="MKS1726" s="227"/>
      <c r="MKT1726" s="227"/>
      <c r="MKU1726" s="227"/>
      <c r="MKV1726" s="227"/>
      <c r="MKW1726" s="227"/>
      <c r="MKX1726" s="227"/>
      <c r="MKY1726" s="227"/>
      <c r="MKZ1726" s="227"/>
      <c r="MLA1726" s="227"/>
      <c r="MLB1726" s="227"/>
      <c r="MLC1726" s="227"/>
      <c r="MLD1726" s="227"/>
      <c r="MLE1726" s="227"/>
      <c r="MLF1726" s="227"/>
      <c r="MLG1726" s="227"/>
      <c r="MLH1726" s="227"/>
      <c r="MLI1726" s="227"/>
      <c r="MLJ1726" s="227"/>
      <c r="MLK1726" s="227"/>
      <c r="MLL1726" s="227"/>
      <c r="MLM1726" s="227"/>
      <c r="MLN1726" s="227"/>
      <c r="MLO1726" s="227"/>
      <c r="MLP1726" s="227"/>
      <c r="MLQ1726" s="227"/>
      <c r="MLR1726" s="227"/>
      <c r="MLS1726" s="227"/>
      <c r="MLT1726" s="227"/>
      <c r="MLU1726" s="227"/>
      <c r="MLV1726" s="227"/>
      <c r="MLW1726" s="227"/>
      <c r="MLX1726" s="227"/>
      <c r="MLY1726" s="227"/>
      <c r="MLZ1726" s="227"/>
      <c r="MMA1726" s="227"/>
      <c r="MMB1726" s="227"/>
      <c r="MMC1726" s="227"/>
      <c r="MMD1726" s="227"/>
      <c r="MME1726" s="227"/>
      <c r="MMF1726" s="227"/>
      <c r="MMG1726" s="227"/>
      <c r="MMH1726" s="227"/>
      <c r="MMI1726" s="227"/>
      <c r="MMJ1726" s="227"/>
      <c r="MMK1726" s="227"/>
      <c r="MML1726" s="227"/>
      <c r="MMM1726" s="227"/>
      <c r="MMN1726" s="227"/>
      <c r="MMO1726" s="227"/>
      <c r="MMP1726" s="227"/>
      <c r="MMQ1726" s="227"/>
      <c r="MMR1726" s="227"/>
      <c r="MMS1726" s="227"/>
      <c r="MMT1726" s="227"/>
      <c r="MMU1726" s="227"/>
      <c r="MMV1726" s="227"/>
      <c r="MMW1726" s="227"/>
      <c r="MMX1726" s="227"/>
      <c r="MMY1726" s="227"/>
      <c r="MMZ1726" s="227"/>
      <c r="MNA1726" s="227"/>
      <c r="MNB1726" s="227"/>
      <c r="MNC1726" s="227"/>
      <c r="MND1726" s="227"/>
      <c r="MNE1726" s="227"/>
      <c r="MNF1726" s="227"/>
      <c r="MNG1726" s="227"/>
      <c r="MNH1726" s="227"/>
      <c r="MNI1726" s="227"/>
      <c r="MNJ1726" s="227"/>
      <c r="MNK1726" s="227"/>
      <c r="MNL1726" s="227"/>
      <c r="MNM1726" s="227"/>
      <c r="MNN1726" s="227"/>
      <c r="MNO1726" s="227"/>
      <c r="MNP1726" s="227"/>
      <c r="MNQ1726" s="227"/>
      <c r="MNR1726" s="227"/>
      <c r="MNS1726" s="227"/>
      <c r="MNT1726" s="227"/>
      <c r="MNU1726" s="227"/>
      <c r="MNV1726" s="227"/>
      <c r="MNW1726" s="227"/>
      <c r="MNX1726" s="227"/>
      <c r="MNY1726" s="227"/>
      <c r="MNZ1726" s="227"/>
      <c r="MOA1726" s="227"/>
      <c r="MOB1726" s="227"/>
      <c r="MOC1726" s="227"/>
      <c r="MOD1726" s="227"/>
      <c r="MOE1726" s="227"/>
      <c r="MOF1726" s="227"/>
      <c r="MOG1726" s="227"/>
      <c r="MOH1726" s="227"/>
      <c r="MOI1726" s="227"/>
      <c r="MOJ1726" s="227"/>
      <c r="MOK1726" s="227"/>
      <c r="MOL1726" s="227"/>
      <c r="MOM1726" s="227"/>
      <c r="MON1726" s="227"/>
      <c r="MOO1726" s="227"/>
      <c r="MOP1726" s="227"/>
      <c r="MOQ1726" s="227"/>
      <c r="MOR1726" s="227"/>
      <c r="MOS1726" s="227"/>
      <c r="MOT1726" s="227"/>
      <c r="MOU1726" s="227"/>
      <c r="MOV1726" s="227"/>
      <c r="MOW1726" s="227"/>
      <c r="MOX1726" s="227"/>
      <c r="MOY1726" s="227"/>
      <c r="MOZ1726" s="227"/>
      <c r="MPA1726" s="227"/>
      <c r="MPB1726" s="227"/>
      <c r="MPC1726" s="227"/>
      <c r="MPD1726" s="227"/>
      <c r="MPE1726" s="227"/>
      <c r="MPF1726" s="227"/>
      <c r="MPG1726" s="227"/>
      <c r="MPH1726" s="227"/>
      <c r="MPI1726" s="227"/>
      <c r="MPJ1726" s="227"/>
      <c r="MPK1726" s="227"/>
      <c r="MPL1726" s="227"/>
      <c r="MPM1726" s="227"/>
      <c r="MPN1726" s="227"/>
      <c r="MPO1726" s="227"/>
      <c r="MPP1726" s="227"/>
      <c r="MPQ1726" s="227"/>
      <c r="MPR1726" s="227"/>
      <c r="MPS1726" s="227"/>
      <c r="MPT1726" s="227"/>
      <c r="MPU1726" s="227"/>
      <c r="MPV1726" s="227"/>
      <c r="MPW1726" s="227"/>
      <c r="MPX1726" s="227"/>
      <c r="MPY1726" s="227"/>
      <c r="MPZ1726" s="227"/>
      <c r="MQA1726" s="227"/>
      <c r="MQB1726" s="227"/>
      <c r="MQC1726" s="227"/>
      <c r="MQD1726" s="227"/>
      <c r="MQE1726" s="227"/>
      <c r="MQF1726" s="227"/>
      <c r="MQG1726" s="227"/>
      <c r="MQH1726" s="227"/>
      <c r="MQI1726" s="227"/>
      <c r="MQJ1726" s="227"/>
      <c r="MQK1726" s="227"/>
      <c r="MQL1726" s="227"/>
      <c r="MQM1726" s="227"/>
      <c r="MQN1726" s="227"/>
      <c r="MQO1726" s="227"/>
      <c r="MQP1726" s="227"/>
      <c r="MQQ1726" s="227"/>
      <c r="MQR1726" s="227"/>
      <c r="MQS1726" s="227"/>
      <c r="MQT1726" s="227"/>
      <c r="MQU1726" s="227"/>
      <c r="MQV1726" s="227"/>
      <c r="MQW1726" s="227"/>
      <c r="MQX1726" s="227"/>
      <c r="MQY1726" s="227"/>
      <c r="MQZ1726" s="227"/>
      <c r="MRA1726" s="227"/>
      <c r="MRB1726" s="227"/>
      <c r="MRC1726" s="227"/>
      <c r="MRD1726" s="227"/>
      <c r="MRE1726" s="227"/>
      <c r="MRF1726" s="227"/>
      <c r="MRG1726" s="227"/>
      <c r="MRH1726" s="227"/>
      <c r="MRI1726" s="227"/>
      <c r="MRJ1726" s="227"/>
      <c r="MRK1726" s="227"/>
      <c r="MRL1726" s="227"/>
      <c r="MRM1726" s="227"/>
      <c r="MRN1726" s="227"/>
      <c r="MRO1726" s="227"/>
      <c r="MRP1726" s="227"/>
      <c r="MRQ1726" s="227"/>
      <c r="MRR1726" s="227"/>
      <c r="MRS1726" s="227"/>
      <c r="MRT1726" s="227"/>
      <c r="MRU1726" s="227"/>
      <c r="MRV1726" s="227"/>
      <c r="MRW1726" s="227"/>
      <c r="MRX1726" s="227"/>
      <c r="MRY1726" s="227"/>
      <c r="MRZ1726" s="227"/>
      <c r="MSA1726" s="227"/>
      <c r="MSB1726" s="227"/>
      <c r="MSC1726" s="227"/>
      <c r="MSD1726" s="227"/>
      <c r="MSE1726" s="227"/>
      <c r="MSF1726" s="227"/>
      <c r="MSG1726" s="227"/>
      <c r="MSH1726" s="227"/>
      <c r="MSI1726" s="227"/>
      <c r="MSJ1726" s="227"/>
      <c r="MSK1726" s="227"/>
      <c r="MSL1726" s="227"/>
      <c r="MSM1726" s="227"/>
      <c r="MSN1726" s="227"/>
      <c r="MSO1726" s="227"/>
      <c r="MSP1726" s="227"/>
      <c r="MSQ1726" s="227"/>
      <c r="MSR1726" s="227"/>
      <c r="MSS1726" s="227"/>
      <c r="MST1726" s="227"/>
      <c r="MSU1726" s="227"/>
      <c r="MSV1726" s="227"/>
      <c r="MSW1726" s="227"/>
      <c r="MSX1726" s="227"/>
      <c r="MSY1726" s="227"/>
      <c r="MSZ1726" s="227"/>
      <c r="MTA1726" s="227"/>
      <c r="MTB1726" s="227"/>
      <c r="MTC1726" s="227"/>
      <c r="MTD1726" s="227"/>
      <c r="MTE1726" s="227"/>
      <c r="MTF1726" s="227"/>
      <c r="MTG1726" s="227"/>
      <c r="MTH1726" s="227"/>
      <c r="MTI1726" s="227"/>
      <c r="MTJ1726" s="227"/>
      <c r="MTK1726" s="227"/>
      <c r="MTL1726" s="227"/>
      <c r="MTM1726" s="227"/>
      <c r="MTN1726" s="227"/>
      <c r="MTO1726" s="227"/>
      <c r="MTP1726" s="227"/>
      <c r="MTQ1726" s="227"/>
      <c r="MTR1726" s="227"/>
      <c r="MTS1726" s="227"/>
      <c r="MTT1726" s="227"/>
      <c r="MTU1726" s="227"/>
      <c r="MTV1726" s="227"/>
      <c r="MTW1726" s="227"/>
      <c r="MTX1726" s="227"/>
      <c r="MTY1726" s="227"/>
      <c r="MTZ1726" s="227"/>
      <c r="MUA1726" s="227"/>
      <c r="MUB1726" s="227"/>
      <c r="MUC1726" s="227"/>
      <c r="MUD1726" s="227"/>
      <c r="MUE1726" s="227"/>
      <c r="MUF1726" s="227"/>
      <c r="MUG1726" s="227"/>
      <c r="MUH1726" s="227"/>
      <c r="MUI1726" s="227"/>
      <c r="MUJ1726" s="227"/>
      <c r="MUK1726" s="227"/>
      <c r="MUL1726" s="227"/>
      <c r="MUM1726" s="227"/>
      <c r="MUN1726" s="227"/>
      <c r="MUO1726" s="227"/>
      <c r="MUP1726" s="227"/>
      <c r="MUQ1726" s="227"/>
      <c r="MUR1726" s="227"/>
      <c r="MUS1726" s="227"/>
      <c r="MUT1726" s="227"/>
      <c r="MUU1726" s="227"/>
      <c r="MUV1726" s="227"/>
      <c r="MUW1726" s="227"/>
      <c r="MUX1726" s="227"/>
      <c r="MUY1726" s="227"/>
      <c r="MUZ1726" s="227"/>
      <c r="MVA1726" s="227"/>
      <c r="MVB1726" s="227"/>
      <c r="MVC1726" s="227"/>
      <c r="MVD1726" s="227"/>
      <c r="MVE1726" s="227"/>
      <c r="MVF1726" s="227"/>
      <c r="MVG1726" s="227"/>
      <c r="MVH1726" s="227"/>
      <c r="MVI1726" s="227"/>
      <c r="MVJ1726" s="227"/>
      <c r="MVK1726" s="227"/>
      <c r="MVL1726" s="227"/>
      <c r="MVM1726" s="227"/>
      <c r="MVN1726" s="227"/>
      <c r="MVO1726" s="227"/>
      <c r="MVP1726" s="227"/>
      <c r="MVQ1726" s="227"/>
      <c r="MVR1726" s="227"/>
      <c r="MVS1726" s="227"/>
      <c r="MVT1726" s="227"/>
      <c r="MVU1726" s="227"/>
      <c r="MVV1726" s="227"/>
      <c r="MVW1726" s="227"/>
      <c r="MVX1726" s="227"/>
      <c r="MVY1726" s="227"/>
      <c r="MVZ1726" s="227"/>
      <c r="MWA1726" s="227"/>
      <c r="MWB1726" s="227"/>
      <c r="MWC1726" s="227"/>
      <c r="MWD1726" s="227"/>
      <c r="MWE1726" s="227"/>
      <c r="MWF1726" s="227"/>
      <c r="MWG1726" s="227"/>
      <c r="MWH1726" s="227"/>
      <c r="MWI1726" s="227"/>
      <c r="MWJ1726" s="227"/>
      <c r="MWK1726" s="227"/>
      <c r="MWL1726" s="227"/>
      <c r="MWM1726" s="227"/>
      <c r="MWN1726" s="227"/>
      <c r="MWO1726" s="227"/>
      <c r="MWP1726" s="227"/>
      <c r="MWQ1726" s="227"/>
      <c r="MWR1726" s="227"/>
      <c r="MWS1726" s="227"/>
      <c r="MWT1726" s="227"/>
      <c r="MWU1726" s="227"/>
      <c r="MWV1726" s="227"/>
      <c r="MWW1726" s="227"/>
      <c r="MWX1726" s="227"/>
      <c r="MWY1726" s="227"/>
      <c r="MWZ1726" s="227"/>
      <c r="MXA1726" s="227"/>
      <c r="MXB1726" s="227"/>
      <c r="MXC1726" s="227"/>
      <c r="MXD1726" s="227"/>
      <c r="MXE1726" s="227"/>
      <c r="MXF1726" s="227"/>
      <c r="MXG1726" s="227"/>
      <c r="MXH1726" s="227"/>
      <c r="MXI1726" s="227"/>
      <c r="MXJ1726" s="227"/>
      <c r="MXK1726" s="227"/>
      <c r="MXL1726" s="227"/>
      <c r="MXM1726" s="227"/>
      <c r="MXN1726" s="227"/>
      <c r="MXO1726" s="227"/>
      <c r="MXP1726" s="227"/>
      <c r="MXQ1726" s="227"/>
      <c r="MXR1726" s="227"/>
      <c r="MXS1726" s="227"/>
      <c r="MXT1726" s="227"/>
      <c r="MXU1726" s="227"/>
      <c r="MXV1726" s="227"/>
      <c r="MXW1726" s="227"/>
      <c r="MXX1726" s="227"/>
      <c r="MXY1726" s="227"/>
      <c r="MXZ1726" s="227"/>
      <c r="MYA1726" s="227"/>
      <c r="MYB1726" s="227"/>
      <c r="MYC1726" s="227"/>
      <c r="MYD1726" s="227"/>
      <c r="MYE1726" s="227"/>
      <c r="MYF1726" s="227"/>
      <c r="MYG1726" s="227"/>
      <c r="MYH1726" s="227"/>
      <c r="MYI1726" s="227"/>
      <c r="MYJ1726" s="227"/>
      <c r="MYK1726" s="227"/>
      <c r="MYL1726" s="227"/>
      <c r="MYM1726" s="227"/>
      <c r="MYN1726" s="227"/>
      <c r="MYO1726" s="227"/>
      <c r="MYP1726" s="227"/>
      <c r="MYQ1726" s="227"/>
      <c r="MYR1726" s="227"/>
      <c r="MYS1726" s="227"/>
      <c r="MYT1726" s="227"/>
      <c r="MYU1726" s="227"/>
      <c r="MYV1726" s="227"/>
      <c r="MYW1726" s="227"/>
      <c r="MYX1726" s="227"/>
      <c r="MYY1726" s="227"/>
      <c r="MYZ1726" s="227"/>
      <c r="MZA1726" s="227"/>
      <c r="MZB1726" s="227"/>
      <c r="MZC1726" s="227"/>
      <c r="MZD1726" s="227"/>
      <c r="MZE1726" s="227"/>
      <c r="MZF1726" s="227"/>
      <c r="MZG1726" s="227"/>
      <c r="MZH1726" s="227"/>
      <c r="MZI1726" s="227"/>
      <c r="MZJ1726" s="227"/>
      <c r="MZK1726" s="227"/>
      <c r="MZL1726" s="227"/>
      <c r="MZM1726" s="227"/>
      <c r="MZN1726" s="227"/>
      <c r="MZO1726" s="227"/>
      <c r="MZP1726" s="227"/>
      <c r="MZQ1726" s="227"/>
      <c r="MZR1726" s="227"/>
      <c r="MZS1726" s="227"/>
      <c r="MZT1726" s="227"/>
      <c r="MZU1726" s="227"/>
      <c r="MZV1726" s="227"/>
      <c r="MZW1726" s="227"/>
      <c r="MZX1726" s="227"/>
      <c r="MZY1726" s="227"/>
      <c r="MZZ1726" s="227"/>
      <c r="NAA1726" s="227"/>
      <c r="NAB1726" s="227"/>
      <c r="NAC1726" s="227"/>
      <c r="NAD1726" s="227"/>
      <c r="NAE1726" s="227"/>
      <c r="NAF1726" s="227"/>
      <c r="NAG1726" s="227"/>
      <c r="NAH1726" s="227"/>
      <c r="NAI1726" s="227"/>
      <c r="NAJ1726" s="227"/>
      <c r="NAK1726" s="227"/>
      <c r="NAL1726" s="227"/>
      <c r="NAM1726" s="227"/>
      <c r="NAN1726" s="227"/>
      <c r="NAO1726" s="227"/>
      <c r="NAP1726" s="227"/>
      <c r="NAQ1726" s="227"/>
      <c r="NAR1726" s="227"/>
      <c r="NAS1726" s="227"/>
      <c r="NAT1726" s="227"/>
      <c r="NAU1726" s="227"/>
      <c r="NAV1726" s="227"/>
      <c r="NAW1726" s="227"/>
      <c r="NAX1726" s="227"/>
      <c r="NAY1726" s="227"/>
      <c r="NAZ1726" s="227"/>
      <c r="NBA1726" s="227"/>
      <c r="NBB1726" s="227"/>
      <c r="NBC1726" s="227"/>
      <c r="NBD1726" s="227"/>
      <c r="NBE1726" s="227"/>
      <c r="NBF1726" s="227"/>
      <c r="NBG1726" s="227"/>
      <c r="NBH1726" s="227"/>
      <c r="NBI1726" s="227"/>
      <c r="NBJ1726" s="227"/>
      <c r="NBK1726" s="227"/>
      <c r="NBL1726" s="227"/>
      <c r="NBM1726" s="227"/>
      <c r="NBN1726" s="227"/>
      <c r="NBO1726" s="227"/>
      <c r="NBP1726" s="227"/>
      <c r="NBQ1726" s="227"/>
      <c r="NBR1726" s="227"/>
      <c r="NBS1726" s="227"/>
      <c r="NBT1726" s="227"/>
      <c r="NBU1726" s="227"/>
      <c r="NBV1726" s="227"/>
      <c r="NBW1726" s="227"/>
      <c r="NBX1726" s="227"/>
      <c r="NBY1726" s="227"/>
      <c r="NBZ1726" s="227"/>
      <c r="NCA1726" s="227"/>
      <c r="NCB1726" s="227"/>
      <c r="NCC1726" s="227"/>
      <c r="NCD1726" s="227"/>
      <c r="NCE1726" s="227"/>
      <c r="NCF1726" s="227"/>
      <c r="NCG1726" s="227"/>
      <c r="NCH1726" s="227"/>
      <c r="NCI1726" s="227"/>
      <c r="NCJ1726" s="227"/>
      <c r="NCK1726" s="227"/>
      <c r="NCL1726" s="227"/>
      <c r="NCM1726" s="227"/>
      <c r="NCN1726" s="227"/>
      <c r="NCO1726" s="227"/>
      <c r="NCP1726" s="227"/>
      <c r="NCQ1726" s="227"/>
      <c r="NCR1726" s="227"/>
      <c r="NCS1726" s="227"/>
      <c r="NCT1726" s="227"/>
      <c r="NCU1726" s="227"/>
      <c r="NCV1726" s="227"/>
      <c r="NCW1726" s="227"/>
      <c r="NCX1726" s="227"/>
      <c r="NCY1726" s="227"/>
      <c r="NCZ1726" s="227"/>
      <c r="NDA1726" s="227"/>
      <c r="NDB1726" s="227"/>
      <c r="NDC1726" s="227"/>
      <c r="NDD1726" s="227"/>
      <c r="NDE1726" s="227"/>
      <c r="NDF1726" s="227"/>
      <c r="NDG1726" s="227"/>
      <c r="NDH1726" s="227"/>
      <c r="NDI1726" s="227"/>
      <c r="NDJ1726" s="227"/>
      <c r="NDK1726" s="227"/>
      <c r="NDL1726" s="227"/>
      <c r="NDM1726" s="227"/>
      <c r="NDN1726" s="227"/>
      <c r="NDO1726" s="227"/>
      <c r="NDP1726" s="227"/>
      <c r="NDQ1726" s="227"/>
      <c r="NDR1726" s="227"/>
      <c r="NDS1726" s="227"/>
      <c r="NDT1726" s="227"/>
      <c r="NDU1726" s="227"/>
      <c r="NDV1726" s="227"/>
      <c r="NDW1726" s="227"/>
      <c r="NDX1726" s="227"/>
      <c r="NDY1726" s="227"/>
      <c r="NDZ1726" s="227"/>
      <c r="NEA1726" s="227"/>
      <c r="NEB1726" s="227"/>
      <c r="NEC1726" s="227"/>
      <c r="NED1726" s="227"/>
      <c r="NEE1726" s="227"/>
      <c r="NEF1726" s="227"/>
      <c r="NEG1726" s="227"/>
      <c r="NEH1726" s="227"/>
      <c r="NEI1726" s="227"/>
      <c r="NEJ1726" s="227"/>
      <c r="NEK1726" s="227"/>
      <c r="NEL1726" s="227"/>
      <c r="NEM1726" s="227"/>
      <c r="NEN1726" s="227"/>
      <c r="NEO1726" s="227"/>
      <c r="NEP1726" s="227"/>
      <c r="NEQ1726" s="227"/>
      <c r="NER1726" s="227"/>
      <c r="NES1726" s="227"/>
      <c r="NET1726" s="227"/>
      <c r="NEU1726" s="227"/>
      <c r="NEV1726" s="227"/>
      <c r="NEW1726" s="227"/>
      <c r="NEX1726" s="227"/>
      <c r="NEY1726" s="227"/>
      <c r="NEZ1726" s="227"/>
      <c r="NFA1726" s="227"/>
      <c r="NFB1726" s="227"/>
      <c r="NFC1726" s="227"/>
      <c r="NFD1726" s="227"/>
      <c r="NFE1726" s="227"/>
      <c r="NFF1726" s="227"/>
      <c r="NFG1726" s="227"/>
      <c r="NFH1726" s="227"/>
      <c r="NFI1726" s="227"/>
      <c r="NFJ1726" s="227"/>
      <c r="NFK1726" s="227"/>
      <c r="NFL1726" s="227"/>
      <c r="NFM1726" s="227"/>
      <c r="NFN1726" s="227"/>
      <c r="NFO1726" s="227"/>
      <c r="NFP1726" s="227"/>
      <c r="NFQ1726" s="227"/>
      <c r="NFR1726" s="227"/>
      <c r="NFS1726" s="227"/>
      <c r="NFT1726" s="227"/>
      <c r="NFU1726" s="227"/>
      <c r="NFV1726" s="227"/>
      <c r="NFW1726" s="227"/>
      <c r="NFX1726" s="227"/>
      <c r="NFY1726" s="227"/>
      <c r="NFZ1726" s="227"/>
      <c r="NGA1726" s="227"/>
      <c r="NGB1726" s="227"/>
      <c r="NGC1726" s="227"/>
      <c r="NGD1726" s="227"/>
      <c r="NGE1726" s="227"/>
      <c r="NGF1726" s="227"/>
      <c r="NGG1726" s="227"/>
      <c r="NGH1726" s="227"/>
      <c r="NGI1726" s="227"/>
      <c r="NGJ1726" s="227"/>
      <c r="NGK1726" s="227"/>
      <c r="NGL1726" s="227"/>
      <c r="NGM1726" s="227"/>
      <c r="NGN1726" s="227"/>
      <c r="NGO1726" s="227"/>
      <c r="NGP1726" s="227"/>
      <c r="NGQ1726" s="227"/>
      <c r="NGR1726" s="227"/>
      <c r="NGS1726" s="227"/>
      <c r="NGT1726" s="227"/>
      <c r="NGU1726" s="227"/>
      <c r="NGV1726" s="227"/>
      <c r="NGW1726" s="227"/>
      <c r="NGX1726" s="227"/>
      <c r="NGY1726" s="227"/>
      <c r="NGZ1726" s="227"/>
      <c r="NHA1726" s="227"/>
      <c r="NHB1726" s="227"/>
      <c r="NHC1726" s="227"/>
      <c r="NHD1726" s="227"/>
      <c r="NHE1726" s="227"/>
      <c r="NHF1726" s="227"/>
      <c r="NHG1726" s="227"/>
      <c r="NHH1726" s="227"/>
      <c r="NHI1726" s="227"/>
      <c r="NHJ1726" s="227"/>
      <c r="NHK1726" s="227"/>
      <c r="NHL1726" s="227"/>
      <c r="NHM1726" s="227"/>
      <c r="NHN1726" s="227"/>
      <c r="NHO1726" s="227"/>
      <c r="NHP1726" s="227"/>
      <c r="NHQ1726" s="227"/>
      <c r="NHR1726" s="227"/>
      <c r="NHS1726" s="227"/>
      <c r="NHT1726" s="227"/>
      <c r="NHU1726" s="227"/>
      <c r="NHV1726" s="227"/>
      <c r="NHW1726" s="227"/>
      <c r="NHX1726" s="227"/>
      <c r="NHY1726" s="227"/>
      <c r="NHZ1726" s="227"/>
      <c r="NIA1726" s="227"/>
      <c r="NIB1726" s="227"/>
      <c r="NIC1726" s="227"/>
      <c r="NID1726" s="227"/>
      <c r="NIE1726" s="227"/>
      <c r="NIF1726" s="227"/>
      <c r="NIG1726" s="227"/>
      <c r="NIH1726" s="227"/>
      <c r="NII1726" s="227"/>
      <c r="NIJ1726" s="227"/>
      <c r="NIK1726" s="227"/>
      <c r="NIL1726" s="227"/>
      <c r="NIM1726" s="227"/>
      <c r="NIN1726" s="227"/>
      <c r="NIO1726" s="227"/>
      <c r="NIP1726" s="227"/>
      <c r="NIQ1726" s="227"/>
      <c r="NIR1726" s="227"/>
      <c r="NIS1726" s="227"/>
      <c r="NIT1726" s="227"/>
      <c r="NIU1726" s="227"/>
      <c r="NIV1726" s="227"/>
      <c r="NIW1726" s="227"/>
      <c r="NIX1726" s="227"/>
      <c r="NIY1726" s="227"/>
      <c r="NIZ1726" s="227"/>
      <c r="NJA1726" s="227"/>
      <c r="NJB1726" s="227"/>
      <c r="NJC1726" s="227"/>
      <c r="NJD1726" s="227"/>
      <c r="NJE1726" s="227"/>
      <c r="NJF1726" s="227"/>
      <c r="NJG1726" s="227"/>
      <c r="NJH1726" s="227"/>
      <c r="NJI1726" s="227"/>
      <c r="NJJ1726" s="227"/>
      <c r="NJK1726" s="227"/>
      <c r="NJL1726" s="227"/>
      <c r="NJM1726" s="227"/>
      <c r="NJN1726" s="227"/>
      <c r="NJO1726" s="227"/>
      <c r="NJP1726" s="227"/>
      <c r="NJQ1726" s="227"/>
      <c r="NJR1726" s="227"/>
      <c r="NJS1726" s="227"/>
      <c r="NJT1726" s="227"/>
      <c r="NJU1726" s="227"/>
      <c r="NJV1726" s="227"/>
      <c r="NJW1726" s="227"/>
      <c r="NJX1726" s="227"/>
      <c r="NJY1726" s="227"/>
      <c r="NJZ1726" s="227"/>
      <c r="NKA1726" s="227"/>
      <c r="NKB1726" s="227"/>
      <c r="NKC1726" s="227"/>
      <c r="NKD1726" s="227"/>
      <c r="NKE1726" s="227"/>
      <c r="NKF1726" s="227"/>
      <c r="NKG1726" s="227"/>
      <c r="NKH1726" s="227"/>
      <c r="NKI1726" s="227"/>
      <c r="NKJ1726" s="227"/>
      <c r="NKK1726" s="227"/>
      <c r="NKL1726" s="227"/>
      <c r="NKM1726" s="227"/>
      <c r="NKN1726" s="227"/>
      <c r="NKO1726" s="227"/>
      <c r="NKP1726" s="227"/>
      <c r="NKQ1726" s="227"/>
      <c r="NKR1726" s="227"/>
      <c r="NKS1726" s="227"/>
      <c r="NKT1726" s="227"/>
      <c r="NKU1726" s="227"/>
      <c r="NKV1726" s="227"/>
      <c r="NKW1726" s="227"/>
      <c r="NKX1726" s="227"/>
      <c r="NKY1726" s="227"/>
      <c r="NKZ1726" s="227"/>
      <c r="NLA1726" s="227"/>
      <c r="NLB1726" s="227"/>
      <c r="NLC1726" s="227"/>
      <c r="NLD1726" s="227"/>
      <c r="NLE1726" s="227"/>
      <c r="NLF1726" s="227"/>
      <c r="NLG1726" s="227"/>
      <c r="NLH1726" s="227"/>
      <c r="NLI1726" s="227"/>
      <c r="NLJ1726" s="227"/>
      <c r="NLK1726" s="227"/>
      <c r="NLL1726" s="227"/>
      <c r="NLM1726" s="227"/>
      <c r="NLN1726" s="227"/>
      <c r="NLO1726" s="227"/>
      <c r="NLP1726" s="227"/>
      <c r="NLQ1726" s="227"/>
      <c r="NLR1726" s="227"/>
      <c r="NLS1726" s="227"/>
      <c r="NLT1726" s="227"/>
      <c r="NLU1726" s="227"/>
      <c r="NLV1726" s="227"/>
      <c r="NLW1726" s="227"/>
      <c r="NLX1726" s="227"/>
      <c r="NLY1726" s="227"/>
      <c r="NLZ1726" s="227"/>
      <c r="NMA1726" s="227"/>
      <c r="NMB1726" s="227"/>
      <c r="NMC1726" s="227"/>
      <c r="NMD1726" s="227"/>
      <c r="NME1726" s="227"/>
      <c r="NMF1726" s="227"/>
      <c r="NMG1726" s="227"/>
      <c r="NMH1726" s="227"/>
      <c r="NMI1726" s="227"/>
      <c r="NMJ1726" s="227"/>
      <c r="NMK1726" s="227"/>
      <c r="NML1726" s="227"/>
      <c r="NMM1726" s="227"/>
      <c r="NMN1726" s="227"/>
      <c r="NMO1726" s="227"/>
      <c r="NMP1726" s="227"/>
      <c r="NMQ1726" s="227"/>
      <c r="NMR1726" s="227"/>
      <c r="NMS1726" s="227"/>
      <c r="NMT1726" s="227"/>
      <c r="NMU1726" s="227"/>
      <c r="NMV1726" s="227"/>
      <c r="NMW1726" s="227"/>
      <c r="NMX1726" s="227"/>
      <c r="NMY1726" s="227"/>
      <c r="NMZ1726" s="227"/>
      <c r="NNA1726" s="227"/>
      <c r="NNB1726" s="227"/>
      <c r="NNC1726" s="227"/>
      <c r="NND1726" s="227"/>
      <c r="NNE1726" s="227"/>
      <c r="NNF1726" s="227"/>
      <c r="NNG1726" s="227"/>
      <c r="NNH1726" s="227"/>
      <c r="NNI1726" s="227"/>
      <c r="NNJ1726" s="227"/>
      <c r="NNK1726" s="227"/>
      <c r="NNL1726" s="227"/>
      <c r="NNM1726" s="227"/>
      <c r="NNN1726" s="227"/>
      <c r="NNO1726" s="227"/>
      <c r="NNP1726" s="227"/>
      <c r="NNQ1726" s="227"/>
      <c r="NNR1726" s="227"/>
      <c r="NNS1726" s="227"/>
      <c r="NNT1726" s="227"/>
      <c r="NNU1726" s="227"/>
      <c r="NNV1726" s="227"/>
      <c r="NNW1726" s="227"/>
      <c r="NNX1726" s="227"/>
      <c r="NNY1726" s="227"/>
      <c r="NNZ1726" s="227"/>
      <c r="NOA1726" s="227"/>
      <c r="NOB1726" s="227"/>
      <c r="NOC1726" s="227"/>
      <c r="NOD1726" s="227"/>
      <c r="NOE1726" s="227"/>
      <c r="NOF1726" s="227"/>
      <c r="NOG1726" s="227"/>
      <c r="NOH1726" s="227"/>
      <c r="NOI1726" s="227"/>
      <c r="NOJ1726" s="227"/>
      <c r="NOK1726" s="227"/>
      <c r="NOL1726" s="227"/>
      <c r="NOM1726" s="227"/>
      <c r="NON1726" s="227"/>
      <c r="NOO1726" s="227"/>
      <c r="NOP1726" s="227"/>
      <c r="NOQ1726" s="227"/>
      <c r="NOR1726" s="227"/>
      <c r="NOS1726" s="227"/>
      <c r="NOT1726" s="227"/>
      <c r="NOU1726" s="227"/>
      <c r="NOV1726" s="227"/>
      <c r="NOW1726" s="227"/>
      <c r="NOX1726" s="227"/>
      <c r="NOY1726" s="227"/>
      <c r="NOZ1726" s="227"/>
      <c r="NPA1726" s="227"/>
      <c r="NPB1726" s="227"/>
      <c r="NPC1726" s="227"/>
      <c r="NPD1726" s="227"/>
      <c r="NPE1726" s="227"/>
      <c r="NPF1726" s="227"/>
      <c r="NPG1726" s="227"/>
      <c r="NPH1726" s="227"/>
      <c r="NPI1726" s="227"/>
      <c r="NPJ1726" s="227"/>
      <c r="NPK1726" s="227"/>
      <c r="NPL1726" s="227"/>
      <c r="NPM1726" s="227"/>
      <c r="NPN1726" s="227"/>
      <c r="NPO1726" s="227"/>
      <c r="NPP1726" s="227"/>
      <c r="NPQ1726" s="227"/>
      <c r="NPR1726" s="227"/>
      <c r="NPS1726" s="227"/>
      <c r="NPT1726" s="227"/>
      <c r="NPU1726" s="227"/>
      <c r="NPV1726" s="227"/>
      <c r="NPW1726" s="227"/>
      <c r="NPX1726" s="227"/>
      <c r="NPY1726" s="227"/>
      <c r="NPZ1726" s="227"/>
      <c r="NQA1726" s="227"/>
      <c r="NQB1726" s="227"/>
      <c r="NQC1726" s="227"/>
      <c r="NQD1726" s="227"/>
      <c r="NQE1726" s="227"/>
      <c r="NQF1726" s="227"/>
      <c r="NQG1726" s="227"/>
      <c r="NQH1726" s="227"/>
      <c r="NQI1726" s="227"/>
      <c r="NQJ1726" s="227"/>
      <c r="NQK1726" s="227"/>
      <c r="NQL1726" s="227"/>
      <c r="NQM1726" s="227"/>
      <c r="NQN1726" s="227"/>
      <c r="NQO1726" s="227"/>
      <c r="NQP1726" s="227"/>
      <c r="NQQ1726" s="227"/>
      <c r="NQR1726" s="227"/>
      <c r="NQS1726" s="227"/>
      <c r="NQT1726" s="227"/>
      <c r="NQU1726" s="227"/>
      <c r="NQV1726" s="227"/>
      <c r="NQW1726" s="227"/>
      <c r="NQX1726" s="227"/>
      <c r="NQY1726" s="227"/>
      <c r="NQZ1726" s="227"/>
      <c r="NRA1726" s="227"/>
      <c r="NRB1726" s="227"/>
      <c r="NRC1726" s="227"/>
      <c r="NRD1726" s="227"/>
      <c r="NRE1726" s="227"/>
      <c r="NRF1726" s="227"/>
      <c r="NRG1726" s="227"/>
      <c r="NRH1726" s="227"/>
      <c r="NRI1726" s="227"/>
      <c r="NRJ1726" s="227"/>
      <c r="NRK1726" s="227"/>
      <c r="NRL1726" s="227"/>
      <c r="NRM1726" s="227"/>
      <c r="NRN1726" s="227"/>
      <c r="NRO1726" s="227"/>
      <c r="NRP1726" s="227"/>
      <c r="NRQ1726" s="227"/>
      <c r="NRR1726" s="227"/>
      <c r="NRS1726" s="227"/>
      <c r="NRT1726" s="227"/>
      <c r="NRU1726" s="227"/>
      <c r="NRV1726" s="227"/>
      <c r="NRW1726" s="227"/>
      <c r="NRX1726" s="227"/>
      <c r="NRY1726" s="227"/>
      <c r="NRZ1726" s="227"/>
      <c r="NSA1726" s="227"/>
      <c r="NSB1726" s="227"/>
      <c r="NSC1726" s="227"/>
      <c r="NSD1726" s="227"/>
      <c r="NSE1726" s="227"/>
      <c r="NSF1726" s="227"/>
      <c r="NSG1726" s="227"/>
      <c r="NSH1726" s="227"/>
      <c r="NSI1726" s="227"/>
      <c r="NSJ1726" s="227"/>
      <c r="NSK1726" s="227"/>
      <c r="NSL1726" s="227"/>
      <c r="NSM1726" s="227"/>
      <c r="NSN1726" s="227"/>
      <c r="NSO1726" s="227"/>
      <c r="NSP1726" s="227"/>
      <c r="NSQ1726" s="227"/>
      <c r="NSR1726" s="227"/>
      <c r="NSS1726" s="227"/>
      <c r="NST1726" s="227"/>
      <c r="NSU1726" s="227"/>
      <c r="NSV1726" s="227"/>
      <c r="NSW1726" s="227"/>
      <c r="NSX1726" s="227"/>
      <c r="NSY1726" s="227"/>
      <c r="NSZ1726" s="227"/>
      <c r="NTA1726" s="227"/>
      <c r="NTB1726" s="227"/>
      <c r="NTC1726" s="227"/>
      <c r="NTD1726" s="227"/>
      <c r="NTE1726" s="227"/>
      <c r="NTF1726" s="227"/>
      <c r="NTG1726" s="227"/>
      <c r="NTH1726" s="227"/>
      <c r="NTI1726" s="227"/>
      <c r="NTJ1726" s="227"/>
      <c r="NTK1726" s="227"/>
      <c r="NTL1726" s="227"/>
      <c r="NTM1726" s="227"/>
      <c r="NTN1726" s="227"/>
      <c r="NTO1726" s="227"/>
      <c r="NTP1726" s="227"/>
      <c r="NTQ1726" s="227"/>
      <c r="NTR1726" s="227"/>
      <c r="NTS1726" s="227"/>
      <c r="NTT1726" s="227"/>
      <c r="NTU1726" s="227"/>
      <c r="NTV1726" s="227"/>
      <c r="NTW1726" s="227"/>
      <c r="NTX1726" s="227"/>
      <c r="NTY1726" s="227"/>
      <c r="NTZ1726" s="227"/>
      <c r="NUA1726" s="227"/>
      <c r="NUB1726" s="227"/>
      <c r="NUC1726" s="227"/>
      <c r="NUD1726" s="227"/>
      <c r="NUE1726" s="227"/>
      <c r="NUF1726" s="227"/>
      <c r="NUG1726" s="227"/>
      <c r="NUH1726" s="227"/>
      <c r="NUI1726" s="227"/>
      <c r="NUJ1726" s="227"/>
      <c r="NUK1726" s="227"/>
      <c r="NUL1726" s="227"/>
      <c r="NUM1726" s="227"/>
      <c r="NUN1726" s="227"/>
      <c r="NUO1726" s="227"/>
      <c r="NUP1726" s="227"/>
      <c r="NUQ1726" s="227"/>
      <c r="NUR1726" s="227"/>
      <c r="NUS1726" s="227"/>
      <c r="NUT1726" s="227"/>
      <c r="NUU1726" s="227"/>
      <c r="NUV1726" s="227"/>
      <c r="NUW1726" s="227"/>
      <c r="NUX1726" s="227"/>
      <c r="NUY1726" s="227"/>
      <c r="NUZ1726" s="227"/>
      <c r="NVA1726" s="227"/>
      <c r="NVB1726" s="227"/>
      <c r="NVC1726" s="227"/>
      <c r="NVD1726" s="227"/>
      <c r="NVE1726" s="227"/>
      <c r="NVF1726" s="227"/>
      <c r="NVG1726" s="227"/>
      <c r="NVH1726" s="227"/>
      <c r="NVI1726" s="227"/>
      <c r="NVJ1726" s="227"/>
      <c r="NVK1726" s="227"/>
      <c r="NVL1726" s="227"/>
      <c r="NVM1726" s="227"/>
      <c r="NVN1726" s="227"/>
      <c r="NVO1726" s="227"/>
      <c r="NVP1726" s="227"/>
      <c r="NVQ1726" s="227"/>
      <c r="NVR1726" s="227"/>
      <c r="NVS1726" s="227"/>
      <c r="NVT1726" s="227"/>
      <c r="NVU1726" s="227"/>
      <c r="NVV1726" s="227"/>
      <c r="NVW1726" s="227"/>
      <c r="NVX1726" s="227"/>
      <c r="NVY1726" s="227"/>
      <c r="NVZ1726" s="227"/>
      <c r="NWA1726" s="227"/>
      <c r="NWB1726" s="227"/>
      <c r="NWC1726" s="227"/>
      <c r="NWD1726" s="227"/>
      <c r="NWE1726" s="227"/>
      <c r="NWF1726" s="227"/>
      <c r="NWG1726" s="227"/>
      <c r="NWH1726" s="227"/>
      <c r="NWI1726" s="227"/>
      <c r="NWJ1726" s="227"/>
      <c r="NWK1726" s="227"/>
      <c r="NWL1726" s="227"/>
      <c r="NWM1726" s="227"/>
      <c r="NWN1726" s="227"/>
      <c r="NWO1726" s="227"/>
      <c r="NWP1726" s="227"/>
      <c r="NWQ1726" s="227"/>
      <c r="NWR1726" s="227"/>
      <c r="NWS1726" s="227"/>
      <c r="NWT1726" s="227"/>
      <c r="NWU1726" s="227"/>
      <c r="NWV1726" s="227"/>
      <c r="NWW1726" s="227"/>
      <c r="NWX1726" s="227"/>
      <c r="NWY1726" s="227"/>
      <c r="NWZ1726" s="227"/>
      <c r="NXA1726" s="227"/>
      <c r="NXB1726" s="227"/>
      <c r="NXC1726" s="227"/>
      <c r="NXD1726" s="227"/>
      <c r="NXE1726" s="227"/>
      <c r="NXF1726" s="227"/>
      <c r="NXG1726" s="227"/>
      <c r="NXH1726" s="227"/>
      <c r="NXI1726" s="227"/>
      <c r="NXJ1726" s="227"/>
      <c r="NXK1726" s="227"/>
      <c r="NXL1726" s="227"/>
      <c r="NXM1726" s="227"/>
      <c r="NXN1726" s="227"/>
      <c r="NXO1726" s="227"/>
      <c r="NXP1726" s="227"/>
      <c r="NXQ1726" s="227"/>
      <c r="NXR1726" s="227"/>
      <c r="NXS1726" s="227"/>
      <c r="NXT1726" s="227"/>
      <c r="NXU1726" s="227"/>
      <c r="NXV1726" s="227"/>
      <c r="NXW1726" s="227"/>
      <c r="NXX1726" s="227"/>
      <c r="NXY1726" s="227"/>
      <c r="NXZ1726" s="227"/>
      <c r="NYA1726" s="227"/>
      <c r="NYB1726" s="227"/>
      <c r="NYC1726" s="227"/>
      <c r="NYD1726" s="227"/>
      <c r="NYE1726" s="227"/>
      <c r="NYF1726" s="227"/>
      <c r="NYG1726" s="227"/>
      <c r="NYH1726" s="227"/>
      <c r="NYI1726" s="227"/>
      <c r="NYJ1726" s="227"/>
      <c r="NYK1726" s="227"/>
      <c r="NYL1726" s="227"/>
      <c r="NYM1726" s="227"/>
      <c r="NYN1726" s="227"/>
      <c r="NYO1726" s="227"/>
      <c r="NYP1726" s="227"/>
      <c r="NYQ1726" s="227"/>
      <c r="NYR1726" s="227"/>
      <c r="NYS1726" s="227"/>
      <c r="NYT1726" s="227"/>
      <c r="NYU1726" s="227"/>
      <c r="NYV1726" s="227"/>
      <c r="NYW1726" s="227"/>
      <c r="NYX1726" s="227"/>
      <c r="NYY1726" s="227"/>
      <c r="NYZ1726" s="227"/>
      <c r="NZA1726" s="227"/>
      <c r="NZB1726" s="227"/>
      <c r="NZC1726" s="227"/>
      <c r="NZD1726" s="227"/>
      <c r="NZE1726" s="227"/>
      <c r="NZF1726" s="227"/>
      <c r="NZG1726" s="227"/>
      <c r="NZH1726" s="227"/>
      <c r="NZI1726" s="227"/>
      <c r="NZJ1726" s="227"/>
      <c r="NZK1726" s="227"/>
      <c r="NZL1726" s="227"/>
      <c r="NZM1726" s="227"/>
      <c r="NZN1726" s="227"/>
      <c r="NZO1726" s="227"/>
      <c r="NZP1726" s="227"/>
      <c r="NZQ1726" s="227"/>
      <c r="NZR1726" s="227"/>
      <c r="NZS1726" s="227"/>
      <c r="NZT1726" s="227"/>
      <c r="NZU1726" s="227"/>
      <c r="NZV1726" s="227"/>
      <c r="NZW1726" s="227"/>
      <c r="NZX1726" s="227"/>
      <c r="NZY1726" s="227"/>
      <c r="NZZ1726" s="227"/>
      <c r="OAA1726" s="227"/>
      <c r="OAB1726" s="227"/>
      <c r="OAC1726" s="227"/>
      <c r="OAD1726" s="227"/>
      <c r="OAE1726" s="227"/>
      <c r="OAF1726" s="227"/>
      <c r="OAG1726" s="227"/>
      <c r="OAH1726" s="227"/>
      <c r="OAI1726" s="227"/>
      <c r="OAJ1726" s="227"/>
      <c r="OAK1726" s="227"/>
      <c r="OAL1726" s="227"/>
      <c r="OAM1726" s="227"/>
      <c r="OAN1726" s="227"/>
      <c r="OAO1726" s="227"/>
      <c r="OAP1726" s="227"/>
      <c r="OAQ1726" s="227"/>
      <c r="OAR1726" s="227"/>
      <c r="OAS1726" s="227"/>
      <c r="OAT1726" s="227"/>
      <c r="OAU1726" s="227"/>
      <c r="OAV1726" s="227"/>
      <c r="OAW1726" s="227"/>
      <c r="OAX1726" s="227"/>
      <c r="OAY1726" s="227"/>
      <c r="OAZ1726" s="227"/>
      <c r="OBA1726" s="227"/>
      <c r="OBB1726" s="227"/>
      <c r="OBC1726" s="227"/>
      <c r="OBD1726" s="227"/>
      <c r="OBE1726" s="227"/>
      <c r="OBF1726" s="227"/>
      <c r="OBG1726" s="227"/>
      <c r="OBH1726" s="227"/>
      <c r="OBI1726" s="227"/>
      <c r="OBJ1726" s="227"/>
      <c r="OBK1726" s="227"/>
      <c r="OBL1726" s="227"/>
      <c r="OBM1726" s="227"/>
      <c r="OBN1726" s="227"/>
      <c r="OBO1726" s="227"/>
      <c r="OBP1726" s="227"/>
      <c r="OBQ1726" s="227"/>
      <c r="OBR1726" s="227"/>
      <c r="OBS1726" s="227"/>
      <c r="OBT1726" s="227"/>
      <c r="OBU1726" s="227"/>
      <c r="OBV1726" s="227"/>
      <c r="OBW1726" s="227"/>
      <c r="OBX1726" s="227"/>
      <c r="OBY1726" s="227"/>
      <c r="OBZ1726" s="227"/>
      <c r="OCA1726" s="227"/>
      <c r="OCB1726" s="227"/>
      <c r="OCC1726" s="227"/>
      <c r="OCD1726" s="227"/>
      <c r="OCE1726" s="227"/>
      <c r="OCF1726" s="227"/>
      <c r="OCG1726" s="227"/>
      <c r="OCH1726" s="227"/>
      <c r="OCI1726" s="227"/>
      <c r="OCJ1726" s="227"/>
      <c r="OCK1726" s="227"/>
      <c r="OCL1726" s="227"/>
      <c r="OCM1726" s="227"/>
      <c r="OCN1726" s="227"/>
      <c r="OCO1726" s="227"/>
      <c r="OCP1726" s="227"/>
      <c r="OCQ1726" s="227"/>
      <c r="OCR1726" s="227"/>
      <c r="OCS1726" s="227"/>
      <c r="OCT1726" s="227"/>
      <c r="OCU1726" s="227"/>
      <c r="OCV1726" s="227"/>
      <c r="OCW1726" s="227"/>
      <c r="OCX1726" s="227"/>
      <c r="OCY1726" s="227"/>
      <c r="OCZ1726" s="227"/>
      <c r="ODA1726" s="227"/>
      <c r="ODB1726" s="227"/>
      <c r="ODC1726" s="227"/>
      <c r="ODD1726" s="227"/>
      <c r="ODE1726" s="227"/>
      <c r="ODF1726" s="227"/>
      <c r="ODG1726" s="227"/>
      <c r="ODH1726" s="227"/>
      <c r="ODI1726" s="227"/>
      <c r="ODJ1726" s="227"/>
      <c r="ODK1726" s="227"/>
      <c r="ODL1726" s="227"/>
      <c r="ODM1726" s="227"/>
      <c r="ODN1726" s="227"/>
      <c r="ODO1726" s="227"/>
      <c r="ODP1726" s="227"/>
      <c r="ODQ1726" s="227"/>
      <c r="ODR1726" s="227"/>
      <c r="ODS1726" s="227"/>
      <c r="ODT1726" s="227"/>
      <c r="ODU1726" s="227"/>
      <c r="ODV1726" s="227"/>
      <c r="ODW1726" s="227"/>
      <c r="ODX1726" s="227"/>
      <c r="ODY1726" s="227"/>
      <c r="ODZ1726" s="227"/>
      <c r="OEA1726" s="227"/>
      <c r="OEB1726" s="227"/>
      <c r="OEC1726" s="227"/>
      <c r="OED1726" s="227"/>
      <c r="OEE1726" s="227"/>
      <c r="OEF1726" s="227"/>
      <c r="OEG1726" s="227"/>
      <c r="OEH1726" s="227"/>
      <c r="OEI1726" s="227"/>
      <c r="OEJ1726" s="227"/>
      <c r="OEK1726" s="227"/>
      <c r="OEL1726" s="227"/>
      <c r="OEM1726" s="227"/>
      <c r="OEN1726" s="227"/>
      <c r="OEO1726" s="227"/>
      <c r="OEP1726" s="227"/>
      <c r="OEQ1726" s="227"/>
      <c r="OER1726" s="227"/>
      <c r="OES1726" s="227"/>
      <c r="OET1726" s="227"/>
      <c r="OEU1726" s="227"/>
      <c r="OEV1726" s="227"/>
      <c r="OEW1726" s="227"/>
      <c r="OEX1726" s="227"/>
      <c r="OEY1726" s="227"/>
      <c r="OEZ1726" s="227"/>
      <c r="OFA1726" s="227"/>
      <c r="OFB1726" s="227"/>
      <c r="OFC1726" s="227"/>
      <c r="OFD1726" s="227"/>
      <c r="OFE1726" s="227"/>
      <c r="OFF1726" s="227"/>
      <c r="OFG1726" s="227"/>
      <c r="OFH1726" s="227"/>
      <c r="OFI1726" s="227"/>
      <c r="OFJ1726" s="227"/>
      <c r="OFK1726" s="227"/>
      <c r="OFL1726" s="227"/>
      <c r="OFM1726" s="227"/>
      <c r="OFN1726" s="227"/>
      <c r="OFO1726" s="227"/>
      <c r="OFP1726" s="227"/>
      <c r="OFQ1726" s="227"/>
      <c r="OFR1726" s="227"/>
      <c r="OFS1726" s="227"/>
      <c r="OFT1726" s="227"/>
      <c r="OFU1726" s="227"/>
      <c r="OFV1726" s="227"/>
      <c r="OFW1726" s="227"/>
      <c r="OFX1726" s="227"/>
      <c r="OFY1726" s="227"/>
      <c r="OFZ1726" s="227"/>
      <c r="OGA1726" s="227"/>
      <c r="OGB1726" s="227"/>
      <c r="OGC1726" s="227"/>
      <c r="OGD1726" s="227"/>
      <c r="OGE1726" s="227"/>
      <c r="OGF1726" s="227"/>
      <c r="OGG1726" s="227"/>
      <c r="OGH1726" s="227"/>
      <c r="OGI1726" s="227"/>
      <c r="OGJ1726" s="227"/>
      <c r="OGK1726" s="227"/>
      <c r="OGL1726" s="227"/>
      <c r="OGM1726" s="227"/>
      <c r="OGN1726" s="227"/>
      <c r="OGO1726" s="227"/>
      <c r="OGP1726" s="227"/>
      <c r="OGQ1726" s="227"/>
      <c r="OGR1726" s="227"/>
      <c r="OGS1726" s="227"/>
      <c r="OGT1726" s="227"/>
      <c r="OGU1726" s="227"/>
      <c r="OGV1726" s="227"/>
      <c r="OGW1726" s="227"/>
      <c r="OGX1726" s="227"/>
      <c r="OGY1726" s="227"/>
      <c r="OGZ1726" s="227"/>
      <c r="OHA1726" s="227"/>
      <c r="OHB1726" s="227"/>
      <c r="OHC1726" s="227"/>
      <c r="OHD1726" s="227"/>
      <c r="OHE1726" s="227"/>
      <c r="OHF1726" s="227"/>
      <c r="OHG1726" s="227"/>
      <c r="OHH1726" s="227"/>
      <c r="OHI1726" s="227"/>
      <c r="OHJ1726" s="227"/>
      <c r="OHK1726" s="227"/>
      <c r="OHL1726" s="227"/>
      <c r="OHM1726" s="227"/>
      <c r="OHN1726" s="227"/>
      <c r="OHO1726" s="227"/>
      <c r="OHP1726" s="227"/>
      <c r="OHQ1726" s="227"/>
      <c r="OHR1726" s="227"/>
      <c r="OHS1726" s="227"/>
      <c r="OHT1726" s="227"/>
      <c r="OHU1726" s="227"/>
      <c r="OHV1726" s="227"/>
      <c r="OHW1726" s="227"/>
      <c r="OHX1726" s="227"/>
      <c r="OHY1726" s="227"/>
      <c r="OHZ1726" s="227"/>
      <c r="OIA1726" s="227"/>
      <c r="OIB1726" s="227"/>
      <c r="OIC1726" s="227"/>
      <c r="OID1726" s="227"/>
      <c r="OIE1726" s="227"/>
      <c r="OIF1726" s="227"/>
      <c r="OIG1726" s="227"/>
      <c r="OIH1726" s="227"/>
      <c r="OII1726" s="227"/>
      <c r="OIJ1726" s="227"/>
      <c r="OIK1726" s="227"/>
      <c r="OIL1726" s="227"/>
      <c r="OIM1726" s="227"/>
      <c r="OIN1726" s="227"/>
      <c r="OIO1726" s="227"/>
      <c r="OIP1726" s="227"/>
      <c r="OIQ1726" s="227"/>
      <c r="OIR1726" s="227"/>
      <c r="OIS1726" s="227"/>
      <c r="OIT1726" s="227"/>
      <c r="OIU1726" s="227"/>
      <c r="OIV1726" s="227"/>
      <c r="OIW1726" s="227"/>
      <c r="OIX1726" s="227"/>
      <c r="OIY1726" s="227"/>
      <c r="OIZ1726" s="227"/>
      <c r="OJA1726" s="227"/>
      <c r="OJB1726" s="227"/>
      <c r="OJC1726" s="227"/>
      <c r="OJD1726" s="227"/>
      <c r="OJE1726" s="227"/>
      <c r="OJF1726" s="227"/>
      <c r="OJG1726" s="227"/>
      <c r="OJH1726" s="227"/>
      <c r="OJI1726" s="227"/>
      <c r="OJJ1726" s="227"/>
      <c r="OJK1726" s="227"/>
      <c r="OJL1726" s="227"/>
      <c r="OJM1726" s="227"/>
      <c r="OJN1726" s="227"/>
      <c r="OJO1726" s="227"/>
      <c r="OJP1726" s="227"/>
      <c r="OJQ1726" s="227"/>
      <c r="OJR1726" s="227"/>
      <c r="OJS1726" s="227"/>
      <c r="OJT1726" s="227"/>
      <c r="OJU1726" s="227"/>
      <c r="OJV1726" s="227"/>
      <c r="OJW1726" s="227"/>
      <c r="OJX1726" s="227"/>
      <c r="OJY1726" s="227"/>
      <c r="OJZ1726" s="227"/>
      <c r="OKA1726" s="227"/>
      <c r="OKB1726" s="227"/>
      <c r="OKC1726" s="227"/>
      <c r="OKD1726" s="227"/>
      <c r="OKE1726" s="227"/>
      <c r="OKF1726" s="227"/>
      <c r="OKG1726" s="227"/>
      <c r="OKH1726" s="227"/>
      <c r="OKI1726" s="227"/>
      <c r="OKJ1726" s="227"/>
      <c r="OKK1726" s="227"/>
      <c r="OKL1726" s="227"/>
      <c r="OKM1726" s="227"/>
      <c r="OKN1726" s="227"/>
      <c r="OKO1726" s="227"/>
      <c r="OKP1726" s="227"/>
      <c r="OKQ1726" s="227"/>
      <c r="OKR1726" s="227"/>
      <c r="OKS1726" s="227"/>
      <c r="OKT1726" s="227"/>
      <c r="OKU1726" s="227"/>
      <c r="OKV1726" s="227"/>
      <c r="OKW1726" s="227"/>
      <c r="OKX1726" s="227"/>
      <c r="OKY1726" s="227"/>
      <c r="OKZ1726" s="227"/>
      <c r="OLA1726" s="227"/>
      <c r="OLB1726" s="227"/>
      <c r="OLC1726" s="227"/>
      <c r="OLD1726" s="227"/>
      <c r="OLE1726" s="227"/>
      <c r="OLF1726" s="227"/>
      <c r="OLG1726" s="227"/>
      <c r="OLH1726" s="227"/>
      <c r="OLI1726" s="227"/>
      <c r="OLJ1726" s="227"/>
      <c r="OLK1726" s="227"/>
      <c r="OLL1726" s="227"/>
      <c r="OLM1726" s="227"/>
      <c r="OLN1726" s="227"/>
      <c r="OLO1726" s="227"/>
      <c r="OLP1726" s="227"/>
      <c r="OLQ1726" s="227"/>
      <c r="OLR1726" s="227"/>
      <c r="OLS1726" s="227"/>
      <c r="OLT1726" s="227"/>
      <c r="OLU1726" s="227"/>
      <c r="OLV1726" s="227"/>
      <c r="OLW1726" s="227"/>
      <c r="OLX1726" s="227"/>
      <c r="OLY1726" s="227"/>
      <c r="OLZ1726" s="227"/>
      <c r="OMA1726" s="227"/>
      <c r="OMB1726" s="227"/>
      <c r="OMC1726" s="227"/>
      <c r="OMD1726" s="227"/>
      <c r="OME1726" s="227"/>
      <c r="OMF1726" s="227"/>
      <c r="OMG1726" s="227"/>
      <c r="OMH1726" s="227"/>
      <c r="OMI1726" s="227"/>
      <c r="OMJ1726" s="227"/>
      <c r="OMK1726" s="227"/>
      <c r="OML1726" s="227"/>
      <c r="OMM1726" s="227"/>
      <c r="OMN1726" s="227"/>
      <c r="OMO1726" s="227"/>
      <c r="OMP1726" s="227"/>
      <c r="OMQ1726" s="227"/>
      <c r="OMR1726" s="227"/>
      <c r="OMS1726" s="227"/>
      <c r="OMT1726" s="227"/>
      <c r="OMU1726" s="227"/>
      <c r="OMV1726" s="227"/>
      <c r="OMW1726" s="227"/>
      <c r="OMX1726" s="227"/>
      <c r="OMY1726" s="227"/>
      <c r="OMZ1726" s="227"/>
      <c r="ONA1726" s="227"/>
      <c r="ONB1726" s="227"/>
      <c r="ONC1726" s="227"/>
      <c r="OND1726" s="227"/>
      <c r="ONE1726" s="227"/>
      <c r="ONF1726" s="227"/>
      <c r="ONG1726" s="227"/>
      <c r="ONH1726" s="227"/>
      <c r="ONI1726" s="227"/>
      <c r="ONJ1726" s="227"/>
      <c r="ONK1726" s="227"/>
      <c r="ONL1726" s="227"/>
      <c r="ONM1726" s="227"/>
      <c r="ONN1726" s="227"/>
      <c r="ONO1726" s="227"/>
      <c r="ONP1726" s="227"/>
      <c r="ONQ1726" s="227"/>
      <c r="ONR1726" s="227"/>
      <c r="ONS1726" s="227"/>
      <c r="ONT1726" s="227"/>
      <c r="ONU1726" s="227"/>
      <c r="ONV1726" s="227"/>
      <c r="ONW1726" s="227"/>
      <c r="ONX1726" s="227"/>
      <c r="ONY1726" s="227"/>
      <c r="ONZ1726" s="227"/>
      <c r="OOA1726" s="227"/>
      <c r="OOB1726" s="227"/>
      <c r="OOC1726" s="227"/>
      <c r="OOD1726" s="227"/>
      <c r="OOE1726" s="227"/>
      <c r="OOF1726" s="227"/>
      <c r="OOG1726" s="227"/>
      <c r="OOH1726" s="227"/>
      <c r="OOI1726" s="227"/>
      <c r="OOJ1726" s="227"/>
      <c r="OOK1726" s="227"/>
      <c r="OOL1726" s="227"/>
      <c r="OOM1726" s="227"/>
      <c r="OON1726" s="227"/>
      <c r="OOO1726" s="227"/>
      <c r="OOP1726" s="227"/>
      <c r="OOQ1726" s="227"/>
      <c r="OOR1726" s="227"/>
      <c r="OOS1726" s="227"/>
      <c r="OOT1726" s="227"/>
      <c r="OOU1726" s="227"/>
      <c r="OOV1726" s="227"/>
      <c r="OOW1726" s="227"/>
      <c r="OOX1726" s="227"/>
      <c r="OOY1726" s="227"/>
      <c r="OOZ1726" s="227"/>
      <c r="OPA1726" s="227"/>
      <c r="OPB1726" s="227"/>
      <c r="OPC1726" s="227"/>
      <c r="OPD1726" s="227"/>
      <c r="OPE1726" s="227"/>
      <c r="OPF1726" s="227"/>
      <c r="OPG1726" s="227"/>
      <c r="OPH1726" s="227"/>
      <c r="OPI1726" s="227"/>
      <c r="OPJ1726" s="227"/>
      <c r="OPK1726" s="227"/>
      <c r="OPL1726" s="227"/>
      <c r="OPM1726" s="227"/>
      <c r="OPN1726" s="227"/>
      <c r="OPO1726" s="227"/>
      <c r="OPP1726" s="227"/>
      <c r="OPQ1726" s="227"/>
      <c r="OPR1726" s="227"/>
      <c r="OPS1726" s="227"/>
      <c r="OPT1726" s="227"/>
      <c r="OPU1726" s="227"/>
      <c r="OPV1726" s="227"/>
      <c r="OPW1726" s="227"/>
      <c r="OPX1726" s="227"/>
      <c r="OPY1726" s="227"/>
      <c r="OPZ1726" s="227"/>
      <c r="OQA1726" s="227"/>
      <c r="OQB1726" s="227"/>
      <c r="OQC1726" s="227"/>
      <c r="OQD1726" s="227"/>
      <c r="OQE1726" s="227"/>
      <c r="OQF1726" s="227"/>
      <c r="OQG1726" s="227"/>
      <c r="OQH1726" s="227"/>
      <c r="OQI1726" s="227"/>
      <c r="OQJ1726" s="227"/>
      <c r="OQK1726" s="227"/>
      <c r="OQL1726" s="227"/>
      <c r="OQM1726" s="227"/>
      <c r="OQN1726" s="227"/>
      <c r="OQO1726" s="227"/>
      <c r="OQP1726" s="227"/>
      <c r="OQQ1726" s="227"/>
      <c r="OQR1726" s="227"/>
      <c r="OQS1726" s="227"/>
      <c r="OQT1726" s="227"/>
      <c r="OQU1726" s="227"/>
      <c r="OQV1726" s="227"/>
      <c r="OQW1726" s="227"/>
      <c r="OQX1726" s="227"/>
      <c r="OQY1726" s="227"/>
      <c r="OQZ1726" s="227"/>
      <c r="ORA1726" s="227"/>
      <c r="ORB1726" s="227"/>
      <c r="ORC1726" s="227"/>
      <c r="ORD1726" s="227"/>
      <c r="ORE1726" s="227"/>
      <c r="ORF1726" s="227"/>
      <c r="ORG1726" s="227"/>
      <c r="ORH1726" s="227"/>
      <c r="ORI1726" s="227"/>
      <c r="ORJ1726" s="227"/>
      <c r="ORK1726" s="227"/>
      <c r="ORL1726" s="227"/>
      <c r="ORM1726" s="227"/>
      <c r="ORN1726" s="227"/>
      <c r="ORO1726" s="227"/>
      <c r="ORP1726" s="227"/>
      <c r="ORQ1726" s="227"/>
      <c r="ORR1726" s="227"/>
      <c r="ORS1726" s="227"/>
      <c r="ORT1726" s="227"/>
      <c r="ORU1726" s="227"/>
      <c r="ORV1726" s="227"/>
      <c r="ORW1726" s="227"/>
      <c r="ORX1726" s="227"/>
      <c r="ORY1726" s="227"/>
      <c r="ORZ1726" s="227"/>
      <c r="OSA1726" s="227"/>
      <c r="OSB1726" s="227"/>
      <c r="OSC1726" s="227"/>
      <c r="OSD1726" s="227"/>
      <c r="OSE1726" s="227"/>
      <c r="OSF1726" s="227"/>
      <c r="OSG1726" s="227"/>
      <c r="OSH1726" s="227"/>
      <c r="OSI1726" s="227"/>
      <c r="OSJ1726" s="227"/>
      <c r="OSK1726" s="227"/>
      <c r="OSL1726" s="227"/>
      <c r="OSM1726" s="227"/>
      <c r="OSN1726" s="227"/>
      <c r="OSO1726" s="227"/>
      <c r="OSP1726" s="227"/>
      <c r="OSQ1726" s="227"/>
      <c r="OSR1726" s="227"/>
      <c r="OSS1726" s="227"/>
      <c r="OST1726" s="227"/>
      <c r="OSU1726" s="227"/>
      <c r="OSV1726" s="227"/>
      <c r="OSW1726" s="227"/>
      <c r="OSX1726" s="227"/>
      <c r="OSY1726" s="227"/>
      <c r="OSZ1726" s="227"/>
      <c r="OTA1726" s="227"/>
      <c r="OTB1726" s="227"/>
      <c r="OTC1726" s="227"/>
      <c r="OTD1726" s="227"/>
      <c r="OTE1726" s="227"/>
      <c r="OTF1726" s="227"/>
      <c r="OTG1726" s="227"/>
      <c r="OTH1726" s="227"/>
      <c r="OTI1726" s="227"/>
      <c r="OTJ1726" s="227"/>
      <c r="OTK1726" s="227"/>
      <c r="OTL1726" s="227"/>
      <c r="OTM1726" s="227"/>
      <c r="OTN1726" s="227"/>
      <c r="OTO1726" s="227"/>
      <c r="OTP1726" s="227"/>
      <c r="OTQ1726" s="227"/>
      <c r="OTR1726" s="227"/>
      <c r="OTS1726" s="227"/>
      <c r="OTT1726" s="227"/>
      <c r="OTU1726" s="227"/>
      <c r="OTV1726" s="227"/>
      <c r="OTW1726" s="227"/>
      <c r="OTX1726" s="227"/>
      <c r="OTY1726" s="227"/>
      <c r="OTZ1726" s="227"/>
      <c r="OUA1726" s="227"/>
      <c r="OUB1726" s="227"/>
      <c r="OUC1726" s="227"/>
      <c r="OUD1726" s="227"/>
      <c r="OUE1726" s="227"/>
      <c r="OUF1726" s="227"/>
      <c r="OUG1726" s="227"/>
      <c r="OUH1726" s="227"/>
      <c r="OUI1726" s="227"/>
      <c r="OUJ1726" s="227"/>
      <c r="OUK1726" s="227"/>
      <c r="OUL1726" s="227"/>
      <c r="OUM1726" s="227"/>
      <c r="OUN1726" s="227"/>
      <c r="OUO1726" s="227"/>
      <c r="OUP1726" s="227"/>
      <c r="OUQ1726" s="227"/>
      <c r="OUR1726" s="227"/>
      <c r="OUS1726" s="227"/>
      <c r="OUT1726" s="227"/>
      <c r="OUU1726" s="227"/>
      <c r="OUV1726" s="227"/>
      <c r="OUW1726" s="227"/>
      <c r="OUX1726" s="227"/>
      <c r="OUY1726" s="227"/>
      <c r="OUZ1726" s="227"/>
      <c r="OVA1726" s="227"/>
      <c r="OVB1726" s="227"/>
      <c r="OVC1726" s="227"/>
      <c r="OVD1726" s="227"/>
      <c r="OVE1726" s="227"/>
      <c r="OVF1726" s="227"/>
      <c r="OVG1726" s="227"/>
      <c r="OVH1726" s="227"/>
      <c r="OVI1726" s="227"/>
      <c r="OVJ1726" s="227"/>
      <c r="OVK1726" s="227"/>
      <c r="OVL1726" s="227"/>
      <c r="OVM1726" s="227"/>
      <c r="OVN1726" s="227"/>
      <c r="OVO1726" s="227"/>
      <c r="OVP1726" s="227"/>
      <c r="OVQ1726" s="227"/>
      <c r="OVR1726" s="227"/>
      <c r="OVS1726" s="227"/>
      <c r="OVT1726" s="227"/>
      <c r="OVU1726" s="227"/>
      <c r="OVV1726" s="227"/>
      <c r="OVW1726" s="227"/>
      <c r="OVX1726" s="227"/>
      <c r="OVY1726" s="227"/>
      <c r="OVZ1726" s="227"/>
      <c r="OWA1726" s="227"/>
      <c r="OWB1726" s="227"/>
      <c r="OWC1726" s="227"/>
      <c r="OWD1726" s="227"/>
      <c r="OWE1726" s="227"/>
      <c r="OWF1726" s="227"/>
      <c r="OWG1726" s="227"/>
      <c r="OWH1726" s="227"/>
      <c r="OWI1726" s="227"/>
      <c r="OWJ1726" s="227"/>
      <c r="OWK1726" s="227"/>
      <c r="OWL1726" s="227"/>
      <c r="OWM1726" s="227"/>
      <c r="OWN1726" s="227"/>
      <c r="OWO1726" s="227"/>
      <c r="OWP1726" s="227"/>
      <c r="OWQ1726" s="227"/>
      <c r="OWR1726" s="227"/>
      <c r="OWS1726" s="227"/>
      <c r="OWT1726" s="227"/>
      <c r="OWU1726" s="227"/>
      <c r="OWV1726" s="227"/>
      <c r="OWW1726" s="227"/>
      <c r="OWX1726" s="227"/>
      <c r="OWY1726" s="227"/>
      <c r="OWZ1726" s="227"/>
      <c r="OXA1726" s="227"/>
      <c r="OXB1726" s="227"/>
      <c r="OXC1726" s="227"/>
      <c r="OXD1726" s="227"/>
      <c r="OXE1726" s="227"/>
      <c r="OXF1726" s="227"/>
      <c r="OXG1726" s="227"/>
      <c r="OXH1726" s="227"/>
      <c r="OXI1726" s="227"/>
      <c r="OXJ1726" s="227"/>
      <c r="OXK1726" s="227"/>
      <c r="OXL1726" s="227"/>
      <c r="OXM1726" s="227"/>
      <c r="OXN1726" s="227"/>
      <c r="OXO1726" s="227"/>
      <c r="OXP1726" s="227"/>
      <c r="OXQ1726" s="227"/>
      <c r="OXR1726" s="227"/>
      <c r="OXS1726" s="227"/>
      <c r="OXT1726" s="227"/>
      <c r="OXU1726" s="227"/>
      <c r="OXV1726" s="227"/>
      <c r="OXW1726" s="227"/>
      <c r="OXX1726" s="227"/>
      <c r="OXY1726" s="227"/>
      <c r="OXZ1726" s="227"/>
      <c r="OYA1726" s="227"/>
      <c r="OYB1726" s="227"/>
      <c r="OYC1726" s="227"/>
      <c r="OYD1726" s="227"/>
      <c r="OYE1726" s="227"/>
      <c r="OYF1726" s="227"/>
      <c r="OYG1726" s="227"/>
      <c r="OYH1726" s="227"/>
      <c r="OYI1726" s="227"/>
      <c r="OYJ1726" s="227"/>
      <c r="OYK1726" s="227"/>
      <c r="OYL1726" s="227"/>
      <c r="OYM1726" s="227"/>
      <c r="OYN1726" s="227"/>
      <c r="OYO1726" s="227"/>
      <c r="OYP1726" s="227"/>
      <c r="OYQ1726" s="227"/>
      <c r="OYR1726" s="227"/>
      <c r="OYS1726" s="227"/>
      <c r="OYT1726" s="227"/>
      <c r="OYU1726" s="227"/>
      <c r="OYV1726" s="227"/>
      <c r="OYW1726" s="227"/>
      <c r="OYX1726" s="227"/>
      <c r="OYY1726" s="227"/>
      <c r="OYZ1726" s="227"/>
      <c r="OZA1726" s="227"/>
      <c r="OZB1726" s="227"/>
      <c r="OZC1726" s="227"/>
      <c r="OZD1726" s="227"/>
      <c r="OZE1726" s="227"/>
      <c r="OZF1726" s="227"/>
      <c r="OZG1726" s="227"/>
      <c r="OZH1726" s="227"/>
      <c r="OZI1726" s="227"/>
      <c r="OZJ1726" s="227"/>
      <c r="OZK1726" s="227"/>
      <c r="OZL1726" s="227"/>
      <c r="OZM1726" s="227"/>
      <c r="OZN1726" s="227"/>
      <c r="OZO1726" s="227"/>
      <c r="OZP1726" s="227"/>
      <c r="OZQ1726" s="227"/>
      <c r="OZR1726" s="227"/>
      <c r="OZS1726" s="227"/>
      <c r="OZT1726" s="227"/>
      <c r="OZU1726" s="227"/>
      <c r="OZV1726" s="227"/>
      <c r="OZW1726" s="227"/>
      <c r="OZX1726" s="227"/>
      <c r="OZY1726" s="227"/>
      <c r="OZZ1726" s="227"/>
      <c r="PAA1726" s="227"/>
      <c r="PAB1726" s="227"/>
      <c r="PAC1726" s="227"/>
      <c r="PAD1726" s="227"/>
      <c r="PAE1726" s="227"/>
      <c r="PAF1726" s="227"/>
      <c r="PAG1726" s="227"/>
      <c r="PAH1726" s="227"/>
      <c r="PAI1726" s="227"/>
      <c r="PAJ1726" s="227"/>
      <c r="PAK1726" s="227"/>
      <c r="PAL1726" s="227"/>
      <c r="PAM1726" s="227"/>
      <c r="PAN1726" s="227"/>
      <c r="PAO1726" s="227"/>
      <c r="PAP1726" s="227"/>
      <c r="PAQ1726" s="227"/>
      <c r="PAR1726" s="227"/>
      <c r="PAS1726" s="227"/>
      <c r="PAT1726" s="227"/>
      <c r="PAU1726" s="227"/>
      <c r="PAV1726" s="227"/>
      <c r="PAW1726" s="227"/>
      <c r="PAX1726" s="227"/>
      <c r="PAY1726" s="227"/>
      <c r="PAZ1726" s="227"/>
      <c r="PBA1726" s="227"/>
      <c r="PBB1726" s="227"/>
      <c r="PBC1726" s="227"/>
      <c r="PBD1726" s="227"/>
      <c r="PBE1726" s="227"/>
      <c r="PBF1726" s="227"/>
      <c r="PBG1726" s="227"/>
      <c r="PBH1726" s="227"/>
      <c r="PBI1726" s="227"/>
      <c r="PBJ1726" s="227"/>
      <c r="PBK1726" s="227"/>
      <c r="PBL1726" s="227"/>
      <c r="PBM1726" s="227"/>
      <c r="PBN1726" s="227"/>
      <c r="PBO1726" s="227"/>
      <c r="PBP1726" s="227"/>
      <c r="PBQ1726" s="227"/>
      <c r="PBR1726" s="227"/>
      <c r="PBS1726" s="227"/>
      <c r="PBT1726" s="227"/>
      <c r="PBU1726" s="227"/>
      <c r="PBV1726" s="227"/>
      <c r="PBW1726" s="227"/>
      <c r="PBX1726" s="227"/>
      <c r="PBY1726" s="227"/>
      <c r="PBZ1726" s="227"/>
      <c r="PCA1726" s="227"/>
      <c r="PCB1726" s="227"/>
      <c r="PCC1726" s="227"/>
      <c r="PCD1726" s="227"/>
      <c r="PCE1726" s="227"/>
      <c r="PCF1726" s="227"/>
      <c r="PCG1726" s="227"/>
      <c r="PCH1726" s="227"/>
      <c r="PCI1726" s="227"/>
      <c r="PCJ1726" s="227"/>
      <c r="PCK1726" s="227"/>
      <c r="PCL1726" s="227"/>
      <c r="PCM1726" s="227"/>
      <c r="PCN1726" s="227"/>
      <c r="PCO1726" s="227"/>
      <c r="PCP1726" s="227"/>
      <c r="PCQ1726" s="227"/>
      <c r="PCR1726" s="227"/>
      <c r="PCS1726" s="227"/>
      <c r="PCT1726" s="227"/>
      <c r="PCU1726" s="227"/>
      <c r="PCV1726" s="227"/>
      <c r="PCW1726" s="227"/>
      <c r="PCX1726" s="227"/>
      <c r="PCY1726" s="227"/>
      <c r="PCZ1726" s="227"/>
      <c r="PDA1726" s="227"/>
      <c r="PDB1726" s="227"/>
      <c r="PDC1726" s="227"/>
      <c r="PDD1726" s="227"/>
      <c r="PDE1726" s="227"/>
      <c r="PDF1726" s="227"/>
      <c r="PDG1726" s="227"/>
      <c r="PDH1726" s="227"/>
      <c r="PDI1726" s="227"/>
      <c r="PDJ1726" s="227"/>
      <c r="PDK1726" s="227"/>
      <c r="PDL1726" s="227"/>
      <c r="PDM1726" s="227"/>
      <c r="PDN1726" s="227"/>
      <c r="PDO1726" s="227"/>
      <c r="PDP1726" s="227"/>
      <c r="PDQ1726" s="227"/>
      <c r="PDR1726" s="227"/>
      <c r="PDS1726" s="227"/>
      <c r="PDT1726" s="227"/>
      <c r="PDU1726" s="227"/>
      <c r="PDV1726" s="227"/>
      <c r="PDW1726" s="227"/>
      <c r="PDX1726" s="227"/>
      <c r="PDY1726" s="227"/>
      <c r="PDZ1726" s="227"/>
      <c r="PEA1726" s="227"/>
      <c r="PEB1726" s="227"/>
      <c r="PEC1726" s="227"/>
      <c r="PED1726" s="227"/>
      <c r="PEE1726" s="227"/>
      <c r="PEF1726" s="227"/>
      <c r="PEG1726" s="227"/>
      <c r="PEH1726" s="227"/>
      <c r="PEI1726" s="227"/>
      <c r="PEJ1726" s="227"/>
      <c r="PEK1726" s="227"/>
      <c r="PEL1726" s="227"/>
      <c r="PEM1726" s="227"/>
      <c r="PEN1726" s="227"/>
      <c r="PEO1726" s="227"/>
      <c r="PEP1726" s="227"/>
      <c r="PEQ1726" s="227"/>
      <c r="PER1726" s="227"/>
      <c r="PES1726" s="227"/>
      <c r="PET1726" s="227"/>
      <c r="PEU1726" s="227"/>
      <c r="PEV1726" s="227"/>
      <c r="PEW1726" s="227"/>
      <c r="PEX1726" s="227"/>
      <c r="PEY1726" s="227"/>
      <c r="PEZ1726" s="227"/>
      <c r="PFA1726" s="227"/>
      <c r="PFB1726" s="227"/>
      <c r="PFC1726" s="227"/>
      <c r="PFD1726" s="227"/>
      <c r="PFE1726" s="227"/>
      <c r="PFF1726" s="227"/>
      <c r="PFG1726" s="227"/>
      <c r="PFH1726" s="227"/>
      <c r="PFI1726" s="227"/>
      <c r="PFJ1726" s="227"/>
      <c r="PFK1726" s="227"/>
      <c r="PFL1726" s="227"/>
      <c r="PFM1726" s="227"/>
      <c r="PFN1726" s="227"/>
      <c r="PFO1726" s="227"/>
      <c r="PFP1726" s="227"/>
      <c r="PFQ1726" s="227"/>
      <c r="PFR1726" s="227"/>
      <c r="PFS1726" s="227"/>
      <c r="PFT1726" s="227"/>
      <c r="PFU1726" s="227"/>
      <c r="PFV1726" s="227"/>
      <c r="PFW1726" s="227"/>
      <c r="PFX1726" s="227"/>
      <c r="PFY1726" s="227"/>
      <c r="PFZ1726" s="227"/>
      <c r="PGA1726" s="227"/>
      <c r="PGB1726" s="227"/>
      <c r="PGC1726" s="227"/>
      <c r="PGD1726" s="227"/>
      <c r="PGE1726" s="227"/>
      <c r="PGF1726" s="227"/>
      <c r="PGG1726" s="227"/>
      <c r="PGH1726" s="227"/>
      <c r="PGI1726" s="227"/>
      <c r="PGJ1726" s="227"/>
      <c r="PGK1726" s="227"/>
      <c r="PGL1726" s="227"/>
      <c r="PGM1726" s="227"/>
      <c r="PGN1726" s="227"/>
      <c r="PGO1726" s="227"/>
      <c r="PGP1726" s="227"/>
      <c r="PGQ1726" s="227"/>
      <c r="PGR1726" s="227"/>
      <c r="PGS1726" s="227"/>
      <c r="PGT1726" s="227"/>
      <c r="PGU1726" s="227"/>
      <c r="PGV1726" s="227"/>
      <c r="PGW1726" s="227"/>
      <c r="PGX1726" s="227"/>
      <c r="PGY1726" s="227"/>
      <c r="PGZ1726" s="227"/>
      <c r="PHA1726" s="227"/>
      <c r="PHB1726" s="227"/>
      <c r="PHC1726" s="227"/>
      <c r="PHD1726" s="227"/>
      <c r="PHE1726" s="227"/>
      <c r="PHF1726" s="227"/>
      <c r="PHG1726" s="227"/>
      <c r="PHH1726" s="227"/>
      <c r="PHI1726" s="227"/>
      <c r="PHJ1726" s="227"/>
      <c r="PHK1726" s="227"/>
      <c r="PHL1726" s="227"/>
      <c r="PHM1726" s="227"/>
      <c r="PHN1726" s="227"/>
      <c r="PHO1726" s="227"/>
      <c r="PHP1726" s="227"/>
      <c r="PHQ1726" s="227"/>
      <c r="PHR1726" s="227"/>
      <c r="PHS1726" s="227"/>
      <c r="PHT1726" s="227"/>
      <c r="PHU1726" s="227"/>
      <c r="PHV1726" s="227"/>
      <c r="PHW1726" s="227"/>
      <c r="PHX1726" s="227"/>
      <c r="PHY1726" s="227"/>
      <c r="PHZ1726" s="227"/>
      <c r="PIA1726" s="227"/>
      <c r="PIB1726" s="227"/>
      <c r="PIC1726" s="227"/>
      <c r="PID1726" s="227"/>
      <c r="PIE1726" s="227"/>
      <c r="PIF1726" s="227"/>
      <c r="PIG1726" s="227"/>
      <c r="PIH1726" s="227"/>
      <c r="PII1726" s="227"/>
      <c r="PIJ1726" s="227"/>
      <c r="PIK1726" s="227"/>
      <c r="PIL1726" s="227"/>
      <c r="PIM1726" s="227"/>
      <c r="PIN1726" s="227"/>
      <c r="PIO1726" s="227"/>
      <c r="PIP1726" s="227"/>
      <c r="PIQ1726" s="227"/>
      <c r="PIR1726" s="227"/>
      <c r="PIS1726" s="227"/>
      <c r="PIT1726" s="227"/>
      <c r="PIU1726" s="227"/>
      <c r="PIV1726" s="227"/>
      <c r="PIW1726" s="227"/>
      <c r="PIX1726" s="227"/>
      <c r="PIY1726" s="227"/>
      <c r="PIZ1726" s="227"/>
      <c r="PJA1726" s="227"/>
      <c r="PJB1726" s="227"/>
      <c r="PJC1726" s="227"/>
      <c r="PJD1726" s="227"/>
      <c r="PJE1726" s="227"/>
      <c r="PJF1726" s="227"/>
      <c r="PJG1726" s="227"/>
      <c r="PJH1726" s="227"/>
      <c r="PJI1726" s="227"/>
      <c r="PJJ1726" s="227"/>
      <c r="PJK1726" s="227"/>
      <c r="PJL1726" s="227"/>
      <c r="PJM1726" s="227"/>
      <c r="PJN1726" s="227"/>
      <c r="PJO1726" s="227"/>
      <c r="PJP1726" s="227"/>
      <c r="PJQ1726" s="227"/>
      <c r="PJR1726" s="227"/>
      <c r="PJS1726" s="227"/>
      <c r="PJT1726" s="227"/>
      <c r="PJU1726" s="227"/>
      <c r="PJV1726" s="227"/>
      <c r="PJW1726" s="227"/>
      <c r="PJX1726" s="227"/>
      <c r="PJY1726" s="227"/>
      <c r="PJZ1726" s="227"/>
      <c r="PKA1726" s="227"/>
      <c r="PKB1726" s="227"/>
      <c r="PKC1726" s="227"/>
      <c r="PKD1726" s="227"/>
      <c r="PKE1726" s="227"/>
      <c r="PKF1726" s="227"/>
      <c r="PKG1726" s="227"/>
      <c r="PKH1726" s="227"/>
      <c r="PKI1726" s="227"/>
      <c r="PKJ1726" s="227"/>
      <c r="PKK1726" s="227"/>
      <c r="PKL1726" s="227"/>
      <c r="PKM1726" s="227"/>
      <c r="PKN1726" s="227"/>
      <c r="PKO1726" s="227"/>
      <c r="PKP1726" s="227"/>
      <c r="PKQ1726" s="227"/>
      <c r="PKR1726" s="227"/>
      <c r="PKS1726" s="227"/>
      <c r="PKT1726" s="227"/>
      <c r="PKU1726" s="227"/>
      <c r="PKV1726" s="227"/>
      <c r="PKW1726" s="227"/>
      <c r="PKX1726" s="227"/>
      <c r="PKY1726" s="227"/>
      <c r="PKZ1726" s="227"/>
      <c r="PLA1726" s="227"/>
      <c r="PLB1726" s="227"/>
      <c r="PLC1726" s="227"/>
      <c r="PLD1726" s="227"/>
      <c r="PLE1726" s="227"/>
      <c r="PLF1726" s="227"/>
      <c r="PLG1726" s="227"/>
      <c r="PLH1726" s="227"/>
      <c r="PLI1726" s="227"/>
      <c r="PLJ1726" s="227"/>
      <c r="PLK1726" s="227"/>
      <c r="PLL1726" s="227"/>
      <c r="PLM1726" s="227"/>
      <c r="PLN1726" s="227"/>
      <c r="PLO1726" s="227"/>
      <c r="PLP1726" s="227"/>
      <c r="PLQ1726" s="227"/>
      <c r="PLR1726" s="227"/>
      <c r="PLS1726" s="227"/>
      <c r="PLT1726" s="227"/>
      <c r="PLU1726" s="227"/>
      <c r="PLV1726" s="227"/>
      <c r="PLW1726" s="227"/>
      <c r="PLX1726" s="227"/>
      <c r="PLY1726" s="227"/>
      <c r="PLZ1726" s="227"/>
      <c r="PMA1726" s="227"/>
      <c r="PMB1726" s="227"/>
      <c r="PMC1726" s="227"/>
      <c r="PMD1726" s="227"/>
      <c r="PME1726" s="227"/>
      <c r="PMF1726" s="227"/>
      <c r="PMG1726" s="227"/>
      <c r="PMH1726" s="227"/>
      <c r="PMI1726" s="227"/>
      <c r="PMJ1726" s="227"/>
      <c r="PMK1726" s="227"/>
      <c r="PML1726" s="227"/>
      <c r="PMM1726" s="227"/>
      <c r="PMN1726" s="227"/>
      <c r="PMO1726" s="227"/>
      <c r="PMP1726" s="227"/>
      <c r="PMQ1726" s="227"/>
      <c r="PMR1726" s="227"/>
      <c r="PMS1726" s="227"/>
      <c r="PMT1726" s="227"/>
      <c r="PMU1726" s="227"/>
      <c r="PMV1726" s="227"/>
      <c r="PMW1726" s="227"/>
      <c r="PMX1726" s="227"/>
      <c r="PMY1726" s="227"/>
      <c r="PMZ1726" s="227"/>
      <c r="PNA1726" s="227"/>
      <c r="PNB1726" s="227"/>
      <c r="PNC1726" s="227"/>
      <c r="PND1726" s="227"/>
      <c r="PNE1726" s="227"/>
      <c r="PNF1726" s="227"/>
      <c r="PNG1726" s="227"/>
      <c r="PNH1726" s="227"/>
      <c r="PNI1726" s="227"/>
      <c r="PNJ1726" s="227"/>
      <c r="PNK1726" s="227"/>
      <c r="PNL1726" s="227"/>
      <c r="PNM1726" s="227"/>
      <c r="PNN1726" s="227"/>
      <c r="PNO1726" s="227"/>
      <c r="PNP1726" s="227"/>
      <c r="PNQ1726" s="227"/>
      <c r="PNR1726" s="227"/>
      <c r="PNS1726" s="227"/>
      <c r="PNT1726" s="227"/>
      <c r="PNU1726" s="227"/>
      <c r="PNV1726" s="227"/>
      <c r="PNW1726" s="227"/>
      <c r="PNX1726" s="227"/>
      <c r="PNY1726" s="227"/>
      <c r="PNZ1726" s="227"/>
      <c r="POA1726" s="227"/>
      <c r="POB1726" s="227"/>
      <c r="POC1726" s="227"/>
      <c r="POD1726" s="227"/>
      <c r="POE1726" s="227"/>
      <c r="POF1726" s="227"/>
      <c r="POG1726" s="227"/>
      <c r="POH1726" s="227"/>
      <c r="POI1726" s="227"/>
      <c r="POJ1726" s="227"/>
      <c r="POK1726" s="227"/>
      <c r="POL1726" s="227"/>
      <c r="POM1726" s="227"/>
      <c r="PON1726" s="227"/>
      <c r="POO1726" s="227"/>
      <c r="POP1726" s="227"/>
      <c r="POQ1726" s="227"/>
      <c r="POR1726" s="227"/>
      <c r="POS1726" s="227"/>
      <c r="POT1726" s="227"/>
      <c r="POU1726" s="227"/>
      <c r="POV1726" s="227"/>
      <c r="POW1726" s="227"/>
      <c r="POX1726" s="227"/>
      <c r="POY1726" s="227"/>
      <c r="POZ1726" s="227"/>
      <c r="PPA1726" s="227"/>
      <c r="PPB1726" s="227"/>
      <c r="PPC1726" s="227"/>
      <c r="PPD1726" s="227"/>
      <c r="PPE1726" s="227"/>
      <c r="PPF1726" s="227"/>
      <c r="PPG1726" s="227"/>
      <c r="PPH1726" s="227"/>
      <c r="PPI1726" s="227"/>
      <c r="PPJ1726" s="227"/>
      <c r="PPK1726" s="227"/>
      <c r="PPL1726" s="227"/>
      <c r="PPM1726" s="227"/>
      <c r="PPN1726" s="227"/>
      <c r="PPO1726" s="227"/>
      <c r="PPP1726" s="227"/>
      <c r="PPQ1726" s="227"/>
      <c r="PPR1726" s="227"/>
      <c r="PPS1726" s="227"/>
      <c r="PPT1726" s="227"/>
      <c r="PPU1726" s="227"/>
      <c r="PPV1726" s="227"/>
      <c r="PPW1726" s="227"/>
      <c r="PPX1726" s="227"/>
      <c r="PPY1726" s="227"/>
      <c r="PPZ1726" s="227"/>
      <c r="PQA1726" s="227"/>
      <c r="PQB1726" s="227"/>
      <c r="PQC1726" s="227"/>
      <c r="PQD1726" s="227"/>
      <c r="PQE1726" s="227"/>
      <c r="PQF1726" s="227"/>
      <c r="PQG1726" s="227"/>
      <c r="PQH1726" s="227"/>
      <c r="PQI1726" s="227"/>
      <c r="PQJ1726" s="227"/>
      <c r="PQK1726" s="227"/>
      <c r="PQL1726" s="227"/>
      <c r="PQM1726" s="227"/>
      <c r="PQN1726" s="227"/>
      <c r="PQO1726" s="227"/>
      <c r="PQP1726" s="227"/>
      <c r="PQQ1726" s="227"/>
      <c r="PQR1726" s="227"/>
      <c r="PQS1726" s="227"/>
      <c r="PQT1726" s="227"/>
      <c r="PQU1726" s="227"/>
      <c r="PQV1726" s="227"/>
      <c r="PQW1726" s="227"/>
      <c r="PQX1726" s="227"/>
      <c r="PQY1726" s="227"/>
      <c r="PQZ1726" s="227"/>
      <c r="PRA1726" s="227"/>
      <c r="PRB1726" s="227"/>
      <c r="PRC1726" s="227"/>
      <c r="PRD1726" s="227"/>
      <c r="PRE1726" s="227"/>
      <c r="PRF1726" s="227"/>
      <c r="PRG1726" s="227"/>
      <c r="PRH1726" s="227"/>
      <c r="PRI1726" s="227"/>
      <c r="PRJ1726" s="227"/>
      <c r="PRK1726" s="227"/>
      <c r="PRL1726" s="227"/>
      <c r="PRM1726" s="227"/>
      <c r="PRN1726" s="227"/>
      <c r="PRO1726" s="227"/>
      <c r="PRP1726" s="227"/>
      <c r="PRQ1726" s="227"/>
      <c r="PRR1726" s="227"/>
      <c r="PRS1726" s="227"/>
      <c r="PRT1726" s="227"/>
      <c r="PRU1726" s="227"/>
      <c r="PRV1726" s="227"/>
      <c r="PRW1726" s="227"/>
      <c r="PRX1726" s="227"/>
      <c r="PRY1726" s="227"/>
      <c r="PRZ1726" s="227"/>
      <c r="PSA1726" s="227"/>
      <c r="PSB1726" s="227"/>
      <c r="PSC1726" s="227"/>
      <c r="PSD1726" s="227"/>
      <c r="PSE1726" s="227"/>
      <c r="PSF1726" s="227"/>
      <c r="PSG1726" s="227"/>
      <c r="PSH1726" s="227"/>
      <c r="PSI1726" s="227"/>
      <c r="PSJ1726" s="227"/>
      <c r="PSK1726" s="227"/>
      <c r="PSL1726" s="227"/>
      <c r="PSM1726" s="227"/>
      <c r="PSN1726" s="227"/>
      <c r="PSO1726" s="227"/>
      <c r="PSP1726" s="227"/>
      <c r="PSQ1726" s="227"/>
      <c r="PSR1726" s="227"/>
      <c r="PSS1726" s="227"/>
      <c r="PST1726" s="227"/>
      <c r="PSU1726" s="227"/>
      <c r="PSV1726" s="227"/>
      <c r="PSW1726" s="227"/>
      <c r="PSX1726" s="227"/>
      <c r="PSY1726" s="227"/>
      <c r="PSZ1726" s="227"/>
      <c r="PTA1726" s="227"/>
      <c r="PTB1726" s="227"/>
      <c r="PTC1726" s="227"/>
      <c r="PTD1726" s="227"/>
      <c r="PTE1726" s="227"/>
      <c r="PTF1726" s="227"/>
      <c r="PTG1726" s="227"/>
      <c r="PTH1726" s="227"/>
      <c r="PTI1726" s="227"/>
      <c r="PTJ1726" s="227"/>
      <c r="PTK1726" s="227"/>
      <c r="PTL1726" s="227"/>
      <c r="PTM1726" s="227"/>
      <c r="PTN1726" s="227"/>
      <c r="PTO1726" s="227"/>
      <c r="PTP1726" s="227"/>
      <c r="PTQ1726" s="227"/>
      <c r="PTR1726" s="227"/>
      <c r="PTS1726" s="227"/>
      <c r="PTT1726" s="227"/>
      <c r="PTU1726" s="227"/>
      <c r="PTV1726" s="227"/>
      <c r="PTW1726" s="227"/>
      <c r="PTX1726" s="227"/>
      <c r="PTY1726" s="227"/>
      <c r="PTZ1726" s="227"/>
      <c r="PUA1726" s="227"/>
      <c r="PUB1726" s="227"/>
      <c r="PUC1726" s="227"/>
      <c r="PUD1726" s="227"/>
      <c r="PUE1726" s="227"/>
      <c r="PUF1726" s="227"/>
      <c r="PUG1726" s="227"/>
      <c r="PUH1726" s="227"/>
      <c r="PUI1726" s="227"/>
      <c r="PUJ1726" s="227"/>
      <c r="PUK1726" s="227"/>
      <c r="PUL1726" s="227"/>
      <c r="PUM1726" s="227"/>
      <c r="PUN1726" s="227"/>
      <c r="PUO1726" s="227"/>
      <c r="PUP1726" s="227"/>
      <c r="PUQ1726" s="227"/>
      <c r="PUR1726" s="227"/>
      <c r="PUS1726" s="227"/>
      <c r="PUT1726" s="227"/>
      <c r="PUU1726" s="227"/>
      <c r="PUV1726" s="227"/>
      <c r="PUW1726" s="227"/>
      <c r="PUX1726" s="227"/>
      <c r="PUY1726" s="227"/>
      <c r="PUZ1726" s="227"/>
      <c r="PVA1726" s="227"/>
      <c r="PVB1726" s="227"/>
      <c r="PVC1726" s="227"/>
      <c r="PVD1726" s="227"/>
      <c r="PVE1726" s="227"/>
      <c r="PVF1726" s="227"/>
      <c r="PVG1726" s="227"/>
      <c r="PVH1726" s="227"/>
      <c r="PVI1726" s="227"/>
      <c r="PVJ1726" s="227"/>
      <c r="PVK1726" s="227"/>
      <c r="PVL1726" s="227"/>
      <c r="PVM1726" s="227"/>
      <c r="PVN1726" s="227"/>
      <c r="PVO1726" s="227"/>
      <c r="PVP1726" s="227"/>
      <c r="PVQ1726" s="227"/>
      <c r="PVR1726" s="227"/>
      <c r="PVS1726" s="227"/>
      <c r="PVT1726" s="227"/>
      <c r="PVU1726" s="227"/>
      <c r="PVV1726" s="227"/>
      <c r="PVW1726" s="227"/>
      <c r="PVX1726" s="227"/>
      <c r="PVY1726" s="227"/>
      <c r="PVZ1726" s="227"/>
      <c r="PWA1726" s="227"/>
      <c r="PWB1726" s="227"/>
      <c r="PWC1726" s="227"/>
      <c r="PWD1726" s="227"/>
      <c r="PWE1726" s="227"/>
      <c r="PWF1726" s="227"/>
      <c r="PWG1726" s="227"/>
      <c r="PWH1726" s="227"/>
      <c r="PWI1726" s="227"/>
      <c r="PWJ1726" s="227"/>
      <c r="PWK1726" s="227"/>
      <c r="PWL1726" s="227"/>
      <c r="PWM1726" s="227"/>
      <c r="PWN1726" s="227"/>
      <c r="PWO1726" s="227"/>
      <c r="PWP1726" s="227"/>
      <c r="PWQ1726" s="227"/>
      <c r="PWR1726" s="227"/>
      <c r="PWS1726" s="227"/>
      <c r="PWT1726" s="227"/>
      <c r="PWU1726" s="227"/>
      <c r="PWV1726" s="227"/>
      <c r="PWW1726" s="227"/>
      <c r="PWX1726" s="227"/>
      <c r="PWY1726" s="227"/>
      <c r="PWZ1726" s="227"/>
      <c r="PXA1726" s="227"/>
      <c r="PXB1726" s="227"/>
      <c r="PXC1726" s="227"/>
      <c r="PXD1726" s="227"/>
      <c r="PXE1726" s="227"/>
      <c r="PXF1726" s="227"/>
      <c r="PXG1726" s="227"/>
      <c r="PXH1726" s="227"/>
      <c r="PXI1726" s="227"/>
      <c r="PXJ1726" s="227"/>
      <c r="PXK1726" s="227"/>
      <c r="PXL1726" s="227"/>
      <c r="PXM1726" s="227"/>
      <c r="PXN1726" s="227"/>
      <c r="PXO1726" s="227"/>
      <c r="PXP1726" s="227"/>
      <c r="PXQ1726" s="227"/>
      <c r="PXR1726" s="227"/>
      <c r="PXS1726" s="227"/>
      <c r="PXT1726" s="227"/>
      <c r="PXU1726" s="227"/>
      <c r="PXV1726" s="227"/>
      <c r="PXW1726" s="227"/>
      <c r="PXX1726" s="227"/>
      <c r="PXY1726" s="227"/>
      <c r="PXZ1726" s="227"/>
      <c r="PYA1726" s="227"/>
      <c r="PYB1726" s="227"/>
      <c r="PYC1726" s="227"/>
      <c r="PYD1726" s="227"/>
      <c r="PYE1726" s="227"/>
      <c r="PYF1726" s="227"/>
      <c r="PYG1726" s="227"/>
      <c r="PYH1726" s="227"/>
      <c r="PYI1726" s="227"/>
      <c r="PYJ1726" s="227"/>
      <c r="PYK1726" s="227"/>
      <c r="PYL1726" s="227"/>
      <c r="PYM1726" s="227"/>
      <c r="PYN1726" s="227"/>
      <c r="PYO1726" s="227"/>
      <c r="PYP1726" s="227"/>
      <c r="PYQ1726" s="227"/>
      <c r="PYR1726" s="227"/>
      <c r="PYS1726" s="227"/>
      <c r="PYT1726" s="227"/>
      <c r="PYU1726" s="227"/>
      <c r="PYV1726" s="227"/>
      <c r="PYW1726" s="227"/>
      <c r="PYX1726" s="227"/>
      <c r="PYY1726" s="227"/>
      <c r="PYZ1726" s="227"/>
      <c r="PZA1726" s="227"/>
      <c r="PZB1726" s="227"/>
      <c r="PZC1726" s="227"/>
      <c r="PZD1726" s="227"/>
      <c r="PZE1726" s="227"/>
      <c r="PZF1726" s="227"/>
      <c r="PZG1726" s="227"/>
      <c r="PZH1726" s="227"/>
      <c r="PZI1726" s="227"/>
      <c r="PZJ1726" s="227"/>
      <c r="PZK1726" s="227"/>
      <c r="PZL1726" s="227"/>
      <c r="PZM1726" s="227"/>
      <c r="PZN1726" s="227"/>
      <c r="PZO1726" s="227"/>
      <c r="PZP1726" s="227"/>
      <c r="PZQ1726" s="227"/>
      <c r="PZR1726" s="227"/>
      <c r="PZS1726" s="227"/>
      <c r="PZT1726" s="227"/>
      <c r="PZU1726" s="227"/>
      <c r="PZV1726" s="227"/>
      <c r="PZW1726" s="227"/>
      <c r="PZX1726" s="227"/>
      <c r="PZY1726" s="227"/>
      <c r="PZZ1726" s="227"/>
      <c r="QAA1726" s="227"/>
      <c r="QAB1726" s="227"/>
      <c r="QAC1726" s="227"/>
      <c r="QAD1726" s="227"/>
      <c r="QAE1726" s="227"/>
      <c r="QAF1726" s="227"/>
      <c r="QAG1726" s="227"/>
      <c r="QAH1726" s="227"/>
      <c r="QAI1726" s="227"/>
      <c r="QAJ1726" s="227"/>
      <c r="QAK1726" s="227"/>
      <c r="QAL1726" s="227"/>
      <c r="QAM1726" s="227"/>
      <c r="QAN1726" s="227"/>
      <c r="QAO1726" s="227"/>
      <c r="QAP1726" s="227"/>
      <c r="QAQ1726" s="227"/>
      <c r="QAR1726" s="227"/>
      <c r="QAS1726" s="227"/>
      <c r="QAT1726" s="227"/>
      <c r="QAU1726" s="227"/>
      <c r="QAV1726" s="227"/>
      <c r="QAW1726" s="227"/>
      <c r="QAX1726" s="227"/>
      <c r="QAY1726" s="227"/>
      <c r="QAZ1726" s="227"/>
      <c r="QBA1726" s="227"/>
      <c r="QBB1726" s="227"/>
      <c r="QBC1726" s="227"/>
      <c r="QBD1726" s="227"/>
      <c r="QBE1726" s="227"/>
      <c r="QBF1726" s="227"/>
      <c r="QBG1726" s="227"/>
      <c r="QBH1726" s="227"/>
      <c r="QBI1726" s="227"/>
      <c r="QBJ1726" s="227"/>
      <c r="QBK1726" s="227"/>
      <c r="QBL1726" s="227"/>
      <c r="QBM1726" s="227"/>
      <c r="QBN1726" s="227"/>
      <c r="QBO1726" s="227"/>
      <c r="QBP1726" s="227"/>
      <c r="QBQ1726" s="227"/>
      <c r="QBR1726" s="227"/>
      <c r="QBS1726" s="227"/>
      <c r="QBT1726" s="227"/>
      <c r="QBU1726" s="227"/>
      <c r="QBV1726" s="227"/>
      <c r="QBW1726" s="227"/>
      <c r="QBX1726" s="227"/>
      <c r="QBY1726" s="227"/>
      <c r="QBZ1726" s="227"/>
      <c r="QCA1726" s="227"/>
      <c r="QCB1726" s="227"/>
      <c r="QCC1726" s="227"/>
      <c r="QCD1726" s="227"/>
      <c r="QCE1726" s="227"/>
      <c r="QCF1726" s="227"/>
      <c r="QCG1726" s="227"/>
      <c r="QCH1726" s="227"/>
      <c r="QCI1726" s="227"/>
      <c r="QCJ1726" s="227"/>
      <c r="QCK1726" s="227"/>
      <c r="QCL1726" s="227"/>
      <c r="QCM1726" s="227"/>
      <c r="QCN1726" s="227"/>
      <c r="QCO1726" s="227"/>
      <c r="QCP1726" s="227"/>
      <c r="QCQ1726" s="227"/>
      <c r="QCR1726" s="227"/>
      <c r="QCS1726" s="227"/>
      <c r="QCT1726" s="227"/>
      <c r="QCU1726" s="227"/>
      <c r="QCV1726" s="227"/>
      <c r="QCW1726" s="227"/>
      <c r="QCX1726" s="227"/>
      <c r="QCY1726" s="227"/>
      <c r="QCZ1726" s="227"/>
      <c r="QDA1726" s="227"/>
      <c r="QDB1726" s="227"/>
      <c r="QDC1726" s="227"/>
      <c r="QDD1726" s="227"/>
      <c r="QDE1726" s="227"/>
      <c r="QDF1726" s="227"/>
      <c r="QDG1726" s="227"/>
      <c r="QDH1726" s="227"/>
      <c r="QDI1726" s="227"/>
      <c r="QDJ1726" s="227"/>
      <c r="QDK1726" s="227"/>
      <c r="QDL1726" s="227"/>
      <c r="QDM1726" s="227"/>
      <c r="QDN1726" s="227"/>
      <c r="QDO1726" s="227"/>
      <c r="QDP1726" s="227"/>
      <c r="QDQ1726" s="227"/>
      <c r="QDR1726" s="227"/>
      <c r="QDS1726" s="227"/>
      <c r="QDT1726" s="227"/>
      <c r="QDU1726" s="227"/>
      <c r="QDV1726" s="227"/>
      <c r="QDW1726" s="227"/>
      <c r="QDX1726" s="227"/>
      <c r="QDY1726" s="227"/>
      <c r="QDZ1726" s="227"/>
      <c r="QEA1726" s="227"/>
      <c r="QEB1726" s="227"/>
      <c r="QEC1726" s="227"/>
      <c r="QED1726" s="227"/>
      <c r="QEE1726" s="227"/>
      <c r="QEF1726" s="227"/>
      <c r="QEG1726" s="227"/>
      <c r="QEH1726" s="227"/>
      <c r="QEI1726" s="227"/>
      <c r="QEJ1726" s="227"/>
      <c r="QEK1726" s="227"/>
      <c r="QEL1726" s="227"/>
      <c r="QEM1726" s="227"/>
      <c r="QEN1726" s="227"/>
      <c r="QEO1726" s="227"/>
      <c r="QEP1726" s="227"/>
      <c r="QEQ1726" s="227"/>
      <c r="QER1726" s="227"/>
      <c r="QES1726" s="227"/>
      <c r="QET1726" s="227"/>
      <c r="QEU1726" s="227"/>
      <c r="QEV1726" s="227"/>
      <c r="QEW1726" s="227"/>
      <c r="QEX1726" s="227"/>
      <c r="QEY1726" s="227"/>
      <c r="QEZ1726" s="227"/>
      <c r="QFA1726" s="227"/>
      <c r="QFB1726" s="227"/>
      <c r="QFC1726" s="227"/>
      <c r="QFD1726" s="227"/>
      <c r="QFE1726" s="227"/>
      <c r="QFF1726" s="227"/>
      <c r="QFG1726" s="227"/>
      <c r="QFH1726" s="227"/>
      <c r="QFI1726" s="227"/>
      <c r="QFJ1726" s="227"/>
      <c r="QFK1726" s="227"/>
      <c r="QFL1726" s="227"/>
      <c r="QFM1726" s="227"/>
      <c r="QFN1726" s="227"/>
      <c r="QFO1726" s="227"/>
      <c r="QFP1726" s="227"/>
      <c r="QFQ1726" s="227"/>
      <c r="QFR1726" s="227"/>
      <c r="QFS1726" s="227"/>
      <c r="QFT1726" s="227"/>
      <c r="QFU1726" s="227"/>
      <c r="QFV1726" s="227"/>
      <c r="QFW1726" s="227"/>
      <c r="QFX1726" s="227"/>
      <c r="QFY1726" s="227"/>
      <c r="QFZ1726" s="227"/>
      <c r="QGA1726" s="227"/>
      <c r="QGB1726" s="227"/>
      <c r="QGC1726" s="227"/>
      <c r="QGD1726" s="227"/>
      <c r="QGE1726" s="227"/>
      <c r="QGF1726" s="227"/>
      <c r="QGG1726" s="227"/>
      <c r="QGH1726" s="227"/>
      <c r="QGI1726" s="227"/>
      <c r="QGJ1726" s="227"/>
      <c r="QGK1726" s="227"/>
      <c r="QGL1726" s="227"/>
      <c r="QGM1726" s="227"/>
      <c r="QGN1726" s="227"/>
      <c r="QGO1726" s="227"/>
      <c r="QGP1726" s="227"/>
      <c r="QGQ1726" s="227"/>
      <c r="QGR1726" s="227"/>
      <c r="QGS1726" s="227"/>
      <c r="QGT1726" s="227"/>
      <c r="QGU1726" s="227"/>
      <c r="QGV1726" s="227"/>
      <c r="QGW1726" s="227"/>
      <c r="QGX1726" s="227"/>
      <c r="QGY1726" s="227"/>
      <c r="QGZ1726" s="227"/>
      <c r="QHA1726" s="227"/>
      <c r="QHB1726" s="227"/>
      <c r="QHC1726" s="227"/>
      <c r="QHD1726" s="227"/>
      <c r="QHE1726" s="227"/>
      <c r="QHF1726" s="227"/>
      <c r="QHG1726" s="227"/>
      <c r="QHH1726" s="227"/>
      <c r="QHI1726" s="227"/>
      <c r="QHJ1726" s="227"/>
      <c r="QHK1726" s="227"/>
      <c r="QHL1726" s="227"/>
      <c r="QHM1726" s="227"/>
      <c r="QHN1726" s="227"/>
      <c r="QHO1726" s="227"/>
      <c r="QHP1726" s="227"/>
      <c r="QHQ1726" s="227"/>
      <c r="QHR1726" s="227"/>
      <c r="QHS1726" s="227"/>
      <c r="QHT1726" s="227"/>
      <c r="QHU1726" s="227"/>
      <c r="QHV1726" s="227"/>
      <c r="QHW1726" s="227"/>
      <c r="QHX1726" s="227"/>
      <c r="QHY1726" s="227"/>
      <c r="QHZ1726" s="227"/>
      <c r="QIA1726" s="227"/>
      <c r="QIB1726" s="227"/>
      <c r="QIC1726" s="227"/>
      <c r="QID1726" s="227"/>
      <c r="QIE1726" s="227"/>
      <c r="QIF1726" s="227"/>
      <c r="QIG1726" s="227"/>
      <c r="QIH1726" s="227"/>
      <c r="QII1726" s="227"/>
      <c r="QIJ1726" s="227"/>
      <c r="QIK1726" s="227"/>
      <c r="QIL1726" s="227"/>
      <c r="QIM1726" s="227"/>
      <c r="QIN1726" s="227"/>
      <c r="QIO1726" s="227"/>
      <c r="QIP1726" s="227"/>
      <c r="QIQ1726" s="227"/>
      <c r="QIR1726" s="227"/>
      <c r="QIS1726" s="227"/>
      <c r="QIT1726" s="227"/>
      <c r="QIU1726" s="227"/>
      <c r="QIV1726" s="227"/>
      <c r="QIW1726" s="227"/>
      <c r="QIX1726" s="227"/>
      <c r="QIY1726" s="227"/>
      <c r="QIZ1726" s="227"/>
      <c r="QJA1726" s="227"/>
      <c r="QJB1726" s="227"/>
      <c r="QJC1726" s="227"/>
      <c r="QJD1726" s="227"/>
      <c r="QJE1726" s="227"/>
      <c r="QJF1726" s="227"/>
      <c r="QJG1726" s="227"/>
      <c r="QJH1726" s="227"/>
      <c r="QJI1726" s="227"/>
      <c r="QJJ1726" s="227"/>
      <c r="QJK1726" s="227"/>
      <c r="QJL1726" s="227"/>
      <c r="QJM1726" s="227"/>
      <c r="QJN1726" s="227"/>
      <c r="QJO1726" s="227"/>
      <c r="QJP1726" s="227"/>
      <c r="QJQ1726" s="227"/>
      <c r="QJR1726" s="227"/>
      <c r="QJS1726" s="227"/>
      <c r="QJT1726" s="227"/>
      <c r="QJU1726" s="227"/>
      <c r="QJV1726" s="227"/>
      <c r="QJW1726" s="227"/>
      <c r="QJX1726" s="227"/>
      <c r="QJY1726" s="227"/>
      <c r="QJZ1726" s="227"/>
      <c r="QKA1726" s="227"/>
      <c r="QKB1726" s="227"/>
      <c r="QKC1726" s="227"/>
      <c r="QKD1726" s="227"/>
      <c r="QKE1726" s="227"/>
      <c r="QKF1726" s="227"/>
      <c r="QKG1726" s="227"/>
      <c r="QKH1726" s="227"/>
      <c r="QKI1726" s="227"/>
      <c r="QKJ1726" s="227"/>
      <c r="QKK1726" s="227"/>
      <c r="QKL1726" s="227"/>
      <c r="QKM1726" s="227"/>
      <c r="QKN1726" s="227"/>
      <c r="QKO1726" s="227"/>
      <c r="QKP1726" s="227"/>
      <c r="QKQ1726" s="227"/>
      <c r="QKR1726" s="227"/>
      <c r="QKS1726" s="227"/>
      <c r="QKT1726" s="227"/>
      <c r="QKU1726" s="227"/>
      <c r="QKV1726" s="227"/>
      <c r="QKW1726" s="227"/>
      <c r="QKX1726" s="227"/>
      <c r="QKY1726" s="227"/>
      <c r="QKZ1726" s="227"/>
      <c r="QLA1726" s="227"/>
      <c r="QLB1726" s="227"/>
      <c r="QLC1726" s="227"/>
      <c r="QLD1726" s="227"/>
      <c r="QLE1726" s="227"/>
      <c r="QLF1726" s="227"/>
      <c r="QLG1726" s="227"/>
      <c r="QLH1726" s="227"/>
      <c r="QLI1726" s="227"/>
      <c r="QLJ1726" s="227"/>
      <c r="QLK1726" s="227"/>
      <c r="QLL1726" s="227"/>
      <c r="QLM1726" s="227"/>
      <c r="QLN1726" s="227"/>
      <c r="QLO1726" s="227"/>
      <c r="QLP1726" s="227"/>
      <c r="QLQ1726" s="227"/>
      <c r="QLR1726" s="227"/>
      <c r="QLS1726" s="227"/>
      <c r="QLT1726" s="227"/>
      <c r="QLU1726" s="227"/>
      <c r="QLV1726" s="227"/>
      <c r="QLW1726" s="227"/>
      <c r="QLX1726" s="227"/>
      <c r="QLY1726" s="227"/>
      <c r="QLZ1726" s="227"/>
      <c r="QMA1726" s="227"/>
      <c r="QMB1726" s="227"/>
      <c r="QMC1726" s="227"/>
      <c r="QMD1726" s="227"/>
      <c r="QME1726" s="227"/>
      <c r="QMF1726" s="227"/>
      <c r="QMG1726" s="227"/>
      <c r="QMH1726" s="227"/>
      <c r="QMI1726" s="227"/>
      <c r="QMJ1726" s="227"/>
      <c r="QMK1726" s="227"/>
      <c r="QML1726" s="227"/>
      <c r="QMM1726" s="227"/>
      <c r="QMN1726" s="227"/>
      <c r="QMO1726" s="227"/>
      <c r="QMP1726" s="227"/>
      <c r="QMQ1726" s="227"/>
      <c r="QMR1726" s="227"/>
      <c r="QMS1726" s="227"/>
      <c r="QMT1726" s="227"/>
      <c r="QMU1726" s="227"/>
      <c r="QMV1726" s="227"/>
      <c r="QMW1726" s="227"/>
      <c r="QMX1726" s="227"/>
      <c r="QMY1726" s="227"/>
      <c r="QMZ1726" s="227"/>
      <c r="QNA1726" s="227"/>
      <c r="QNB1726" s="227"/>
      <c r="QNC1726" s="227"/>
      <c r="QND1726" s="227"/>
      <c r="QNE1726" s="227"/>
      <c r="QNF1726" s="227"/>
      <c r="QNG1726" s="227"/>
      <c r="QNH1726" s="227"/>
      <c r="QNI1726" s="227"/>
      <c r="QNJ1726" s="227"/>
      <c r="QNK1726" s="227"/>
      <c r="QNL1726" s="227"/>
      <c r="QNM1726" s="227"/>
      <c r="QNN1726" s="227"/>
      <c r="QNO1726" s="227"/>
      <c r="QNP1726" s="227"/>
      <c r="QNQ1726" s="227"/>
      <c r="QNR1726" s="227"/>
      <c r="QNS1726" s="227"/>
      <c r="QNT1726" s="227"/>
      <c r="QNU1726" s="227"/>
      <c r="QNV1726" s="227"/>
      <c r="QNW1726" s="227"/>
      <c r="QNX1726" s="227"/>
      <c r="QNY1726" s="227"/>
      <c r="QNZ1726" s="227"/>
      <c r="QOA1726" s="227"/>
      <c r="QOB1726" s="227"/>
      <c r="QOC1726" s="227"/>
      <c r="QOD1726" s="227"/>
      <c r="QOE1726" s="227"/>
      <c r="QOF1726" s="227"/>
      <c r="QOG1726" s="227"/>
      <c r="QOH1726" s="227"/>
      <c r="QOI1726" s="227"/>
      <c r="QOJ1726" s="227"/>
      <c r="QOK1726" s="227"/>
      <c r="QOL1726" s="227"/>
      <c r="QOM1726" s="227"/>
      <c r="QON1726" s="227"/>
      <c r="QOO1726" s="227"/>
      <c r="QOP1726" s="227"/>
      <c r="QOQ1726" s="227"/>
      <c r="QOR1726" s="227"/>
      <c r="QOS1726" s="227"/>
      <c r="QOT1726" s="227"/>
      <c r="QOU1726" s="227"/>
      <c r="QOV1726" s="227"/>
      <c r="QOW1726" s="227"/>
      <c r="QOX1726" s="227"/>
      <c r="QOY1726" s="227"/>
      <c r="QOZ1726" s="227"/>
      <c r="QPA1726" s="227"/>
      <c r="QPB1726" s="227"/>
      <c r="QPC1726" s="227"/>
      <c r="QPD1726" s="227"/>
      <c r="QPE1726" s="227"/>
      <c r="QPF1726" s="227"/>
      <c r="QPG1726" s="227"/>
      <c r="QPH1726" s="227"/>
      <c r="QPI1726" s="227"/>
      <c r="QPJ1726" s="227"/>
      <c r="QPK1726" s="227"/>
      <c r="QPL1726" s="227"/>
      <c r="QPM1726" s="227"/>
      <c r="QPN1726" s="227"/>
      <c r="QPO1726" s="227"/>
      <c r="QPP1726" s="227"/>
      <c r="QPQ1726" s="227"/>
      <c r="QPR1726" s="227"/>
      <c r="QPS1726" s="227"/>
      <c r="QPT1726" s="227"/>
      <c r="QPU1726" s="227"/>
      <c r="QPV1726" s="227"/>
      <c r="QPW1726" s="227"/>
      <c r="QPX1726" s="227"/>
      <c r="QPY1726" s="227"/>
      <c r="QPZ1726" s="227"/>
      <c r="QQA1726" s="227"/>
      <c r="QQB1726" s="227"/>
      <c r="QQC1726" s="227"/>
      <c r="QQD1726" s="227"/>
      <c r="QQE1726" s="227"/>
      <c r="QQF1726" s="227"/>
      <c r="QQG1726" s="227"/>
      <c r="QQH1726" s="227"/>
      <c r="QQI1726" s="227"/>
      <c r="QQJ1726" s="227"/>
      <c r="QQK1726" s="227"/>
      <c r="QQL1726" s="227"/>
      <c r="QQM1726" s="227"/>
      <c r="QQN1726" s="227"/>
      <c r="QQO1726" s="227"/>
      <c r="QQP1726" s="227"/>
      <c r="QQQ1726" s="227"/>
      <c r="QQR1726" s="227"/>
      <c r="QQS1726" s="227"/>
      <c r="QQT1726" s="227"/>
      <c r="QQU1726" s="227"/>
      <c r="QQV1726" s="227"/>
      <c r="QQW1726" s="227"/>
      <c r="QQX1726" s="227"/>
      <c r="QQY1726" s="227"/>
      <c r="QQZ1726" s="227"/>
      <c r="QRA1726" s="227"/>
      <c r="QRB1726" s="227"/>
      <c r="QRC1726" s="227"/>
      <c r="QRD1726" s="227"/>
      <c r="QRE1726" s="227"/>
      <c r="QRF1726" s="227"/>
      <c r="QRG1726" s="227"/>
      <c r="QRH1726" s="227"/>
      <c r="QRI1726" s="227"/>
      <c r="QRJ1726" s="227"/>
      <c r="QRK1726" s="227"/>
      <c r="QRL1726" s="227"/>
      <c r="QRM1726" s="227"/>
      <c r="QRN1726" s="227"/>
      <c r="QRO1726" s="227"/>
      <c r="QRP1726" s="227"/>
      <c r="QRQ1726" s="227"/>
      <c r="QRR1726" s="227"/>
      <c r="QRS1726" s="227"/>
      <c r="QRT1726" s="227"/>
      <c r="QRU1726" s="227"/>
      <c r="QRV1726" s="227"/>
      <c r="QRW1726" s="227"/>
      <c r="QRX1726" s="227"/>
      <c r="QRY1726" s="227"/>
      <c r="QRZ1726" s="227"/>
      <c r="QSA1726" s="227"/>
      <c r="QSB1726" s="227"/>
      <c r="QSC1726" s="227"/>
      <c r="QSD1726" s="227"/>
      <c r="QSE1726" s="227"/>
      <c r="QSF1726" s="227"/>
      <c r="QSG1726" s="227"/>
      <c r="QSH1726" s="227"/>
      <c r="QSI1726" s="227"/>
      <c r="QSJ1726" s="227"/>
      <c r="QSK1726" s="227"/>
      <c r="QSL1726" s="227"/>
      <c r="QSM1726" s="227"/>
      <c r="QSN1726" s="227"/>
      <c r="QSO1726" s="227"/>
      <c r="QSP1726" s="227"/>
      <c r="QSQ1726" s="227"/>
      <c r="QSR1726" s="227"/>
      <c r="QSS1726" s="227"/>
      <c r="QST1726" s="227"/>
      <c r="QSU1726" s="227"/>
      <c r="QSV1726" s="227"/>
      <c r="QSW1726" s="227"/>
      <c r="QSX1726" s="227"/>
      <c r="QSY1726" s="227"/>
      <c r="QSZ1726" s="227"/>
      <c r="QTA1726" s="227"/>
      <c r="QTB1726" s="227"/>
      <c r="QTC1726" s="227"/>
      <c r="QTD1726" s="227"/>
      <c r="QTE1726" s="227"/>
      <c r="QTF1726" s="227"/>
      <c r="QTG1726" s="227"/>
      <c r="QTH1726" s="227"/>
      <c r="QTI1726" s="227"/>
      <c r="QTJ1726" s="227"/>
      <c r="QTK1726" s="227"/>
      <c r="QTL1726" s="227"/>
      <c r="QTM1726" s="227"/>
      <c r="QTN1726" s="227"/>
      <c r="QTO1726" s="227"/>
      <c r="QTP1726" s="227"/>
      <c r="QTQ1726" s="227"/>
      <c r="QTR1726" s="227"/>
      <c r="QTS1726" s="227"/>
      <c r="QTT1726" s="227"/>
      <c r="QTU1726" s="227"/>
      <c r="QTV1726" s="227"/>
      <c r="QTW1726" s="227"/>
      <c r="QTX1726" s="227"/>
      <c r="QTY1726" s="227"/>
      <c r="QTZ1726" s="227"/>
      <c r="QUA1726" s="227"/>
      <c r="QUB1726" s="227"/>
      <c r="QUC1726" s="227"/>
      <c r="QUD1726" s="227"/>
      <c r="QUE1726" s="227"/>
      <c r="QUF1726" s="227"/>
      <c r="QUG1726" s="227"/>
      <c r="QUH1726" s="227"/>
      <c r="QUI1726" s="227"/>
      <c r="QUJ1726" s="227"/>
      <c r="QUK1726" s="227"/>
      <c r="QUL1726" s="227"/>
      <c r="QUM1726" s="227"/>
      <c r="QUN1726" s="227"/>
      <c r="QUO1726" s="227"/>
      <c r="QUP1726" s="227"/>
      <c r="QUQ1726" s="227"/>
      <c r="QUR1726" s="227"/>
      <c r="QUS1726" s="227"/>
      <c r="QUT1726" s="227"/>
      <c r="QUU1726" s="227"/>
      <c r="QUV1726" s="227"/>
      <c r="QUW1726" s="227"/>
      <c r="QUX1726" s="227"/>
      <c r="QUY1726" s="227"/>
      <c r="QUZ1726" s="227"/>
      <c r="QVA1726" s="227"/>
      <c r="QVB1726" s="227"/>
      <c r="QVC1726" s="227"/>
      <c r="QVD1726" s="227"/>
      <c r="QVE1726" s="227"/>
      <c r="QVF1726" s="227"/>
      <c r="QVG1726" s="227"/>
      <c r="QVH1726" s="227"/>
      <c r="QVI1726" s="227"/>
      <c r="QVJ1726" s="227"/>
      <c r="QVK1726" s="227"/>
      <c r="QVL1726" s="227"/>
      <c r="QVM1726" s="227"/>
      <c r="QVN1726" s="227"/>
      <c r="QVO1726" s="227"/>
      <c r="QVP1726" s="227"/>
      <c r="QVQ1726" s="227"/>
      <c r="QVR1726" s="227"/>
      <c r="QVS1726" s="227"/>
      <c r="QVT1726" s="227"/>
      <c r="QVU1726" s="227"/>
      <c r="QVV1726" s="227"/>
      <c r="QVW1726" s="227"/>
      <c r="QVX1726" s="227"/>
      <c r="QVY1726" s="227"/>
      <c r="QVZ1726" s="227"/>
      <c r="QWA1726" s="227"/>
      <c r="QWB1726" s="227"/>
      <c r="QWC1726" s="227"/>
      <c r="QWD1726" s="227"/>
      <c r="QWE1726" s="227"/>
      <c r="QWF1726" s="227"/>
      <c r="QWG1726" s="227"/>
      <c r="QWH1726" s="227"/>
      <c r="QWI1726" s="227"/>
      <c r="QWJ1726" s="227"/>
      <c r="QWK1726" s="227"/>
      <c r="QWL1726" s="227"/>
      <c r="QWM1726" s="227"/>
      <c r="QWN1726" s="227"/>
      <c r="QWO1726" s="227"/>
      <c r="QWP1726" s="227"/>
      <c r="QWQ1726" s="227"/>
      <c r="QWR1726" s="227"/>
      <c r="QWS1726" s="227"/>
      <c r="QWT1726" s="227"/>
      <c r="QWU1726" s="227"/>
      <c r="QWV1726" s="227"/>
      <c r="QWW1726" s="227"/>
      <c r="QWX1726" s="227"/>
      <c r="QWY1726" s="227"/>
      <c r="QWZ1726" s="227"/>
      <c r="QXA1726" s="227"/>
      <c r="QXB1726" s="227"/>
      <c r="QXC1726" s="227"/>
      <c r="QXD1726" s="227"/>
      <c r="QXE1726" s="227"/>
      <c r="QXF1726" s="227"/>
      <c r="QXG1726" s="227"/>
      <c r="QXH1726" s="227"/>
      <c r="QXI1726" s="227"/>
      <c r="QXJ1726" s="227"/>
      <c r="QXK1726" s="227"/>
      <c r="QXL1726" s="227"/>
      <c r="QXM1726" s="227"/>
      <c r="QXN1726" s="227"/>
      <c r="QXO1726" s="227"/>
      <c r="QXP1726" s="227"/>
      <c r="QXQ1726" s="227"/>
      <c r="QXR1726" s="227"/>
      <c r="QXS1726" s="227"/>
      <c r="QXT1726" s="227"/>
      <c r="QXU1726" s="227"/>
      <c r="QXV1726" s="227"/>
      <c r="QXW1726" s="227"/>
      <c r="QXX1726" s="227"/>
      <c r="QXY1726" s="227"/>
      <c r="QXZ1726" s="227"/>
      <c r="QYA1726" s="227"/>
      <c r="QYB1726" s="227"/>
      <c r="QYC1726" s="227"/>
      <c r="QYD1726" s="227"/>
      <c r="QYE1726" s="227"/>
      <c r="QYF1726" s="227"/>
      <c r="QYG1726" s="227"/>
      <c r="QYH1726" s="227"/>
      <c r="QYI1726" s="227"/>
      <c r="QYJ1726" s="227"/>
      <c r="QYK1726" s="227"/>
      <c r="QYL1726" s="227"/>
      <c r="QYM1726" s="227"/>
      <c r="QYN1726" s="227"/>
      <c r="QYO1726" s="227"/>
      <c r="QYP1726" s="227"/>
      <c r="QYQ1726" s="227"/>
      <c r="QYR1726" s="227"/>
      <c r="QYS1726" s="227"/>
      <c r="QYT1726" s="227"/>
      <c r="QYU1726" s="227"/>
      <c r="QYV1726" s="227"/>
      <c r="QYW1726" s="227"/>
      <c r="QYX1726" s="227"/>
      <c r="QYY1726" s="227"/>
      <c r="QYZ1726" s="227"/>
      <c r="QZA1726" s="227"/>
      <c r="QZB1726" s="227"/>
      <c r="QZC1726" s="227"/>
      <c r="QZD1726" s="227"/>
      <c r="QZE1726" s="227"/>
      <c r="QZF1726" s="227"/>
      <c r="QZG1726" s="227"/>
      <c r="QZH1726" s="227"/>
      <c r="QZI1726" s="227"/>
      <c r="QZJ1726" s="227"/>
      <c r="QZK1726" s="227"/>
      <c r="QZL1726" s="227"/>
      <c r="QZM1726" s="227"/>
      <c r="QZN1726" s="227"/>
      <c r="QZO1726" s="227"/>
      <c r="QZP1726" s="227"/>
      <c r="QZQ1726" s="227"/>
      <c r="QZR1726" s="227"/>
      <c r="QZS1726" s="227"/>
      <c r="QZT1726" s="227"/>
      <c r="QZU1726" s="227"/>
      <c r="QZV1726" s="227"/>
      <c r="QZW1726" s="227"/>
      <c r="QZX1726" s="227"/>
      <c r="QZY1726" s="227"/>
      <c r="QZZ1726" s="227"/>
      <c r="RAA1726" s="227"/>
      <c r="RAB1726" s="227"/>
      <c r="RAC1726" s="227"/>
      <c r="RAD1726" s="227"/>
      <c r="RAE1726" s="227"/>
      <c r="RAF1726" s="227"/>
      <c r="RAG1726" s="227"/>
      <c r="RAH1726" s="227"/>
      <c r="RAI1726" s="227"/>
      <c r="RAJ1726" s="227"/>
      <c r="RAK1726" s="227"/>
      <c r="RAL1726" s="227"/>
      <c r="RAM1726" s="227"/>
      <c r="RAN1726" s="227"/>
      <c r="RAO1726" s="227"/>
      <c r="RAP1726" s="227"/>
      <c r="RAQ1726" s="227"/>
      <c r="RAR1726" s="227"/>
      <c r="RAS1726" s="227"/>
      <c r="RAT1726" s="227"/>
      <c r="RAU1726" s="227"/>
      <c r="RAV1726" s="227"/>
      <c r="RAW1726" s="227"/>
      <c r="RAX1726" s="227"/>
      <c r="RAY1726" s="227"/>
      <c r="RAZ1726" s="227"/>
      <c r="RBA1726" s="227"/>
      <c r="RBB1726" s="227"/>
      <c r="RBC1726" s="227"/>
      <c r="RBD1726" s="227"/>
      <c r="RBE1726" s="227"/>
      <c r="RBF1726" s="227"/>
      <c r="RBG1726" s="227"/>
      <c r="RBH1726" s="227"/>
      <c r="RBI1726" s="227"/>
      <c r="RBJ1726" s="227"/>
      <c r="RBK1726" s="227"/>
      <c r="RBL1726" s="227"/>
      <c r="RBM1726" s="227"/>
      <c r="RBN1726" s="227"/>
      <c r="RBO1726" s="227"/>
      <c r="RBP1726" s="227"/>
      <c r="RBQ1726" s="227"/>
      <c r="RBR1726" s="227"/>
      <c r="RBS1726" s="227"/>
      <c r="RBT1726" s="227"/>
      <c r="RBU1726" s="227"/>
      <c r="RBV1726" s="227"/>
      <c r="RBW1726" s="227"/>
      <c r="RBX1726" s="227"/>
      <c r="RBY1726" s="227"/>
      <c r="RBZ1726" s="227"/>
      <c r="RCA1726" s="227"/>
      <c r="RCB1726" s="227"/>
      <c r="RCC1726" s="227"/>
      <c r="RCD1726" s="227"/>
      <c r="RCE1726" s="227"/>
      <c r="RCF1726" s="227"/>
      <c r="RCG1726" s="227"/>
      <c r="RCH1726" s="227"/>
      <c r="RCI1726" s="227"/>
      <c r="RCJ1726" s="227"/>
      <c r="RCK1726" s="227"/>
      <c r="RCL1726" s="227"/>
      <c r="RCM1726" s="227"/>
      <c r="RCN1726" s="227"/>
      <c r="RCO1726" s="227"/>
      <c r="RCP1726" s="227"/>
      <c r="RCQ1726" s="227"/>
      <c r="RCR1726" s="227"/>
      <c r="RCS1726" s="227"/>
      <c r="RCT1726" s="227"/>
      <c r="RCU1726" s="227"/>
      <c r="RCV1726" s="227"/>
      <c r="RCW1726" s="227"/>
      <c r="RCX1726" s="227"/>
      <c r="RCY1726" s="227"/>
      <c r="RCZ1726" s="227"/>
      <c r="RDA1726" s="227"/>
      <c r="RDB1726" s="227"/>
      <c r="RDC1726" s="227"/>
      <c r="RDD1726" s="227"/>
      <c r="RDE1726" s="227"/>
      <c r="RDF1726" s="227"/>
      <c r="RDG1726" s="227"/>
      <c r="RDH1726" s="227"/>
      <c r="RDI1726" s="227"/>
      <c r="RDJ1726" s="227"/>
      <c r="RDK1726" s="227"/>
      <c r="RDL1726" s="227"/>
      <c r="RDM1726" s="227"/>
      <c r="RDN1726" s="227"/>
      <c r="RDO1726" s="227"/>
      <c r="RDP1726" s="227"/>
      <c r="RDQ1726" s="227"/>
      <c r="RDR1726" s="227"/>
      <c r="RDS1726" s="227"/>
      <c r="RDT1726" s="227"/>
      <c r="RDU1726" s="227"/>
      <c r="RDV1726" s="227"/>
      <c r="RDW1726" s="227"/>
      <c r="RDX1726" s="227"/>
      <c r="RDY1726" s="227"/>
      <c r="RDZ1726" s="227"/>
      <c r="REA1726" s="227"/>
      <c r="REB1726" s="227"/>
      <c r="REC1726" s="227"/>
      <c r="RED1726" s="227"/>
      <c r="REE1726" s="227"/>
      <c r="REF1726" s="227"/>
      <c r="REG1726" s="227"/>
      <c r="REH1726" s="227"/>
      <c r="REI1726" s="227"/>
      <c r="REJ1726" s="227"/>
      <c r="REK1726" s="227"/>
      <c r="REL1726" s="227"/>
      <c r="REM1726" s="227"/>
      <c r="REN1726" s="227"/>
      <c r="REO1726" s="227"/>
      <c r="REP1726" s="227"/>
      <c r="REQ1726" s="227"/>
      <c r="RER1726" s="227"/>
      <c r="RES1726" s="227"/>
      <c r="RET1726" s="227"/>
      <c r="REU1726" s="227"/>
      <c r="REV1726" s="227"/>
      <c r="REW1726" s="227"/>
      <c r="REX1726" s="227"/>
      <c r="REY1726" s="227"/>
      <c r="REZ1726" s="227"/>
      <c r="RFA1726" s="227"/>
      <c r="RFB1726" s="227"/>
      <c r="RFC1726" s="227"/>
      <c r="RFD1726" s="227"/>
      <c r="RFE1726" s="227"/>
      <c r="RFF1726" s="227"/>
      <c r="RFG1726" s="227"/>
      <c r="RFH1726" s="227"/>
      <c r="RFI1726" s="227"/>
      <c r="RFJ1726" s="227"/>
      <c r="RFK1726" s="227"/>
      <c r="RFL1726" s="227"/>
      <c r="RFM1726" s="227"/>
      <c r="RFN1726" s="227"/>
      <c r="RFO1726" s="227"/>
      <c r="RFP1726" s="227"/>
      <c r="RFQ1726" s="227"/>
      <c r="RFR1726" s="227"/>
      <c r="RFS1726" s="227"/>
      <c r="RFT1726" s="227"/>
      <c r="RFU1726" s="227"/>
      <c r="RFV1726" s="227"/>
      <c r="RFW1726" s="227"/>
      <c r="RFX1726" s="227"/>
      <c r="RFY1726" s="227"/>
      <c r="RFZ1726" s="227"/>
      <c r="RGA1726" s="227"/>
      <c r="RGB1726" s="227"/>
      <c r="RGC1726" s="227"/>
      <c r="RGD1726" s="227"/>
      <c r="RGE1726" s="227"/>
      <c r="RGF1726" s="227"/>
      <c r="RGG1726" s="227"/>
      <c r="RGH1726" s="227"/>
      <c r="RGI1726" s="227"/>
      <c r="RGJ1726" s="227"/>
      <c r="RGK1726" s="227"/>
      <c r="RGL1726" s="227"/>
      <c r="RGM1726" s="227"/>
      <c r="RGN1726" s="227"/>
      <c r="RGO1726" s="227"/>
      <c r="RGP1726" s="227"/>
      <c r="RGQ1726" s="227"/>
      <c r="RGR1726" s="227"/>
      <c r="RGS1726" s="227"/>
      <c r="RGT1726" s="227"/>
      <c r="RGU1726" s="227"/>
      <c r="RGV1726" s="227"/>
      <c r="RGW1726" s="227"/>
      <c r="RGX1726" s="227"/>
      <c r="RGY1726" s="227"/>
      <c r="RGZ1726" s="227"/>
      <c r="RHA1726" s="227"/>
      <c r="RHB1726" s="227"/>
      <c r="RHC1726" s="227"/>
      <c r="RHD1726" s="227"/>
      <c r="RHE1726" s="227"/>
      <c r="RHF1726" s="227"/>
      <c r="RHG1726" s="227"/>
      <c r="RHH1726" s="227"/>
      <c r="RHI1726" s="227"/>
      <c r="RHJ1726" s="227"/>
      <c r="RHK1726" s="227"/>
      <c r="RHL1726" s="227"/>
      <c r="RHM1726" s="227"/>
      <c r="RHN1726" s="227"/>
      <c r="RHO1726" s="227"/>
      <c r="RHP1726" s="227"/>
      <c r="RHQ1726" s="227"/>
      <c r="RHR1726" s="227"/>
      <c r="RHS1726" s="227"/>
      <c r="RHT1726" s="227"/>
      <c r="RHU1726" s="227"/>
      <c r="RHV1726" s="227"/>
      <c r="RHW1726" s="227"/>
      <c r="RHX1726" s="227"/>
      <c r="RHY1726" s="227"/>
      <c r="RHZ1726" s="227"/>
      <c r="RIA1726" s="227"/>
      <c r="RIB1726" s="227"/>
      <c r="RIC1726" s="227"/>
      <c r="RID1726" s="227"/>
      <c r="RIE1726" s="227"/>
      <c r="RIF1726" s="227"/>
      <c r="RIG1726" s="227"/>
      <c r="RIH1726" s="227"/>
      <c r="RII1726" s="227"/>
      <c r="RIJ1726" s="227"/>
      <c r="RIK1726" s="227"/>
      <c r="RIL1726" s="227"/>
      <c r="RIM1726" s="227"/>
      <c r="RIN1726" s="227"/>
      <c r="RIO1726" s="227"/>
      <c r="RIP1726" s="227"/>
      <c r="RIQ1726" s="227"/>
      <c r="RIR1726" s="227"/>
      <c r="RIS1726" s="227"/>
      <c r="RIT1726" s="227"/>
      <c r="RIU1726" s="227"/>
      <c r="RIV1726" s="227"/>
      <c r="RIW1726" s="227"/>
      <c r="RIX1726" s="227"/>
      <c r="RIY1726" s="227"/>
      <c r="RIZ1726" s="227"/>
      <c r="RJA1726" s="227"/>
      <c r="RJB1726" s="227"/>
      <c r="RJC1726" s="227"/>
      <c r="RJD1726" s="227"/>
      <c r="RJE1726" s="227"/>
      <c r="RJF1726" s="227"/>
      <c r="RJG1726" s="227"/>
      <c r="RJH1726" s="227"/>
      <c r="RJI1726" s="227"/>
      <c r="RJJ1726" s="227"/>
      <c r="RJK1726" s="227"/>
      <c r="RJL1726" s="227"/>
      <c r="RJM1726" s="227"/>
      <c r="RJN1726" s="227"/>
      <c r="RJO1726" s="227"/>
      <c r="RJP1726" s="227"/>
      <c r="RJQ1726" s="227"/>
      <c r="RJR1726" s="227"/>
      <c r="RJS1726" s="227"/>
      <c r="RJT1726" s="227"/>
      <c r="RJU1726" s="227"/>
      <c r="RJV1726" s="227"/>
      <c r="RJW1726" s="227"/>
      <c r="RJX1726" s="227"/>
      <c r="RJY1726" s="227"/>
      <c r="RJZ1726" s="227"/>
      <c r="RKA1726" s="227"/>
      <c r="RKB1726" s="227"/>
      <c r="RKC1726" s="227"/>
      <c r="RKD1726" s="227"/>
      <c r="RKE1726" s="227"/>
      <c r="RKF1726" s="227"/>
      <c r="RKG1726" s="227"/>
      <c r="RKH1726" s="227"/>
      <c r="RKI1726" s="227"/>
      <c r="RKJ1726" s="227"/>
      <c r="RKK1726" s="227"/>
      <c r="RKL1726" s="227"/>
      <c r="RKM1726" s="227"/>
      <c r="RKN1726" s="227"/>
      <c r="RKO1726" s="227"/>
      <c r="RKP1726" s="227"/>
      <c r="RKQ1726" s="227"/>
      <c r="RKR1726" s="227"/>
      <c r="RKS1726" s="227"/>
      <c r="RKT1726" s="227"/>
      <c r="RKU1726" s="227"/>
      <c r="RKV1726" s="227"/>
      <c r="RKW1726" s="227"/>
      <c r="RKX1726" s="227"/>
      <c r="RKY1726" s="227"/>
      <c r="RKZ1726" s="227"/>
      <c r="RLA1726" s="227"/>
      <c r="RLB1726" s="227"/>
      <c r="RLC1726" s="227"/>
      <c r="RLD1726" s="227"/>
      <c r="RLE1726" s="227"/>
      <c r="RLF1726" s="227"/>
      <c r="RLG1726" s="227"/>
      <c r="RLH1726" s="227"/>
      <c r="RLI1726" s="227"/>
      <c r="RLJ1726" s="227"/>
      <c r="RLK1726" s="227"/>
      <c r="RLL1726" s="227"/>
      <c r="RLM1726" s="227"/>
      <c r="RLN1726" s="227"/>
      <c r="RLO1726" s="227"/>
      <c r="RLP1726" s="227"/>
      <c r="RLQ1726" s="227"/>
      <c r="RLR1726" s="227"/>
      <c r="RLS1726" s="227"/>
      <c r="RLT1726" s="227"/>
      <c r="RLU1726" s="227"/>
      <c r="RLV1726" s="227"/>
      <c r="RLW1726" s="227"/>
      <c r="RLX1726" s="227"/>
      <c r="RLY1726" s="227"/>
      <c r="RLZ1726" s="227"/>
      <c r="RMA1726" s="227"/>
      <c r="RMB1726" s="227"/>
      <c r="RMC1726" s="227"/>
      <c r="RMD1726" s="227"/>
      <c r="RME1726" s="227"/>
      <c r="RMF1726" s="227"/>
      <c r="RMG1726" s="227"/>
      <c r="RMH1726" s="227"/>
      <c r="RMI1726" s="227"/>
      <c r="RMJ1726" s="227"/>
      <c r="RMK1726" s="227"/>
      <c r="RML1726" s="227"/>
      <c r="RMM1726" s="227"/>
      <c r="RMN1726" s="227"/>
      <c r="RMO1726" s="227"/>
      <c r="RMP1726" s="227"/>
      <c r="RMQ1726" s="227"/>
      <c r="RMR1726" s="227"/>
      <c r="RMS1726" s="227"/>
      <c r="RMT1726" s="227"/>
      <c r="RMU1726" s="227"/>
      <c r="RMV1726" s="227"/>
      <c r="RMW1726" s="227"/>
      <c r="RMX1726" s="227"/>
      <c r="RMY1726" s="227"/>
      <c r="RMZ1726" s="227"/>
      <c r="RNA1726" s="227"/>
      <c r="RNB1726" s="227"/>
      <c r="RNC1726" s="227"/>
      <c r="RND1726" s="227"/>
      <c r="RNE1726" s="227"/>
      <c r="RNF1726" s="227"/>
      <c r="RNG1726" s="227"/>
      <c r="RNH1726" s="227"/>
      <c r="RNI1726" s="227"/>
      <c r="RNJ1726" s="227"/>
      <c r="RNK1726" s="227"/>
      <c r="RNL1726" s="227"/>
      <c r="RNM1726" s="227"/>
      <c r="RNN1726" s="227"/>
      <c r="RNO1726" s="227"/>
      <c r="RNP1726" s="227"/>
      <c r="RNQ1726" s="227"/>
      <c r="RNR1726" s="227"/>
      <c r="RNS1726" s="227"/>
      <c r="RNT1726" s="227"/>
      <c r="RNU1726" s="227"/>
      <c r="RNV1726" s="227"/>
      <c r="RNW1726" s="227"/>
      <c r="RNX1726" s="227"/>
      <c r="RNY1726" s="227"/>
      <c r="RNZ1726" s="227"/>
      <c r="ROA1726" s="227"/>
      <c r="ROB1726" s="227"/>
      <c r="ROC1726" s="227"/>
      <c r="ROD1726" s="227"/>
      <c r="ROE1726" s="227"/>
      <c r="ROF1726" s="227"/>
      <c r="ROG1726" s="227"/>
      <c r="ROH1726" s="227"/>
      <c r="ROI1726" s="227"/>
      <c r="ROJ1726" s="227"/>
      <c r="ROK1726" s="227"/>
      <c r="ROL1726" s="227"/>
      <c r="ROM1726" s="227"/>
      <c r="RON1726" s="227"/>
      <c r="ROO1726" s="227"/>
      <c r="ROP1726" s="227"/>
      <c r="ROQ1726" s="227"/>
      <c r="ROR1726" s="227"/>
      <c r="ROS1726" s="227"/>
      <c r="ROT1726" s="227"/>
      <c r="ROU1726" s="227"/>
      <c r="ROV1726" s="227"/>
      <c r="ROW1726" s="227"/>
      <c r="ROX1726" s="227"/>
      <c r="ROY1726" s="227"/>
      <c r="ROZ1726" s="227"/>
      <c r="RPA1726" s="227"/>
      <c r="RPB1726" s="227"/>
      <c r="RPC1726" s="227"/>
      <c r="RPD1726" s="227"/>
      <c r="RPE1726" s="227"/>
      <c r="RPF1726" s="227"/>
      <c r="RPG1726" s="227"/>
      <c r="RPH1726" s="227"/>
      <c r="RPI1726" s="227"/>
      <c r="RPJ1726" s="227"/>
      <c r="RPK1726" s="227"/>
      <c r="RPL1726" s="227"/>
      <c r="RPM1726" s="227"/>
      <c r="RPN1726" s="227"/>
      <c r="RPO1726" s="227"/>
      <c r="RPP1726" s="227"/>
      <c r="RPQ1726" s="227"/>
      <c r="RPR1726" s="227"/>
      <c r="RPS1726" s="227"/>
      <c r="RPT1726" s="227"/>
      <c r="RPU1726" s="227"/>
      <c r="RPV1726" s="227"/>
      <c r="RPW1726" s="227"/>
      <c r="RPX1726" s="227"/>
      <c r="RPY1726" s="227"/>
      <c r="RPZ1726" s="227"/>
      <c r="RQA1726" s="227"/>
      <c r="RQB1726" s="227"/>
      <c r="RQC1726" s="227"/>
      <c r="RQD1726" s="227"/>
      <c r="RQE1726" s="227"/>
      <c r="RQF1726" s="227"/>
      <c r="RQG1726" s="227"/>
      <c r="RQH1726" s="227"/>
      <c r="RQI1726" s="227"/>
      <c r="RQJ1726" s="227"/>
      <c r="RQK1726" s="227"/>
      <c r="RQL1726" s="227"/>
      <c r="RQM1726" s="227"/>
      <c r="RQN1726" s="227"/>
      <c r="RQO1726" s="227"/>
      <c r="RQP1726" s="227"/>
      <c r="RQQ1726" s="227"/>
      <c r="RQR1726" s="227"/>
      <c r="RQS1726" s="227"/>
      <c r="RQT1726" s="227"/>
      <c r="RQU1726" s="227"/>
      <c r="RQV1726" s="227"/>
      <c r="RQW1726" s="227"/>
      <c r="RQX1726" s="227"/>
      <c r="RQY1726" s="227"/>
      <c r="RQZ1726" s="227"/>
      <c r="RRA1726" s="227"/>
      <c r="RRB1726" s="227"/>
      <c r="RRC1726" s="227"/>
      <c r="RRD1726" s="227"/>
      <c r="RRE1726" s="227"/>
      <c r="RRF1726" s="227"/>
      <c r="RRG1726" s="227"/>
      <c r="RRH1726" s="227"/>
      <c r="RRI1726" s="227"/>
      <c r="RRJ1726" s="227"/>
      <c r="RRK1726" s="227"/>
      <c r="RRL1726" s="227"/>
      <c r="RRM1726" s="227"/>
      <c r="RRN1726" s="227"/>
      <c r="RRO1726" s="227"/>
      <c r="RRP1726" s="227"/>
      <c r="RRQ1726" s="227"/>
      <c r="RRR1726" s="227"/>
      <c r="RRS1726" s="227"/>
      <c r="RRT1726" s="227"/>
      <c r="RRU1726" s="227"/>
      <c r="RRV1726" s="227"/>
      <c r="RRW1726" s="227"/>
      <c r="RRX1726" s="227"/>
      <c r="RRY1726" s="227"/>
      <c r="RRZ1726" s="227"/>
      <c r="RSA1726" s="227"/>
      <c r="RSB1726" s="227"/>
      <c r="RSC1726" s="227"/>
      <c r="RSD1726" s="227"/>
      <c r="RSE1726" s="227"/>
      <c r="RSF1726" s="227"/>
      <c r="RSG1726" s="227"/>
      <c r="RSH1726" s="227"/>
      <c r="RSI1726" s="227"/>
      <c r="RSJ1726" s="227"/>
      <c r="RSK1726" s="227"/>
      <c r="RSL1726" s="227"/>
      <c r="RSM1726" s="227"/>
      <c r="RSN1726" s="227"/>
      <c r="RSO1726" s="227"/>
      <c r="RSP1726" s="227"/>
      <c r="RSQ1726" s="227"/>
      <c r="RSR1726" s="227"/>
      <c r="RSS1726" s="227"/>
      <c r="RST1726" s="227"/>
      <c r="RSU1726" s="227"/>
      <c r="RSV1726" s="227"/>
      <c r="RSW1726" s="227"/>
      <c r="RSX1726" s="227"/>
      <c r="RSY1726" s="227"/>
      <c r="RSZ1726" s="227"/>
      <c r="RTA1726" s="227"/>
      <c r="RTB1726" s="227"/>
      <c r="RTC1726" s="227"/>
      <c r="RTD1726" s="227"/>
      <c r="RTE1726" s="227"/>
      <c r="RTF1726" s="227"/>
      <c r="RTG1726" s="227"/>
      <c r="RTH1726" s="227"/>
      <c r="RTI1726" s="227"/>
      <c r="RTJ1726" s="227"/>
      <c r="RTK1726" s="227"/>
      <c r="RTL1726" s="227"/>
      <c r="RTM1726" s="227"/>
      <c r="RTN1726" s="227"/>
      <c r="RTO1726" s="227"/>
      <c r="RTP1726" s="227"/>
      <c r="RTQ1726" s="227"/>
      <c r="RTR1726" s="227"/>
      <c r="RTS1726" s="227"/>
      <c r="RTT1726" s="227"/>
      <c r="RTU1726" s="227"/>
      <c r="RTV1726" s="227"/>
      <c r="RTW1726" s="227"/>
      <c r="RTX1726" s="227"/>
      <c r="RTY1726" s="227"/>
      <c r="RTZ1726" s="227"/>
      <c r="RUA1726" s="227"/>
      <c r="RUB1726" s="227"/>
      <c r="RUC1726" s="227"/>
      <c r="RUD1726" s="227"/>
      <c r="RUE1726" s="227"/>
      <c r="RUF1726" s="227"/>
      <c r="RUG1726" s="227"/>
      <c r="RUH1726" s="227"/>
      <c r="RUI1726" s="227"/>
      <c r="RUJ1726" s="227"/>
      <c r="RUK1726" s="227"/>
      <c r="RUL1726" s="227"/>
      <c r="RUM1726" s="227"/>
      <c r="RUN1726" s="227"/>
      <c r="RUO1726" s="227"/>
      <c r="RUP1726" s="227"/>
      <c r="RUQ1726" s="227"/>
      <c r="RUR1726" s="227"/>
      <c r="RUS1726" s="227"/>
      <c r="RUT1726" s="227"/>
      <c r="RUU1726" s="227"/>
      <c r="RUV1726" s="227"/>
      <c r="RUW1726" s="227"/>
      <c r="RUX1726" s="227"/>
      <c r="RUY1726" s="227"/>
      <c r="RUZ1726" s="227"/>
      <c r="RVA1726" s="227"/>
      <c r="RVB1726" s="227"/>
      <c r="RVC1726" s="227"/>
      <c r="RVD1726" s="227"/>
      <c r="RVE1726" s="227"/>
      <c r="RVF1726" s="227"/>
      <c r="RVG1726" s="227"/>
      <c r="RVH1726" s="227"/>
      <c r="RVI1726" s="227"/>
      <c r="RVJ1726" s="227"/>
      <c r="RVK1726" s="227"/>
      <c r="RVL1726" s="227"/>
      <c r="RVM1726" s="227"/>
      <c r="RVN1726" s="227"/>
      <c r="RVO1726" s="227"/>
      <c r="RVP1726" s="227"/>
      <c r="RVQ1726" s="227"/>
      <c r="RVR1726" s="227"/>
      <c r="RVS1726" s="227"/>
      <c r="RVT1726" s="227"/>
      <c r="RVU1726" s="227"/>
      <c r="RVV1726" s="227"/>
      <c r="RVW1726" s="227"/>
      <c r="RVX1726" s="227"/>
      <c r="RVY1726" s="227"/>
      <c r="RVZ1726" s="227"/>
      <c r="RWA1726" s="227"/>
      <c r="RWB1726" s="227"/>
      <c r="RWC1726" s="227"/>
      <c r="RWD1726" s="227"/>
      <c r="RWE1726" s="227"/>
      <c r="RWF1726" s="227"/>
      <c r="RWG1726" s="227"/>
      <c r="RWH1726" s="227"/>
      <c r="RWI1726" s="227"/>
      <c r="RWJ1726" s="227"/>
      <c r="RWK1726" s="227"/>
      <c r="RWL1726" s="227"/>
      <c r="RWM1726" s="227"/>
      <c r="RWN1726" s="227"/>
      <c r="RWO1726" s="227"/>
      <c r="RWP1726" s="227"/>
      <c r="RWQ1726" s="227"/>
      <c r="RWR1726" s="227"/>
      <c r="RWS1726" s="227"/>
      <c r="RWT1726" s="227"/>
      <c r="RWU1726" s="227"/>
      <c r="RWV1726" s="227"/>
      <c r="RWW1726" s="227"/>
      <c r="RWX1726" s="227"/>
      <c r="RWY1726" s="227"/>
      <c r="RWZ1726" s="227"/>
      <c r="RXA1726" s="227"/>
      <c r="RXB1726" s="227"/>
      <c r="RXC1726" s="227"/>
      <c r="RXD1726" s="227"/>
      <c r="RXE1726" s="227"/>
      <c r="RXF1726" s="227"/>
      <c r="RXG1726" s="227"/>
      <c r="RXH1726" s="227"/>
      <c r="RXI1726" s="227"/>
      <c r="RXJ1726" s="227"/>
      <c r="RXK1726" s="227"/>
      <c r="RXL1726" s="227"/>
      <c r="RXM1726" s="227"/>
      <c r="RXN1726" s="227"/>
      <c r="RXO1726" s="227"/>
      <c r="RXP1726" s="227"/>
      <c r="RXQ1726" s="227"/>
      <c r="RXR1726" s="227"/>
      <c r="RXS1726" s="227"/>
      <c r="RXT1726" s="227"/>
      <c r="RXU1726" s="227"/>
      <c r="RXV1726" s="227"/>
      <c r="RXW1726" s="227"/>
      <c r="RXX1726" s="227"/>
      <c r="RXY1726" s="227"/>
      <c r="RXZ1726" s="227"/>
      <c r="RYA1726" s="227"/>
      <c r="RYB1726" s="227"/>
      <c r="RYC1726" s="227"/>
      <c r="RYD1726" s="227"/>
      <c r="RYE1726" s="227"/>
      <c r="RYF1726" s="227"/>
      <c r="RYG1726" s="227"/>
      <c r="RYH1726" s="227"/>
      <c r="RYI1726" s="227"/>
      <c r="RYJ1726" s="227"/>
      <c r="RYK1726" s="227"/>
      <c r="RYL1726" s="227"/>
      <c r="RYM1726" s="227"/>
      <c r="RYN1726" s="227"/>
      <c r="RYO1726" s="227"/>
      <c r="RYP1726" s="227"/>
      <c r="RYQ1726" s="227"/>
      <c r="RYR1726" s="227"/>
      <c r="RYS1726" s="227"/>
      <c r="RYT1726" s="227"/>
      <c r="RYU1726" s="227"/>
      <c r="RYV1726" s="227"/>
      <c r="RYW1726" s="227"/>
      <c r="RYX1726" s="227"/>
      <c r="RYY1726" s="227"/>
      <c r="RYZ1726" s="227"/>
      <c r="RZA1726" s="227"/>
      <c r="RZB1726" s="227"/>
      <c r="RZC1726" s="227"/>
      <c r="RZD1726" s="227"/>
      <c r="RZE1726" s="227"/>
      <c r="RZF1726" s="227"/>
      <c r="RZG1726" s="227"/>
      <c r="RZH1726" s="227"/>
      <c r="RZI1726" s="227"/>
      <c r="RZJ1726" s="227"/>
      <c r="RZK1726" s="227"/>
      <c r="RZL1726" s="227"/>
      <c r="RZM1726" s="227"/>
      <c r="RZN1726" s="227"/>
      <c r="RZO1726" s="227"/>
      <c r="RZP1726" s="227"/>
      <c r="RZQ1726" s="227"/>
      <c r="RZR1726" s="227"/>
      <c r="RZS1726" s="227"/>
      <c r="RZT1726" s="227"/>
      <c r="RZU1726" s="227"/>
      <c r="RZV1726" s="227"/>
      <c r="RZW1726" s="227"/>
      <c r="RZX1726" s="227"/>
      <c r="RZY1726" s="227"/>
      <c r="RZZ1726" s="227"/>
      <c r="SAA1726" s="227"/>
      <c r="SAB1726" s="227"/>
      <c r="SAC1726" s="227"/>
      <c r="SAD1726" s="227"/>
      <c r="SAE1726" s="227"/>
      <c r="SAF1726" s="227"/>
      <c r="SAG1726" s="227"/>
      <c r="SAH1726" s="227"/>
      <c r="SAI1726" s="227"/>
      <c r="SAJ1726" s="227"/>
      <c r="SAK1726" s="227"/>
      <c r="SAL1726" s="227"/>
      <c r="SAM1726" s="227"/>
      <c r="SAN1726" s="227"/>
      <c r="SAO1726" s="227"/>
      <c r="SAP1726" s="227"/>
      <c r="SAQ1726" s="227"/>
      <c r="SAR1726" s="227"/>
      <c r="SAS1726" s="227"/>
      <c r="SAT1726" s="227"/>
      <c r="SAU1726" s="227"/>
      <c r="SAV1726" s="227"/>
      <c r="SAW1726" s="227"/>
      <c r="SAX1726" s="227"/>
      <c r="SAY1726" s="227"/>
      <c r="SAZ1726" s="227"/>
      <c r="SBA1726" s="227"/>
      <c r="SBB1726" s="227"/>
      <c r="SBC1726" s="227"/>
      <c r="SBD1726" s="227"/>
      <c r="SBE1726" s="227"/>
      <c r="SBF1726" s="227"/>
      <c r="SBG1726" s="227"/>
      <c r="SBH1726" s="227"/>
      <c r="SBI1726" s="227"/>
      <c r="SBJ1726" s="227"/>
      <c r="SBK1726" s="227"/>
      <c r="SBL1726" s="227"/>
      <c r="SBM1726" s="227"/>
      <c r="SBN1726" s="227"/>
      <c r="SBO1726" s="227"/>
      <c r="SBP1726" s="227"/>
      <c r="SBQ1726" s="227"/>
      <c r="SBR1726" s="227"/>
      <c r="SBS1726" s="227"/>
      <c r="SBT1726" s="227"/>
      <c r="SBU1726" s="227"/>
      <c r="SBV1726" s="227"/>
      <c r="SBW1726" s="227"/>
      <c r="SBX1726" s="227"/>
      <c r="SBY1726" s="227"/>
      <c r="SBZ1726" s="227"/>
      <c r="SCA1726" s="227"/>
      <c r="SCB1726" s="227"/>
      <c r="SCC1726" s="227"/>
      <c r="SCD1726" s="227"/>
      <c r="SCE1726" s="227"/>
      <c r="SCF1726" s="227"/>
      <c r="SCG1726" s="227"/>
      <c r="SCH1726" s="227"/>
      <c r="SCI1726" s="227"/>
      <c r="SCJ1726" s="227"/>
      <c r="SCK1726" s="227"/>
      <c r="SCL1726" s="227"/>
      <c r="SCM1726" s="227"/>
      <c r="SCN1726" s="227"/>
      <c r="SCO1726" s="227"/>
      <c r="SCP1726" s="227"/>
      <c r="SCQ1726" s="227"/>
      <c r="SCR1726" s="227"/>
      <c r="SCS1726" s="227"/>
      <c r="SCT1726" s="227"/>
      <c r="SCU1726" s="227"/>
      <c r="SCV1726" s="227"/>
      <c r="SCW1726" s="227"/>
      <c r="SCX1726" s="227"/>
      <c r="SCY1726" s="227"/>
      <c r="SCZ1726" s="227"/>
      <c r="SDA1726" s="227"/>
      <c r="SDB1726" s="227"/>
      <c r="SDC1726" s="227"/>
      <c r="SDD1726" s="227"/>
      <c r="SDE1726" s="227"/>
      <c r="SDF1726" s="227"/>
      <c r="SDG1726" s="227"/>
      <c r="SDH1726" s="227"/>
      <c r="SDI1726" s="227"/>
      <c r="SDJ1726" s="227"/>
      <c r="SDK1726" s="227"/>
      <c r="SDL1726" s="227"/>
      <c r="SDM1726" s="227"/>
      <c r="SDN1726" s="227"/>
      <c r="SDO1726" s="227"/>
      <c r="SDP1726" s="227"/>
      <c r="SDQ1726" s="227"/>
      <c r="SDR1726" s="227"/>
      <c r="SDS1726" s="227"/>
      <c r="SDT1726" s="227"/>
      <c r="SDU1726" s="227"/>
      <c r="SDV1726" s="227"/>
      <c r="SDW1726" s="227"/>
      <c r="SDX1726" s="227"/>
      <c r="SDY1726" s="227"/>
      <c r="SDZ1726" s="227"/>
      <c r="SEA1726" s="227"/>
      <c r="SEB1726" s="227"/>
      <c r="SEC1726" s="227"/>
      <c r="SED1726" s="227"/>
      <c r="SEE1726" s="227"/>
      <c r="SEF1726" s="227"/>
      <c r="SEG1726" s="227"/>
      <c r="SEH1726" s="227"/>
      <c r="SEI1726" s="227"/>
      <c r="SEJ1726" s="227"/>
      <c r="SEK1726" s="227"/>
      <c r="SEL1726" s="227"/>
      <c r="SEM1726" s="227"/>
      <c r="SEN1726" s="227"/>
      <c r="SEO1726" s="227"/>
      <c r="SEP1726" s="227"/>
      <c r="SEQ1726" s="227"/>
      <c r="SER1726" s="227"/>
      <c r="SES1726" s="227"/>
      <c r="SET1726" s="227"/>
      <c r="SEU1726" s="227"/>
      <c r="SEV1726" s="227"/>
      <c r="SEW1726" s="227"/>
      <c r="SEX1726" s="227"/>
      <c r="SEY1726" s="227"/>
      <c r="SEZ1726" s="227"/>
      <c r="SFA1726" s="227"/>
      <c r="SFB1726" s="227"/>
      <c r="SFC1726" s="227"/>
      <c r="SFD1726" s="227"/>
      <c r="SFE1726" s="227"/>
      <c r="SFF1726" s="227"/>
      <c r="SFG1726" s="227"/>
      <c r="SFH1726" s="227"/>
      <c r="SFI1726" s="227"/>
      <c r="SFJ1726" s="227"/>
      <c r="SFK1726" s="227"/>
      <c r="SFL1726" s="227"/>
      <c r="SFM1726" s="227"/>
      <c r="SFN1726" s="227"/>
      <c r="SFO1726" s="227"/>
      <c r="SFP1726" s="227"/>
      <c r="SFQ1726" s="227"/>
      <c r="SFR1726" s="227"/>
      <c r="SFS1726" s="227"/>
      <c r="SFT1726" s="227"/>
      <c r="SFU1726" s="227"/>
      <c r="SFV1726" s="227"/>
      <c r="SFW1726" s="227"/>
      <c r="SFX1726" s="227"/>
      <c r="SFY1726" s="227"/>
      <c r="SFZ1726" s="227"/>
      <c r="SGA1726" s="227"/>
      <c r="SGB1726" s="227"/>
      <c r="SGC1726" s="227"/>
      <c r="SGD1726" s="227"/>
      <c r="SGE1726" s="227"/>
      <c r="SGF1726" s="227"/>
      <c r="SGG1726" s="227"/>
      <c r="SGH1726" s="227"/>
      <c r="SGI1726" s="227"/>
      <c r="SGJ1726" s="227"/>
      <c r="SGK1726" s="227"/>
      <c r="SGL1726" s="227"/>
      <c r="SGM1726" s="227"/>
      <c r="SGN1726" s="227"/>
      <c r="SGO1726" s="227"/>
      <c r="SGP1726" s="227"/>
      <c r="SGQ1726" s="227"/>
      <c r="SGR1726" s="227"/>
      <c r="SGS1726" s="227"/>
      <c r="SGT1726" s="227"/>
      <c r="SGU1726" s="227"/>
      <c r="SGV1726" s="227"/>
      <c r="SGW1726" s="227"/>
      <c r="SGX1726" s="227"/>
      <c r="SGY1726" s="227"/>
      <c r="SGZ1726" s="227"/>
      <c r="SHA1726" s="227"/>
      <c r="SHB1726" s="227"/>
      <c r="SHC1726" s="227"/>
      <c r="SHD1726" s="227"/>
      <c r="SHE1726" s="227"/>
      <c r="SHF1726" s="227"/>
      <c r="SHG1726" s="227"/>
      <c r="SHH1726" s="227"/>
      <c r="SHI1726" s="227"/>
      <c r="SHJ1726" s="227"/>
      <c r="SHK1726" s="227"/>
      <c r="SHL1726" s="227"/>
      <c r="SHM1726" s="227"/>
      <c r="SHN1726" s="227"/>
      <c r="SHO1726" s="227"/>
      <c r="SHP1726" s="227"/>
      <c r="SHQ1726" s="227"/>
      <c r="SHR1726" s="227"/>
      <c r="SHS1726" s="227"/>
      <c r="SHT1726" s="227"/>
      <c r="SHU1726" s="227"/>
      <c r="SHV1726" s="227"/>
      <c r="SHW1726" s="227"/>
      <c r="SHX1726" s="227"/>
      <c r="SHY1726" s="227"/>
      <c r="SHZ1726" s="227"/>
      <c r="SIA1726" s="227"/>
      <c r="SIB1726" s="227"/>
      <c r="SIC1726" s="227"/>
      <c r="SID1726" s="227"/>
      <c r="SIE1726" s="227"/>
      <c r="SIF1726" s="227"/>
      <c r="SIG1726" s="227"/>
      <c r="SIH1726" s="227"/>
      <c r="SII1726" s="227"/>
      <c r="SIJ1726" s="227"/>
      <c r="SIK1726" s="227"/>
      <c r="SIL1726" s="227"/>
      <c r="SIM1726" s="227"/>
      <c r="SIN1726" s="227"/>
      <c r="SIO1726" s="227"/>
      <c r="SIP1726" s="227"/>
      <c r="SIQ1726" s="227"/>
      <c r="SIR1726" s="227"/>
      <c r="SIS1726" s="227"/>
      <c r="SIT1726" s="227"/>
      <c r="SIU1726" s="227"/>
      <c r="SIV1726" s="227"/>
      <c r="SIW1726" s="227"/>
      <c r="SIX1726" s="227"/>
      <c r="SIY1726" s="227"/>
      <c r="SIZ1726" s="227"/>
      <c r="SJA1726" s="227"/>
      <c r="SJB1726" s="227"/>
      <c r="SJC1726" s="227"/>
      <c r="SJD1726" s="227"/>
      <c r="SJE1726" s="227"/>
      <c r="SJF1726" s="227"/>
      <c r="SJG1726" s="227"/>
      <c r="SJH1726" s="227"/>
      <c r="SJI1726" s="227"/>
      <c r="SJJ1726" s="227"/>
      <c r="SJK1726" s="227"/>
      <c r="SJL1726" s="227"/>
      <c r="SJM1726" s="227"/>
      <c r="SJN1726" s="227"/>
      <c r="SJO1726" s="227"/>
      <c r="SJP1726" s="227"/>
      <c r="SJQ1726" s="227"/>
      <c r="SJR1726" s="227"/>
      <c r="SJS1726" s="227"/>
      <c r="SJT1726" s="227"/>
      <c r="SJU1726" s="227"/>
      <c r="SJV1726" s="227"/>
      <c r="SJW1726" s="227"/>
      <c r="SJX1726" s="227"/>
      <c r="SJY1726" s="227"/>
      <c r="SJZ1726" s="227"/>
      <c r="SKA1726" s="227"/>
      <c r="SKB1726" s="227"/>
      <c r="SKC1726" s="227"/>
      <c r="SKD1726" s="227"/>
      <c r="SKE1726" s="227"/>
      <c r="SKF1726" s="227"/>
      <c r="SKG1726" s="227"/>
      <c r="SKH1726" s="227"/>
      <c r="SKI1726" s="227"/>
      <c r="SKJ1726" s="227"/>
      <c r="SKK1726" s="227"/>
      <c r="SKL1726" s="227"/>
      <c r="SKM1726" s="227"/>
      <c r="SKN1726" s="227"/>
      <c r="SKO1726" s="227"/>
      <c r="SKP1726" s="227"/>
      <c r="SKQ1726" s="227"/>
      <c r="SKR1726" s="227"/>
      <c r="SKS1726" s="227"/>
      <c r="SKT1726" s="227"/>
      <c r="SKU1726" s="227"/>
      <c r="SKV1726" s="227"/>
      <c r="SKW1726" s="227"/>
      <c r="SKX1726" s="227"/>
      <c r="SKY1726" s="227"/>
      <c r="SKZ1726" s="227"/>
      <c r="SLA1726" s="227"/>
      <c r="SLB1726" s="227"/>
      <c r="SLC1726" s="227"/>
      <c r="SLD1726" s="227"/>
      <c r="SLE1726" s="227"/>
      <c r="SLF1726" s="227"/>
      <c r="SLG1726" s="227"/>
      <c r="SLH1726" s="227"/>
      <c r="SLI1726" s="227"/>
      <c r="SLJ1726" s="227"/>
      <c r="SLK1726" s="227"/>
      <c r="SLL1726" s="227"/>
      <c r="SLM1726" s="227"/>
      <c r="SLN1726" s="227"/>
      <c r="SLO1726" s="227"/>
      <c r="SLP1726" s="227"/>
      <c r="SLQ1726" s="227"/>
      <c r="SLR1726" s="227"/>
      <c r="SLS1726" s="227"/>
      <c r="SLT1726" s="227"/>
      <c r="SLU1726" s="227"/>
      <c r="SLV1726" s="227"/>
      <c r="SLW1726" s="227"/>
      <c r="SLX1726" s="227"/>
      <c r="SLY1726" s="227"/>
      <c r="SLZ1726" s="227"/>
      <c r="SMA1726" s="227"/>
      <c r="SMB1726" s="227"/>
      <c r="SMC1726" s="227"/>
      <c r="SMD1726" s="227"/>
      <c r="SME1726" s="227"/>
      <c r="SMF1726" s="227"/>
      <c r="SMG1726" s="227"/>
      <c r="SMH1726" s="227"/>
      <c r="SMI1726" s="227"/>
      <c r="SMJ1726" s="227"/>
      <c r="SMK1726" s="227"/>
      <c r="SML1726" s="227"/>
      <c r="SMM1726" s="227"/>
      <c r="SMN1726" s="227"/>
      <c r="SMO1726" s="227"/>
      <c r="SMP1726" s="227"/>
      <c r="SMQ1726" s="227"/>
      <c r="SMR1726" s="227"/>
      <c r="SMS1726" s="227"/>
      <c r="SMT1726" s="227"/>
      <c r="SMU1726" s="227"/>
      <c r="SMV1726" s="227"/>
      <c r="SMW1726" s="227"/>
      <c r="SMX1726" s="227"/>
      <c r="SMY1726" s="227"/>
      <c r="SMZ1726" s="227"/>
      <c r="SNA1726" s="227"/>
      <c r="SNB1726" s="227"/>
      <c r="SNC1726" s="227"/>
      <c r="SND1726" s="227"/>
      <c r="SNE1726" s="227"/>
      <c r="SNF1726" s="227"/>
      <c r="SNG1726" s="227"/>
      <c r="SNH1726" s="227"/>
      <c r="SNI1726" s="227"/>
      <c r="SNJ1726" s="227"/>
      <c r="SNK1726" s="227"/>
      <c r="SNL1726" s="227"/>
      <c r="SNM1726" s="227"/>
      <c r="SNN1726" s="227"/>
      <c r="SNO1726" s="227"/>
      <c r="SNP1726" s="227"/>
      <c r="SNQ1726" s="227"/>
      <c r="SNR1726" s="227"/>
      <c r="SNS1726" s="227"/>
      <c r="SNT1726" s="227"/>
      <c r="SNU1726" s="227"/>
      <c r="SNV1726" s="227"/>
      <c r="SNW1726" s="227"/>
      <c r="SNX1726" s="227"/>
      <c r="SNY1726" s="227"/>
      <c r="SNZ1726" s="227"/>
      <c r="SOA1726" s="227"/>
      <c r="SOB1726" s="227"/>
      <c r="SOC1726" s="227"/>
      <c r="SOD1726" s="227"/>
      <c r="SOE1726" s="227"/>
      <c r="SOF1726" s="227"/>
      <c r="SOG1726" s="227"/>
      <c r="SOH1726" s="227"/>
      <c r="SOI1726" s="227"/>
      <c r="SOJ1726" s="227"/>
      <c r="SOK1726" s="227"/>
      <c r="SOL1726" s="227"/>
      <c r="SOM1726" s="227"/>
      <c r="SON1726" s="227"/>
      <c r="SOO1726" s="227"/>
      <c r="SOP1726" s="227"/>
      <c r="SOQ1726" s="227"/>
      <c r="SOR1726" s="227"/>
      <c r="SOS1726" s="227"/>
      <c r="SOT1726" s="227"/>
      <c r="SOU1726" s="227"/>
      <c r="SOV1726" s="227"/>
      <c r="SOW1726" s="227"/>
      <c r="SOX1726" s="227"/>
      <c r="SOY1726" s="227"/>
      <c r="SOZ1726" s="227"/>
      <c r="SPA1726" s="227"/>
      <c r="SPB1726" s="227"/>
      <c r="SPC1726" s="227"/>
      <c r="SPD1726" s="227"/>
      <c r="SPE1726" s="227"/>
      <c r="SPF1726" s="227"/>
      <c r="SPG1726" s="227"/>
      <c r="SPH1726" s="227"/>
      <c r="SPI1726" s="227"/>
      <c r="SPJ1726" s="227"/>
      <c r="SPK1726" s="227"/>
      <c r="SPL1726" s="227"/>
      <c r="SPM1726" s="227"/>
      <c r="SPN1726" s="227"/>
      <c r="SPO1726" s="227"/>
      <c r="SPP1726" s="227"/>
      <c r="SPQ1726" s="227"/>
      <c r="SPR1726" s="227"/>
      <c r="SPS1726" s="227"/>
      <c r="SPT1726" s="227"/>
      <c r="SPU1726" s="227"/>
      <c r="SPV1726" s="227"/>
      <c r="SPW1726" s="227"/>
      <c r="SPX1726" s="227"/>
      <c r="SPY1726" s="227"/>
      <c r="SPZ1726" s="227"/>
      <c r="SQA1726" s="227"/>
      <c r="SQB1726" s="227"/>
      <c r="SQC1726" s="227"/>
      <c r="SQD1726" s="227"/>
      <c r="SQE1726" s="227"/>
      <c r="SQF1726" s="227"/>
      <c r="SQG1726" s="227"/>
      <c r="SQH1726" s="227"/>
      <c r="SQI1726" s="227"/>
      <c r="SQJ1726" s="227"/>
      <c r="SQK1726" s="227"/>
      <c r="SQL1726" s="227"/>
      <c r="SQM1726" s="227"/>
      <c r="SQN1726" s="227"/>
      <c r="SQO1726" s="227"/>
      <c r="SQP1726" s="227"/>
      <c r="SQQ1726" s="227"/>
      <c r="SQR1726" s="227"/>
      <c r="SQS1726" s="227"/>
      <c r="SQT1726" s="227"/>
      <c r="SQU1726" s="227"/>
      <c r="SQV1726" s="227"/>
      <c r="SQW1726" s="227"/>
      <c r="SQX1726" s="227"/>
      <c r="SQY1726" s="227"/>
      <c r="SQZ1726" s="227"/>
      <c r="SRA1726" s="227"/>
      <c r="SRB1726" s="227"/>
      <c r="SRC1726" s="227"/>
      <c r="SRD1726" s="227"/>
      <c r="SRE1726" s="227"/>
      <c r="SRF1726" s="227"/>
      <c r="SRG1726" s="227"/>
      <c r="SRH1726" s="227"/>
      <c r="SRI1726" s="227"/>
      <c r="SRJ1726" s="227"/>
      <c r="SRK1726" s="227"/>
      <c r="SRL1726" s="227"/>
      <c r="SRM1726" s="227"/>
      <c r="SRN1726" s="227"/>
      <c r="SRO1726" s="227"/>
      <c r="SRP1726" s="227"/>
      <c r="SRQ1726" s="227"/>
      <c r="SRR1726" s="227"/>
      <c r="SRS1726" s="227"/>
      <c r="SRT1726" s="227"/>
      <c r="SRU1726" s="227"/>
      <c r="SRV1726" s="227"/>
      <c r="SRW1726" s="227"/>
      <c r="SRX1726" s="227"/>
      <c r="SRY1726" s="227"/>
      <c r="SRZ1726" s="227"/>
      <c r="SSA1726" s="227"/>
      <c r="SSB1726" s="227"/>
      <c r="SSC1726" s="227"/>
      <c r="SSD1726" s="227"/>
      <c r="SSE1726" s="227"/>
      <c r="SSF1726" s="227"/>
      <c r="SSG1726" s="227"/>
      <c r="SSH1726" s="227"/>
      <c r="SSI1726" s="227"/>
      <c r="SSJ1726" s="227"/>
      <c r="SSK1726" s="227"/>
      <c r="SSL1726" s="227"/>
      <c r="SSM1726" s="227"/>
      <c r="SSN1726" s="227"/>
      <c r="SSO1726" s="227"/>
      <c r="SSP1726" s="227"/>
      <c r="SSQ1726" s="227"/>
      <c r="SSR1726" s="227"/>
      <c r="SSS1726" s="227"/>
      <c r="SST1726" s="227"/>
      <c r="SSU1726" s="227"/>
      <c r="SSV1726" s="227"/>
      <c r="SSW1726" s="227"/>
      <c r="SSX1726" s="227"/>
      <c r="SSY1726" s="227"/>
      <c r="SSZ1726" s="227"/>
      <c r="STA1726" s="227"/>
      <c r="STB1726" s="227"/>
      <c r="STC1726" s="227"/>
      <c r="STD1726" s="227"/>
      <c r="STE1726" s="227"/>
      <c r="STF1726" s="227"/>
      <c r="STG1726" s="227"/>
      <c r="STH1726" s="227"/>
      <c r="STI1726" s="227"/>
      <c r="STJ1726" s="227"/>
      <c r="STK1726" s="227"/>
      <c r="STL1726" s="227"/>
      <c r="STM1726" s="227"/>
      <c r="STN1726" s="227"/>
      <c r="STO1726" s="227"/>
      <c r="STP1726" s="227"/>
      <c r="STQ1726" s="227"/>
      <c r="STR1726" s="227"/>
      <c r="STS1726" s="227"/>
      <c r="STT1726" s="227"/>
      <c r="STU1726" s="227"/>
      <c r="STV1726" s="227"/>
      <c r="STW1726" s="227"/>
      <c r="STX1726" s="227"/>
      <c r="STY1726" s="227"/>
      <c r="STZ1726" s="227"/>
      <c r="SUA1726" s="227"/>
      <c r="SUB1726" s="227"/>
      <c r="SUC1726" s="227"/>
      <c r="SUD1726" s="227"/>
      <c r="SUE1726" s="227"/>
      <c r="SUF1726" s="227"/>
      <c r="SUG1726" s="227"/>
      <c r="SUH1726" s="227"/>
      <c r="SUI1726" s="227"/>
      <c r="SUJ1726" s="227"/>
      <c r="SUK1726" s="227"/>
      <c r="SUL1726" s="227"/>
      <c r="SUM1726" s="227"/>
      <c r="SUN1726" s="227"/>
      <c r="SUO1726" s="227"/>
      <c r="SUP1726" s="227"/>
      <c r="SUQ1726" s="227"/>
      <c r="SUR1726" s="227"/>
      <c r="SUS1726" s="227"/>
      <c r="SUT1726" s="227"/>
      <c r="SUU1726" s="227"/>
      <c r="SUV1726" s="227"/>
      <c r="SUW1726" s="227"/>
      <c r="SUX1726" s="227"/>
      <c r="SUY1726" s="227"/>
      <c r="SUZ1726" s="227"/>
      <c r="SVA1726" s="227"/>
      <c r="SVB1726" s="227"/>
      <c r="SVC1726" s="227"/>
      <c r="SVD1726" s="227"/>
      <c r="SVE1726" s="227"/>
      <c r="SVF1726" s="227"/>
      <c r="SVG1726" s="227"/>
      <c r="SVH1726" s="227"/>
      <c r="SVI1726" s="227"/>
      <c r="SVJ1726" s="227"/>
      <c r="SVK1726" s="227"/>
      <c r="SVL1726" s="227"/>
      <c r="SVM1726" s="227"/>
      <c r="SVN1726" s="227"/>
      <c r="SVO1726" s="227"/>
      <c r="SVP1726" s="227"/>
      <c r="SVQ1726" s="227"/>
      <c r="SVR1726" s="227"/>
      <c r="SVS1726" s="227"/>
      <c r="SVT1726" s="227"/>
      <c r="SVU1726" s="227"/>
      <c r="SVV1726" s="227"/>
      <c r="SVW1726" s="227"/>
      <c r="SVX1726" s="227"/>
      <c r="SVY1726" s="227"/>
      <c r="SVZ1726" s="227"/>
      <c r="SWA1726" s="227"/>
      <c r="SWB1726" s="227"/>
      <c r="SWC1726" s="227"/>
      <c r="SWD1726" s="227"/>
      <c r="SWE1726" s="227"/>
      <c r="SWF1726" s="227"/>
      <c r="SWG1726" s="227"/>
      <c r="SWH1726" s="227"/>
      <c r="SWI1726" s="227"/>
      <c r="SWJ1726" s="227"/>
      <c r="SWK1726" s="227"/>
      <c r="SWL1726" s="227"/>
      <c r="SWM1726" s="227"/>
      <c r="SWN1726" s="227"/>
      <c r="SWO1726" s="227"/>
      <c r="SWP1726" s="227"/>
      <c r="SWQ1726" s="227"/>
      <c r="SWR1726" s="227"/>
      <c r="SWS1726" s="227"/>
      <c r="SWT1726" s="227"/>
      <c r="SWU1726" s="227"/>
      <c r="SWV1726" s="227"/>
      <c r="SWW1726" s="227"/>
      <c r="SWX1726" s="227"/>
      <c r="SWY1726" s="227"/>
      <c r="SWZ1726" s="227"/>
      <c r="SXA1726" s="227"/>
      <c r="SXB1726" s="227"/>
      <c r="SXC1726" s="227"/>
      <c r="SXD1726" s="227"/>
      <c r="SXE1726" s="227"/>
      <c r="SXF1726" s="227"/>
      <c r="SXG1726" s="227"/>
      <c r="SXH1726" s="227"/>
      <c r="SXI1726" s="227"/>
      <c r="SXJ1726" s="227"/>
      <c r="SXK1726" s="227"/>
      <c r="SXL1726" s="227"/>
      <c r="SXM1726" s="227"/>
      <c r="SXN1726" s="227"/>
      <c r="SXO1726" s="227"/>
      <c r="SXP1726" s="227"/>
      <c r="SXQ1726" s="227"/>
      <c r="SXR1726" s="227"/>
      <c r="SXS1726" s="227"/>
      <c r="SXT1726" s="227"/>
      <c r="SXU1726" s="227"/>
      <c r="SXV1726" s="227"/>
      <c r="SXW1726" s="227"/>
      <c r="SXX1726" s="227"/>
      <c r="SXY1726" s="227"/>
      <c r="SXZ1726" s="227"/>
      <c r="SYA1726" s="227"/>
      <c r="SYB1726" s="227"/>
      <c r="SYC1726" s="227"/>
      <c r="SYD1726" s="227"/>
      <c r="SYE1726" s="227"/>
      <c r="SYF1726" s="227"/>
      <c r="SYG1726" s="227"/>
      <c r="SYH1726" s="227"/>
      <c r="SYI1726" s="227"/>
      <c r="SYJ1726" s="227"/>
      <c r="SYK1726" s="227"/>
      <c r="SYL1726" s="227"/>
      <c r="SYM1726" s="227"/>
      <c r="SYN1726" s="227"/>
      <c r="SYO1726" s="227"/>
      <c r="SYP1726" s="227"/>
      <c r="SYQ1726" s="227"/>
      <c r="SYR1726" s="227"/>
      <c r="SYS1726" s="227"/>
      <c r="SYT1726" s="227"/>
      <c r="SYU1726" s="227"/>
      <c r="SYV1726" s="227"/>
      <c r="SYW1726" s="227"/>
      <c r="SYX1726" s="227"/>
      <c r="SYY1726" s="227"/>
      <c r="SYZ1726" s="227"/>
      <c r="SZA1726" s="227"/>
      <c r="SZB1726" s="227"/>
      <c r="SZC1726" s="227"/>
      <c r="SZD1726" s="227"/>
      <c r="SZE1726" s="227"/>
      <c r="SZF1726" s="227"/>
      <c r="SZG1726" s="227"/>
      <c r="SZH1726" s="227"/>
      <c r="SZI1726" s="227"/>
      <c r="SZJ1726" s="227"/>
      <c r="SZK1726" s="227"/>
      <c r="SZL1726" s="227"/>
      <c r="SZM1726" s="227"/>
      <c r="SZN1726" s="227"/>
      <c r="SZO1726" s="227"/>
      <c r="SZP1726" s="227"/>
      <c r="SZQ1726" s="227"/>
      <c r="SZR1726" s="227"/>
      <c r="SZS1726" s="227"/>
      <c r="SZT1726" s="227"/>
      <c r="SZU1726" s="227"/>
      <c r="SZV1726" s="227"/>
      <c r="SZW1726" s="227"/>
      <c r="SZX1726" s="227"/>
      <c r="SZY1726" s="227"/>
      <c r="SZZ1726" s="227"/>
      <c r="TAA1726" s="227"/>
      <c r="TAB1726" s="227"/>
      <c r="TAC1726" s="227"/>
      <c r="TAD1726" s="227"/>
      <c r="TAE1726" s="227"/>
      <c r="TAF1726" s="227"/>
      <c r="TAG1726" s="227"/>
      <c r="TAH1726" s="227"/>
      <c r="TAI1726" s="227"/>
      <c r="TAJ1726" s="227"/>
      <c r="TAK1726" s="227"/>
      <c r="TAL1726" s="227"/>
      <c r="TAM1726" s="227"/>
      <c r="TAN1726" s="227"/>
      <c r="TAO1726" s="227"/>
      <c r="TAP1726" s="227"/>
      <c r="TAQ1726" s="227"/>
      <c r="TAR1726" s="227"/>
      <c r="TAS1726" s="227"/>
      <c r="TAT1726" s="227"/>
      <c r="TAU1726" s="227"/>
      <c r="TAV1726" s="227"/>
      <c r="TAW1726" s="227"/>
      <c r="TAX1726" s="227"/>
      <c r="TAY1726" s="227"/>
      <c r="TAZ1726" s="227"/>
      <c r="TBA1726" s="227"/>
      <c r="TBB1726" s="227"/>
      <c r="TBC1726" s="227"/>
      <c r="TBD1726" s="227"/>
      <c r="TBE1726" s="227"/>
      <c r="TBF1726" s="227"/>
      <c r="TBG1726" s="227"/>
      <c r="TBH1726" s="227"/>
      <c r="TBI1726" s="227"/>
      <c r="TBJ1726" s="227"/>
      <c r="TBK1726" s="227"/>
      <c r="TBL1726" s="227"/>
      <c r="TBM1726" s="227"/>
      <c r="TBN1726" s="227"/>
      <c r="TBO1726" s="227"/>
      <c r="TBP1726" s="227"/>
      <c r="TBQ1726" s="227"/>
      <c r="TBR1726" s="227"/>
      <c r="TBS1726" s="227"/>
      <c r="TBT1726" s="227"/>
      <c r="TBU1726" s="227"/>
      <c r="TBV1726" s="227"/>
      <c r="TBW1726" s="227"/>
      <c r="TBX1726" s="227"/>
      <c r="TBY1726" s="227"/>
      <c r="TBZ1726" s="227"/>
      <c r="TCA1726" s="227"/>
      <c r="TCB1726" s="227"/>
      <c r="TCC1726" s="227"/>
      <c r="TCD1726" s="227"/>
      <c r="TCE1726" s="227"/>
      <c r="TCF1726" s="227"/>
      <c r="TCG1726" s="227"/>
      <c r="TCH1726" s="227"/>
      <c r="TCI1726" s="227"/>
      <c r="TCJ1726" s="227"/>
      <c r="TCK1726" s="227"/>
      <c r="TCL1726" s="227"/>
      <c r="TCM1726" s="227"/>
      <c r="TCN1726" s="227"/>
      <c r="TCO1726" s="227"/>
      <c r="TCP1726" s="227"/>
      <c r="TCQ1726" s="227"/>
      <c r="TCR1726" s="227"/>
      <c r="TCS1726" s="227"/>
      <c r="TCT1726" s="227"/>
      <c r="TCU1726" s="227"/>
      <c r="TCV1726" s="227"/>
      <c r="TCW1726" s="227"/>
      <c r="TCX1726" s="227"/>
      <c r="TCY1726" s="227"/>
      <c r="TCZ1726" s="227"/>
      <c r="TDA1726" s="227"/>
      <c r="TDB1726" s="227"/>
      <c r="TDC1726" s="227"/>
      <c r="TDD1726" s="227"/>
      <c r="TDE1726" s="227"/>
      <c r="TDF1726" s="227"/>
      <c r="TDG1726" s="227"/>
      <c r="TDH1726" s="227"/>
      <c r="TDI1726" s="227"/>
      <c r="TDJ1726" s="227"/>
      <c r="TDK1726" s="227"/>
      <c r="TDL1726" s="227"/>
      <c r="TDM1726" s="227"/>
      <c r="TDN1726" s="227"/>
      <c r="TDO1726" s="227"/>
      <c r="TDP1726" s="227"/>
      <c r="TDQ1726" s="227"/>
      <c r="TDR1726" s="227"/>
      <c r="TDS1726" s="227"/>
      <c r="TDT1726" s="227"/>
      <c r="TDU1726" s="227"/>
      <c r="TDV1726" s="227"/>
      <c r="TDW1726" s="227"/>
      <c r="TDX1726" s="227"/>
      <c r="TDY1726" s="227"/>
      <c r="TDZ1726" s="227"/>
      <c r="TEA1726" s="227"/>
      <c r="TEB1726" s="227"/>
      <c r="TEC1726" s="227"/>
      <c r="TED1726" s="227"/>
      <c r="TEE1726" s="227"/>
      <c r="TEF1726" s="227"/>
      <c r="TEG1726" s="227"/>
      <c r="TEH1726" s="227"/>
      <c r="TEI1726" s="227"/>
      <c r="TEJ1726" s="227"/>
      <c r="TEK1726" s="227"/>
      <c r="TEL1726" s="227"/>
      <c r="TEM1726" s="227"/>
      <c r="TEN1726" s="227"/>
      <c r="TEO1726" s="227"/>
      <c r="TEP1726" s="227"/>
      <c r="TEQ1726" s="227"/>
      <c r="TER1726" s="227"/>
      <c r="TES1726" s="227"/>
      <c r="TET1726" s="227"/>
      <c r="TEU1726" s="227"/>
      <c r="TEV1726" s="227"/>
      <c r="TEW1726" s="227"/>
      <c r="TEX1726" s="227"/>
      <c r="TEY1726" s="227"/>
      <c r="TEZ1726" s="227"/>
      <c r="TFA1726" s="227"/>
      <c r="TFB1726" s="227"/>
      <c r="TFC1726" s="227"/>
      <c r="TFD1726" s="227"/>
      <c r="TFE1726" s="227"/>
      <c r="TFF1726" s="227"/>
      <c r="TFG1726" s="227"/>
      <c r="TFH1726" s="227"/>
      <c r="TFI1726" s="227"/>
      <c r="TFJ1726" s="227"/>
      <c r="TFK1726" s="227"/>
      <c r="TFL1726" s="227"/>
      <c r="TFM1726" s="227"/>
      <c r="TFN1726" s="227"/>
      <c r="TFO1726" s="227"/>
      <c r="TFP1726" s="227"/>
      <c r="TFQ1726" s="227"/>
      <c r="TFR1726" s="227"/>
      <c r="TFS1726" s="227"/>
      <c r="TFT1726" s="227"/>
      <c r="TFU1726" s="227"/>
      <c r="TFV1726" s="227"/>
      <c r="TFW1726" s="227"/>
      <c r="TFX1726" s="227"/>
      <c r="TFY1726" s="227"/>
      <c r="TFZ1726" s="227"/>
      <c r="TGA1726" s="227"/>
      <c r="TGB1726" s="227"/>
      <c r="TGC1726" s="227"/>
      <c r="TGD1726" s="227"/>
      <c r="TGE1726" s="227"/>
      <c r="TGF1726" s="227"/>
      <c r="TGG1726" s="227"/>
      <c r="TGH1726" s="227"/>
      <c r="TGI1726" s="227"/>
      <c r="TGJ1726" s="227"/>
      <c r="TGK1726" s="227"/>
      <c r="TGL1726" s="227"/>
      <c r="TGM1726" s="227"/>
      <c r="TGN1726" s="227"/>
      <c r="TGO1726" s="227"/>
      <c r="TGP1726" s="227"/>
      <c r="TGQ1726" s="227"/>
      <c r="TGR1726" s="227"/>
      <c r="TGS1726" s="227"/>
      <c r="TGT1726" s="227"/>
      <c r="TGU1726" s="227"/>
      <c r="TGV1726" s="227"/>
      <c r="TGW1726" s="227"/>
      <c r="TGX1726" s="227"/>
      <c r="TGY1726" s="227"/>
      <c r="TGZ1726" s="227"/>
      <c r="THA1726" s="227"/>
      <c r="THB1726" s="227"/>
      <c r="THC1726" s="227"/>
      <c r="THD1726" s="227"/>
      <c r="THE1726" s="227"/>
      <c r="THF1726" s="227"/>
      <c r="THG1726" s="227"/>
      <c r="THH1726" s="227"/>
      <c r="THI1726" s="227"/>
      <c r="THJ1726" s="227"/>
      <c r="THK1726" s="227"/>
      <c r="THL1726" s="227"/>
      <c r="THM1726" s="227"/>
      <c r="THN1726" s="227"/>
      <c r="THO1726" s="227"/>
      <c r="THP1726" s="227"/>
      <c r="THQ1726" s="227"/>
      <c r="THR1726" s="227"/>
      <c r="THS1726" s="227"/>
      <c r="THT1726" s="227"/>
      <c r="THU1726" s="227"/>
      <c r="THV1726" s="227"/>
      <c r="THW1726" s="227"/>
      <c r="THX1726" s="227"/>
      <c r="THY1726" s="227"/>
      <c r="THZ1726" s="227"/>
      <c r="TIA1726" s="227"/>
      <c r="TIB1726" s="227"/>
      <c r="TIC1726" s="227"/>
      <c r="TID1726" s="227"/>
      <c r="TIE1726" s="227"/>
      <c r="TIF1726" s="227"/>
      <c r="TIG1726" s="227"/>
      <c r="TIH1726" s="227"/>
      <c r="TII1726" s="227"/>
      <c r="TIJ1726" s="227"/>
      <c r="TIK1726" s="227"/>
      <c r="TIL1726" s="227"/>
      <c r="TIM1726" s="227"/>
      <c r="TIN1726" s="227"/>
      <c r="TIO1726" s="227"/>
      <c r="TIP1726" s="227"/>
      <c r="TIQ1726" s="227"/>
      <c r="TIR1726" s="227"/>
      <c r="TIS1726" s="227"/>
      <c r="TIT1726" s="227"/>
      <c r="TIU1726" s="227"/>
      <c r="TIV1726" s="227"/>
      <c r="TIW1726" s="227"/>
      <c r="TIX1726" s="227"/>
      <c r="TIY1726" s="227"/>
      <c r="TIZ1726" s="227"/>
      <c r="TJA1726" s="227"/>
      <c r="TJB1726" s="227"/>
      <c r="TJC1726" s="227"/>
      <c r="TJD1726" s="227"/>
      <c r="TJE1726" s="227"/>
      <c r="TJF1726" s="227"/>
      <c r="TJG1726" s="227"/>
      <c r="TJH1726" s="227"/>
      <c r="TJI1726" s="227"/>
      <c r="TJJ1726" s="227"/>
      <c r="TJK1726" s="227"/>
      <c r="TJL1726" s="227"/>
      <c r="TJM1726" s="227"/>
      <c r="TJN1726" s="227"/>
      <c r="TJO1726" s="227"/>
      <c r="TJP1726" s="227"/>
      <c r="TJQ1726" s="227"/>
      <c r="TJR1726" s="227"/>
      <c r="TJS1726" s="227"/>
      <c r="TJT1726" s="227"/>
      <c r="TJU1726" s="227"/>
      <c r="TJV1726" s="227"/>
      <c r="TJW1726" s="227"/>
      <c r="TJX1726" s="227"/>
      <c r="TJY1726" s="227"/>
      <c r="TJZ1726" s="227"/>
      <c r="TKA1726" s="227"/>
      <c r="TKB1726" s="227"/>
      <c r="TKC1726" s="227"/>
      <c r="TKD1726" s="227"/>
      <c r="TKE1726" s="227"/>
      <c r="TKF1726" s="227"/>
      <c r="TKG1726" s="227"/>
      <c r="TKH1726" s="227"/>
      <c r="TKI1726" s="227"/>
      <c r="TKJ1726" s="227"/>
      <c r="TKK1726" s="227"/>
      <c r="TKL1726" s="227"/>
      <c r="TKM1726" s="227"/>
      <c r="TKN1726" s="227"/>
      <c r="TKO1726" s="227"/>
      <c r="TKP1726" s="227"/>
      <c r="TKQ1726" s="227"/>
      <c r="TKR1726" s="227"/>
      <c r="TKS1726" s="227"/>
      <c r="TKT1726" s="227"/>
      <c r="TKU1726" s="227"/>
      <c r="TKV1726" s="227"/>
      <c r="TKW1726" s="227"/>
      <c r="TKX1726" s="227"/>
      <c r="TKY1726" s="227"/>
      <c r="TKZ1726" s="227"/>
      <c r="TLA1726" s="227"/>
      <c r="TLB1726" s="227"/>
      <c r="TLC1726" s="227"/>
      <c r="TLD1726" s="227"/>
      <c r="TLE1726" s="227"/>
      <c r="TLF1726" s="227"/>
      <c r="TLG1726" s="227"/>
      <c r="TLH1726" s="227"/>
      <c r="TLI1726" s="227"/>
      <c r="TLJ1726" s="227"/>
      <c r="TLK1726" s="227"/>
      <c r="TLL1726" s="227"/>
      <c r="TLM1726" s="227"/>
      <c r="TLN1726" s="227"/>
      <c r="TLO1726" s="227"/>
      <c r="TLP1726" s="227"/>
      <c r="TLQ1726" s="227"/>
      <c r="TLR1726" s="227"/>
      <c r="TLS1726" s="227"/>
      <c r="TLT1726" s="227"/>
      <c r="TLU1726" s="227"/>
      <c r="TLV1726" s="227"/>
      <c r="TLW1726" s="227"/>
      <c r="TLX1726" s="227"/>
      <c r="TLY1726" s="227"/>
      <c r="TLZ1726" s="227"/>
      <c r="TMA1726" s="227"/>
      <c r="TMB1726" s="227"/>
      <c r="TMC1726" s="227"/>
      <c r="TMD1726" s="227"/>
      <c r="TME1726" s="227"/>
      <c r="TMF1726" s="227"/>
      <c r="TMG1726" s="227"/>
      <c r="TMH1726" s="227"/>
      <c r="TMI1726" s="227"/>
      <c r="TMJ1726" s="227"/>
      <c r="TMK1726" s="227"/>
      <c r="TML1726" s="227"/>
      <c r="TMM1726" s="227"/>
      <c r="TMN1726" s="227"/>
      <c r="TMO1726" s="227"/>
      <c r="TMP1726" s="227"/>
      <c r="TMQ1726" s="227"/>
      <c r="TMR1726" s="227"/>
      <c r="TMS1726" s="227"/>
      <c r="TMT1726" s="227"/>
      <c r="TMU1726" s="227"/>
      <c r="TMV1726" s="227"/>
      <c r="TMW1726" s="227"/>
      <c r="TMX1726" s="227"/>
      <c r="TMY1726" s="227"/>
      <c r="TMZ1726" s="227"/>
      <c r="TNA1726" s="227"/>
      <c r="TNB1726" s="227"/>
      <c r="TNC1726" s="227"/>
      <c r="TND1726" s="227"/>
      <c r="TNE1726" s="227"/>
      <c r="TNF1726" s="227"/>
      <c r="TNG1726" s="227"/>
      <c r="TNH1726" s="227"/>
      <c r="TNI1726" s="227"/>
      <c r="TNJ1726" s="227"/>
      <c r="TNK1726" s="227"/>
      <c r="TNL1726" s="227"/>
      <c r="TNM1726" s="227"/>
      <c r="TNN1726" s="227"/>
      <c r="TNO1726" s="227"/>
      <c r="TNP1726" s="227"/>
      <c r="TNQ1726" s="227"/>
      <c r="TNR1726" s="227"/>
      <c r="TNS1726" s="227"/>
      <c r="TNT1726" s="227"/>
      <c r="TNU1726" s="227"/>
      <c r="TNV1726" s="227"/>
      <c r="TNW1726" s="227"/>
      <c r="TNX1726" s="227"/>
      <c r="TNY1726" s="227"/>
      <c r="TNZ1726" s="227"/>
      <c r="TOA1726" s="227"/>
      <c r="TOB1726" s="227"/>
      <c r="TOC1726" s="227"/>
      <c r="TOD1726" s="227"/>
      <c r="TOE1726" s="227"/>
      <c r="TOF1726" s="227"/>
      <c r="TOG1726" s="227"/>
      <c r="TOH1726" s="227"/>
      <c r="TOI1726" s="227"/>
      <c r="TOJ1726" s="227"/>
      <c r="TOK1726" s="227"/>
      <c r="TOL1726" s="227"/>
      <c r="TOM1726" s="227"/>
      <c r="TON1726" s="227"/>
      <c r="TOO1726" s="227"/>
      <c r="TOP1726" s="227"/>
      <c r="TOQ1726" s="227"/>
      <c r="TOR1726" s="227"/>
      <c r="TOS1726" s="227"/>
      <c r="TOT1726" s="227"/>
      <c r="TOU1726" s="227"/>
      <c r="TOV1726" s="227"/>
      <c r="TOW1726" s="227"/>
      <c r="TOX1726" s="227"/>
      <c r="TOY1726" s="227"/>
      <c r="TOZ1726" s="227"/>
      <c r="TPA1726" s="227"/>
      <c r="TPB1726" s="227"/>
      <c r="TPC1726" s="227"/>
      <c r="TPD1726" s="227"/>
      <c r="TPE1726" s="227"/>
      <c r="TPF1726" s="227"/>
      <c r="TPG1726" s="227"/>
      <c r="TPH1726" s="227"/>
      <c r="TPI1726" s="227"/>
      <c r="TPJ1726" s="227"/>
      <c r="TPK1726" s="227"/>
      <c r="TPL1726" s="227"/>
      <c r="TPM1726" s="227"/>
      <c r="TPN1726" s="227"/>
      <c r="TPO1726" s="227"/>
      <c r="TPP1726" s="227"/>
      <c r="TPQ1726" s="227"/>
      <c r="TPR1726" s="227"/>
      <c r="TPS1726" s="227"/>
      <c r="TPT1726" s="227"/>
      <c r="TPU1726" s="227"/>
      <c r="TPV1726" s="227"/>
      <c r="TPW1726" s="227"/>
      <c r="TPX1726" s="227"/>
      <c r="TPY1726" s="227"/>
      <c r="TPZ1726" s="227"/>
      <c r="TQA1726" s="227"/>
      <c r="TQB1726" s="227"/>
      <c r="TQC1726" s="227"/>
      <c r="TQD1726" s="227"/>
      <c r="TQE1726" s="227"/>
      <c r="TQF1726" s="227"/>
      <c r="TQG1726" s="227"/>
      <c r="TQH1726" s="227"/>
      <c r="TQI1726" s="227"/>
      <c r="TQJ1726" s="227"/>
      <c r="TQK1726" s="227"/>
      <c r="TQL1726" s="227"/>
      <c r="TQM1726" s="227"/>
      <c r="TQN1726" s="227"/>
      <c r="TQO1726" s="227"/>
      <c r="TQP1726" s="227"/>
      <c r="TQQ1726" s="227"/>
      <c r="TQR1726" s="227"/>
      <c r="TQS1726" s="227"/>
      <c r="TQT1726" s="227"/>
      <c r="TQU1726" s="227"/>
      <c r="TQV1726" s="227"/>
      <c r="TQW1726" s="227"/>
      <c r="TQX1726" s="227"/>
      <c r="TQY1726" s="227"/>
      <c r="TQZ1726" s="227"/>
      <c r="TRA1726" s="227"/>
      <c r="TRB1726" s="227"/>
      <c r="TRC1726" s="227"/>
      <c r="TRD1726" s="227"/>
      <c r="TRE1726" s="227"/>
      <c r="TRF1726" s="227"/>
      <c r="TRG1726" s="227"/>
      <c r="TRH1726" s="227"/>
      <c r="TRI1726" s="227"/>
      <c r="TRJ1726" s="227"/>
      <c r="TRK1726" s="227"/>
      <c r="TRL1726" s="227"/>
      <c r="TRM1726" s="227"/>
      <c r="TRN1726" s="227"/>
      <c r="TRO1726" s="227"/>
      <c r="TRP1726" s="227"/>
      <c r="TRQ1726" s="227"/>
      <c r="TRR1726" s="227"/>
      <c r="TRS1726" s="227"/>
      <c r="TRT1726" s="227"/>
      <c r="TRU1726" s="227"/>
      <c r="TRV1726" s="227"/>
      <c r="TRW1726" s="227"/>
      <c r="TRX1726" s="227"/>
      <c r="TRY1726" s="227"/>
      <c r="TRZ1726" s="227"/>
      <c r="TSA1726" s="227"/>
      <c r="TSB1726" s="227"/>
      <c r="TSC1726" s="227"/>
      <c r="TSD1726" s="227"/>
      <c r="TSE1726" s="227"/>
      <c r="TSF1726" s="227"/>
      <c r="TSG1726" s="227"/>
      <c r="TSH1726" s="227"/>
      <c r="TSI1726" s="227"/>
      <c r="TSJ1726" s="227"/>
      <c r="TSK1726" s="227"/>
      <c r="TSL1726" s="227"/>
      <c r="TSM1726" s="227"/>
      <c r="TSN1726" s="227"/>
      <c r="TSO1726" s="227"/>
      <c r="TSP1726" s="227"/>
      <c r="TSQ1726" s="227"/>
      <c r="TSR1726" s="227"/>
      <c r="TSS1726" s="227"/>
      <c r="TST1726" s="227"/>
      <c r="TSU1726" s="227"/>
      <c r="TSV1726" s="227"/>
      <c r="TSW1726" s="227"/>
      <c r="TSX1726" s="227"/>
      <c r="TSY1726" s="227"/>
      <c r="TSZ1726" s="227"/>
      <c r="TTA1726" s="227"/>
      <c r="TTB1726" s="227"/>
      <c r="TTC1726" s="227"/>
      <c r="TTD1726" s="227"/>
      <c r="TTE1726" s="227"/>
      <c r="TTF1726" s="227"/>
      <c r="TTG1726" s="227"/>
      <c r="TTH1726" s="227"/>
      <c r="TTI1726" s="227"/>
      <c r="TTJ1726" s="227"/>
      <c r="TTK1726" s="227"/>
      <c r="TTL1726" s="227"/>
      <c r="TTM1726" s="227"/>
      <c r="TTN1726" s="227"/>
      <c r="TTO1726" s="227"/>
      <c r="TTP1726" s="227"/>
      <c r="TTQ1726" s="227"/>
      <c r="TTR1726" s="227"/>
      <c r="TTS1726" s="227"/>
      <c r="TTT1726" s="227"/>
      <c r="TTU1726" s="227"/>
      <c r="TTV1726" s="227"/>
      <c r="TTW1726" s="227"/>
      <c r="TTX1726" s="227"/>
      <c r="TTY1726" s="227"/>
      <c r="TTZ1726" s="227"/>
      <c r="TUA1726" s="227"/>
      <c r="TUB1726" s="227"/>
      <c r="TUC1726" s="227"/>
      <c r="TUD1726" s="227"/>
      <c r="TUE1726" s="227"/>
      <c r="TUF1726" s="227"/>
      <c r="TUG1726" s="227"/>
      <c r="TUH1726" s="227"/>
      <c r="TUI1726" s="227"/>
      <c r="TUJ1726" s="227"/>
      <c r="TUK1726" s="227"/>
      <c r="TUL1726" s="227"/>
      <c r="TUM1726" s="227"/>
      <c r="TUN1726" s="227"/>
      <c r="TUO1726" s="227"/>
      <c r="TUP1726" s="227"/>
      <c r="TUQ1726" s="227"/>
      <c r="TUR1726" s="227"/>
      <c r="TUS1726" s="227"/>
      <c r="TUT1726" s="227"/>
      <c r="TUU1726" s="227"/>
      <c r="TUV1726" s="227"/>
      <c r="TUW1726" s="227"/>
      <c r="TUX1726" s="227"/>
      <c r="TUY1726" s="227"/>
      <c r="TUZ1726" s="227"/>
      <c r="TVA1726" s="227"/>
      <c r="TVB1726" s="227"/>
      <c r="TVC1726" s="227"/>
      <c r="TVD1726" s="227"/>
      <c r="TVE1726" s="227"/>
      <c r="TVF1726" s="227"/>
      <c r="TVG1726" s="227"/>
      <c r="TVH1726" s="227"/>
      <c r="TVI1726" s="227"/>
      <c r="TVJ1726" s="227"/>
      <c r="TVK1726" s="227"/>
      <c r="TVL1726" s="227"/>
      <c r="TVM1726" s="227"/>
      <c r="TVN1726" s="227"/>
      <c r="TVO1726" s="227"/>
      <c r="TVP1726" s="227"/>
      <c r="TVQ1726" s="227"/>
      <c r="TVR1726" s="227"/>
      <c r="TVS1726" s="227"/>
      <c r="TVT1726" s="227"/>
      <c r="TVU1726" s="227"/>
      <c r="TVV1726" s="227"/>
      <c r="TVW1726" s="227"/>
      <c r="TVX1726" s="227"/>
      <c r="TVY1726" s="227"/>
      <c r="TVZ1726" s="227"/>
      <c r="TWA1726" s="227"/>
      <c r="TWB1726" s="227"/>
      <c r="TWC1726" s="227"/>
      <c r="TWD1726" s="227"/>
      <c r="TWE1726" s="227"/>
      <c r="TWF1726" s="227"/>
      <c r="TWG1726" s="227"/>
      <c r="TWH1726" s="227"/>
      <c r="TWI1726" s="227"/>
      <c r="TWJ1726" s="227"/>
      <c r="TWK1726" s="227"/>
      <c r="TWL1726" s="227"/>
      <c r="TWM1726" s="227"/>
      <c r="TWN1726" s="227"/>
      <c r="TWO1726" s="227"/>
      <c r="TWP1726" s="227"/>
      <c r="TWQ1726" s="227"/>
      <c r="TWR1726" s="227"/>
      <c r="TWS1726" s="227"/>
      <c r="TWT1726" s="227"/>
      <c r="TWU1726" s="227"/>
      <c r="TWV1726" s="227"/>
      <c r="TWW1726" s="227"/>
      <c r="TWX1726" s="227"/>
      <c r="TWY1726" s="227"/>
      <c r="TWZ1726" s="227"/>
      <c r="TXA1726" s="227"/>
      <c r="TXB1726" s="227"/>
      <c r="TXC1726" s="227"/>
      <c r="TXD1726" s="227"/>
      <c r="TXE1726" s="227"/>
      <c r="TXF1726" s="227"/>
      <c r="TXG1726" s="227"/>
      <c r="TXH1726" s="227"/>
      <c r="TXI1726" s="227"/>
      <c r="TXJ1726" s="227"/>
      <c r="TXK1726" s="227"/>
      <c r="TXL1726" s="227"/>
      <c r="TXM1726" s="227"/>
      <c r="TXN1726" s="227"/>
      <c r="TXO1726" s="227"/>
      <c r="TXP1726" s="227"/>
      <c r="TXQ1726" s="227"/>
      <c r="TXR1726" s="227"/>
      <c r="TXS1726" s="227"/>
      <c r="TXT1726" s="227"/>
      <c r="TXU1726" s="227"/>
      <c r="TXV1726" s="227"/>
      <c r="TXW1726" s="227"/>
      <c r="TXX1726" s="227"/>
      <c r="TXY1726" s="227"/>
      <c r="TXZ1726" s="227"/>
      <c r="TYA1726" s="227"/>
      <c r="TYB1726" s="227"/>
      <c r="TYC1726" s="227"/>
      <c r="TYD1726" s="227"/>
      <c r="TYE1726" s="227"/>
      <c r="TYF1726" s="227"/>
      <c r="TYG1726" s="227"/>
      <c r="TYH1726" s="227"/>
      <c r="TYI1726" s="227"/>
      <c r="TYJ1726" s="227"/>
      <c r="TYK1726" s="227"/>
      <c r="TYL1726" s="227"/>
      <c r="TYM1726" s="227"/>
      <c r="TYN1726" s="227"/>
      <c r="TYO1726" s="227"/>
      <c r="TYP1726" s="227"/>
      <c r="TYQ1726" s="227"/>
      <c r="TYR1726" s="227"/>
      <c r="TYS1726" s="227"/>
      <c r="TYT1726" s="227"/>
      <c r="TYU1726" s="227"/>
      <c r="TYV1726" s="227"/>
      <c r="TYW1726" s="227"/>
      <c r="TYX1726" s="227"/>
      <c r="TYY1726" s="227"/>
      <c r="TYZ1726" s="227"/>
      <c r="TZA1726" s="227"/>
      <c r="TZB1726" s="227"/>
      <c r="TZC1726" s="227"/>
      <c r="TZD1726" s="227"/>
      <c r="TZE1726" s="227"/>
      <c r="TZF1726" s="227"/>
      <c r="TZG1726" s="227"/>
      <c r="TZH1726" s="227"/>
      <c r="TZI1726" s="227"/>
      <c r="TZJ1726" s="227"/>
      <c r="TZK1726" s="227"/>
      <c r="TZL1726" s="227"/>
      <c r="TZM1726" s="227"/>
      <c r="TZN1726" s="227"/>
      <c r="TZO1726" s="227"/>
      <c r="TZP1726" s="227"/>
      <c r="TZQ1726" s="227"/>
      <c r="TZR1726" s="227"/>
      <c r="TZS1726" s="227"/>
      <c r="TZT1726" s="227"/>
      <c r="TZU1726" s="227"/>
      <c r="TZV1726" s="227"/>
      <c r="TZW1726" s="227"/>
      <c r="TZX1726" s="227"/>
      <c r="TZY1726" s="227"/>
      <c r="TZZ1726" s="227"/>
      <c r="UAA1726" s="227"/>
      <c r="UAB1726" s="227"/>
      <c r="UAC1726" s="227"/>
      <c r="UAD1726" s="227"/>
      <c r="UAE1726" s="227"/>
      <c r="UAF1726" s="227"/>
      <c r="UAG1726" s="227"/>
      <c r="UAH1726" s="227"/>
      <c r="UAI1726" s="227"/>
      <c r="UAJ1726" s="227"/>
      <c r="UAK1726" s="227"/>
      <c r="UAL1726" s="227"/>
      <c r="UAM1726" s="227"/>
      <c r="UAN1726" s="227"/>
      <c r="UAO1726" s="227"/>
      <c r="UAP1726" s="227"/>
      <c r="UAQ1726" s="227"/>
      <c r="UAR1726" s="227"/>
      <c r="UAS1726" s="227"/>
      <c r="UAT1726" s="227"/>
      <c r="UAU1726" s="227"/>
      <c r="UAV1726" s="227"/>
      <c r="UAW1726" s="227"/>
      <c r="UAX1726" s="227"/>
      <c r="UAY1726" s="227"/>
      <c r="UAZ1726" s="227"/>
      <c r="UBA1726" s="227"/>
      <c r="UBB1726" s="227"/>
      <c r="UBC1726" s="227"/>
      <c r="UBD1726" s="227"/>
      <c r="UBE1726" s="227"/>
      <c r="UBF1726" s="227"/>
      <c r="UBG1726" s="227"/>
      <c r="UBH1726" s="227"/>
      <c r="UBI1726" s="227"/>
      <c r="UBJ1726" s="227"/>
      <c r="UBK1726" s="227"/>
      <c r="UBL1726" s="227"/>
      <c r="UBM1726" s="227"/>
      <c r="UBN1726" s="227"/>
      <c r="UBO1726" s="227"/>
      <c r="UBP1726" s="227"/>
      <c r="UBQ1726" s="227"/>
      <c r="UBR1726" s="227"/>
      <c r="UBS1726" s="227"/>
      <c r="UBT1726" s="227"/>
      <c r="UBU1726" s="227"/>
      <c r="UBV1726" s="227"/>
      <c r="UBW1726" s="227"/>
      <c r="UBX1726" s="227"/>
      <c r="UBY1726" s="227"/>
      <c r="UBZ1726" s="227"/>
      <c r="UCA1726" s="227"/>
      <c r="UCB1726" s="227"/>
      <c r="UCC1726" s="227"/>
      <c r="UCD1726" s="227"/>
      <c r="UCE1726" s="227"/>
      <c r="UCF1726" s="227"/>
      <c r="UCG1726" s="227"/>
      <c r="UCH1726" s="227"/>
      <c r="UCI1726" s="227"/>
      <c r="UCJ1726" s="227"/>
      <c r="UCK1726" s="227"/>
      <c r="UCL1726" s="227"/>
      <c r="UCM1726" s="227"/>
      <c r="UCN1726" s="227"/>
      <c r="UCO1726" s="227"/>
      <c r="UCP1726" s="227"/>
      <c r="UCQ1726" s="227"/>
      <c r="UCR1726" s="227"/>
      <c r="UCS1726" s="227"/>
      <c r="UCT1726" s="227"/>
      <c r="UCU1726" s="227"/>
      <c r="UCV1726" s="227"/>
      <c r="UCW1726" s="227"/>
      <c r="UCX1726" s="227"/>
      <c r="UCY1726" s="227"/>
      <c r="UCZ1726" s="227"/>
      <c r="UDA1726" s="227"/>
      <c r="UDB1726" s="227"/>
      <c r="UDC1726" s="227"/>
      <c r="UDD1726" s="227"/>
      <c r="UDE1726" s="227"/>
      <c r="UDF1726" s="227"/>
      <c r="UDG1726" s="227"/>
      <c r="UDH1726" s="227"/>
      <c r="UDI1726" s="227"/>
      <c r="UDJ1726" s="227"/>
      <c r="UDK1726" s="227"/>
      <c r="UDL1726" s="227"/>
      <c r="UDM1726" s="227"/>
      <c r="UDN1726" s="227"/>
      <c r="UDO1726" s="227"/>
      <c r="UDP1726" s="227"/>
      <c r="UDQ1726" s="227"/>
      <c r="UDR1726" s="227"/>
      <c r="UDS1726" s="227"/>
      <c r="UDT1726" s="227"/>
      <c r="UDU1726" s="227"/>
      <c r="UDV1726" s="227"/>
      <c r="UDW1726" s="227"/>
      <c r="UDX1726" s="227"/>
      <c r="UDY1726" s="227"/>
      <c r="UDZ1726" s="227"/>
      <c r="UEA1726" s="227"/>
      <c r="UEB1726" s="227"/>
      <c r="UEC1726" s="227"/>
      <c r="UED1726" s="227"/>
      <c r="UEE1726" s="227"/>
      <c r="UEF1726" s="227"/>
      <c r="UEG1726" s="227"/>
      <c r="UEH1726" s="227"/>
      <c r="UEI1726" s="227"/>
      <c r="UEJ1726" s="227"/>
      <c r="UEK1726" s="227"/>
      <c r="UEL1726" s="227"/>
      <c r="UEM1726" s="227"/>
      <c r="UEN1726" s="227"/>
      <c r="UEO1726" s="227"/>
      <c r="UEP1726" s="227"/>
      <c r="UEQ1726" s="227"/>
      <c r="UER1726" s="227"/>
      <c r="UES1726" s="227"/>
      <c r="UET1726" s="227"/>
      <c r="UEU1726" s="227"/>
      <c r="UEV1726" s="227"/>
      <c r="UEW1726" s="227"/>
      <c r="UEX1726" s="227"/>
      <c r="UEY1726" s="227"/>
      <c r="UEZ1726" s="227"/>
      <c r="UFA1726" s="227"/>
      <c r="UFB1726" s="227"/>
      <c r="UFC1726" s="227"/>
      <c r="UFD1726" s="227"/>
      <c r="UFE1726" s="227"/>
      <c r="UFF1726" s="227"/>
      <c r="UFG1726" s="227"/>
      <c r="UFH1726" s="227"/>
      <c r="UFI1726" s="227"/>
      <c r="UFJ1726" s="227"/>
      <c r="UFK1726" s="227"/>
      <c r="UFL1726" s="227"/>
      <c r="UFM1726" s="227"/>
      <c r="UFN1726" s="227"/>
      <c r="UFO1726" s="227"/>
      <c r="UFP1726" s="227"/>
      <c r="UFQ1726" s="227"/>
      <c r="UFR1726" s="227"/>
      <c r="UFS1726" s="227"/>
      <c r="UFT1726" s="227"/>
      <c r="UFU1726" s="227"/>
      <c r="UFV1726" s="227"/>
      <c r="UFW1726" s="227"/>
      <c r="UFX1726" s="227"/>
      <c r="UFY1726" s="227"/>
      <c r="UFZ1726" s="227"/>
      <c r="UGA1726" s="227"/>
      <c r="UGB1726" s="227"/>
      <c r="UGC1726" s="227"/>
      <c r="UGD1726" s="227"/>
      <c r="UGE1726" s="227"/>
      <c r="UGF1726" s="227"/>
      <c r="UGG1726" s="227"/>
      <c r="UGH1726" s="227"/>
      <c r="UGI1726" s="227"/>
      <c r="UGJ1726" s="227"/>
      <c r="UGK1726" s="227"/>
      <c r="UGL1726" s="227"/>
      <c r="UGM1726" s="227"/>
      <c r="UGN1726" s="227"/>
      <c r="UGO1726" s="227"/>
      <c r="UGP1726" s="227"/>
      <c r="UGQ1726" s="227"/>
      <c r="UGR1726" s="227"/>
      <c r="UGS1726" s="227"/>
      <c r="UGT1726" s="227"/>
      <c r="UGU1726" s="227"/>
      <c r="UGV1726" s="227"/>
      <c r="UGW1726" s="227"/>
      <c r="UGX1726" s="227"/>
      <c r="UGY1726" s="227"/>
      <c r="UGZ1726" s="227"/>
      <c r="UHA1726" s="227"/>
      <c r="UHB1726" s="227"/>
      <c r="UHC1726" s="227"/>
      <c r="UHD1726" s="227"/>
      <c r="UHE1726" s="227"/>
      <c r="UHF1726" s="227"/>
      <c r="UHG1726" s="227"/>
      <c r="UHH1726" s="227"/>
      <c r="UHI1726" s="227"/>
      <c r="UHJ1726" s="227"/>
      <c r="UHK1726" s="227"/>
      <c r="UHL1726" s="227"/>
      <c r="UHM1726" s="227"/>
      <c r="UHN1726" s="227"/>
      <c r="UHO1726" s="227"/>
      <c r="UHP1726" s="227"/>
      <c r="UHQ1726" s="227"/>
      <c r="UHR1726" s="227"/>
      <c r="UHS1726" s="227"/>
      <c r="UHT1726" s="227"/>
      <c r="UHU1726" s="227"/>
      <c r="UHV1726" s="227"/>
      <c r="UHW1726" s="227"/>
      <c r="UHX1726" s="227"/>
      <c r="UHY1726" s="227"/>
      <c r="UHZ1726" s="227"/>
      <c r="UIA1726" s="227"/>
      <c r="UIB1726" s="227"/>
      <c r="UIC1726" s="227"/>
      <c r="UID1726" s="227"/>
      <c r="UIE1726" s="227"/>
      <c r="UIF1726" s="227"/>
      <c r="UIG1726" s="227"/>
      <c r="UIH1726" s="227"/>
      <c r="UII1726" s="227"/>
      <c r="UIJ1726" s="227"/>
      <c r="UIK1726" s="227"/>
      <c r="UIL1726" s="227"/>
      <c r="UIM1726" s="227"/>
      <c r="UIN1726" s="227"/>
      <c r="UIO1726" s="227"/>
      <c r="UIP1726" s="227"/>
      <c r="UIQ1726" s="227"/>
      <c r="UIR1726" s="227"/>
      <c r="UIS1726" s="227"/>
      <c r="UIT1726" s="227"/>
      <c r="UIU1726" s="227"/>
      <c r="UIV1726" s="227"/>
      <c r="UIW1726" s="227"/>
      <c r="UIX1726" s="227"/>
      <c r="UIY1726" s="227"/>
      <c r="UIZ1726" s="227"/>
      <c r="UJA1726" s="227"/>
      <c r="UJB1726" s="227"/>
      <c r="UJC1726" s="227"/>
      <c r="UJD1726" s="227"/>
      <c r="UJE1726" s="227"/>
      <c r="UJF1726" s="227"/>
      <c r="UJG1726" s="227"/>
      <c r="UJH1726" s="227"/>
      <c r="UJI1726" s="227"/>
      <c r="UJJ1726" s="227"/>
      <c r="UJK1726" s="227"/>
      <c r="UJL1726" s="227"/>
      <c r="UJM1726" s="227"/>
      <c r="UJN1726" s="227"/>
      <c r="UJO1726" s="227"/>
      <c r="UJP1726" s="227"/>
      <c r="UJQ1726" s="227"/>
      <c r="UJR1726" s="227"/>
      <c r="UJS1726" s="227"/>
      <c r="UJT1726" s="227"/>
      <c r="UJU1726" s="227"/>
      <c r="UJV1726" s="227"/>
      <c r="UJW1726" s="227"/>
      <c r="UJX1726" s="227"/>
      <c r="UJY1726" s="227"/>
      <c r="UJZ1726" s="227"/>
      <c r="UKA1726" s="227"/>
      <c r="UKB1726" s="227"/>
      <c r="UKC1726" s="227"/>
      <c r="UKD1726" s="227"/>
      <c r="UKE1726" s="227"/>
      <c r="UKF1726" s="227"/>
      <c r="UKG1726" s="227"/>
      <c r="UKH1726" s="227"/>
      <c r="UKI1726" s="227"/>
      <c r="UKJ1726" s="227"/>
      <c r="UKK1726" s="227"/>
      <c r="UKL1726" s="227"/>
      <c r="UKM1726" s="227"/>
      <c r="UKN1726" s="227"/>
      <c r="UKO1726" s="227"/>
      <c r="UKP1726" s="227"/>
      <c r="UKQ1726" s="227"/>
      <c r="UKR1726" s="227"/>
      <c r="UKS1726" s="227"/>
      <c r="UKT1726" s="227"/>
      <c r="UKU1726" s="227"/>
      <c r="UKV1726" s="227"/>
      <c r="UKW1726" s="227"/>
      <c r="UKX1726" s="227"/>
      <c r="UKY1726" s="227"/>
      <c r="UKZ1726" s="227"/>
      <c r="ULA1726" s="227"/>
      <c r="ULB1726" s="227"/>
      <c r="ULC1726" s="227"/>
      <c r="ULD1726" s="227"/>
      <c r="ULE1726" s="227"/>
      <c r="ULF1726" s="227"/>
      <c r="ULG1726" s="227"/>
      <c r="ULH1726" s="227"/>
      <c r="ULI1726" s="227"/>
      <c r="ULJ1726" s="227"/>
      <c r="ULK1726" s="227"/>
      <c r="ULL1726" s="227"/>
      <c r="ULM1726" s="227"/>
      <c r="ULN1726" s="227"/>
      <c r="ULO1726" s="227"/>
      <c r="ULP1726" s="227"/>
      <c r="ULQ1726" s="227"/>
      <c r="ULR1726" s="227"/>
      <c r="ULS1726" s="227"/>
      <c r="ULT1726" s="227"/>
      <c r="ULU1726" s="227"/>
      <c r="ULV1726" s="227"/>
      <c r="ULW1726" s="227"/>
      <c r="ULX1726" s="227"/>
      <c r="ULY1726" s="227"/>
      <c r="ULZ1726" s="227"/>
      <c r="UMA1726" s="227"/>
      <c r="UMB1726" s="227"/>
      <c r="UMC1726" s="227"/>
      <c r="UMD1726" s="227"/>
      <c r="UME1726" s="227"/>
      <c r="UMF1726" s="227"/>
      <c r="UMG1726" s="227"/>
      <c r="UMH1726" s="227"/>
      <c r="UMI1726" s="227"/>
      <c r="UMJ1726" s="227"/>
      <c r="UMK1726" s="227"/>
      <c r="UML1726" s="227"/>
      <c r="UMM1726" s="227"/>
      <c r="UMN1726" s="227"/>
      <c r="UMO1726" s="227"/>
      <c r="UMP1726" s="227"/>
      <c r="UMQ1726" s="227"/>
      <c r="UMR1726" s="227"/>
      <c r="UMS1726" s="227"/>
      <c r="UMT1726" s="227"/>
      <c r="UMU1726" s="227"/>
      <c r="UMV1726" s="227"/>
      <c r="UMW1726" s="227"/>
      <c r="UMX1726" s="227"/>
      <c r="UMY1726" s="227"/>
      <c r="UMZ1726" s="227"/>
      <c r="UNA1726" s="227"/>
      <c r="UNB1726" s="227"/>
      <c r="UNC1726" s="227"/>
      <c r="UND1726" s="227"/>
      <c r="UNE1726" s="227"/>
      <c r="UNF1726" s="227"/>
      <c r="UNG1726" s="227"/>
      <c r="UNH1726" s="227"/>
      <c r="UNI1726" s="227"/>
      <c r="UNJ1726" s="227"/>
      <c r="UNK1726" s="227"/>
      <c r="UNL1726" s="227"/>
      <c r="UNM1726" s="227"/>
      <c r="UNN1726" s="227"/>
      <c r="UNO1726" s="227"/>
      <c r="UNP1726" s="227"/>
      <c r="UNQ1726" s="227"/>
      <c r="UNR1726" s="227"/>
      <c r="UNS1726" s="227"/>
      <c r="UNT1726" s="227"/>
      <c r="UNU1726" s="227"/>
      <c r="UNV1726" s="227"/>
      <c r="UNW1726" s="227"/>
      <c r="UNX1726" s="227"/>
      <c r="UNY1726" s="227"/>
      <c r="UNZ1726" s="227"/>
      <c r="UOA1726" s="227"/>
      <c r="UOB1726" s="227"/>
      <c r="UOC1726" s="227"/>
      <c r="UOD1726" s="227"/>
      <c r="UOE1726" s="227"/>
      <c r="UOF1726" s="227"/>
      <c r="UOG1726" s="227"/>
      <c r="UOH1726" s="227"/>
      <c r="UOI1726" s="227"/>
      <c r="UOJ1726" s="227"/>
      <c r="UOK1726" s="227"/>
      <c r="UOL1726" s="227"/>
      <c r="UOM1726" s="227"/>
      <c r="UON1726" s="227"/>
      <c r="UOO1726" s="227"/>
      <c r="UOP1726" s="227"/>
      <c r="UOQ1726" s="227"/>
      <c r="UOR1726" s="227"/>
      <c r="UOS1726" s="227"/>
      <c r="UOT1726" s="227"/>
      <c r="UOU1726" s="227"/>
      <c r="UOV1726" s="227"/>
      <c r="UOW1726" s="227"/>
      <c r="UOX1726" s="227"/>
      <c r="UOY1726" s="227"/>
      <c r="UOZ1726" s="227"/>
      <c r="UPA1726" s="227"/>
      <c r="UPB1726" s="227"/>
      <c r="UPC1726" s="227"/>
      <c r="UPD1726" s="227"/>
      <c r="UPE1726" s="227"/>
      <c r="UPF1726" s="227"/>
      <c r="UPG1726" s="227"/>
      <c r="UPH1726" s="227"/>
      <c r="UPI1726" s="227"/>
      <c r="UPJ1726" s="227"/>
      <c r="UPK1726" s="227"/>
      <c r="UPL1726" s="227"/>
      <c r="UPM1726" s="227"/>
      <c r="UPN1726" s="227"/>
      <c r="UPO1726" s="227"/>
      <c r="UPP1726" s="227"/>
      <c r="UPQ1726" s="227"/>
      <c r="UPR1726" s="227"/>
      <c r="UPS1726" s="227"/>
      <c r="UPT1726" s="227"/>
      <c r="UPU1726" s="227"/>
      <c r="UPV1726" s="227"/>
      <c r="UPW1726" s="227"/>
      <c r="UPX1726" s="227"/>
      <c r="UPY1726" s="227"/>
      <c r="UPZ1726" s="227"/>
      <c r="UQA1726" s="227"/>
      <c r="UQB1726" s="227"/>
      <c r="UQC1726" s="227"/>
      <c r="UQD1726" s="227"/>
      <c r="UQE1726" s="227"/>
      <c r="UQF1726" s="227"/>
      <c r="UQG1726" s="227"/>
      <c r="UQH1726" s="227"/>
      <c r="UQI1726" s="227"/>
      <c r="UQJ1726" s="227"/>
      <c r="UQK1726" s="227"/>
      <c r="UQL1726" s="227"/>
      <c r="UQM1726" s="227"/>
      <c r="UQN1726" s="227"/>
      <c r="UQO1726" s="227"/>
      <c r="UQP1726" s="227"/>
      <c r="UQQ1726" s="227"/>
      <c r="UQR1726" s="227"/>
      <c r="UQS1726" s="227"/>
      <c r="UQT1726" s="227"/>
      <c r="UQU1726" s="227"/>
      <c r="UQV1726" s="227"/>
      <c r="UQW1726" s="227"/>
      <c r="UQX1726" s="227"/>
      <c r="UQY1726" s="227"/>
      <c r="UQZ1726" s="227"/>
      <c r="URA1726" s="227"/>
      <c r="URB1726" s="227"/>
      <c r="URC1726" s="227"/>
      <c r="URD1726" s="227"/>
      <c r="URE1726" s="227"/>
      <c r="URF1726" s="227"/>
      <c r="URG1726" s="227"/>
      <c r="URH1726" s="227"/>
      <c r="URI1726" s="227"/>
      <c r="URJ1726" s="227"/>
      <c r="URK1726" s="227"/>
      <c r="URL1726" s="227"/>
      <c r="URM1726" s="227"/>
      <c r="URN1726" s="227"/>
      <c r="URO1726" s="227"/>
      <c r="URP1726" s="227"/>
      <c r="URQ1726" s="227"/>
      <c r="URR1726" s="227"/>
      <c r="URS1726" s="227"/>
      <c r="URT1726" s="227"/>
      <c r="URU1726" s="227"/>
      <c r="URV1726" s="227"/>
      <c r="URW1726" s="227"/>
      <c r="URX1726" s="227"/>
      <c r="URY1726" s="227"/>
      <c r="URZ1726" s="227"/>
      <c r="USA1726" s="227"/>
      <c r="USB1726" s="227"/>
      <c r="USC1726" s="227"/>
      <c r="USD1726" s="227"/>
      <c r="USE1726" s="227"/>
      <c r="USF1726" s="227"/>
      <c r="USG1726" s="227"/>
      <c r="USH1726" s="227"/>
      <c r="USI1726" s="227"/>
      <c r="USJ1726" s="227"/>
      <c r="USK1726" s="227"/>
      <c r="USL1726" s="227"/>
      <c r="USM1726" s="227"/>
      <c r="USN1726" s="227"/>
      <c r="USO1726" s="227"/>
      <c r="USP1726" s="227"/>
      <c r="USQ1726" s="227"/>
      <c r="USR1726" s="227"/>
      <c r="USS1726" s="227"/>
      <c r="UST1726" s="227"/>
      <c r="USU1726" s="227"/>
      <c r="USV1726" s="227"/>
      <c r="USW1726" s="227"/>
      <c r="USX1726" s="227"/>
      <c r="USY1726" s="227"/>
      <c r="USZ1726" s="227"/>
      <c r="UTA1726" s="227"/>
      <c r="UTB1726" s="227"/>
      <c r="UTC1726" s="227"/>
      <c r="UTD1726" s="227"/>
      <c r="UTE1726" s="227"/>
      <c r="UTF1726" s="227"/>
      <c r="UTG1726" s="227"/>
      <c r="UTH1726" s="227"/>
      <c r="UTI1726" s="227"/>
      <c r="UTJ1726" s="227"/>
      <c r="UTK1726" s="227"/>
      <c r="UTL1726" s="227"/>
      <c r="UTM1726" s="227"/>
      <c r="UTN1726" s="227"/>
      <c r="UTO1726" s="227"/>
      <c r="UTP1726" s="227"/>
      <c r="UTQ1726" s="227"/>
      <c r="UTR1726" s="227"/>
      <c r="UTS1726" s="227"/>
      <c r="UTT1726" s="227"/>
      <c r="UTU1726" s="227"/>
      <c r="UTV1726" s="227"/>
      <c r="UTW1726" s="227"/>
      <c r="UTX1726" s="227"/>
      <c r="UTY1726" s="227"/>
      <c r="UTZ1726" s="227"/>
      <c r="UUA1726" s="227"/>
      <c r="UUB1726" s="227"/>
      <c r="UUC1726" s="227"/>
      <c r="UUD1726" s="227"/>
      <c r="UUE1726" s="227"/>
      <c r="UUF1726" s="227"/>
      <c r="UUG1726" s="227"/>
      <c r="UUH1726" s="227"/>
      <c r="UUI1726" s="227"/>
      <c r="UUJ1726" s="227"/>
      <c r="UUK1726" s="227"/>
      <c r="UUL1726" s="227"/>
      <c r="UUM1726" s="227"/>
      <c r="UUN1726" s="227"/>
      <c r="UUO1726" s="227"/>
      <c r="UUP1726" s="227"/>
      <c r="UUQ1726" s="227"/>
      <c r="UUR1726" s="227"/>
      <c r="UUS1726" s="227"/>
      <c r="UUT1726" s="227"/>
      <c r="UUU1726" s="227"/>
      <c r="UUV1726" s="227"/>
      <c r="UUW1726" s="227"/>
      <c r="UUX1726" s="227"/>
      <c r="UUY1726" s="227"/>
      <c r="UUZ1726" s="227"/>
      <c r="UVA1726" s="227"/>
      <c r="UVB1726" s="227"/>
      <c r="UVC1726" s="227"/>
      <c r="UVD1726" s="227"/>
      <c r="UVE1726" s="227"/>
      <c r="UVF1726" s="227"/>
      <c r="UVG1726" s="227"/>
      <c r="UVH1726" s="227"/>
      <c r="UVI1726" s="227"/>
      <c r="UVJ1726" s="227"/>
      <c r="UVK1726" s="227"/>
      <c r="UVL1726" s="227"/>
      <c r="UVM1726" s="227"/>
      <c r="UVN1726" s="227"/>
      <c r="UVO1726" s="227"/>
      <c r="UVP1726" s="227"/>
      <c r="UVQ1726" s="227"/>
      <c r="UVR1726" s="227"/>
      <c r="UVS1726" s="227"/>
      <c r="UVT1726" s="227"/>
      <c r="UVU1726" s="227"/>
      <c r="UVV1726" s="227"/>
      <c r="UVW1726" s="227"/>
      <c r="UVX1726" s="227"/>
      <c r="UVY1726" s="227"/>
      <c r="UVZ1726" s="227"/>
      <c r="UWA1726" s="227"/>
      <c r="UWB1726" s="227"/>
      <c r="UWC1726" s="227"/>
      <c r="UWD1726" s="227"/>
      <c r="UWE1726" s="227"/>
      <c r="UWF1726" s="227"/>
      <c r="UWG1726" s="227"/>
      <c r="UWH1726" s="227"/>
      <c r="UWI1726" s="227"/>
      <c r="UWJ1726" s="227"/>
      <c r="UWK1726" s="227"/>
      <c r="UWL1726" s="227"/>
      <c r="UWM1726" s="227"/>
      <c r="UWN1726" s="227"/>
      <c r="UWO1726" s="227"/>
      <c r="UWP1726" s="227"/>
      <c r="UWQ1726" s="227"/>
      <c r="UWR1726" s="227"/>
      <c r="UWS1726" s="227"/>
      <c r="UWT1726" s="227"/>
      <c r="UWU1726" s="227"/>
      <c r="UWV1726" s="227"/>
      <c r="UWW1726" s="227"/>
      <c r="UWX1726" s="227"/>
      <c r="UWY1726" s="227"/>
      <c r="UWZ1726" s="227"/>
      <c r="UXA1726" s="227"/>
      <c r="UXB1726" s="227"/>
      <c r="UXC1726" s="227"/>
      <c r="UXD1726" s="227"/>
      <c r="UXE1726" s="227"/>
      <c r="UXF1726" s="227"/>
      <c r="UXG1726" s="227"/>
      <c r="UXH1726" s="227"/>
      <c r="UXI1726" s="227"/>
      <c r="UXJ1726" s="227"/>
      <c r="UXK1726" s="227"/>
      <c r="UXL1726" s="227"/>
      <c r="UXM1726" s="227"/>
      <c r="UXN1726" s="227"/>
      <c r="UXO1726" s="227"/>
      <c r="UXP1726" s="227"/>
      <c r="UXQ1726" s="227"/>
      <c r="UXR1726" s="227"/>
      <c r="UXS1726" s="227"/>
      <c r="UXT1726" s="227"/>
      <c r="UXU1726" s="227"/>
      <c r="UXV1726" s="227"/>
      <c r="UXW1726" s="227"/>
      <c r="UXX1726" s="227"/>
      <c r="UXY1726" s="227"/>
      <c r="UXZ1726" s="227"/>
      <c r="UYA1726" s="227"/>
      <c r="UYB1726" s="227"/>
      <c r="UYC1726" s="227"/>
      <c r="UYD1726" s="227"/>
      <c r="UYE1726" s="227"/>
      <c r="UYF1726" s="227"/>
      <c r="UYG1726" s="227"/>
      <c r="UYH1726" s="227"/>
      <c r="UYI1726" s="227"/>
      <c r="UYJ1726" s="227"/>
      <c r="UYK1726" s="227"/>
      <c r="UYL1726" s="227"/>
      <c r="UYM1726" s="227"/>
      <c r="UYN1726" s="227"/>
      <c r="UYO1726" s="227"/>
      <c r="UYP1726" s="227"/>
      <c r="UYQ1726" s="227"/>
      <c r="UYR1726" s="227"/>
      <c r="UYS1726" s="227"/>
      <c r="UYT1726" s="227"/>
      <c r="UYU1726" s="227"/>
      <c r="UYV1726" s="227"/>
      <c r="UYW1726" s="227"/>
      <c r="UYX1726" s="227"/>
      <c r="UYY1726" s="227"/>
      <c r="UYZ1726" s="227"/>
      <c r="UZA1726" s="227"/>
      <c r="UZB1726" s="227"/>
      <c r="UZC1726" s="227"/>
      <c r="UZD1726" s="227"/>
      <c r="UZE1726" s="227"/>
      <c r="UZF1726" s="227"/>
      <c r="UZG1726" s="227"/>
      <c r="UZH1726" s="227"/>
      <c r="UZI1726" s="227"/>
      <c r="UZJ1726" s="227"/>
      <c r="UZK1726" s="227"/>
      <c r="UZL1726" s="227"/>
      <c r="UZM1726" s="227"/>
      <c r="UZN1726" s="227"/>
      <c r="UZO1726" s="227"/>
      <c r="UZP1726" s="227"/>
      <c r="UZQ1726" s="227"/>
      <c r="UZR1726" s="227"/>
      <c r="UZS1726" s="227"/>
      <c r="UZT1726" s="227"/>
      <c r="UZU1726" s="227"/>
      <c r="UZV1726" s="227"/>
      <c r="UZW1726" s="227"/>
      <c r="UZX1726" s="227"/>
      <c r="UZY1726" s="227"/>
      <c r="UZZ1726" s="227"/>
      <c r="VAA1726" s="227"/>
      <c r="VAB1726" s="227"/>
      <c r="VAC1726" s="227"/>
      <c r="VAD1726" s="227"/>
      <c r="VAE1726" s="227"/>
      <c r="VAF1726" s="227"/>
      <c r="VAG1726" s="227"/>
      <c r="VAH1726" s="227"/>
      <c r="VAI1726" s="227"/>
      <c r="VAJ1726" s="227"/>
      <c r="VAK1726" s="227"/>
      <c r="VAL1726" s="227"/>
      <c r="VAM1726" s="227"/>
      <c r="VAN1726" s="227"/>
      <c r="VAO1726" s="227"/>
      <c r="VAP1726" s="227"/>
      <c r="VAQ1726" s="227"/>
      <c r="VAR1726" s="227"/>
      <c r="VAS1726" s="227"/>
      <c r="VAT1726" s="227"/>
      <c r="VAU1726" s="227"/>
      <c r="VAV1726" s="227"/>
      <c r="VAW1726" s="227"/>
      <c r="VAX1726" s="227"/>
      <c r="VAY1726" s="227"/>
      <c r="VAZ1726" s="227"/>
      <c r="VBA1726" s="227"/>
      <c r="VBB1726" s="227"/>
      <c r="VBC1726" s="227"/>
      <c r="VBD1726" s="227"/>
      <c r="VBE1726" s="227"/>
      <c r="VBF1726" s="227"/>
      <c r="VBG1726" s="227"/>
      <c r="VBH1726" s="227"/>
      <c r="VBI1726" s="227"/>
      <c r="VBJ1726" s="227"/>
      <c r="VBK1726" s="227"/>
      <c r="VBL1726" s="227"/>
      <c r="VBM1726" s="227"/>
      <c r="VBN1726" s="227"/>
      <c r="VBO1726" s="227"/>
      <c r="VBP1726" s="227"/>
      <c r="VBQ1726" s="227"/>
      <c r="VBR1726" s="227"/>
      <c r="VBS1726" s="227"/>
      <c r="VBT1726" s="227"/>
      <c r="VBU1726" s="227"/>
      <c r="VBV1726" s="227"/>
      <c r="VBW1726" s="227"/>
      <c r="VBX1726" s="227"/>
      <c r="VBY1726" s="227"/>
      <c r="VBZ1726" s="227"/>
      <c r="VCA1726" s="227"/>
      <c r="VCB1726" s="227"/>
      <c r="VCC1726" s="227"/>
      <c r="VCD1726" s="227"/>
      <c r="VCE1726" s="227"/>
      <c r="VCF1726" s="227"/>
      <c r="VCG1726" s="227"/>
      <c r="VCH1726" s="227"/>
      <c r="VCI1726" s="227"/>
      <c r="VCJ1726" s="227"/>
      <c r="VCK1726" s="227"/>
      <c r="VCL1726" s="227"/>
      <c r="VCM1726" s="227"/>
      <c r="VCN1726" s="227"/>
      <c r="VCO1726" s="227"/>
      <c r="VCP1726" s="227"/>
      <c r="VCQ1726" s="227"/>
      <c r="VCR1726" s="227"/>
      <c r="VCS1726" s="227"/>
      <c r="VCT1726" s="227"/>
      <c r="VCU1726" s="227"/>
      <c r="VCV1726" s="227"/>
      <c r="VCW1726" s="227"/>
      <c r="VCX1726" s="227"/>
      <c r="VCY1726" s="227"/>
      <c r="VCZ1726" s="227"/>
      <c r="VDA1726" s="227"/>
      <c r="VDB1726" s="227"/>
      <c r="VDC1726" s="227"/>
      <c r="VDD1726" s="227"/>
      <c r="VDE1726" s="227"/>
      <c r="VDF1726" s="227"/>
      <c r="VDG1726" s="227"/>
      <c r="VDH1726" s="227"/>
      <c r="VDI1726" s="227"/>
      <c r="VDJ1726" s="227"/>
      <c r="VDK1726" s="227"/>
      <c r="VDL1726" s="227"/>
      <c r="VDM1726" s="227"/>
      <c r="VDN1726" s="227"/>
      <c r="VDO1726" s="227"/>
      <c r="VDP1726" s="227"/>
      <c r="VDQ1726" s="227"/>
      <c r="VDR1726" s="227"/>
      <c r="VDS1726" s="227"/>
      <c r="VDT1726" s="227"/>
      <c r="VDU1726" s="227"/>
      <c r="VDV1726" s="227"/>
      <c r="VDW1726" s="227"/>
      <c r="VDX1726" s="227"/>
      <c r="VDY1726" s="227"/>
      <c r="VDZ1726" s="227"/>
      <c r="VEA1726" s="227"/>
      <c r="VEB1726" s="227"/>
      <c r="VEC1726" s="227"/>
      <c r="VED1726" s="227"/>
      <c r="VEE1726" s="227"/>
      <c r="VEF1726" s="227"/>
      <c r="VEG1726" s="227"/>
      <c r="VEH1726" s="227"/>
      <c r="VEI1726" s="227"/>
      <c r="VEJ1726" s="227"/>
      <c r="VEK1726" s="227"/>
      <c r="VEL1726" s="227"/>
      <c r="VEM1726" s="227"/>
      <c r="VEN1726" s="227"/>
      <c r="VEO1726" s="227"/>
      <c r="VEP1726" s="227"/>
      <c r="VEQ1726" s="227"/>
      <c r="VER1726" s="227"/>
      <c r="VES1726" s="227"/>
      <c r="VET1726" s="227"/>
      <c r="VEU1726" s="227"/>
      <c r="VEV1726" s="227"/>
      <c r="VEW1726" s="227"/>
      <c r="VEX1726" s="227"/>
      <c r="VEY1726" s="227"/>
      <c r="VEZ1726" s="227"/>
      <c r="VFA1726" s="227"/>
      <c r="VFB1726" s="227"/>
      <c r="VFC1726" s="227"/>
      <c r="VFD1726" s="227"/>
      <c r="VFE1726" s="227"/>
      <c r="VFF1726" s="227"/>
      <c r="VFG1726" s="227"/>
      <c r="VFH1726" s="227"/>
      <c r="VFI1726" s="227"/>
      <c r="VFJ1726" s="227"/>
      <c r="VFK1726" s="227"/>
      <c r="VFL1726" s="227"/>
      <c r="VFM1726" s="227"/>
      <c r="VFN1726" s="227"/>
      <c r="VFO1726" s="227"/>
      <c r="VFP1726" s="227"/>
      <c r="VFQ1726" s="227"/>
      <c r="VFR1726" s="227"/>
      <c r="VFS1726" s="227"/>
      <c r="VFT1726" s="227"/>
      <c r="VFU1726" s="227"/>
      <c r="VFV1726" s="227"/>
      <c r="VFW1726" s="227"/>
      <c r="VFX1726" s="227"/>
      <c r="VFY1726" s="227"/>
      <c r="VFZ1726" s="227"/>
      <c r="VGA1726" s="227"/>
      <c r="VGB1726" s="227"/>
      <c r="VGC1726" s="227"/>
      <c r="VGD1726" s="227"/>
      <c r="VGE1726" s="227"/>
      <c r="VGF1726" s="227"/>
      <c r="VGG1726" s="227"/>
      <c r="VGH1726" s="227"/>
      <c r="VGI1726" s="227"/>
      <c r="VGJ1726" s="227"/>
      <c r="VGK1726" s="227"/>
      <c r="VGL1726" s="227"/>
      <c r="VGM1726" s="227"/>
      <c r="VGN1726" s="227"/>
      <c r="VGO1726" s="227"/>
      <c r="VGP1726" s="227"/>
      <c r="VGQ1726" s="227"/>
      <c r="VGR1726" s="227"/>
      <c r="VGS1726" s="227"/>
      <c r="VGT1726" s="227"/>
      <c r="VGU1726" s="227"/>
      <c r="VGV1726" s="227"/>
      <c r="VGW1726" s="227"/>
      <c r="VGX1726" s="227"/>
      <c r="VGY1726" s="227"/>
      <c r="VGZ1726" s="227"/>
      <c r="VHA1726" s="227"/>
      <c r="VHB1726" s="227"/>
      <c r="VHC1726" s="227"/>
      <c r="VHD1726" s="227"/>
      <c r="VHE1726" s="227"/>
      <c r="VHF1726" s="227"/>
      <c r="VHG1726" s="227"/>
      <c r="VHH1726" s="227"/>
      <c r="VHI1726" s="227"/>
      <c r="VHJ1726" s="227"/>
      <c r="VHK1726" s="227"/>
      <c r="VHL1726" s="227"/>
      <c r="VHM1726" s="227"/>
      <c r="VHN1726" s="227"/>
      <c r="VHO1726" s="227"/>
      <c r="VHP1726" s="227"/>
      <c r="VHQ1726" s="227"/>
      <c r="VHR1726" s="227"/>
      <c r="VHS1726" s="227"/>
      <c r="VHT1726" s="227"/>
      <c r="VHU1726" s="227"/>
      <c r="VHV1726" s="227"/>
      <c r="VHW1726" s="227"/>
      <c r="VHX1726" s="227"/>
      <c r="VHY1726" s="227"/>
      <c r="VHZ1726" s="227"/>
      <c r="VIA1726" s="227"/>
      <c r="VIB1726" s="227"/>
      <c r="VIC1726" s="227"/>
      <c r="VID1726" s="227"/>
      <c r="VIE1726" s="227"/>
      <c r="VIF1726" s="227"/>
      <c r="VIG1726" s="227"/>
      <c r="VIH1726" s="227"/>
      <c r="VII1726" s="227"/>
      <c r="VIJ1726" s="227"/>
      <c r="VIK1726" s="227"/>
      <c r="VIL1726" s="227"/>
      <c r="VIM1726" s="227"/>
      <c r="VIN1726" s="227"/>
      <c r="VIO1726" s="227"/>
      <c r="VIP1726" s="227"/>
      <c r="VIQ1726" s="227"/>
      <c r="VIR1726" s="227"/>
      <c r="VIS1726" s="227"/>
      <c r="VIT1726" s="227"/>
      <c r="VIU1726" s="227"/>
      <c r="VIV1726" s="227"/>
      <c r="VIW1726" s="227"/>
      <c r="VIX1726" s="227"/>
      <c r="VIY1726" s="227"/>
      <c r="VIZ1726" s="227"/>
      <c r="VJA1726" s="227"/>
      <c r="VJB1726" s="227"/>
      <c r="VJC1726" s="227"/>
      <c r="VJD1726" s="227"/>
      <c r="VJE1726" s="227"/>
      <c r="VJF1726" s="227"/>
      <c r="VJG1726" s="227"/>
      <c r="VJH1726" s="227"/>
      <c r="VJI1726" s="227"/>
      <c r="VJJ1726" s="227"/>
      <c r="VJK1726" s="227"/>
      <c r="VJL1726" s="227"/>
      <c r="VJM1726" s="227"/>
      <c r="VJN1726" s="227"/>
      <c r="VJO1726" s="227"/>
      <c r="VJP1726" s="227"/>
      <c r="VJQ1726" s="227"/>
      <c r="VJR1726" s="227"/>
      <c r="VJS1726" s="227"/>
      <c r="VJT1726" s="227"/>
      <c r="VJU1726" s="227"/>
      <c r="VJV1726" s="227"/>
      <c r="VJW1726" s="227"/>
      <c r="VJX1726" s="227"/>
      <c r="VJY1726" s="227"/>
      <c r="VJZ1726" s="227"/>
      <c r="VKA1726" s="227"/>
      <c r="VKB1726" s="227"/>
      <c r="VKC1726" s="227"/>
      <c r="VKD1726" s="227"/>
      <c r="VKE1726" s="227"/>
      <c r="VKF1726" s="227"/>
      <c r="VKG1726" s="227"/>
      <c r="VKH1726" s="227"/>
      <c r="VKI1726" s="227"/>
      <c r="VKJ1726" s="227"/>
      <c r="VKK1726" s="227"/>
      <c r="VKL1726" s="227"/>
      <c r="VKM1726" s="227"/>
      <c r="VKN1726" s="227"/>
      <c r="VKO1726" s="227"/>
      <c r="VKP1726" s="227"/>
      <c r="VKQ1726" s="227"/>
      <c r="VKR1726" s="227"/>
      <c r="VKS1726" s="227"/>
      <c r="VKT1726" s="227"/>
      <c r="VKU1726" s="227"/>
      <c r="VKV1726" s="227"/>
      <c r="VKW1726" s="227"/>
      <c r="VKX1726" s="227"/>
      <c r="VKY1726" s="227"/>
      <c r="VKZ1726" s="227"/>
      <c r="VLA1726" s="227"/>
      <c r="VLB1726" s="227"/>
      <c r="VLC1726" s="227"/>
      <c r="VLD1726" s="227"/>
      <c r="VLE1726" s="227"/>
      <c r="VLF1726" s="227"/>
      <c r="VLG1726" s="227"/>
      <c r="VLH1726" s="227"/>
      <c r="VLI1726" s="227"/>
      <c r="VLJ1726" s="227"/>
      <c r="VLK1726" s="227"/>
      <c r="VLL1726" s="227"/>
      <c r="VLM1726" s="227"/>
      <c r="VLN1726" s="227"/>
      <c r="VLO1726" s="227"/>
      <c r="VLP1726" s="227"/>
      <c r="VLQ1726" s="227"/>
      <c r="VLR1726" s="227"/>
      <c r="VLS1726" s="227"/>
      <c r="VLT1726" s="227"/>
      <c r="VLU1726" s="227"/>
      <c r="VLV1726" s="227"/>
      <c r="VLW1726" s="227"/>
      <c r="VLX1726" s="227"/>
      <c r="VLY1726" s="227"/>
      <c r="VLZ1726" s="227"/>
      <c r="VMA1726" s="227"/>
      <c r="VMB1726" s="227"/>
      <c r="VMC1726" s="227"/>
      <c r="VMD1726" s="227"/>
      <c r="VME1726" s="227"/>
      <c r="VMF1726" s="227"/>
      <c r="VMG1726" s="227"/>
      <c r="VMH1726" s="227"/>
      <c r="VMI1726" s="227"/>
      <c r="VMJ1726" s="227"/>
      <c r="VMK1726" s="227"/>
      <c r="VML1726" s="227"/>
      <c r="VMM1726" s="227"/>
      <c r="VMN1726" s="227"/>
      <c r="VMO1726" s="227"/>
      <c r="VMP1726" s="227"/>
      <c r="VMQ1726" s="227"/>
      <c r="VMR1726" s="227"/>
      <c r="VMS1726" s="227"/>
      <c r="VMT1726" s="227"/>
      <c r="VMU1726" s="227"/>
      <c r="VMV1726" s="227"/>
      <c r="VMW1726" s="227"/>
      <c r="VMX1726" s="227"/>
      <c r="VMY1726" s="227"/>
      <c r="VMZ1726" s="227"/>
      <c r="VNA1726" s="227"/>
      <c r="VNB1726" s="227"/>
      <c r="VNC1726" s="227"/>
      <c r="VND1726" s="227"/>
      <c r="VNE1726" s="227"/>
      <c r="VNF1726" s="227"/>
      <c r="VNG1726" s="227"/>
      <c r="VNH1726" s="227"/>
      <c r="VNI1726" s="227"/>
      <c r="VNJ1726" s="227"/>
      <c r="VNK1726" s="227"/>
      <c r="VNL1726" s="227"/>
      <c r="VNM1726" s="227"/>
      <c r="VNN1726" s="227"/>
      <c r="VNO1726" s="227"/>
      <c r="VNP1726" s="227"/>
      <c r="VNQ1726" s="227"/>
      <c r="VNR1726" s="227"/>
      <c r="VNS1726" s="227"/>
      <c r="VNT1726" s="227"/>
      <c r="VNU1726" s="227"/>
      <c r="VNV1726" s="227"/>
      <c r="VNW1726" s="227"/>
      <c r="VNX1726" s="227"/>
      <c r="VNY1726" s="227"/>
      <c r="VNZ1726" s="227"/>
      <c r="VOA1726" s="227"/>
      <c r="VOB1726" s="227"/>
      <c r="VOC1726" s="227"/>
      <c r="VOD1726" s="227"/>
      <c r="VOE1726" s="227"/>
      <c r="VOF1726" s="227"/>
      <c r="VOG1726" s="227"/>
      <c r="VOH1726" s="227"/>
      <c r="VOI1726" s="227"/>
      <c r="VOJ1726" s="227"/>
      <c r="VOK1726" s="227"/>
      <c r="VOL1726" s="227"/>
      <c r="VOM1726" s="227"/>
      <c r="VON1726" s="227"/>
      <c r="VOO1726" s="227"/>
      <c r="VOP1726" s="227"/>
      <c r="VOQ1726" s="227"/>
      <c r="VOR1726" s="227"/>
      <c r="VOS1726" s="227"/>
      <c r="VOT1726" s="227"/>
      <c r="VOU1726" s="227"/>
      <c r="VOV1726" s="227"/>
      <c r="VOW1726" s="227"/>
      <c r="VOX1726" s="227"/>
      <c r="VOY1726" s="227"/>
      <c r="VOZ1726" s="227"/>
      <c r="VPA1726" s="227"/>
      <c r="VPB1726" s="227"/>
      <c r="VPC1726" s="227"/>
      <c r="VPD1726" s="227"/>
      <c r="VPE1726" s="227"/>
      <c r="VPF1726" s="227"/>
      <c r="VPG1726" s="227"/>
      <c r="VPH1726" s="227"/>
      <c r="VPI1726" s="227"/>
      <c r="VPJ1726" s="227"/>
      <c r="VPK1726" s="227"/>
      <c r="VPL1726" s="227"/>
      <c r="VPM1726" s="227"/>
      <c r="VPN1726" s="227"/>
      <c r="VPO1726" s="227"/>
      <c r="VPP1726" s="227"/>
      <c r="VPQ1726" s="227"/>
      <c r="VPR1726" s="227"/>
      <c r="VPS1726" s="227"/>
      <c r="VPT1726" s="227"/>
      <c r="VPU1726" s="227"/>
      <c r="VPV1726" s="227"/>
      <c r="VPW1726" s="227"/>
      <c r="VPX1726" s="227"/>
      <c r="VPY1726" s="227"/>
      <c r="VPZ1726" s="227"/>
      <c r="VQA1726" s="227"/>
      <c r="VQB1726" s="227"/>
      <c r="VQC1726" s="227"/>
      <c r="VQD1726" s="227"/>
      <c r="VQE1726" s="227"/>
      <c r="VQF1726" s="227"/>
      <c r="VQG1726" s="227"/>
      <c r="VQH1726" s="227"/>
      <c r="VQI1726" s="227"/>
      <c r="VQJ1726" s="227"/>
      <c r="VQK1726" s="227"/>
      <c r="VQL1726" s="227"/>
      <c r="VQM1726" s="227"/>
      <c r="VQN1726" s="227"/>
      <c r="VQO1726" s="227"/>
      <c r="VQP1726" s="227"/>
      <c r="VQQ1726" s="227"/>
      <c r="VQR1726" s="227"/>
      <c r="VQS1726" s="227"/>
      <c r="VQT1726" s="227"/>
      <c r="VQU1726" s="227"/>
      <c r="VQV1726" s="227"/>
      <c r="VQW1726" s="227"/>
      <c r="VQX1726" s="227"/>
      <c r="VQY1726" s="227"/>
      <c r="VQZ1726" s="227"/>
      <c r="VRA1726" s="227"/>
      <c r="VRB1726" s="227"/>
      <c r="VRC1726" s="227"/>
      <c r="VRD1726" s="227"/>
      <c r="VRE1726" s="227"/>
      <c r="VRF1726" s="227"/>
      <c r="VRG1726" s="227"/>
      <c r="VRH1726" s="227"/>
      <c r="VRI1726" s="227"/>
      <c r="VRJ1726" s="227"/>
      <c r="VRK1726" s="227"/>
      <c r="VRL1726" s="227"/>
      <c r="VRM1726" s="227"/>
      <c r="VRN1726" s="227"/>
      <c r="VRO1726" s="227"/>
      <c r="VRP1726" s="227"/>
      <c r="VRQ1726" s="227"/>
      <c r="VRR1726" s="227"/>
      <c r="VRS1726" s="227"/>
      <c r="VRT1726" s="227"/>
      <c r="VRU1726" s="227"/>
      <c r="VRV1726" s="227"/>
      <c r="VRW1726" s="227"/>
      <c r="VRX1726" s="227"/>
      <c r="VRY1726" s="227"/>
      <c r="VRZ1726" s="227"/>
      <c r="VSA1726" s="227"/>
      <c r="VSB1726" s="227"/>
      <c r="VSC1726" s="227"/>
      <c r="VSD1726" s="227"/>
      <c r="VSE1726" s="227"/>
      <c r="VSF1726" s="227"/>
      <c r="VSG1726" s="227"/>
      <c r="VSH1726" s="227"/>
      <c r="VSI1726" s="227"/>
      <c r="VSJ1726" s="227"/>
      <c r="VSK1726" s="227"/>
      <c r="VSL1726" s="227"/>
      <c r="VSM1726" s="227"/>
      <c r="VSN1726" s="227"/>
      <c r="VSO1726" s="227"/>
      <c r="VSP1726" s="227"/>
      <c r="VSQ1726" s="227"/>
      <c r="VSR1726" s="227"/>
      <c r="VSS1726" s="227"/>
      <c r="VST1726" s="227"/>
      <c r="VSU1726" s="227"/>
      <c r="VSV1726" s="227"/>
      <c r="VSW1726" s="227"/>
      <c r="VSX1726" s="227"/>
      <c r="VSY1726" s="227"/>
      <c r="VSZ1726" s="227"/>
      <c r="VTA1726" s="227"/>
      <c r="VTB1726" s="227"/>
      <c r="VTC1726" s="227"/>
      <c r="VTD1726" s="227"/>
      <c r="VTE1726" s="227"/>
      <c r="VTF1726" s="227"/>
      <c r="VTG1726" s="227"/>
      <c r="VTH1726" s="227"/>
      <c r="VTI1726" s="227"/>
      <c r="VTJ1726" s="227"/>
      <c r="VTK1726" s="227"/>
      <c r="VTL1726" s="227"/>
      <c r="VTM1726" s="227"/>
      <c r="VTN1726" s="227"/>
      <c r="VTO1726" s="227"/>
      <c r="VTP1726" s="227"/>
      <c r="VTQ1726" s="227"/>
      <c r="VTR1726" s="227"/>
      <c r="VTS1726" s="227"/>
      <c r="VTT1726" s="227"/>
      <c r="VTU1726" s="227"/>
      <c r="VTV1726" s="227"/>
      <c r="VTW1726" s="227"/>
      <c r="VTX1726" s="227"/>
      <c r="VTY1726" s="227"/>
      <c r="VTZ1726" s="227"/>
      <c r="VUA1726" s="227"/>
      <c r="VUB1726" s="227"/>
      <c r="VUC1726" s="227"/>
      <c r="VUD1726" s="227"/>
      <c r="VUE1726" s="227"/>
      <c r="VUF1726" s="227"/>
      <c r="VUG1726" s="227"/>
      <c r="VUH1726" s="227"/>
      <c r="VUI1726" s="227"/>
      <c r="VUJ1726" s="227"/>
      <c r="VUK1726" s="227"/>
      <c r="VUL1726" s="227"/>
      <c r="VUM1726" s="227"/>
      <c r="VUN1726" s="227"/>
      <c r="VUO1726" s="227"/>
      <c r="VUP1726" s="227"/>
      <c r="VUQ1726" s="227"/>
      <c r="VUR1726" s="227"/>
      <c r="VUS1726" s="227"/>
      <c r="VUT1726" s="227"/>
      <c r="VUU1726" s="227"/>
      <c r="VUV1726" s="227"/>
      <c r="VUW1726" s="227"/>
      <c r="VUX1726" s="227"/>
      <c r="VUY1726" s="227"/>
      <c r="VUZ1726" s="227"/>
      <c r="VVA1726" s="227"/>
      <c r="VVB1726" s="227"/>
      <c r="VVC1726" s="227"/>
      <c r="VVD1726" s="227"/>
      <c r="VVE1726" s="227"/>
      <c r="VVF1726" s="227"/>
      <c r="VVG1726" s="227"/>
      <c r="VVH1726" s="227"/>
      <c r="VVI1726" s="227"/>
      <c r="VVJ1726" s="227"/>
      <c r="VVK1726" s="227"/>
      <c r="VVL1726" s="227"/>
      <c r="VVM1726" s="227"/>
      <c r="VVN1726" s="227"/>
      <c r="VVO1726" s="227"/>
      <c r="VVP1726" s="227"/>
      <c r="VVQ1726" s="227"/>
      <c r="VVR1726" s="227"/>
      <c r="VVS1726" s="227"/>
      <c r="VVT1726" s="227"/>
      <c r="VVU1726" s="227"/>
      <c r="VVV1726" s="227"/>
      <c r="VVW1726" s="227"/>
      <c r="VVX1726" s="227"/>
      <c r="VVY1726" s="227"/>
      <c r="VVZ1726" s="227"/>
      <c r="VWA1726" s="227"/>
      <c r="VWB1726" s="227"/>
      <c r="VWC1726" s="227"/>
      <c r="VWD1726" s="227"/>
      <c r="VWE1726" s="227"/>
      <c r="VWF1726" s="227"/>
      <c r="VWG1726" s="227"/>
      <c r="VWH1726" s="227"/>
      <c r="VWI1726" s="227"/>
      <c r="VWJ1726" s="227"/>
      <c r="VWK1726" s="227"/>
      <c r="VWL1726" s="227"/>
      <c r="VWM1726" s="227"/>
      <c r="VWN1726" s="227"/>
      <c r="VWO1726" s="227"/>
      <c r="VWP1726" s="227"/>
      <c r="VWQ1726" s="227"/>
      <c r="VWR1726" s="227"/>
      <c r="VWS1726" s="227"/>
      <c r="VWT1726" s="227"/>
      <c r="VWU1726" s="227"/>
      <c r="VWV1726" s="227"/>
      <c r="VWW1726" s="227"/>
      <c r="VWX1726" s="227"/>
      <c r="VWY1726" s="227"/>
      <c r="VWZ1726" s="227"/>
      <c r="VXA1726" s="227"/>
      <c r="VXB1726" s="227"/>
      <c r="VXC1726" s="227"/>
      <c r="VXD1726" s="227"/>
      <c r="VXE1726" s="227"/>
      <c r="VXF1726" s="227"/>
      <c r="VXG1726" s="227"/>
      <c r="VXH1726" s="227"/>
      <c r="VXI1726" s="227"/>
      <c r="VXJ1726" s="227"/>
      <c r="VXK1726" s="227"/>
      <c r="VXL1726" s="227"/>
      <c r="VXM1726" s="227"/>
      <c r="VXN1726" s="227"/>
      <c r="VXO1726" s="227"/>
      <c r="VXP1726" s="227"/>
      <c r="VXQ1726" s="227"/>
      <c r="VXR1726" s="227"/>
      <c r="VXS1726" s="227"/>
      <c r="VXT1726" s="227"/>
      <c r="VXU1726" s="227"/>
      <c r="VXV1726" s="227"/>
      <c r="VXW1726" s="227"/>
      <c r="VXX1726" s="227"/>
      <c r="VXY1726" s="227"/>
      <c r="VXZ1726" s="227"/>
      <c r="VYA1726" s="227"/>
      <c r="VYB1726" s="227"/>
      <c r="VYC1726" s="227"/>
      <c r="VYD1726" s="227"/>
      <c r="VYE1726" s="227"/>
      <c r="VYF1726" s="227"/>
      <c r="VYG1726" s="227"/>
      <c r="VYH1726" s="227"/>
      <c r="VYI1726" s="227"/>
      <c r="VYJ1726" s="227"/>
      <c r="VYK1726" s="227"/>
      <c r="VYL1726" s="227"/>
      <c r="VYM1726" s="227"/>
      <c r="VYN1726" s="227"/>
      <c r="VYO1726" s="227"/>
      <c r="VYP1726" s="227"/>
      <c r="VYQ1726" s="227"/>
      <c r="VYR1726" s="227"/>
      <c r="VYS1726" s="227"/>
      <c r="VYT1726" s="227"/>
      <c r="VYU1726" s="227"/>
      <c r="VYV1726" s="227"/>
      <c r="VYW1726" s="227"/>
      <c r="VYX1726" s="227"/>
      <c r="VYY1726" s="227"/>
      <c r="VYZ1726" s="227"/>
      <c r="VZA1726" s="227"/>
      <c r="VZB1726" s="227"/>
      <c r="VZC1726" s="227"/>
      <c r="VZD1726" s="227"/>
      <c r="VZE1726" s="227"/>
      <c r="VZF1726" s="227"/>
      <c r="VZG1726" s="227"/>
      <c r="VZH1726" s="227"/>
      <c r="VZI1726" s="227"/>
      <c r="VZJ1726" s="227"/>
      <c r="VZK1726" s="227"/>
      <c r="VZL1726" s="227"/>
      <c r="VZM1726" s="227"/>
      <c r="VZN1726" s="227"/>
      <c r="VZO1726" s="227"/>
      <c r="VZP1726" s="227"/>
      <c r="VZQ1726" s="227"/>
      <c r="VZR1726" s="227"/>
      <c r="VZS1726" s="227"/>
      <c r="VZT1726" s="227"/>
      <c r="VZU1726" s="227"/>
      <c r="VZV1726" s="227"/>
      <c r="VZW1726" s="227"/>
      <c r="VZX1726" s="227"/>
      <c r="VZY1726" s="227"/>
      <c r="VZZ1726" s="227"/>
      <c r="WAA1726" s="227"/>
      <c r="WAB1726" s="227"/>
      <c r="WAC1726" s="227"/>
      <c r="WAD1726" s="227"/>
      <c r="WAE1726" s="227"/>
      <c r="WAF1726" s="227"/>
      <c r="WAG1726" s="227"/>
      <c r="WAH1726" s="227"/>
      <c r="WAI1726" s="227"/>
      <c r="WAJ1726" s="227"/>
      <c r="WAK1726" s="227"/>
      <c r="WAL1726" s="227"/>
      <c r="WAM1726" s="227"/>
      <c r="WAN1726" s="227"/>
      <c r="WAO1726" s="227"/>
      <c r="WAP1726" s="227"/>
      <c r="WAQ1726" s="227"/>
      <c r="WAR1726" s="227"/>
      <c r="WAS1726" s="227"/>
      <c r="WAT1726" s="227"/>
      <c r="WAU1726" s="227"/>
      <c r="WAV1726" s="227"/>
      <c r="WAW1726" s="227"/>
      <c r="WAX1726" s="227"/>
      <c r="WAY1726" s="227"/>
      <c r="WAZ1726" s="227"/>
      <c r="WBA1726" s="227"/>
      <c r="WBB1726" s="227"/>
      <c r="WBC1726" s="227"/>
      <c r="WBD1726" s="227"/>
      <c r="WBE1726" s="227"/>
      <c r="WBF1726" s="227"/>
      <c r="WBG1726" s="227"/>
      <c r="WBH1726" s="227"/>
      <c r="WBI1726" s="227"/>
      <c r="WBJ1726" s="227"/>
      <c r="WBK1726" s="227"/>
      <c r="WBL1726" s="227"/>
      <c r="WBM1726" s="227"/>
      <c r="WBN1726" s="227"/>
      <c r="WBO1726" s="227"/>
      <c r="WBP1726" s="227"/>
      <c r="WBQ1726" s="227"/>
      <c r="WBR1726" s="227"/>
      <c r="WBS1726" s="227"/>
      <c r="WBT1726" s="227"/>
      <c r="WBU1726" s="227"/>
      <c r="WBV1726" s="227"/>
      <c r="WBW1726" s="227"/>
      <c r="WBX1726" s="227"/>
      <c r="WBY1726" s="227"/>
      <c r="WBZ1726" s="227"/>
      <c r="WCA1726" s="227"/>
      <c r="WCB1726" s="227"/>
      <c r="WCC1726" s="227"/>
      <c r="WCD1726" s="227"/>
      <c r="WCE1726" s="227"/>
      <c r="WCF1726" s="227"/>
      <c r="WCG1726" s="227"/>
      <c r="WCH1726" s="227"/>
      <c r="WCI1726" s="227"/>
      <c r="WCJ1726" s="227"/>
      <c r="WCK1726" s="227"/>
      <c r="WCL1726" s="227"/>
      <c r="WCM1726" s="227"/>
      <c r="WCN1726" s="227"/>
      <c r="WCO1726" s="227"/>
      <c r="WCP1726" s="227"/>
      <c r="WCQ1726" s="227"/>
      <c r="WCR1726" s="227"/>
      <c r="WCS1726" s="227"/>
      <c r="WCT1726" s="227"/>
      <c r="WCU1726" s="227"/>
      <c r="WCV1726" s="227"/>
      <c r="WCW1726" s="227"/>
      <c r="WCX1726" s="227"/>
      <c r="WCY1726" s="227"/>
      <c r="WCZ1726" s="227"/>
      <c r="WDA1726" s="227"/>
      <c r="WDB1726" s="227"/>
      <c r="WDC1726" s="227"/>
      <c r="WDD1726" s="227"/>
      <c r="WDE1726" s="227"/>
      <c r="WDF1726" s="227"/>
      <c r="WDG1726" s="227"/>
      <c r="WDH1726" s="227"/>
      <c r="WDI1726" s="227"/>
      <c r="WDJ1726" s="227"/>
      <c r="WDK1726" s="227"/>
      <c r="WDL1726" s="227"/>
      <c r="WDM1726" s="227"/>
      <c r="WDN1726" s="227"/>
      <c r="WDO1726" s="227"/>
      <c r="WDP1726" s="227"/>
      <c r="WDQ1726" s="227"/>
      <c r="WDR1726" s="227"/>
      <c r="WDS1726" s="227"/>
      <c r="WDT1726" s="227"/>
      <c r="WDU1726" s="227"/>
      <c r="WDV1726" s="227"/>
      <c r="WDW1726" s="227"/>
      <c r="WDX1726" s="227"/>
      <c r="WDY1726" s="227"/>
      <c r="WDZ1726" s="227"/>
      <c r="WEA1726" s="227"/>
      <c r="WEB1726" s="227"/>
      <c r="WEC1726" s="227"/>
      <c r="WED1726" s="227"/>
      <c r="WEE1726" s="227"/>
      <c r="WEF1726" s="227"/>
      <c r="WEG1726" s="227"/>
      <c r="WEH1726" s="227"/>
      <c r="WEI1726" s="227"/>
      <c r="WEJ1726" s="227"/>
      <c r="WEK1726" s="227"/>
      <c r="WEL1726" s="227"/>
      <c r="WEM1726" s="227"/>
      <c r="WEN1726" s="227"/>
      <c r="WEO1726" s="227"/>
      <c r="WEP1726" s="227"/>
      <c r="WEQ1726" s="227"/>
      <c r="WER1726" s="227"/>
      <c r="WES1726" s="227"/>
      <c r="WET1726" s="227"/>
      <c r="WEU1726" s="227"/>
      <c r="WEV1726" s="227"/>
      <c r="WEW1726" s="227"/>
      <c r="WEX1726" s="227"/>
      <c r="WEY1726" s="227"/>
      <c r="WEZ1726" s="227"/>
      <c r="WFA1726" s="227"/>
      <c r="WFB1726" s="227"/>
      <c r="WFC1726" s="227"/>
      <c r="WFD1726" s="227"/>
      <c r="WFE1726" s="227"/>
      <c r="WFF1726" s="227"/>
      <c r="WFG1726" s="227"/>
      <c r="WFH1726" s="227"/>
      <c r="WFI1726" s="227"/>
      <c r="WFJ1726" s="227"/>
      <c r="WFK1726" s="227"/>
      <c r="WFL1726" s="227"/>
      <c r="WFM1726" s="227"/>
      <c r="WFN1726" s="227"/>
      <c r="WFO1726" s="227"/>
      <c r="WFP1726" s="227"/>
      <c r="WFQ1726" s="227"/>
      <c r="WFR1726" s="227"/>
      <c r="WFS1726" s="227"/>
      <c r="WFT1726" s="227"/>
      <c r="WFU1726" s="227"/>
      <c r="WFV1726" s="227"/>
      <c r="WFW1726" s="227"/>
      <c r="WFX1726" s="227"/>
      <c r="WFY1726" s="227"/>
      <c r="WFZ1726" s="227"/>
      <c r="WGA1726" s="227"/>
      <c r="WGB1726" s="227"/>
      <c r="WGC1726" s="227"/>
      <c r="WGD1726" s="227"/>
      <c r="WGE1726" s="227"/>
      <c r="WGF1726" s="227"/>
      <c r="WGG1726" s="227"/>
      <c r="WGH1726" s="227"/>
      <c r="WGI1726" s="227"/>
      <c r="WGJ1726" s="227"/>
      <c r="WGK1726" s="227"/>
      <c r="WGL1726" s="227"/>
      <c r="WGM1726" s="227"/>
      <c r="WGN1726" s="227"/>
      <c r="WGO1726" s="227"/>
      <c r="WGP1726" s="227"/>
      <c r="WGQ1726" s="227"/>
      <c r="WGR1726" s="227"/>
      <c r="WGS1726" s="227"/>
      <c r="WGT1726" s="227"/>
      <c r="WGU1726" s="227"/>
      <c r="WGV1726" s="227"/>
      <c r="WGW1726" s="227"/>
      <c r="WGX1726" s="227"/>
      <c r="WGY1726" s="227"/>
      <c r="WGZ1726" s="227"/>
      <c r="WHA1726" s="227"/>
      <c r="WHB1726" s="227"/>
      <c r="WHC1726" s="227"/>
      <c r="WHD1726" s="227"/>
      <c r="WHE1726" s="227"/>
      <c r="WHF1726" s="227"/>
      <c r="WHG1726" s="227"/>
      <c r="WHH1726" s="227"/>
      <c r="WHI1726" s="227"/>
      <c r="WHJ1726" s="227"/>
      <c r="WHK1726" s="227"/>
      <c r="WHL1726" s="227"/>
      <c r="WHM1726" s="227"/>
      <c r="WHN1726" s="227"/>
      <c r="WHO1726" s="227"/>
      <c r="WHP1726" s="227"/>
      <c r="WHQ1726" s="227"/>
      <c r="WHR1726" s="227"/>
      <c r="WHS1726" s="227"/>
      <c r="WHT1726" s="227"/>
      <c r="WHU1726" s="227"/>
      <c r="WHV1726" s="227"/>
      <c r="WHW1726" s="227"/>
      <c r="WHX1726" s="227"/>
      <c r="WHY1726" s="227"/>
      <c r="WHZ1726" s="227"/>
      <c r="WIA1726" s="227"/>
      <c r="WIB1726" s="227"/>
      <c r="WIC1726" s="227"/>
      <c r="WID1726" s="227"/>
      <c r="WIE1726" s="227"/>
      <c r="WIF1726" s="227"/>
      <c r="WIG1726" s="227"/>
      <c r="WIH1726" s="227"/>
      <c r="WII1726" s="227"/>
      <c r="WIJ1726" s="227"/>
      <c r="WIK1726" s="227"/>
      <c r="WIL1726" s="227"/>
      <c r="WIM1726" s="227"/>
      <c r="WIN1726" s="227"/>
      <c r="WIO1726" s="227"/>
      <c r="WIP1726" s="227"/>
      <c r="WIQ1726" s="227"/>
      <c r="WIR1726" s="227"/>
      <c r="WIS1726" s="227"/>
      <c r="WIT1726" s="227"/>
      <c r="WIU1726" s="227"/>
      <c r="WIV1726" s="227"/>
      <c r="WIW1726" s="227"/>
      <c r="WIX1726" s="227"/>
      <c r="WIY1726" s="227"/>
      <c r="WIZ1726" s="227"/>
      <c r="WJA1726" s="227"/>
      <c r="WJB1726" s="227"/>
      <c r="WJC1726" s="227"/>
      <c r="WJD1726" s="227"/>
      <c r="WJE1726" s="227"/>
      <c r="WJF1726" s="227"/>
      <c r="WJG1726" s="227"/>
      <c r="WJH1726" s="227"/>
      <c r="WJI1726" s="227"/>
      <c r="WJJ1726" s="227"/>
      <c r="WJK1726" s="227"/>
      <c r="WJL1726" s="227"/>
      <c r="WJM1726" s="227"/>
      <c r="WJN1726" s="227"/>
      <c r="WJO1726" s="227"/>
      <c r="WJP1726" s="227"/>
      <c r="WJQ1726" s="227"/>
      <c r="WJR1726" s="227"/>
      <c r="WJS1726" s="227"/>
      <c r="WJT1726" s="227"/>
      <c r="WJU1726" s="227"/>
      <c r="WJV1726" s="227"/>
      <c r="WJW1726" s="227"/>
      <c r="WJX1726" s="227"/>
      <c r="WJY1726" s="227"/>
      <c r="WJZ1726" s="227"/>
      <c r="WKA1726" s="227"/>
      <c r="WKB1726" s="227"/>
      <c r="WKC1726" s="227"/>
      <c r="WKD1726" s="227"/>
      <c r="WKE1726" s="227"/>
      <c r="WKF1726" s="227"/>
      <c r="WKG1726" s="227"/>
      <c r="WKH1726" s="227"/>
      <c r="WKI1726" s="227"/>
      <c r="WKJ1726" s="227"/>
      <c r="WKK1726" s="227"/>
      <c r="WKL1726" s="227"/>
      <c r="WKM1726" s="227"/>
      <c r="WKN1726" s="227"/>
      <c r="WKO1726" s="227"/>
      <c r="WKP1726" s="227"/>
      <c r="WKQ1726" s="227"/>
      <c r="WKR1726" s="227"/>
      <c r="WKS1726" s="227"/>
      <c r="WKT1726" s="227"/>
      <c r="WKU1726" s="227"/>
      <c r="WKV1726" s="227"/>
      <c r="WKW1726" s="227"/>
      <c r="WKX1726" s="227"/>
      <c r="WKY1726" s="227"/>
      <c r="WKZ1726" s="227"/>
      <c r="WLA1726" s="227"/>
      <c r="WLB1726" s="227"/>
      <c r="WLC1726" s="227"/>
      <c r="WLD1726" s="227"/>
      <c r="WLE1726" s="227"/>
      <c r="WLF1726" s="227"/>
      <c r="WLG1726" s="227"/>
      <c r="WLH1726" s="227"/>
      <c r="WLI1726" s="227"/>
      <c r="WLJ1726" s="227"/>
      <c r="WLK1726" s="227"/>
      <c r="WLL1726" s="227"/>
      <c r="WLM1726" s="227"/>
      <c r="WLN1726" s="227"/>
      <c r="WLO1726" s="227"/>
      <c r="WLP1726" s="227"/>
      <c r="WLQ1726" s="227"/>
      <c r="WLR1726" s="227"/>
      <c r="WLS1726" s="227"/>
      <c r="WLT1726" s="227"/>
      <c r="WLU1726" s="227"/>
      <c r="WLV1726" s="227"/>
      <c r="WLW1726" s="227"/>
      <c r="WLX1726" s="227"/>
      <c r="WLY1726" s="227"/>
      <c r="WLZ1726" s="227"/>
      <c r="WMA1726" s="227"/>
      <c r="WMB1726" s="227"/>
      <c r="WMC1726" s="227"/>
      <c r="WMD1726" s="227"/>
      <c r="WME1726" s="227"/>
      <c r="WMF1726" s="227"/>
      <c r="WMG1726" s="227"/>
      <c r="WMH1726" s="227"/>
      <c r="WMI1726" s="227"/>
      <c r="WMJ1726" s="227"/>
      <c r="WMK1726" s="227"/>
      <c r="WML1726" s="227"/>
      <c r="WMM1726" s="227"/>
      <c r="WMN1726" s="227"/>
      <c r="WMO1726" s="227"/>
      <c r="WMP1726" s="227"/>
      <c r="WMQ1726" s="227"/>
      <c r="WMR1726" s="227"/>
      <c r="WMS1726" s="227"/>
      <c r="WMT1726" s="227"/>
      <c r="WMU1726" s="227"/>
      <c r="WMV1726" s="227"/>
      <c r="WMW1726" s="227"/>
      <c r="WMX1726" s="227"/>
      <c r="WMY1726" s="227"/>
      <c r="WMZ1726" s="227"/>
      <c r="WNA1726" s="227"/>
      <c r="WNB1726" s="227"/>
      <c r="WNC1726" s="227"/>
      <c r="WND1726" s="227"/>
      <c r="WNE1726" s="227"/>
      <c r="WNF1726" s="227"/>
      <c r="WNG1726" s="227"/>
      <c r="WNH1726" s="227"/>
      <c r="WNI1726" s="227"/>
      <c r="WNJ1726" s="227"/>
      <c r="WNK1726" s="227"/>
      <c r="WNL1726" s="227"/>
      <c r="WNM1726" s="227"/>
      <c r="WNN1726" s="227"/>
      <c r="WNO1726" s="227"/>
      <c r="WNP1726" s="227"/>
      <c r="WNQ1726" s="227"/>
      <c r="WNR1726" s="227"/>
      <c r="WNS1726" s="227"/>
      <c r="WNT1726" s="227"/>
      <c r="WNU1726" s="227"/>
      <c r="WNV1726" s="227"/>
      <c r="WNW1726" s="227"/>
      <c r="WNX1726" s="227"/>
      <c r="WNY1726" s="227"/>
      <c r="WNZ1726" s="227"/>
      <c r="WOA1726" s="227"/>
      <c r="WOB1726" s="227"/>
      <c r="WOC1726" s="227"/>
      <c r="WOD1726" s="227"/>
      <c r="WOE1726" s="227"/>
      <c r="WOF1726" s="227"/>
      <c r="WOG1726" s="227"/>
      <c r="WOH1726" s="227"/>
      <c r="WOI1726" s="227"/>
      <c r="WOJ1726" s="227"/>
      <c r="WOK1726" s="227"/>
      <c r="WOL1726" s="227"/>
      <c r="WOM1726" s="227"/>
      <c r="WON1726" s="227"/>
      <c r="WOO1726" s="227"/>
      <c r="WOP1726" s="227"/>
      <c r="WOQ1726" s="227"/>
      <c r="WOR1726" s="227"/>
      <c r="WOS1726" s="227"/>
      <c r="WOT1726" s="227"/>
      <c r="WOU1726" s="227"/>
      <c r="WOV1726" s="227"/>
      <c r="WOW1726" s="227"/>
      <c r="WOX1726" s="227"/>
      <c r="WOY1726" s="227"/>
      <c r="WOZ1726" s="227"/>
      <c r="WPA1726" s="227"/>
      <c r="WPB1726" s="227"/>
      <c r="WPC1726" s="227"/>
      <c r="WPD1726" s="227"/>
      <c r="WPE1726" s="227"/>
      <c r="WPF1726" s="227"/>
      <c r="WPG1726" s="227"/>
      <c r="WPH1726" s="227"/>
      <c r="WPI1726" s="227"/>
      <c r="WPJ1726" s="227"/>
      <c r="WPK1726" s="227"/>
      <c r="WPL1726" s="227"/>
      <c r="WPM1726" s="227"/>
      <c r="WPN1726" s="227"/>
      <c r="WPO1726" s="227"/>
      <c r="WPP1726" s="227"/>
      <c r="WPQ1726" s="227"/>
      <c r="WPR1726" s="227"/>
      <c r="WPS1726" s="227"/>
      <c r="WPT1726" s="227"/>
      <c r="WPU1726" s="227"/>
      <c r="WPV1726" s="227"/>
      <c r="WPW1726" s="227"/>
      <c r="WPX1726" s="227"/>
      <c r="WPY1726" s="227"/>
      <c r="WPZ1726" s="227"/>
      <c r="WQA1726" s="227"/>
      <c r="WQB1726" s="227"/>
      <c r="WQC1726" s="227"/>
      <c r="WQD1726" s="227"/>
      <c r="WQE1726" s="227"/>
      <c r="WQF1726" s="227"/>
      <c r="WQG1726" s="227"/>
      <c r="WQH1726" s="227"/>
      <c r="WQI1726" s="227"/>
      <c r="WQJ1726" s="227"/>
      <c r="WQK1726" s="227"/>
      <c r="WQL1726" s="227"/>
      <c r="WQM1726" s="227"/>
      <c r="WQN1726" s="227"/>
      <c r="WQO1726" s="227"/>
      <c r="WQP1726" s="227"/>
      <c r="WQQ1726" s="227"/>
      <c r="WQR1726" s="227"/>
      <c r="WQS1726" s="227"/>
      <c r="WQT1726" s="227"/>
      <c r="WQU1726" s="227"/>
      <c r="WQV1726" s="227"/>
      <c r="WQW1726" s="227"/>
      <c r="WQX1726" s="227"/>
      <c r="WQY1726" s="227"/>
      <c r="WQZ1726" s="227"/>
      <c r="WRA1726" s="227"/>
      <c r="WRB1726" s="227"/>
      <c r="WRC1726" s="227"/>
      <c r="WRD1726" s="227"/>
      <c r="WRE1726" s="227"/>
      <c r="WRF1726" s="227"/>
      <c r="WRG1726" s="227"/>
      <c r="WRH1726" s="227"/>
      <c r="WRI1726" s="227"/>
      <c r="WRJ1726" s="227"/>
      <c r="WRK1726" s="227"/>
      <c r="WRL1726" s="227"/>
      <c r="WRM1726" s="227"/>
      <c r="WRN1726" s="227"/>
      <c r="WRO1726" s="227"/>
      <c r="WRP1726" s="227"/>
      <c r="WRQ1726" s="227"/>
      <c r="WRR1726" s="227"/>
      <c r="WRS1726" s="227"/>
      <c r="WRT1726" s="227"/>
      <c r="WRU1726" s="227"/>
      <c r="WRV1726" s="227"/>
      <c r="WRW1726" s="227"/>
      <c r="WRX1726" s="227"/>
      <c r="WRY1726" s="227"/>
      <c r="WRZ1726" s="227"/>
      <c r="WSA1726" s="227"/>
      <c r="WSB1726" s="227"/>
      <c r="WSC1726" s="227"/>
      <c r="WSD1726" s="227"/>
      <c r="WSE1726" s="227"/>
      <c r="WSF1726" s="227"/>
      <c r="WSG1726" s="227"/>
      <c r="WSH1726" s="227"/>
      <c r="WSI1726" s="227"/>
      <c r="WSJ1726" s="227"/>
      <c r="WSK1726" s="227"/>
      <c r="WSL1726" s="227"/>
      <c r="WSM1726" s="227"/>
      <c r="WSN1726" s="227"/>
      <c r="WSO1726" s="227"/>
      <c r="WSP1726" s="227"/>
      <c r="WSQ1726" s="227"/>
      <c r="WSR1726" s="227"/>
      <c r="WSS1726" s="227"/>
      <c r="WST1726" s="227"/>
      <c r="WSU1726" s="227"/>
      <c r="WSV1726" s="227"/>
      <c r="WSW1726" s="227"/>
      <c r="WSX1726" s="227"/>
      <c r="WSY1726" s="227"/>
      <c r="WSZ1726" s="227"/>
      <c r="WTA1726" s="227"/>
      <c r="WTB1726" s="227"/>
      <c r="WTC1726" s="227"/>
      <c r="WTD1726" s="227"/>
      <c r="WTE1726" s="227"/>
      <c r="WTF1726" s="227"/>
      <c r="WTG1726" s="227"/>
      <c r="WTH1726" s="227"/>
      <c r="WTI1726" s="227"/>
      <c r="WTJ1726" s="227"/>
      <c r="WTK1726" s="227"/>
      <c r="WTL1726" s="227"/>
      <c r="WTM1726" s="227"/>
      <c r="WTN1726" s="227"/>
      <c r="WTO1726" s="227"/>
      <c r="WTP1726" s="227"/>
      <c r="WTQ1726" s="227"/>
      <c r="WTR1726" s="227"/>
      <c r="WTS1726" s="227"/>
      <c r="WTT1726" s="227"/>
      <c r="WTU1726" s="227"/>
      <c r="WTV1726" s="227"/>
      <c r="WTW1726" s="227"/>
      <c r="WTX1726" s="227"/>
      <c r="WTY1726" s="227"/>
      <c r="WTZ1726" s="227"/>
      <c r="WUA1726" s="227"/>
      <c r="WUB1726" s="227"/>
      <c r="WUC1726" s="227"/>
      <c r="WUD1726" s="227"/>
      <c r="WUE1726" s="227"/>
      <c r="WUF1726" s="227"/>
      <c r="WUG1726" s="227"/>
      <c r="WUH1726" s="227"/>
      <c r="WUI1726" s="227"/>
      <c r="WUJ1726" s="227"/>
      <c r="WUK1726" s="227"/>
      <c r="WUL1726" s="227"/>
      <c r="WUM1726" s="227"/>
      <c r="WUN1726" s="227"/>
      <c r="WUO1726" s="227"/>
      <c r="WUP1726" s="227"/>
      <c r="WUQ1726" s="227"/>
      <c r="WUR1726" s="227"/>
      <c r="WUS1726" s="227"/>
      <c r="WUT1726" s="227"/>
      <c r="WUU1726" s="227"/>
      <c r="WUV1726" s="227"/>
      <c r="WUW1726" s="227"/>
      <c r="WUX1726" s="227"/>
      <c r="WUY1726" s="227"/>
      <c r="WUZ1726" s="227"/>
      <c r="WVA1726" s="227"/>
      <c r="WVB1726" s="227"/>
      <c r="WVC1726" s="227"/>
      <c r="WVD1726" s="227"/>
      <c r="WVE1726" s="227"/>
      <c r="WVF1726" s="227"/>
      <c r="WVG1726" s="227"/>
      <c r="WVH1726" s="227"/>
      <c r="WVI1726" s="227"/>
      <c r="WVJ1726" s="227"/>
      <c r="WVK1726" s="227"/>
      <c r="WVL1726" s="227"/>
      <c r="WVM1726" s="227"/>
      <c r="WVN1726" s="227"/>
      <c r="WVO1726" s="227"/>
      <c r="WVP1726" s="227"/>
      <c r="WVQ1726" s="227"/>
      <c r="WVR1726" s="227"/>
      <c r="WVS1726" s="227"/>
      <c r="WVT1726" s="227"/>
      <c r="WVU1726" s="227"/>
      <c r="WVV1726" s="227"/>
      <c r="WVW1726" s="227"/>
      <c r="WVX1726" s="227"/>
      <c r="WVY1726" s="227"/>
      <c r="WVZ1726" s="227"/>
      <c r="WWA1726" s="227"/>
      <c r="WWB1726" s="227"/>
      <c r="WWC1726" s="227"/>
      <c r="WWD1726" s="227"/>
      <c r="WWE1726" s="227"/>
      <c r="WWF1726" s="227"/>
      <c r="WWG1726" s="227"/>
      <c r="WWH1726" s="227"/>
      <c r="WWI1726" s="227"/>
      <c r="WWJ1726" s="227"/>
      <c r="WWK1726" s="227"/>
      <c r="WWL1726" s="227"/>
      <c r="WWM1726" s="227"/>
      <c r="WWN1726" s="227"/>
      <c r="WWO1726" s="227"/>
      <c r="WWP1726" s="227"/>
      <c r="WWQ1726" s="227"/>
      <c r="WWR1726" s="227"/>
      <c r="WWS1726" s="227"/>
      <c r="WWT1726" s="227"/>
      <c r="WWU1726" s="227"/>
      <c r="WWV1726" s="227"/>
      <c r="WWW1726" s="227"/>
      <c r="WWX1726" s="227"/>
      <c r="WWY1726" s="227"/>
      <c r="WWZ1726" s="227"/>
      <c r="WXA1726" s="227"/>
      <c r="WXB1726" s="227"/>
      <c r="WXC1726" s="227"/>
      <c r="WXD1726" s="227"/>
      <c r="WXE1726" s="227"/>
      <c r="WXF1726" s="227"/>
      <c r="WXG1726" s="227"/>
      <c r="WXH1726" s="227"/>
      <c r="WXI1726" s="227"/>
      <c r="WXJ1726" s="227"/>
      <c r="WXK1726" s="227"/>
      <c r="WXL1726" s="227"/>
      <c r="WXM1726" s="227"/>
      <c r="WXN1726" s="227"/>
      <c r="WXO1726" s="227"/>
      <c r="WXP1726" s="227"/>
      <c r="WXQ1726" s="227"/>
      <c r="WXR1726" s="227"/>
      <c r="WXS1726" s="227"/>
      <c r="WXT1726" s="227"/>
      <c r="WXU1726" s="227"/>
      <c r="WXV1726" s="227"/>
      <c r="WXW1726" s="227"/>
      <c r="WXX1726" s="227"/>
      <c r="WXY1726" s="227"/>
      <c r="WXZ1726" s="227"/>
      <c r="WYA1726" s="227"/>
      <c r="WYB1726" s="227"/>
      <c r="WYC1726" s="227"/>
      <c r="WYD1726" s="227"/>
      <c r="WYE1726" s="227"/>
      <c r="WYF1726" s="227"/>
      <c r="WYG1726" s="227"/>
      <c r="WYH1726" s="227"/>
      <c r="WYI1726" s="227"/>
      <c r="WYJ1726" s="227"/>
      <c r="WYK1726" s="227"/>
      <c r="WYL1726" s="227"/>
      <c r="WYM1726" s="227"/>
      <c r="WYN1726" s="227"/>
      <c r="WYO1726" s="227"/>
      <c r="WYP1726" s="227"/>
      <c r="WYQ1726" s="227"/>
      <c r="WYR1726" s="227"/>
      <c r="WYS1726" s="227"/>
      <c r="WYT1726" s="227"/>
      <c r="WYU1726" s="227"/>
      <c r="WYV1726" s="227"/>
      <c r="WYW1726" s="227"/>
      <c r="WYX1726" s="227"/>
      <c r="WYY1726" s="227"/>
      <c r="WYZ1726" s="227"/>
      <c r="WZA1726" s="227"/>
      <c r="WZB1726" s="227"/>
      <c r="WZC1726" s="227"/>
      <c r="WZD1726" s="227"/>
      <c r="WZE1726" s="227"/>
      <c r="WZF1726" s="227"/>
      <c r="WZG1726" s="227"/>
      <c r="WZH1726" s="227"/>
      <c r="WZI1726" s="227"/>
      <c r="WZJ1726" s="227"/>
      <c r="WZK1726" s="227"/>
      <c r="WZL1726" s="227"/>
      <c r="WZM1726" s="227"/>
      <c r="WZN1726" s="227"/>
      <c r="WZO1726" s="227"/>
      <c r="WZP1726" s="227"/>
      <c r="WZQ1726" s="227"/>
      <c r="WZR1726" s="227"/>
      <c r="WZS1726" s="227"/>
      <c r="WZT1726" s="227"/>
      <c r="WZU1726" s="227"/>
      <c r="WZV1726" s="227"/>
      <c r="WZW1726" s="227"/>
      <c r="WZX1726" s="227"/>
      <c r="WZY1726" s="227"/>
      <c r="WZZ1726" s="227"/>
      <c r="XAA1726" s="227"/>
      <c r="XAB1726" s="227"/>
      <c r="XAC1726" s="227"/>
      <c r="XAD1726" s="227"/>
      <c r="XAE1726" s="227"/>
      <c r="XAF1726" s="227"/>
      <c r="XAG1726" s="227"/>
      <c r="XAH1726" s="227"/>
      <c r="XAI1726" s="227"/>
      <c r="XAJ1726" s="227"/>
      <c r="XAK1726" s="227"/>
      <c r="XAL1726" s="227"/>
      <c r="XAM1726" s="227"/>
      <c r="XAN1726" s="227"/>
      <c r="XAO1726" s="227"/>
      <c r="XAP1726" s="227"/>
      <c r="XAQ1726" s="227"/>
      <c r="XAR1726" s="227"/>
      <c r="XAS1726" s="227"/>
      <c r="XAT1726" s="227"/>
      <c r="XAU1726" s="227"/>
      <c r="XAV1726" s="227"/>
      <c r="XAW1726" s="227"/>
      <c r="XAX1726" s="227"/>
      <c r="XAY1726" s="227"/>
      <c r="XAZ1726" s="227"/>
      <c r="XBA1726" s="227"/>
      <c r="XBB1726" s="227"/>
      <c r="XBC1726" s="227"/>
      <c r="XBD1726" s="227"/>
      <c r="XBE1726" s="227"/>
      <c r="XBF1726" s="227"/>
      <c r="XBG1726" s="227"/>
      <c r="XBH1726" s="227"/>
      <c r="XBI1726" s="227"/>
      <c r="XBJ1726" s="227"/>
      <c r="XBK1726" s="227"/>
      <c r="XBL1726" s="227"/>
      <c r="XBM1726" s="227"/>
      <c r="XBN1726" s="227"/>
      <c r="XBO1726" s="227"/>
      <c r="XBP1726" s="227"/>
      <c r="XBQ1726" s="227"/>
      <c r="XBR1726" s="227"/>
      <c r="XBS1726" s="227"/>
      <c r="XBT1726" s="227"/>
      <c r="XBU1726" s="227"/>
      <c r="XBV1726" s="227"/>
      <c r="XBW1726" s="227"/>
      <c r="XBX1726" s="227"/>
      <c r="XBY1726" s="227"/>
      <c r="XBZ1726" s="227"/>
      <c r="XCA1726" s="227"/>
      <c r="XCB1726" s="227"/>
      <c r="XCC1726" s="227"/>
      <c r="XCD1726" s="227"/>
      <c r="XCE1726" s="227"/>
      <c r="XCF1726" s="227"/>
      <c r="XCG1726" s="227"/>
      <c r="XCH1726" s="227"/>
      <c r="XCI1726" s="227"/>
      <c r="XCJ1726" s="227"/>
      <c r="XCK1726" s="227"/>
      <c r="XCL1726" s="227"/>
      <c r="XCM1726" s="227"/>
      <c r="XCN1726" s="227"/>
      <c r="XCO1726" s="227"/>
      <c r="XCP1726" s="227"/>
      <c r="XCQ1726" s="227"/>
      <c r="XCR1726" s="227"/>
      <c r="XCS1726" s="227"/>
      <c r="XCT1726" s="227"/>
      <c r="XCU1726" s="227"/>
      <c r="XCV1726" s="227"/>
      <c r="XCW1726" s="227"/>
      <c r="XCX1726" s="227"/>
      <c r="XCY1726" s="227"/>
      <c r="XCZ1726" s="227"/>
      <c r="XDA1726" s="227"/>
      <c r="XDB1726" s="227"/>
      <c r="XDC1726" s="227"/>
      <c r="XDD1726" s="227"/>
      <c r="XDE1726" s="227"/>
      <c r="XDF1726" s="227"/>
      <c r="XDG1726" s="227"/>
      <c r="XDH1726" s="227"/>
      <c r="XDI1726" s="227"/>
      <c r="XDJ1726" s="227"/>
      <c r="XDK1726" s="227"/>
      <c r="XDL1726" s="227"/>
      <c r="XDM1726" s="227"/>
      <c r="XDN1726" s="227"/>
      <c r="XDO1726" s="227"/>
      <c r="XDP1726" s="227"/>
      <c r="XDQ1726" s="227"/>
      <c r="XDR1726" s="227"/>
      <c r="XDS1726" s="227"/>
      <c r="XDT1726" s="227"/>
      <c r="XDU1726" s="227"/>
      <c r="XDV1726" s="227"/>
      <c r="XDW1726" s="227"/>
      <c r="XDX1726" s="227"/>
      <c r="XDY1726" s="227"/>
      <c r="XDZ1726" s="227"/>
      <c r="XEA1726" s="227"/>
      <c r="XEB1726" s="227"/>
      <c r="XEC1726" s="227"/>
      <c r="XED1726" s="227"/>
      <c r="XEE1726" s="227"/>
      <c r="XEF1726" s="227"/>
      <c r="XEG1726" s="227"/>
      <c r="XEH1726" s="227"/>
      <c r="XEI1726" s="227"/>
      <c r="XEJ1726" s="227"/>
      <c r="XEK1726" s="227"/>
      <c r="XEL1726" s="227"/>
      <c r="XEM1726" s="227"/>
      <c r="XEN1726" s="227"/>
      <c r="XEO1726" s="227"/>
      <c r="XEP1726" s="227"/>
      <c r="XEQ1726" s="227"/>
      <c r="XER1726" s="227"/>
      <c r="XES1726" s="227"/>
      <c r="XET1726" s="227"/>
      <c r="XEU1726" s="227"/>
      <c r="XEV1726" s="227"/>
      <c r="XEW1726" s="227"/>
      <c r="XEX1726" s="227"/>
      <c r="XEY1726" s="227"/>
      <c r="XEZ1726" s="227"/>
      <c r="XFA1726" s="227"/>
      <c r="XFB1726" s="227"/>
      <c r="XFC1726" s="227"/>
      <c r="XFD1726" s="227"/>
    </row>
    <row r="1727" spans="1:16384" customFormat="1" x14ac:dyDescent="0.25">
      <c r="A1727" s="240">
        <v>490</v>
      </c>
      <c r="B1727" s="239">
        <v>44922.5</v>
      </c>
      <c r="C1727" s="235">
        <v>0.5</v>
      </c>
      <c r="D1727" s="235">
        <v>0.50347222222222221</v>
      </c>
      <c r="E1727" s="235">
        <v>0.50347222222222221</v>
      </c>
      <c r="F1727" s="236" t="s">
        <v>170</v>
      </c>
      <c r="G1727" s="236" t="s">
        <v>330</v>
      </c>
      <c r="H1727" s="229" t="s">
        <v>204</v>
      </c>
      <c r="I1727" s="229" t="s">
        <v>110</v>
      </c>
      <c r="J1727" s="229" t="s">
        <v>37</v>
      </c>
      <c r="K1727" s="234" t="s">
        <v>63</v>
      </c>
      <c r="L1727" s="234" t="s">
        <v>212</v>
      </c>
      <c r="M1727" s="236" t="s">
        <v>4391</v>
      </c>
      <c r="N1727" s="236" t="s">
        <v>186</v>
      </c>
      <c r="O1727" s="236" t="s">
        <v>4392</v>
      </c>
      <c r="P1727" s="236">
        <v>5051991111</v>
      </c>
      <c r="Q1727" s="303">
        <f t="shared" si="151"/>
        <v>1</v>
      </c>
      <c r="R1727" s="303">
        <f t="shared" si="152"/>
        <v>211</v>
      </c>
      <c r="S1727" s="236">
        <v>0</v>
      </c>
      <c r="T1727" s="236">
        <v>0</v>
      </c>
      <c r="U1727" s="236">
        <v>1</v>
      </c>
      <c r="V1727" s="236">
        <v>211</v>
      </c>
      <c r="W1727" s="236">
        <v>213</v>
      </c>
      <c r="X1727" s="236">
        <v>72</v>
      </c>
      <c r="Y1727" s="236">
        <v>42</v>
      </c>
      <c r="Z1727" s="236">
        <v>70</v>
      </c>
      <c r="AA1727" s="236">
        <v>1</v>
      </c>
      <c r="AB1727" s="300">
        <f t="shared" si="153"/>
        <v>35.28</v>
      </c>
      <c r="AC1727" s="300">
        <f t="shared" si="154"/>
        <v>0.21253012048192771</v>
      </c>
      <c r="AD1727" s="236">
        <v>1343.96</v>
      </c>
      <c r="AE1727" s="236" t="s">
        <v>109</v>
      </c>
      <c r="AF1727" s="236" t="s">
        <v>317</v>
      </c>
      <c r="AG1727" s="236" t="s">
        <v>317</v>
      </c>
      <c r="AH1727" s="236" t="s">
        <v>4393</v>
      </c>
      <c r="AI1727" s="309"/>
      <c r="AJ1727" s="309"/>
      <c r="AK1727" s="236" t="s">
        <v>37</v>
      </c>
      <c r="AL1727" s="236" t="s">
        <v>94</v>
      </c>
      <c r="AM1727" s="299">
        <f t="shared" ca="1" si="150"/>
        <v>3.0138888888905058</v>
      </c>
      <c r="AN1727" s="241"/>
      <c r="AO1727" s="288" t="s">
        <v>131</v>
      </c>
      <c r="AP1727" s="275" t="s">
        <v>4391</v>
      </c>
      <c r="AQ1727" s="288" t="s">
        <v>4636</v>
      </c>
      <c r="AR1727" s="277">
        <v>44925.513888888891</v>
      </c>
      <c r="AS1727" s="272" t="s">
        <v>483</v>
      </c>
      <c r="AT1727" s="288" t="s">
        <v>225</v>
      </c>
      <c r="AU1727" s="276">
        <v>0.51388888888888895</v>
      </c>
      <c r="AV1727" s="288">
        <v>1</v>
      </c>
      <c r="AW1727" s="288" t="s">
        <v>66</v>
      </c>
      <c r="AX1727" s="242"/>
      <c r="AY1727" s="242"/>
      <c r="AZ1727" s="242"/>
      <c r="BA1727" s="242"/>
      <c r="BB1727" s="227"/>
      <c r="BC1727" s="227"/>
      <c r="BD1727" s="227"/>
      <c r="BE1727" s="227"/>
      <c r="BF1727" s="227"/>
      <c r="BG1727" s="227"/>
      <c r="BH1727" s="227"/>
      <c r="BI1727" s="227"/>
      <c r="BJ1727" s="227"/>
      <c r="BK1727" s="227"/>
      <c r="BL1727" s="227"/>
      <c r="BM1727" s="227"/>
      <c r="BN1727" s="227"/>
      <c r="BO1727" s="227"/>
      <c r="BP1727" s="227"/>
      <c r="BQ1727" s="227"/>
      <c r="BR1727" s="227"/>
      <c r="BS1727" s="227"/>
      <c r="BT1727" s="227"/>
      <c r="BU1727" s="227"/>
      <c r="BV1727" s="227"/>
      <c r="BW1727" s="227"/>
      <c r="BX1727" s="227"/>
      <c r="BY1727" s="227"/>
      <c r="BZ1727" s="227"/>
      <c r="CA1727" s="227"/>
      <c r="CB1727" s="227"/>
      <c r="CC1727" s="227"/>
      <c r="CD1727" s="227"/>
      <c r="CE1727" s="227"/>
      <c r="CF1727" s="227"/>
      <c r="CG1727" s="227"/>
      <c r="CH1727" s="227"/>
      <c r="CI1727" s="227"/>
      <c r="CJ1727" s="227"/>
      <c r="CK1727" s="227"/>
      <c r="CL1727" s="227"/>
      <c r="CM1727" s="227"/>
      <c r="CN1727" s="227"/>
      <c r="CO1727" s="227"/>
      <c r="CP1727" s="227"/>
      <c r="CQ1727" s="227"/>
      <c r="CR1727" s="227"/>
      <c r="CS1727" s="227"/>
      <c r="CT1727" s="227"/>
      <c r="CU1727" s="227"/>
      <c r="CV1727" s="227"/>
      <c r="CW1727" s="227"/>
      <c r="CX1727" s="227"/>
      <c r="CY1727" s="227"/>
      <c r="CZ1727" s="227"/>
      <c r="DA1727" s="227"/>
      <c r="DB1727" s="227"/>
      <c r="DC1727" s="227"/>
      <c r="DD1727" s="227"/>
      <c r="DE1727" s="227"/>
      <c r="DF1727" s="227"/>
      <c r="DG1727" s="227"/>
      <c r="DH1727" s="227"/>
      <c r="DI1727" s="227"/>
      <c r="DJ1727" s="227"/>
      <c r="DK1727" s="227"/>
      <c r="DL1727" s="227"/>
      <c r="DM1727" s="227"/>
      <c r="DN1727" s="227"/>
      <c r="DO1727" s="227"/>
      <c r="DP1727" s="227"/>
      <c r="DQ1727" s="227"/>
      <c r="DR1727" s="227"/>
      <c r="DS1727" s="227"/>
      <c r="DT1727" s="227"/>
      <c r="DU1727" s="227"/>
      <c r="DV1727" s="227"/>
      <c r="DW1727" s="227"/>
      <c r="DX1727" s="227"/>
      <c r="DY1727" s="227"/>
      <c r="DZ1727" s="227"/>
      <c r="EA1727" s="227"/>
      <c r="EB1727" s="227"/>
      <c r="EC1727" s="227"/>
      <c r="ED1727" s="227"/>
      <c r="EE1727" s="227"/>
      <c r="EF1727" s="227"/>
      <c r="EG1727" s="227"/>
      <c r="EH1727" s="227"/>
      <c r="EI1727" s="227"/>
      <c r="EJ1727" s="227"/>
      <c r="EK1727" s="227"/>
      <c r="EL1727" s="227"/>
      <c r="EM1727" s="227"/>
      <c r="EN1727" s="227"/>
      <c r="EO1727" s="227"/>
      <c r="EP1727" s="227"/>
      <c r="EQ1727" s="227"/>
      <c r="ER1727" s="227"/>
      <c r="ES1727" s="227"/>
      <c r="ET1727" s="227"/>
      <c r="EU1727" s="227"/>
      <c r="EV1727" s="227"/>
      <c r="EW1727" s="227"/>
      <c r="EX1727" s="227"/>
      <c r="EY1727" s="227"/>
      <c r="EZ1727" s="227"/>
      <c r="FA1727" s="227"/>
      <c r="FB1727" s="227"/>
      <c r="FC1727" s="227"/>
      <c r="FD1727" s="227"/>
      <c r="FE1727" s="227"/>
      <c r="FF1727" s="227"/>
      <c r="FG1727" s="227"/>
      <c r="FH1727" s="227"/>
      <c r="FI1727" s="227"/>
      <c r="FJ1727" s="227"/>
      <c r="FK1727" s="227"/>
      <c r="FL1727" s="227"/>
      <c r="FM1727" s="227"/>
      <c r="FN1727" s="227"/>
      <c r="FO1727" s="227"/>
      <c r="FP1727" s="227"/>
      <c r="FQ1727" s="227"/>
      <c r="FR1727" s="227"/>
      <c r="FS1727" s="227"/>
      <c r="FT1727" s="227"/>
      <c r="FU1727" s="227"/>
      <c r="FV1727" s="227"/>
      <c r="FW1727" s="227"/>
      <c r="FX1727" s="227"/>
      <c r="FY1727" s="227"/>
      <c r="FZ1727" s="227"/>
      <c r="GA1727" s="227"/>
      <c r="GB1727" s="227"/>
      <c r="GC1727" s="227"/>
      <c r="GD1727" s="227"/>
      <c r="GE1727" s="227"/>
      <c r="GF1727" s="227"/>
      <c r="GG1727" s="227"/>
      <c r="GH1727" s="227"/>
      <c r="GI1727" s="227"/>
      <c r="GJ1727" s="227"/>
      <c r="GK1727" s="227"/>
      <c r="GL1727" s="227"/>
      <c r="GM1727" s="227"/>
      <c r="GN1727" s="227"/>
      <c r="GO1727" s="227"/>
      <c r="GP1727" s="227"/>
      <c r="GQ1727" s="227"/>
      <c r="GR1727" s="227"/>
      <c r="GS1727" s="227"/>
      <c r="GT1727" s="227"/>
      <c r="GU1727" s="227"/>
      <c r="GV1727" s="227"/>
      <c r="GW1727" s="227"/>
      <c r="GX1727" s="227"/>
      <c r="GY1727" s="227"/>
      <c r="GZ1727" s="227"/>
      <c r="HA1727" s="227"/>
      <c r="HB1727" s="227"/>
      <c r="HC1727" s="227"/>
      <c r="HD1727" s="227"/>
      <c r="HE1727" s="227"/>
      <c r="HF1727" s="227"/>
      <c r="HG1727" s="227"/>
      <c r="HH1727" s="227"/>
      <c r="HI1727" s="227"/>
      <c r="HJ1727" s="227"/>
      <c r="HK1727" s="227"/>
      <c r="HL1727" s="227"/>
      <c r="HM1727" s="227"/>
      <c r="HN1727" s="227"/>
      <c r="HO1727" s="227"/>
      <c r="HP1727" s="227"/>
      <c r="HQ1727" s="227"/>
      <c r="HR1727" s="227"/>
      <c r="HS1727" s="227"/>
      <c r="HT1727" s="227"/>
      <c r="HU1727" s="227"/>
      <c r="HV1727" s="227"/>
      <c r="HW1727" s="227"/>
      <c r="HX1727" s="227"/>
      <c r="HY1727" s="227"/>
      <c r="HZ1727" s="227"/>
      <c r="IA1727" s="227"/>
      <c r="IB1727" s="227"/>
      <c r="IC1727" s="227"/>
      <c r="ID1727" s="227"/>
      <c r="IE1727" s="227"/>
      <c r="IF1727" s="227"/>
      <c r="IG1727" s="227"/>
      <c r="IH1727" s="227"/>
      <c r="II1727" s="227"/>
      <c r="IJ1727" s="227"/>
      <c r="IK1727" s="227"/>
      <c r="IL1727" s="227"/>
      <c r="IM1727" s="227"/>
      <c r="IN1727" s="227"/>
      <c r="IO1727" s="227"/>
      <c r="IP1727" s="227"/>
      <c r="IQ1727" s="227"/>
      <c r="IR1727" s="227"/>
      <c r="IS1727" s="227"/>
      <c r="IT1727" s="227"/>
      <c r="IU1727" s="227"/>
      <c r="IV1727" s="227"/>
      <c r="IW1727" s="227"/>
      <c r="IX1727" s="227"/>
      <c r="IY1727" s="227"/>
      <c r="IZ1727" s="227"/>
      <c r="JA1727" s="227"/>
      <c r="JB1727" s="227"/>
      <c r="JC1727" s="227"/>
      <c r="JD1727" s="227"/>
      <c r="JE1727" s="227"/>
      <c r="JF1727" s="227"/>
      <c r="JG1727" s="227"/>
      <c r="JH1727" s="227"/>
      <c r="JI1727" s="227"/>
      <c r="JJ1727" s="227"/>
      <c r="JK1727" s="227"/>
      <c r="JL1727" s="227"/>
      <c r="JM1727" s="227"/>
      <c r="JN1727" s="227"/>
      <c r="JO1727" s="227"/>
      <c r="JP1727" s="227"/>
      <c r="JQ1727" s="227"/>
      <c r="JR1727" s="227"/>
      <c r="JS1727" s="227"/>
      <c r="JT1727" s="227"/>
      <c r="JU1727" s="227"/>
      <c r="JV1727" s="227"/>
      <c r="JW1727" s="227"/>
      <c r="JX1727" s="227"/>
      <c r="JY1727" s="227"/>
      <c r="JZ1727" s="227"/>
      <c r="KA1727" s="227"/>
      <c r="KB1727" s="227"/>
      <c r="KC1727" s="227"/>
      <c r="KD1727" s="227"/>
      <c r="KE1727" s="227"/>
      <c r="KF1727" s="227"/>
      <c r="KG1727" s="227"/>
      <c r="KH1727" s="227"/>
      <c r="KI1727" s="227"/>
      <c r="KJ1727" s="227"/>
      <c r="KK1727" s="227"/>
      <c r="KL1727" s="227"/>
      <c r="KM1727" s="227"/>
      <c r="KN1727" s="227"/>
      <c r="KO1727" s="227"/>
      <c r="KP1727" s="227"/>
      <c r="KQ1727" s="227"/>
      <c r="KR1727" s="227"/>
      <c r="KS1727" s="227"/>
      <c r="KT1727" s="227"/>
      <c r="KU1727" s="227"/>
      <c r="KV1727" s="227"/>
      <c r="KW1727" s="227"/>
      <c r="KX1727" s="227"/>
      <c r="KY1727" s="227"/>
      <c r="KZ1727" s="227"/>
      <c r="LA1727" s="227"/>
      <c r="LB1727" s="227"/>
      <c r="LC1727" s="227"/>
      <c r="LD1727" s="227"/>
      <c r="LE1727" s="227"/>
      <c r="LF1727" s="227"/>
      <c r="LG1727" s="227"/>
      <c r="LH1727" s="227"/>
      <c r="LI1727" s="227"/>
      <c r="LJ1727" s="227"/>
      <c r="LK1727" s="227"/>
      <c r="LL1727" s="227"/>
      <c r="LM1727" s="227"/>
      <c r="LN1727" s="227"/>
      <c r="LO1727" s="227"/>
      <c r="LP1727" s="227"/>
      <c r="LQ1727" s="227"/>
      <c r="LR1727" s="227"/>
      <c r="LS1727" s="227"/>
      <c r="LT1727" s="227"/>
      <c r="LU1727" s="227"/>
      <c r="LV1727" s="227"/>
      <c r="LW1727" s="227"/>
      <c r="LX1727" s="227"/>
      <c r="LY1727" s="227"/>
      <c r="LZ1727" s="227"/>
      <c r="MA1727" s="227"/>
      <c r="MB1727" s="227"/>
      <c r="MC1727" s="227"/>
      <c r="MD1727" s="227"/>
      <c r="ME1727" s="227"/>
      <c r="MF1727" s="227"/>
      <c r="MG1727" s="227"/>
      <c r="MH1727" s="227"/>
      <c r="MI1727" s="227"/>
      <c r="MJ1727" s="227"/>
      <c r="MK1727" s="227"/>
      <c r="ML1727" s="227"/>
      <c r="MM1727" s="227"/>
      <c r="MN1727" s="227"/>
      <c r="MO1727" s="227"/>
      <c r="MP1727" s="227"/>
      <c r="MQ1727" s="227"/>
      <c r="MR1727" s="227"/>
      <c r="MS1727" s="227"/>
      <c r="MT1727" s="227"/>
      <c r="MU1727" s="227"/>
      <c r="MV1727" s="227"/>
      <c r="MW1727" s="227"/>
      <c r="MX1727" s="227"/>
      <c r="MY1727" s="227"/>
      <c r="MZ1727" s="227"/>
      <c r="NA1727" s="227"/>
      <c r="NB1727" s="227"/>
      <c r="NC1727" s="227"/>
      <c r="ND1727" s="227"/>
      <c r="NE1727" s="227"/>
      <c r="NF1727" s="227"/>
      <c r="NG1727" s="227"/>
      <c r="NH1727" s="227"/>
      <c r="NI1727" s="227"/>
      <c r="NJ1727" s="227"/>
      <c r="NK1727" s="227"/>
      <c r="NL1727" s="227"/>
      <c r="NM1727" s="227"/>
      <c r="NN1727" s="227"/>
      <c r="NO1727" s="227"/>
      <c r="NP1727" s="227"/>
      <c r="NQ1727" s="227"/>
      <c r="NR1727" s="227"/>
      <c r="NS1727" s="227"/>
      <c r="NT1727" s="227"/>
      <c r="NU1727" s="227"/>
      <c r="NV1727" s="227"/>
      <c r="NW1727" s="227"/>
      <c r="NX1727" s="227"/>
      <c r="NY1727" s="227"/>
      <c r="NZ1727" s="227"/>
      <c r="OA1727" s="227"/>
      <c r="OB1727" s="227"/>
      <c r="OC1727" s="227"/>
      <c r="OD1727" s="227"/>
      <c r="OE1727" s="227"/>
      <c r="OF1727" s="227"/>
      <c r="OG1727" s="227"/>
      <c r="OH1727" s="227"/>
      <c r="OI1727" s="227"/>
      <c r="OJ1727" s="227"/>
      <c r="OK1727" s="227"/>
      <c r="OL1727" s="227"/>
      <c r="OM1727" s="227"/>
      <c r="ON1727" s="227"/>
      <c r="OO1727" s="227"/>
      <c r="OP1727" s="227"/>
      <c r="OQ1727" s="227"/>
      <c r="OR1727" s="227"/>
      <c r="OS1727" s="227"/>
      <c r="OT1727" s="227"/>
      <c r="OU1727" s="227"/>
      <c r="OV1727" s="227"/>
      <c r="OW1727" s="227"/>
      <c r="OX1727" s="227"/>
      <c r="OY1727" s="227"/>
      <c r="OZ1727" s="227"/>
      <c r="PA1727" s="227"/>
      <c r="PB1727" s="227"/>
      <c r="PC1727" s="227"/>
      <c r="PD1727" s="227"/>
      <c r="PE1727" s="227"/>
      <c r="PF1727" s="227"/>
      <c r="PG1727" s="227"/>
      <c r="PH1727" s="227"/>
      <c r="PI1727" s="227"/>
      <c r="PJ1727" s="227"/>
      <c r="PK1727" s="227"/>
      <c r="PL1727" s="227"/>
      <c r="PM1727" s="227"/>
      <c r="PN1727" s="227"/>
      <c r="PO1727" s="227"/>
      <c r="PP1727" s="227"/>
      <c r="PQ1727" s="227"/>
      <c r="PR1727" s="227"/>
      <c r="PS1727" s="227"/>
      <c r="PT1727" s="227"/>
      <c r="PU1727" s="227"/>
      <c r="PV1727" s="227"/>
      <c r="PW1727" s="227"/>
      <c r="PX1727" s="227"/>
      <c r="PY1727" s="227"/>
      <c r="PZ1727" s="227"/>
      <c r="QA1727" s="227"/>
      <c r="QB1727" s="227"/>
      <c r="QC1727" s="227"/>
      <c r="QD1727" s="227"/>
      <c r="QE1727" s="227"/>
      <c r="QF1727" s="227"/>
      <c r="QG1727" s="227"/>
      <c r="QH1727" s="227"/>
      <c r="QI1727" s="227"/>
      <c r="QJ1727" s="227"/>
      <c r="QK1727" s="227"/>
      <c r="QL1727" s="227"/>
      <c r="QM1727" s="227"/>
      <c r="QN1727" s="227"/>
      <c r="QO1727" s="227"/>
      <c r="QP1727" s="227"/>
      <c r="QQ1727" s="227"/>
      <c r="QR1727" s="227"/>
      <c r="QS1727" s="227"/>
      <c r="QT1727" s="227"/>
      <c r="QU1727" s="227"/>
      <c r="QV1727" s="227"/>
      <c r="QW1727" s="227"/>
      <c r="QX1727" s="227"/>
      <c r="QY1727" s="227"/>
      <c r="QZ1727" s="227"/>
      <c r="RA1727" s="227"/>
      <c r="RB1727" s="227"/>
      <c r="RC1727" s="227"/>
      <c r="RD1727" s="227"/>
      <c r="RE1727" s="227"/>
      <c r="RF1727" s="227"/>
      <c r="RG1727" s="227"/>
      <c r="RH1727" s="227"/>
      <c r="RI1727" s="227"/>
      <c r="RJ1727" s="227"/>
      <c r="RK1727" s="227"/>
      <c r="RL1727" s="227"/>
      <c r="RM1727" s="227"/>
      <c r="RN1727" s="227"/>
      <c r="RO1727" s="227"/>
      <c r="RP1727" s="227"/>
      <c r="RQ1727" s="227"/>
      <c r="RR1727" s="227"/>
      <c r="RS1727" s="227"/>
      <c r="RT1727" s="227"/>
      <c r="RU1727" s="227"/>
      <c r="RV1727" s="227"/>
      <c r="RW1727" s="227"/>
      <c r="RX1727" s="227"/>
      <c r="RY1727" s="227"/>
      <c r="RZ1727" s="227"/>
      <c r="SA1727" s="227"/>
      <c r="SB1727" s="227"/>
      <c r="SC1727" s="227"/>
      <c r="SD1727" s="227"/>
      <c r="SE1727" s="227"/>
      <c r="SF1727" s="227"/>
      <c r="SG1727" s="227"/>
      <c r="SH1727" s="227"/>
      <c r="SI1727" s="227"/>
      <c r="SJ1727" s="227"/>
      <c r="SK1727" s="227"/>
      <c r="SL1727" s="227"/>
      <c r="SM1727" s="227"/>
      <c r="SN1727" s="227"/>
      <c r="SO1727" s="227"/>
      <c r="SP1727" s="227"/>
      <c r="SQ1727" s="227"/>
      <c r="SR1727" s="227"/>
      <c r="SS1727" s="227"/>
      <c r="ST1727" s="227"/>
      <c r="SU1727" s="227"/>
      <c r="SV1727" s="227"/>
      <c r="SW1727" s="227"/>
      <c r="SX1727" s="227"/>
      <c r="SY1727" s="227"/>
      <c r="SZ1727" s="227"/>
      <c r="TA1727" s="227"/>
      <c r="TB1727" s="227"/>
      <c r="TC1727" s="227"/>
      <c r="TD1727" s="227"/>
      <c r="TE1727" s="227"/>
      <c r="TF1727" s="227"/>
      <c r="TG1727" s="227"/>
      <c r="TH1727" s="227"/>
      <c r="TI1727" s="227"/>
      <c r="TJ1727" s="227"/>
      <c r="TK1727" s="227"/>
      <c r="TL1727" s="227"/>
      <c r="TM1727" s="227"/>
      <c r="TN1727" s="227"/>
      <c r="TO1727" s="227"/>
      <c r="TP1727" s="227"/>
      <c r="TQ1727" s="227"/>
      <c r="TR1727" s="227"/>
      <c r="TS1727" s="227"/>
      <c r="TT1727" s="227"/>
      <c r="TU1727" s="227"/>
      <c r="TV1727" s="227"/>
      <c r="TW1727" s="227"/>
      <c r="TX1727" s="227"/>
      <c r="TY1727" s="227"/>
      <c r="TZ1727" s="227"/>
      <c r="UA1727" s="227"/>
      <c r="UB1727" s="227"/>
      <c r="UC1727" s="227"/>
      <c r="UD1727" s="227"/>
      <c r="UE1727" s="227"/>
      <c r="UF1727" s="227"/>
      <c r="UG1727" s="227"/>
      <c r="UH1727" s="227"/>
      <c r="UI1727" s="227"/>
      <c r="UJ1727" s="227"/>
      <c r="UK1727" s="227"/>
      <c r="UL1727" s="227"/>
      <c r="UM1727" s="227"/>
      <c r="UN1727" s="227"/>
      <c r="UO1727" s="227"/>
      <c r="UP1727" s="227"/>
      <c r="UQ1727" s="227"/>
      <c r="UR1727" s="227"/>
      <c r="US1727" s="227"/>
      <c r="UT1727" s="227"/>
      <c r="UU1727" s="227"/>
      <c r="UV1727" s="227"/>
      <c r="UW1727" s="227"/>
      <c r="UX1727" s="227"/>
      <c r="UY1727" s="227"/>
      <c r="UZ1727" s="227"/>
      <c r="VA1727" s="227"/>
      <c r="VB1727" s="227"/>
      <c r="VC1727" s="227"/>
      <c r="VD1727" s="227"/>
      <c r="VE1727" s="227"/>
      <c r="VF1727" s="227"/>
      <c r="VG1727" s="227"/>
      <c r="VH1727" s="227"/>
      <c r="VI1727" s="227"/>
      <c r="VJ1727" s="227"/>
      <c r="VK1727" s="227"/>
      <c r="VL1727" s="227"/>
      <c r="VM1727" s="227"/>
      <c r="VN1727" s="227"/>
      <c r="VO1727" s="227"/>
      <c r="VP1727" s="227"/>
      <c r="VQ1727" s="227"/>
      <c r="VR1727" s="227"/>
      <c r="VS1727" s="227"/>
      <c r="VT1727" s="227"/>
      <c r="VU1727" s="227"/>
      <c r="VV1727" s="227"/>
      <c r="VW1727" s="227"/>
      <c r="VX1727" s="227"/>
      <c r="VY1727" s="227"/>
      <c r="VZ1727" s="227"/>
      <c r="WA1727" s="227"/>
      <c r="WB1727" s="227"/>
      <c r="WC1727" s="227"/>
      <c r="WD1727" s="227"/>
      <c r="WE1727" s="227"/>
      <c r="WF1727" s="227"/>
      <c r="WG1727" s="227"/>
      <c r="WH1727" s="227"/>
      <c r="WI1727" s="227"/>
      <c r="WJ1727" s="227"/>
      <c r="WK1727" s="227"/>
      <c r="WL1727" s="227"/>
      <c r="WM1727" s="227"/>
      <c r="WN1727" s="227"/>
      <c r="WO1727" s="227"/>
      <c r="WP1727" s="227"/>
      <c r="WQ1727" s="227"/>
      <c r="WR1727" s="227"/>
      <c r="WS1727" s="227"/>
      <c r="WT1727" s="227"/>
      <c r="WU1727" s="227"/>
      <c r="WV1727" s="227"/>
      <c r="WW1727" s="227"/>
      <c r="WX1727" s="227"/>
      <c r="WY1727" s="227"/>
      <c r="WZ1727" s="227"/>
      <c r="XA1727" s="227"/>
      <c r="XB1727" s="227"/>
      <c r="XC1727" s="227"/>
      <c r="XD1727" s="227"/>
      <c r="XE1727" s="227"/>
      <c r="XF1727" s="227"/>
      <c r="XG1727" s="227"/>
      <c r="XH1727" s="227"/>
      <c r="XI1727" s="227"/>
      <c r="XJ1727" s="227"/>
      <c r="XK1727" s="227"/>
      <c r="XL1727" s="227"/>
      <c r="XM1727" s="227"/>
      <c r="XN1727" s="227"/>
      <c r="XO1727" s="227"/>
      <c r="XP1727" s="227"/>
      <c r="XQ1727" s="227"/>
      <c r="XR1727" s="227"/>
      <c r="XS1727" s="227"/>
      <c r="XT1727" s="227"/>
      <c r="XU1727" s="227"/>
      <c r="XV1727" s="227"/>
      <c r="XW1727" s="227"/>
      <c r="XX1727" s="227"/>
      <c r="XY1727" s="227"/>
      <c r="XZ1727" s="227"/>
      <c r="YA1727" s="227"/>
      <c r="YB1727" s="227"/>
      <c r="YC1727" s="227"/>
      <c r="YD1727" s="227"/>
      <c r="YE1727" s="227"/>
      <c r="YF1727" s="227"/>
      <c r="YG1727" s="227"/>
      <c r="YH1727" s="227"/>
      <c r="YI1727" s="227"/>
      <c r="YJ1727" s="227"/>
      <c r="YK1727" s="227"/>
      <c r="YL1727" s="227"/>
      <c r="YM1727" s="227"/>
      <c r="YN1727" s="227"/>
      <c r="YO1727" s="227"/>
      <c r="YP1727" s="227"/>
      <c r="YQ1727" s="227"/>
      <c r="YR1727" s="227"/>
      <c r="YS1727" s="227"/>
      <c r="YT1727" s="227"/>
      <c r="YU1727" s="227"/>
      <c r="YV1727" s="227"/>
      <c r="YW1727" s="227"/>
      <c r="YX1727" s="227"/>
      <c r="YY1727" s="227"/>
      <c r="YZ1727" s="227"/>
      <c r="ZA1727" s="227"/>
      <c r="ZB1727" s="227"/>
      <c r="ZC1727" s="227"/>
      <c r="ZD1727" s="227"/>
      <c r="ZE1727" s="227"/>
      <c r="ZF1727" s="227"/>
      <c r="ZG1727" s="227"/>
      <c r="ZH1727" s="227"/>
      <c r="ZI1727" s="227"/>
      <c r="ZJ1727" s="227"/>
      <c r="ZK1727" s="227"/>
      <c r="ZL1727" s="227"/>
      <c r="ZM1727" s="227"/>
      <c r="ZN1727" s="227"/>
      <c r="ZO1727" s="227"/>
      <c r="ZP1727" s="227"/>
      <c r="ZQ1727" s="227"/>
      <c r="ZR1727" s="227"/>
      <c r="ZS1727" s="227"/>
      <c r="ZT1727" s="227"/>
      <c r="ZU1727" s="227"/>
      <c r="ZV1727" s="227"/>
      <c r="ZW1727" s="227"/>
      <c r="ZX1727" s="227"/>
      <c r="ZY1727" s="227"/>
      <c r="ZZ1727" s="227"/>
      <c r="AAA1727" s="227"/>
      <c r="AAB1727" s="227"/>
      <c r="AAC1727" s="227"/>
      <c r="AAD1727" s="227"/>
      <c r="AAE1727" s="227"/>
      <c r="AAF1727" s="227"/>
      <c r="AAG1727" s="227"/>
      <c r="AAH1727" s="227"/>
      <c r="AAI1727" s="227"/>
      <c r="AAJ1727" s="227"/>
      <c r="AAK1727" s="227"/>
      <c r="AAL1727" s="227"/>
      <c r="AAM1727" s="227"/>
      <c r="AAN1727" s="227"/>
      <c r="AAO1727" s="227"/>
      <c r="AAP1727" s="227"/>
      <c r="AAQ1727" s="227"/>
      <c r="AAR1727" s="227"/>
      <c r="AAS1727" s="227"/>
      <c r="AAT1727" s="227"/>
      <c r="AAU1727" s="227"/>
      <c r="AAV1727" s="227"/>
      <c r="AAW1727" s="227"/>
      <c r="AAX1727" s="227"/>
      <c r="AAY1727" s="227"/>
      <c r="AAZ1727" s="227"/>
      <c r="ABA1727" s="227"/>
      <c r="ABB1727" s="227"/>
      <c r="ABC1727" s="227"/>
      <c r="ABD1727" s="227"/>
      <c r="ABE1727" s="227"/>
      <c r="ABF1727" s="227"/>
      <c r="ABG1727" s="227"/>
      <c r="ABH1727" s="227"/>
      <c r="ABI1727" s="227"/>
      <c r="ABJ1727" s="227"/>
      <c r="ABK1727" s="227"/>
      <c r="ABL1727" s="227"/>
      <c r="ABM1727" s="227"/>
      <c r="ABN1727" s="227"/>
      <c r="ABO1727" s="227"/>
      <c r="ABP1727" s="227"/>
      <c r="ABQ1727" s="227"/>
      <c r="ABR1727" s="227"/>
      <c r="ABS1727" s="227"/>
      <c r="ABT1727" s="227"/>
      <c r="ABU1727" s="227"/>
      <c r="ABV1727" s="227"/>
      <c r="ABW1727" s="227"/>
      <c r="ABX1727" s="227"/>
      <c r="ABY1727" s="227"/>
      <c r="ABZ1727" s="227"/>
      <c r="ACA1727" s="227"/>
      <c r="ACB1727" s="227"/>
      <c r="ACC1727" s="227"/>
      <c r="ACD1727" s="227"/>
      <c r="ACE1727" s="227"/>
      <c r="ACF1727" s="227"/>
      <c r="ACG1727" s="227"/>
      <c r="ACH1727" s="227"/>
      <c r="ACI1727" s="227"/>
      <c r="ACJ1727" s="227"/>
      <c r="ACK1727" s="227"/>
      <c r="ACL1727" s="227"/>
      <c r="ACM1727" s="227"/>
      <c r="ACN1727" s="227"/>
      <c r="ACO1727" s="227"/>
      <c r="ACP1727" s="227"/>
      <c r="ACQ1727" s="227"/>
      <c r="ACR1727" s="227"/>
      <c r="ACS1727" s="227"/>
      <c r="ACT1727" s="227"/>
      <c r="ACU1727" s="227"/>
      <c r="ACV1727" s="227"/>
      <c r="ACW1727" s="227"/>
      <c r="ACX1727" s="227"/>
      <c r="ACY1727" s="227"/>
      <c r="ACZ1727" s="227"/>
      <c r="ADA1727" s="227"/>
      <c r="ADB1727" s="227"/>
      <c r="ADC1727" s="227"/>
      <c r="ADD1727" s="227"/>
      <c r="ADE1727" s="227"/>
      <c r="ADF1727" s="227"/>
      <c r="ADG1727" s="227"/>
      <c r="ADH1727" s="227"/>
      <c r="ADI1727" s="227"/>
      <c r="ADJ1727" s="227"/>
      <c r="ADK1727" s="227"/>
      <c r="ADL1727" s="227"/>
      <c r="ADM1727" s="227"/>
      <c r="ADN1727" s="227"/>
      <c r="ADO1727" s="227"/>
      <c r="ADP1727" s="227"/>
      <c r="ADQ1727" s="227"/>
      <c r="ADR1727" s="227"/>
      <c r="ADS1727" s="227"/>
      <c r="ADT1727" s="227"/>
      <c r="ADU1727" s="227"/>
      <c r="ADV1727" s="227"/>
      <c r="ADW1727" s="227"/>
      <c r="ADX1727" s="227"/>
      <c r="ADY1727" s="227"/>
      <c r="ADZ1727" s="227"/>
      <c r="AEA1727" s="227"/>
      <c r="AEB1727" s="227"/>
      <c r="AEC1727" s="227"/>
      <c r="AED1727" s="227"/>
      <c r="AEE1727" s="227"/>
      <c r="AEF1727" s="227"/>
      <c r="AEG1727" s="227"/>
      <c r="AEH1727" s="227"/>
      <c r="AEI1727" s="227"/>
      <c r="AEJ1727" s="227"/>
      <c r="AEK1727" s="227"/>
      <c r="AEL1727" s="227"/>
      <c r="AEM1727" s="227"/>
      <c r="AEN1727" s="227"/>
      <c r="AEO1727" s="227"/>
      <c r="AEP1727" s="227"/>
      <c r="AEQ1727" s="227"/>
      <c r="AER1727" s="227"/>
      <c r="AES1727" s="227"/>
      <c r="AET1727" s="227"/>
      <c r="AEU1727" s="227"/>
      <c r="AEV1727" s="227"/>
      <c r="AEW1727" s="227"/>
      <c r="AEX1727" s="227"/>
      <c r="AEY1727" s="227"/>
      <c r="AEZ1727" s="227"/>
      <c r="AFA1727" s="227"/>
      <c r="AFB1727" s="227"/>
      <c r="AFC1727" s="227"/>
      <c r="AFD1727" s="227"/>
      <c r="AFE1727" s="227"/>
      <c r="AFF1727" s="227"/>
      <c r="AFG1727" s="227"/>
      <c r="AFH1727" s="227"/>
      <c r="AFI1727" s="227"/>
      <c r="AFJ1727" s="227"/>
      <c r="AFK1727" s="227"/>
      <c r="AFL1727" s="227"/>
      <c r="AFM1727" s="227"/>
      <c r="AFN1727" s="227"/>
      <c r="AFO1727" s="227"/>
      <c r="AFP1727" s="227"/>
      <c r="AFQ1727" s="227"/>
      <c r="AFR1727" s="227"/>
      <c r="AFS1727" s="227"/>
      <c r="AFT1727" s="227"/>
      <c r="AFU1727" s="227"/>
      <c r="AFV1727" s="227"/>
      <c r="AFW1727" s="227"/>
      <c r="AFX1727" s="227"/>
      <c r="AFY1727" s="227"/>
      <c r="AFZ1727" s="227"/>
      <c r="AGA1727" s="227"/>
      <c r="AGB1727" s="227"/>
      <c r="AGC1727" s="227"/>
      <c r="AGD1727" s="227"/>
      <c r="AGE1727" s="227"/>
      <c r="AGF1727" s="227"/>
      <c r="AGG1727" s="227"/>
      <c r="AGH1727" s="227"/>
      <c r="AGI1727" s="227"/>
      <c r="AGJ1727" s="227"/>
      <c r="AGK1727" s="227"/>
      <c r="AGL1727" s="227"/>
      <c r="AGM1727" s="227"/>
      <c r="AGN1727" s="227"/>
      <c r="AGO1727" s="227"/>
      <c r="AGP1727" s="227"/>
      <c r="AGQ1727" s="227"/>
      <c r="AGR1727" s="227"/>
      <c r="AGS1727" s="227"/>
      <c r="AGT1727" s="227"/>
      <c r="AGU1727" s="227"/>
      <c r="AGV1727" s="227"/>
      <c r="AGW1727" s="227"/>
      <c r="AGX1727" s="227"/>
      <c r="AGY1727" s="227"/>
      <c r="AGZ1727" s="227"/>
      <c r="AHA1727" s="227"/>
      <c r="AHB1727" s="227"/>
      <c r="AHC1727" s="227"/>
      <c r="AHD1727" s="227"/>
      <c r="AHE1727" s="227"/>
      <c r="AHF1727" s="227"/>
      <c r="AHG1727" s="227"/>
      <c r="AHH1727" s="227"/>
      <c r="AHI1727" s="227"/>
      <c r="AHJ1727" s="227"/>
      <c r="AHK1727" s="227"/>
      <c r="AHL1727" s="227"/>
      <c r="AHM1727" s="227"/>
      <c r="AHN1727" s="227"/>
      <c r="AHO1727" s="227"/>
      <c r="AHP1727" s="227"/>
      <c r="AHQ1727" s="227"/>
      <c r="AHR1727" s="227"/>
      <c r="AHS1727" s="227"/>
      <c r="AHT1727" s="227"/>
      <c r="AHU1727" s="227"/>
      <c r="AHV1727" s="227"/>
      <c r="AHW1727" s="227"/>
      <c r="AHX1727" s="227"/>
      <c r="AHY1727" s="227"/>
      <c r="AHZ1727" s="227"/>
      <c r="AIA1727" s="227"/>
      <c r="AIB1727" s="227"/>
      <c r="AIC1727" s="227"/>
      <c r="AID1727" s="227"/>
      <c r="AIE1727" s="227"/>
      <c r="AIF1727" s="227"/>
      <c r="AIG1727" s="227"/>
      <c r="AIH1727" s="227"/>
      <c r="AII1727" s="227"/>
      <c r="AIJ1727" s="227"/>
      <c r="AIK1727" s="227"/>
      <c r="AIL1727" s="227"/>
      <c r="AIM1727" s="227"/>
      <c r="AIN1727" s="227"/>
      <c r="AIO1727" s="227"/>
      <c r="AIP1727" s="227"/>
      <c r="AIQ1727" s="227"/>
      <c r="AIR1727" s="227"/>
      <c r="AIS1727" s="227"/>
      <c r="AIT1727" s="227"/>
      <c r="AIU1727" s="227"/>
      <c r="AIV1727" s="227"/>
      <c r="AIW1727" s="227"/>
      <c r="AIX1727" s="227"/>
      <c r="AIY1727" s="227"/>
      <c r="AIZ1727" s="227"/>
      <c r="AJA1727" s="227"/>
      <c r="AJB1727" s="227"/>
      <c r="AJC1727" s="227"/>
      <c r="AJD1727" s="227"/>
      <c r="AJE1727" s="227"/>
      <c r="AJF1727" s="227"/>
      <c r="AJG1727" s="227"/>
      <c r="AJH1727" s="227"/>
      <c r="AJI1727" s="227"/>
      <c r="AJJ1727" s="227"/>
      <c r="AJK1727" s="227"/>
      <c r="AJL1727" s="227"/>
      <c r="AJM1727" s="227"/>
      <c r="AJN1727" s="227"/>
      <c r="AJO1727" s="227"/>
      <c r="AJP1727" s="227"/>
      <c r="AJQ1727" s="227"/>
      <c r="AJR1727" s="227"/>
      <c r="AJS1727" s="227"/>
      <c r="AJT1727" s="227"/>
      <c r="AJU1727" s="227"/>
      <c r="AJV1727" s="227"/>
      <c r="AJW1727" s="227"/>
      <c r="AJX1727" s="227"/>
      <c r="AJY1727" s="227"/>
      <c r="AJZ1727" s="227"/>
      <c r="AKA1727" s="227"/>
      <c r="AKB1727" s="227"/>
      <c r="AKC1727" s="227"/>
      <c r="AKD1727" s="227"/>
      <c r="AKE1727" s="227"/>
      <c r="AKF1727" s="227"/>
      <c r="AKG1727" s="227"/>
      <c r="AKH1727" s="227"/>
      <c r="AKI1727" s="227"/>
      <c r="AKJ1727" s="227"/>
      <c r="AKK1727" s="227"/>
      <c r="AKL1727" s="227"/>
      <c r="AKM1727" s="227"/>
      <c r="AKN1727" s="227"/>
      <c r="AKO1727" s="227"/>
      <c r="AKP1727" s="227"/>
      <c r="AKQ1727" s="227"/>
      <c r="AKR1727" s="227"/>
      <c r="AKS1727" s="227"/>
      <c r="AKT1727" s="227"/>
      <c r="AKU1727" s="227"/>
      <c r="AKV1727" s="227"/>
      <c r="AKW1727" s="227"/>
      <c r="AKX1727" s="227"/>
      <c r="AKY1727" s="227"/>
      <c r="AKZ1727" s="227"/>
      <c r="ALA1727" s="227"/>
      <c r="ALB1727" s="227"/>
      <c r="ALC1727" s="227"/>
      <c r="ALD1727" s="227"/>
      <c r="ALE1727" s="227"/>
      <c r="ALF1727" s="227"/>
      <c r="ALG1727" s="227"/>
      <c r="ALH1727" s="227"/>
      <c r="ALI1727" s="227"/>
      <c r="ALJ1727" s="227"/>
      <c r="ALK1727" s="227"/>
      <c r="ALL1727" s="227"/>
      <c r="ALM1727" s="227"/>
      <c r="ALN1727" s="227"/>
      <c r="ALO1727" s="227"/>
      <c r="ALP1727" s="227"/>
      <c r="ALQ1727" s="227"/>
      <c r="ALR1727" s="227"/>
      <c r="ALS1727" s="227"/>
      <c r="ALT1727" s="227"/>
      <c r="ALU1727" s="227"/>
      <c r="ALV1727" s="227"/>
      <c r="ALW1727" s="227"/>
      <c r="ALX1727" s="227"/>
      <c r="ALY1727" s="227"/>
      <c r="ALZ1727" s="227"/>
      <c r="AMA1727" s="227"/>
      <c r="AMB1727" s="227"/>
      <c r="AMC1727" s="227"/>
      <c r="AMD1727" s="227"/>
      <c r="AME1727" s="227"/>
      <c r="AMF1727" s="227"/>
      <c r="AMG1727" s="227"/>
      <c r="AMH1727" s="227"/>
      <c r="AMI1727" s="227"/>
      <c r="AMJ1727" s="227"/>
      <c r="AMK1727" s="227"/>
      <c r="AML1727" s="227"/>
      <c r="AMM1727" s="227"/>
      <c r="AMN1727" s="227"/>
      <c r="AMO1727" s="227"/>
      <c r="AMP1727" s="227"/>
      <c r="AMQ1727" s="227"/>
      <c r="AMR1727" s="227"/>
      <c r="AMS1727" s="227"/>
      <c r="AMT1727" s="227"/>
      <c r="AMU1727" s="227"/>
      <c r="AMV1727" s="227"/>
      <c r="AMW1727" s="227"/>
      <c r="AMX1727" s="227"/>
      <c r="AMY1727" s="227"/>
      <c r="AMZ1727" s="227"/>
      <c r="ANA1727" s="227"/>
      <c r="ANB1727" s="227"/>
      <c r="ANC1727" s="227"/>
      <c r="AND1727" s="227"/>
      <c r="ANE1727" s="227"/>
      <c r="ANF1727" s="227"/>
      <c r="ANG1727" s="227"/>
      <c r="ANH1727" s="227"/>
      <c r="ANI1727" s="227"/>
      <c r="ANJ1727" s="227"/>
      <c r="ANK1727" s="227"/>
      <c r="ANL1727" s="227"/>
      <c r="ANM1727" s="227"/>
      <c r="ANN1727" s="227"/>
      <c r="ANO1727" s="227"/>
      <c r="ANP1727" s="227"/>
      <c r="ANQ1727" s="227"/>
      <c r="ANR1727" s="227"/>
      <c r="ANS1727" s="227"/>
      <c r="ANT1727" s="227"/>
      <c r="ANU1727" s="227"/>
      <c r="ANV1727" s="227"/>
      <c r="ANW1727" s="227"/>
      <c r="ANX1727" s="227"/>
      <c r="ANY1727" s="227"/>
      <c r="ANZ1727" s="227"/>
      <c r="AOA1727" s="227"/>
      <c r="AOB1727" s="227"/>
      <c r="AOC1727" s="227"/>
      <c r="AOD1727" s="227"/>
      <c r="AOE1727" s="227"/>
      <c r="AOF1727" s="227"/>
      <c r="AOG1727" s="227"/>
      <c r="AOH1727" s="227"/>
      <c r="AOI1727" s="227"/>
      <c r="AOJ1727" s="227"/>
      <c r="AOK1727" s="227"/>
      <c r="AOL1727" s="227"/>
      <c r="AOM1727" s="227"/>
      <c r="AON1727" s="227"/>
      <c r="AOO1727" s="227"/>
      <c r="AOP1727" s="227"/>
      <c r="AOQ1727" s="227"/>
      <c r="AOR1727" s="227"/>
      <c r="AOS1727" s="227"/>
      <c r="AOT1727" s="227"/>
      <c r="AOU1727" s="227"/>
      <c r="AOV1727" s="227"/>
      <c r="AOW1727" s="227"/>
      <c r="AOX1727" s="227"/>
      <c r="AOY1727" s="227"/>
      <c r="AOZ1727" s="227"/>
      <c r="APA1727" s="227"/>
      <c r="APB1727" s="227"/>
      <c r="APC1727" s="227"/>
      <c r="APD1727" s="227"/>
      <c r="APE1727" s="227"/>
      <c r="APF1727" s="227"/>
      <c r="APG1727" s="227"/>
      <c r="APH1727" s="227"/>
      <c r="API1727" s="227"/>
      <c r="APJ1727" s="227"/>
      <c r="APK1727" s="227"/>
      <c r="APL1727" s="227"/>
      <c r="APM1727" s="227"/>
      <c r="APN1727" s="227"/>
      <c r="APO1727" s="227"/>
      <c r="APP1727" s="227"/>
      <c r="APQ1727" s="227"/>
      <c r="APR1727" s="227"/>
      <c r="APS1727" s="227"/>
      <c r="APT1727" s="227"/>
      <c r="APU1727" s="227"/>
      <c r="APV1727" s="227"/>
      <c r="APW1727" s="227"/>
      <c r="APX1727" s="227"/>
      <c r="APY1727" s="227"/>
      <c r="APZ1727" s="227"/>
      <c r="AQA1727" s="227"/>
      <c r="AQB1727" s="227"/>
      <c r="AQC1727" s="227"/>
      <c r="AQD1727" s="227"/>
      <c r="AQE1727" s="227"/>
      <c r="AQF1727" s="227"/>
      <c r="AQG1727" s="227"/>
      <c r="AQH1727" s="227"/>
      <c r="AQI1727" s="227"/>
      <c r="AQJ1727" s="227"/>
      <c r="AQK1727" s="227"/>
      <c r="AQL1727" s="227"/>
      <c r="AQM1727" s="227"/>
      <c r="AQN1727" s="227"/>
      <c r="AQO1727" s="227"/>
      <c r="AQP1727" s="227"/>
      <c r="AQQ1727" s="227"/>
      <c r="AQR1727" s="227"/>
      <c r="AQS1727" s="227"/>
      <c r="AQT1727" s="227"/>
      <c r="AQU1727" s="227"/>
      <c r="AQV1727" s="227"/>
      <c r="AQW1727" s="227"/>
      <c r="AQX1727" s="227"/>
      <c r="AQY1727" s="227"/>
      <c r="AQZ1727" s="227"/>
      <c r="ARA1727" s="227"/>
      <c r="ARB1727" s="227"/>
      <c r="ARC1727" s="227"/>
      <c r="ARD1727" s="227"/>
      <c r="ARE1727" s="227"/>
      <c r="ARF1727" s="227"/>
      <c r="ARG1727" s="227"/>
      <c r="ARH1727" s="227"/>
      <c r="ARI1727" s="227"/>
      <c r="ARJ1727" s="227"/>
      <c r="ARK1727" s="227"/>
      <c r="ARL1727" s="227"/>
      <c r="ARM1727" s="227"/>
      <c r="ARN1727" s="227"/>
      <c r="ARO1727" s="227"/>
      <c r="ARP1727" s="227"/>
      <c r="ARQ1727" s="227"/>
      <c r="ARR1727" s="227"/>
      <c r="ARS1727" s="227"/>
      <c r="ART1727" s="227"/>
      <c r="ARU1727" s="227"/>
      <c r="ARV1727" s="227"/>
      <c r="ARW1727" s="227"/>
      <c r="ARX1727" s="227"/>
      <c r="ARY1727" s="227"/>
      <c r="ARZ1727" s="227"/>
      <c r="ASA1727" s="227"/>
      <c r="ASB1727" s="227"/>
      <c r="ASC1727" s="227"/>
      <c r="ASD1727" s="227"/>
      <c r="ASE1727" s="227"/>
      <c r="ASF1727" s="227"/>
      <c r="ASG1727" s="227"/>
      <c r="ASH1727" s="227"/>
      <c r="ASI1727" s="227"/>
      <c r="ASJ1727" s="227"/>
      <c r="ASK1727" s="227"/>
      <c r="ASL1727" s="227"/>
      <c r="ASM1727" s="227"/>
      <c r="ASN1727" s="227"/>
      <c r="ASO1727" s="227"/>
      <c r="ASP1727" s="227"/>
      <c r="ASQ1727" s="227"/>
      <c r="ASR1727" s="227"/>
      <c r="ASS1727" s="227"/>
      <c r="AST1727" s="227"/>
      <c r="ASU1727" s="227"/>
      <c r="ASV1727" s="227"/>
      <c r="ASW1727" s="227"/>
      <c r="ASX1727" s="227"/>
      <c r="ASY1727" s="227"/>
      <c r="ASZ1727" s="227"/>
      <c r="ATA1727" s="227"/>
      <c r="ATB1727" s="227"/>
      <c r="ATC1727" s="227"/>
      <c r="ATD1727" s="227"/>
      <c r="ATE1727" s="227"/>
      <c r="ATF1727" s="227"/>
      <c r="ATG1727" s="227"/>
      <c r="ATH1727" s="227"/>
      <c r="ATI1727" s="227"/>
      <c r="ATJ1727" s="227"/>
      <c r="ATK1727" s="227"/>
      <c r="ATL1727" s="227"/>
      <c r="ATM1727" s="227"/>
      <c r="ATN1727" s="227"/>
      <c r="ATO1727" s="227"/>
      <c r="ATP1727" s="227"/>
      <c r="ATQ1727" s="227"/>
      <c r="ATR1727" s="227"/>
      <c r="ATS1727" s="227"/>
      <c r="ATT1727" s="227"/>
      <c r="ATU1727" s="227"/>
      <c r="ATV1727" s="227"/>
      <c r="ATW1727" s="227"/>
      <c r="ATX1727" s="227"/>
      <c r="ATY1727" s="227"/>
      <c r="ATZ1727" s="227"/>
      <c r="AUA1727" s="227"/>
      <c r="AUB1727" s="227"/>
      <c r="AUC1727" s="227"/>
      <c r="AUD1727" s="227"/>
      <c r="AUE1727" s="227"/>
      <c r="AUF1727" s="227"/>
      <c r="AUG1727" s="227"/>
      <c r="AUH1727" s="227"/>
      <c r="AUI1727" s="227"/>
      <c r="AUJ1727" s="227"/>
      <c r="AUK1727" s="227"/>
      <c r="AUL1727" s="227"/>
      <c r="AUM1727" s="227"/>
      <c r="AUN1727" s="227"/>
      <c r="AUO1727" s="227"/>
      <c r="AUP1727" s="227"/>
      <c r="AUQ1727" s="227"/>
      <c r="AUR1727" s="227"/>
      <c r="AUS1727" s="227"/>
      <c r="AUT1727" s="227"/>
      <c r="AUU1727" s="227"/>
      <c r="AUV1727" s="227"/>
      <c r="AUW1727" s="227"/>
      <c r="AUX1727" s="227"/>
      <c r="AUY1727" s="227"/>
      <c r="AUZ1727" s="227"/>
      <c r="AVA1727" s="227"/>
      <c r="AVB1727" s="227"/>
      <c r="AVC1727" s="227"/>
      <c r="AVD1727" s="227"/>
      <c r="AVE1727" s="227"/>
      <c r="AVF1727" s="227"/>
      <c r="AVG1727" s="227"/>
      <c r="AVH1727" s="227"/>
      <c r="AVI1727" s="227"/>
      <c r="AVJ1727" s="227"/>
      <c r="AVK1727" s="227"/>
      <c r="AVL1727" s="227"/>
      <c r="AVM1727" s="227"/>
      <c r="AVN1727" s="227"/>
      <c r="AVO1727" s="227"/>
      <c r="AVP1727" s="227"/>
      <c r="AVQ1727" s="227"/>
      <c r="AVR1727" s="227"/>
      <c r="AVS1727" s="227"/>
      <c r="AVT1727" s="227"/>
      <c r="AVU1727" s="227"/>
      <c r="AVV1727" s="227"/>
      <c r="AVW1727" s="227"/>
      <c r="AVX1727" s="227"/>
      <c r="AVY1727" s="227"/>
      <c r="AVZ1727" s="227"/>
      <c r="AWA1727" s="227"/>
      <c r="AWB1727" s="227"/>
      <c r="AWC1727" s="227"/>
      <c r="AWD1727" s="227"/>
      <c r="AWE1727" s="227"/>
      <c r="AWF1727" s="227"/>
      <c r="AWG1727" s="227"/>
      <c r="AWH1727" s="227"/>
      <c r="AWI1727" s="227"/>
      <c r="AWJ1727" s="227"/>
      <c r="AWK1727" s="227"/>
      <c r="AWL1727" s="227"/>
      <c r="AWM1727" s="227"/>
      <c r="AWN1727" s="227"/>
      <c r="AWO1727" s="227"/>
      <c r="AWP1727" s="227"/>
      <c r="AWQ1727" s="227"/>
      <c r="AWR1727" s="227"/>
      <c r="AWS1727" s="227"/>
      <c r="AWT1727" s="227"/>
      <c r="AWU1727" s="227"/>
      <c r="AWV1727" s="227"/>
      <c r="AWW1727" s="227"/>
      <c r="AWX1727" s="227"/>
      <c r="AWY1727" s="227"/>
      <c r="AWZ1727" s="227"/>
      <c r="AXA1727" s="227"/>
      <c r="AXB1727" s="227"/>
      <c r="AXC1727" s="227"/>
      <c r="AXD1727" s="227"/>
      <c r="AXE1727" s="227"/>
      <c r="AXF1727" s="227"/>
      <c r="AXG1727" s="227"/>
      <c r="AXH1727" s="227"/>
      <c r="AXI1727" s="227"/>
      <c r="AXJ1727" s="227"/>
      <c r="AXK1727" s="227"/>
      <c r="AXL1727" s="227"/>
      <c r="AXM1727" s="227"/>
      <c r="AXN1727" s="227"/>
      <c r="AXO1727" s="227"/>
      <c r="AXP1727" s="227"/>
      <c r="AXQ1727" s="227"/>
      <c r="AXR1727" s="227"/>
      <c r="AXS1727" s="227"/>
      <c r="AXT1727" s="227"/>
      <c r="AXU1727" s="227"/>
      <c r="AXV1727" s="227"/>
      <c r="AXW1727" s="227"/>
      <c r="AXX1727" s="227"/>
      <c r="AXY1727" s="227"/>
      <c r="AXZ1727" s="227"/>
      <c r="AYA1727" s="227"/>
      <c r="AYB1727" s="227"/>
      <c r="AYC1727" s="227"/>
      <c r="AYD1727" s="227"/>
      <c r="AYE1727" s="227"/>
      <c r="AYF1727" s="227"/>
      <c r="AYG1727" s="227"/>
      <c r="AYH1727" s="227"/>
      <c r="AYI1727" s="227"/>
      <c r="AYJ1727" s="227"/>
      <c r="AYK1727" s="227"/>
      <c r="AYL1727" s="227"/>
      <c r="AYM1727" s="227"/>
      <c r="AYN1727" s="227"/>
      <c r="AYO1727" s="227"/>
      <c r="AYP1727" s="227"/>
      <c r="AYQ1727" s="227"/>
      <c r="AYR1727" s="227"/>
      <c r="AYS1727" s="227"/>
      <c r="AYT1727" s="227"/>
      <c r="AYU1727" s="227"/>
      <c r="AYV1727" s="227"/>
      <c r="AYW1727" s="227"/>
      <c r="AYX1727" s="227"/>
      <c r="AYY1727" s="227"/>
      <c r="AYZ1727" s="227"/>
      <c r="AZA1727" s="227"/>
      <c r="AZB1727" s="227"/>
      <c r="AZC1727" s="227"/>
      <c r="AZD1727" s="227"/>
      <c r="AZE1727" s="227"/>
      <c r="AZF1727" s="227"/>
      <c r="AZG1727" s="227"/>
      <c r="AZH1727" s="227"/>
      <c r="AZI1727" s="227"/>
      <c r="AZJ1727" s="227"/>
      <c r="AZK1727" s="227"/>
      <c r="AZL1727" s="227"/>
      <c r="AZM1727" s="227"/>
      <c r="AZN1727" s="227"/>
      <c r="AZO1727" s="227"/>
      <c r="AZP1727" s="227"/>
      <c r="AZQ1727" s="227"/>
      <c r="AZR1727" s="227"/>
      <c r="AZS1727" s="227"/>
      <c r="AZT1727" s="227"/>
      <c r="AZU1727" s="227"/>
      <c r="AZV1727" s="227"/>
      <c r="AZW1727" s="227"/>
      <c r="AZX1727" s="227"/>
      <c r="AZY1727" s="227"/>
      <c r="AZZ1727" s="227"/>
      <c r="BAA1727" s="227"/>
      <c r="BAB1727" s="227"/>
      <c r="BAC1727" s="227"/>
      <c r="BAD1727" s="227"/>
      <c r="BAE1727" s="227"/>
      <c r="BAF1727" s="227"/>
      <c r="BAG1727" s="227"/>
      <c r="BAH1727" s="227"/>
      <c r="BAI1727" s="227"/>
      <c r="BAJ1727" s="227"/>
      <c r="BAK1727" s="227"/>
      <c r="BAL1727" s="227"/>
      <c r="BAM1727" s="227"/>
      <c r="BAN1727" s="227"/>
      <c r="BAO1727" s="227"/>
      <c r="BAP1727" s="227"/>
      <c r="BAQ1727" s="227"/>
      <c r="BAR1727" s="227"/>
      <c r="BAS1727" s="227"/>
      <c r="BAT1727" s="227"/>
      <c r="BAU1727" s="227"/>
      <c r="BAV1727" s="227"/>
      <c r="BAW1727" s="227"/>
      <c r="BAX1727" s="227"/>
      <c r="BAY1727" s="227"/>
      <c r="BAZ1727" s="227"/>
      <c r="BBA1727" s="227"/>
      <c r="BBB1727" s="227"/>
      <c r="BBC1727" s="227"/>
      <c r="BBD1727" s="227"/>
      <c r="BBE1727" s="227"/>
      <c r="BBF1727" s="227"/>
      <c r="BBG1727" s="227"/>
      <c r="BBH1727" s="227"/>
      <c r="BBI1727" s="227"/>
      <c r="BBJ1727" s="227"/>
      <c r="BBK1727" s="227"/>
      <c r="BBL1727" s="227"/>
      <c r="BBM1727" s="227"/>
      <c r="BBN1727" s="227"/>
      <c r="BBO1727" s="227"/>
      <c r="BBP1727" s="227"/>
      <c r="BBQ1727" s="227"/>
      <c r="BBR1727" s="227"/>
      <c r="BBS1727" s="227"/>
      <c r="BBT1727" s="227"/>
      <c r="BBU1727" s="227"/>
      <c r="BBV1727" s="227"/>
      <c r="BBW1727" s="227"/>
      <c r="BBX1727" s="227"/>
      <c r="BBY1727" s="227"/>
      <c r="BBZ1727" s="227"/>
      <c r="BCA1727" s="227"/>
      <c r="BCB1727" s="227"/>
      <c r="BCC1727" s="227"/>
      <c r="BCD1727" s="227"/>
      <c r="BCE1727" s="227"/>
      <c r="BCF1727" s="227"/>
      <c r="BCG1727" s="227"/>
      <c r="BCH1727" s="227"/>
      <c r="BCI1727" s="227"/>
      <c r="BCJ1727" s="227"/>
      <c r="BCK1727" s="227"/>
      <c r="BCL1727" s="227"/>
      <c r="BCM1727" s="227"/>
      <c r="BCN1727" s="227"/>
      <c r="BCO1727" s="227"/>
      <c r="BCP1727" s="227"/>
      <c r="BCQ1727" s="227"/>
      <c r="BCR1727" s="227"/>
      <c r="BCS1727" s="227"/>
      <c r="BCT1727" s="227"/>
      <c r="BCU1727" s="227"/>
      <c r="BCV1727" s="227"/>
      <c r="BCW1727" s="227"/>
      <c r="BCX1727" s="227"/>
      <c r="BCY1727" s="227"/>
      <c r="BCZ1727" s="227"/>
      <c r="BDA1727" s="227"/>
      <c r="BDB1727" s="227"/>
      <c r="BDC1727" s="227"/>
      <c r="BDD1727" s="227"/>
      <c r="BDE1727" s="227"/>
      <c r="BDF1727" s="227"/>
      <c r="BDG1727" s="227"/>
      <c r="BDH1727" s="227"/>
      <c r="BDI1727" s="227"/>
      <c r="BDJ1727" s="227"/>
      <c r="BDK1727" s="227"/>
      <c r="BDL1727" s="227"/>
      <c r="BDM1727" s="227"/>
      <c r="BDN1727" s="227"/>
      <c r="BDO1727" s="227"/>
      <c r="BDP1727" s="227"/>
      <c r="BDQ1727" s="227"/>
      <c r="BDR1727" s="227"/>
      <c r="BDS1727" s="227"/>
      <c r="BDT1727" s="227"/>
      <c r="BDU1727" s="227"/>
      <c r="BDV1727" s="227"/>
      <c r="BDW1727" s="227"/>
      <c r="BDX1727" s="227"/>
      <c r="BDY1727" s="227"/>
      <c r="BDZ1727" s="227"/>
      <c r="BEA1727" s="227"/>
      <c r="BEB1727" s="227"/>
      <c r="BEC1727" s="227"/>
      <c r="BED1727" s="227"/>
      <c r="BEE1727" s="227"/>
      <c r="BEF1727" s="227"/>
      <c r="BEG1727" s="227"/>
      <c r="BEH1727" s="227"/>
      <c r="BEI1727" s="227"/>
      <c r="BEJ1727" s="227"/>
      <c r="BEK1727" s="227"/>
      <c r="BEL1727" s="227"/>
      <c r="BEM1727" s="227"/>
      <c r="BEN1727" s="227"/>
      <c r="BEO1727" s="227"/>
      <c r="BEP1727" s="227"/>
      <c r="BEQ1727" s="227"/>
      <c r="BER1727" s="227"/>
      <c r="BES1727" s="227"/>
      <c r="BET1727" s="227"/>
      <c r="BEU1727" s="227"/>
      <c r="BEV1727" s="227"/>
      <c r="BEW1727" s="227"/>
      <c r="BEX1727" s="227"/>
      <c r="BEY1727" s="227"/>
      <c r="BEZ1727" s="227"/>
      <c r="BFA1727" s="227"/>
      <c r="BFB1727" s="227"/>
      <c r="BFC1727" s="227"/>
      <c r="BFD1727" s="227"/>
      <c r="BFE1727" s="227"/>
      <c r="BFF1727" s="227"/>
      <c r="BFG1727" s="227"/>
      <c r="BFH1727" s="227"/>
      <c r="BFI1727" s="227"/>
      <c r="BFJ1727" s="227"/>
      <c r="BFK1727" s="227"/>
      <c r="BFL1727" s="227"/>
      <c r="BFM1727" s="227"/>
      <c r="BFN1727" s="227"/>
      <c r="BFO1727" s="227"/>
      <c r="BFP1727" s="227"/>
      <c r="BFQ1727" s="227"/>
      <c r="BFR1727" s="227"/>
      <c r="BFS1727" s="227"/>
      <c r="BFT1727" s="227"/>
      <c r="BFU1727" s="227"/>
      <c r="BFV1727" s="227"/>
      <c r="BFW1727" s="227"/>
      <c r="BFX1727" s="227"/>
      <c r="BFY1727" s="227"/>
      <c r="BFZ1727" s="227"/>
      <c r="BGA1727" s="227"/>
      <c r="BGB1727" s="227"/>
      <c r="BGC1727" s="227"/>
      <c r="BGD1727" s="227"/>
      <c r="BGE1727" s="227"/>
      <c r="BGF1727" s="227"/>
      <c r="BGG1727" s="227"/>
      <c r="BGH1727" s="227"/>
      <c r="BGI1727" s="227"/>
      <c r="BGJ1727" s="227"/>
      <c r="BGK1727" s="227"/>
      <c r="BGL1727" s="227"/>
      <c r="BGM1727" s="227"/>
      <c r="BGN1727" s="227"/>
      <c r="BGO1727" s="227"/>
      <c r="BGP1727" s="227"/>
      <c r="BGQ1727" s="227"/>
      <c r="BGR1727" s="227"/>
      <c r="BGS1727" s="227"/>
      <c r="BGT1727" s="227"/>
      <c r="BGU1727" s="227"/>
      <c r="BGV1727" s="227"/>
      <c r="BGW1727" s="227"/>
      <c r="BGX1727" s="227"/>
      <c r="BGY1727" s="227"/>
      <c r="BGZ1727" s="227"/>
      <c r="BHA1727" s="227"/>
      <c r="BHB1727" s="227"/>
      <c r="BHC1727" s="227"/>
      <c r="BHD1727" s="227"/>
      <c r="BHE1727" s="227"/>
      <c r="BHF1727" s="227"/>
      <c r="BHG1727" s="227"/>
      <c r="BHH1727" s="227"/>
      <c r="BHI1727" s="227"/>
      <c r="BHJ1727" s="227"/>
      <c r="BHK1727" s="227"/>
      <c r="BHL1727" s="227"/>
      <c r="BHM1727" s="227"/>
      <c r="BHN1727" s="227"/>
      <c r="BHO1727" s="227"/>
      <c r="BHP1727" s="227"/>
      <c r="BHQ1727" s="227"/>
      <c r="BHR1727" s="227"/>
      <c r="BHS1727" s="227"/>
      <c r="BHT1727" s="227"/>
      <c r="BHU1727" s="227"/>
      <c r="BHV1727" s="227"/>
      <c r="BHW1727" s="227"/>
      <c r="BHX1727" s="227"/>
      <c r="BHY1727" s="227"/>
      <c r="BHZ1727" s="227"/>
      <c r="BIA1727" s="227"/>
      <c r="BIB1727" s="227"/>
      <c r="BIC1727" s="227"/>
      <c r="BID1727" s="227"/>
      <c r="BIE1727" s="227"/>
      <c r="BIF1727" s="227"/>
      <c r="BIG1727" s="227"/>
      <c r="BIH1727" s="227"/>
      <c r="BII1727" s="227"/>
      <c r="BIJ1727" s="227"/>
      <c r="BIK1727" s="227"/>
      <c r="BIL1727" s="227"/>
      <c r="BIM1727" s="227"/>
      <c r="BIN1727" s="227"/>
      <c r="BIO1727" s="227"/>
      <c r="BIP1727" s="227"/>
      <c r="BIQ1727" s="227"/>
      <c r="BIR1727" s="227"/>
      <c r="BIS1727" s="227"/>
      <c r="BIT1727" s="227"/>
      <c r="BIU1727" s="227"/>
      <c r="BIV1727" s="227"/>
      <c r="BIW1727" s="227"/>
      <c r="BIX1727" s="227"/>
      <c r="BIY1727" s="227"/>
      <c r="BIZ1727" s="227"/>
      <c r="BJA1727" s="227"/>
      <c r="BJB1727" s="227"/>
      <c r="BJC1727" s="227"/>
      <c r="BJD1727" s="227"/>
      <c r="BJE1727" s="227"/>
      <c r="BJF1727" s="227"/>
      <c r="BJG1727" s="227"/>
      <c r="BJH1727" s="227"/>
      <c r="BJI1727" s="227"/>
      <c r="BJJ1727" s="227"/>
      <c r="BJK1727" s="227"/>
      <c r="BJL1727" s="227"/>
      <c r="BJM1727" s="227"/>
      <c r="BJN1727" s="227"/>
      <c r="BJO1727" s="227"/>
      <c r="BJP1727" s="227"/>
      <c r="BJQ1727" s="227"/>
      <c r="BJR1727" s="227"/>
      <c r="BJS1727" s="227"/>
      <c r="BJT1727" s="227"/>
      <c r="BJU1727" s="227"/>
      <c r="BJV1727" s="227"/>
      <c r="BJW1727" s="227"/>
      <c r="BJX1727" s="227"/>
      <c r="BJY1727" s="227"/>
      <c r="BJZ1727" s="227"/>
      <c r="BKA1727" s="227"/>
      <c r="BKB1727" s="227"/>
      <c r="BKC1727" s="227"/>
      <c r="BKD1727" s="227"/>
      <c r="BKE1727" s="227"/>
      <c r="BKF1727" s="227"/>
      <c r="BKG1727" s="227"/>
      <c r="BKH1727" s="227"/>
      <c r="BKI1727" s="227"/>
      <c r="BKJ1727" s="227"/>
      <c r="BKK1727" s="227"/>
      <c r="BKL1727" s="227"/>
      <c r="BKM1727" s="227"/>
      <c r="BKN1727" s="227"/>
      <c r="BKO1727" s="227"/>
      <c r="BKP1727" s="227"/>
      <c r="BKQ1727" s="227"/>
      <c r="BKR1727" s="227"/>
      <c r="BKS1727" s="227"/>
      <c r="BKT1727" s="227"/>
      <c r="BKU1727" s="227"/>
      <c r="BKV1727" s="227"/>
      <c r="BKW1727" s="227"/>
      <c r="BKX1727" s="227"/>
      <c r="BKY1727" s="227"/>
      <c r="BKZ1727" s="227"/>
      <c r="BLA1727" s="227"/>
      <c r="BLB1727" s="227"/>
      <c r="BLC1727" s="227"/>
      <c r="BLD1727" s="227"/>
      <c r="BLE1727" s="227"/>
      <c r="BLF1727" s="227"/>
      <c r="BLG1727" s="227"/>
      <c r="BLH1727" s="227"/>
      <c r="BLI1727" s="227"/>
      <c r="BLJ1727" s="227"/>
      <c r="BLK1727" s="227"/>
      <c r="BLL1727" s="227"/>
      <c r="BLM1727" s="227"/>
      <c r="BLN1727" s="227"/>
      <c r="BLO1727" s="227"/>
      <c r="BLP1727" s="227"/>
      <c r="BLQ1727" s="227"/>
      <c r="BLR1727" s="227"/>
      <c r="BLS1727" s="227"/>
      <c r="BLT1727" s="227"/>
      <c r="BLU1727" s="227"/>
      <c r="BLV1727" s="227"/>
      <c r="BLW1727" s="227"/>
      <c r="BLX1727" s="227"/>
      <c r="BLY1727" s="227"/>
      <c r="BLZ1727" s="227"/>
      <c r="BMA1727" s="227"/>
      <c r="BMB1727" s="227"/>
      <c r="BMC1727" s="227"/>
      <c r="BMD1727" s="227"/>
      <c r="BME1727" s="227"/>
      <c r="BMF1727" s="227"/>
      <c r="BMG1727" s="227"/>
      <c r="BMH1727" s="227"/>
      <c r="BMI1727" s="227"/>
      <c r="BMJ1727" s="227"/>
      <c r="BMK1727" s="227"/>
      <c r="BML1727" s="227"/>
      <c r="BMM1727" s="227"/>
      <c r="BMN1727" s="227"/>
      <c r="BMO1727" s="227"/>
      <c r="BMP1727" s="227"/>
      <c r="BMQ1727" s="227"/>
      <c r="BMR1727" s="227"/>
      <c r="BMS1727" s="227"/>
      <c r="BMT1727" s="227"/>
      <c r="BMU1727" s="227"/>
      <c r="BMV1727" s="227"/>
      <c r="BMW1727" s="227"/>
      <c r="BMX1727" s="227"/>
      <c r="BMY1727" s="227"/>
      <c r="BMZ1727" s="227"/>
      <c r="BNA1727" s="227"/>
      <c r="BNB1727" s="227"/>
      <c r="BNC1727" s="227"/>
      <c r="BND1727" s="227"/>
      <c r="BNE1727" s="227"/>
      <c r="BNF1727" s="227"/>
      <c r="BNG1727" s="227"/>
      <c r="BNH1727" s="227"/>
      <c r="BNI1727" s="227"/>
      <c r="BNJ1727" s="227"/>
      <c r="BNK1727" s="227"/>
      <c r="BNL1727" s="227"/>
      <c r="BNM1727" s="227"/>
      <c r="BNN1727" s="227"/>
      <c r="BNO1727" s="227"/>
      <c r="BNP1727" s="227"/>
      <c r="BNQ1727" s="227"/>
      <c r="BNR1727" s="227"/>
      <c r="BNS1727" s="227"/>
      <c r="BNT1727" s="227"/>
      <c r="BNU1727" s="227"/>
      <c r="BNV1727" s="227"/>
      <c r="BNW1727" s="227"/>
      <c r="BNX1727" s="227"/>
      <c r="BNY1727" s="227"/>
      <c r="BNZ1727" s="227"/>
      <c r="BOA1727" s="227"/>
      <c r="BOB1727" s="227"/>
      <c r="BOC1727" s="227"/>
      <c r="BOD1727" s="227"/>
      <c r="BOE1727" s="227"/>
      <c r="BOF1727" s="227"/>
      <c r="BOG1727" s="227"/>
      <c r="BOH1727" s="227"/>
      <c r="BOI1727" s="227"/>
      <c r="BOJ1727" s="227"/>
      <c r="BOK1727" s="227"/>
      <c r="BOL1727" s="227"/>
      <c r="BOM1727" s="227"/>
      <c r="BON1727" s="227"/>
      <c r="BOO1727" s="227"/>
      <c r="BOP1727" s="227"/>
      <c r="BOQ1727" s="227"/>
      <c r="BOR1727" s="227"/>
      <c r="BOS1727" s="227"/>
      <c r="BOT1727" s="227"/>
      <c r="BOU1727" s="227"/>
      <c r="BOV1727" s="227"/>
      <c r="BOW1727" s="227"/>
      <c r="BOX1727" s="227"/>
      <c r="BOY1727" s="227"/>
      <c r="BOZ1727" s="227"/>
      <c r="BPA1727" s="227"/>
      <c r="BPB1727" s="227"/>
      <c r="BPC1727" s="227"/>
      <c r="BPD1727" s="227"/>
      <c r="BPE1727" s="227"/>
      <c r="BPF1727" s="227"/>
      <c r="BPG1727" s="227"/>
      <c r="BPH1727" s="227"/>
      <c r="BPI1727" s="227"/>
      <c r="BPJ1727" s="227"/>
      <c r="BPK1727" s="227"/>
      <c r="BPL1727" s="227"/>
      <c r="BPM1727" s="227"/>
      <c r="BPN1727" s="227"/>
      <c r="BPO1727" s="227"/>
      <c r="BPP1727" s="227"/>
      <c r="BPQ1727" s="227"/>
      <c r="BPR1727" s="227"/>
      <c r="BPS1727" s="227"/>
      <c r="BPT1727" s="227"/>
      <c r="BPU1727" s="227"/>
      <c r="BPV1727" s="227"/>
      <c r="BPW1727" s="227"/>
      <c r="BPX1727" s="227"/>
      <c r="BPY1727" s="227"/>
      <c r="BPZ1727" s="227"/>
      <c r="BQA1727" s="227"/>
      <c r="BQB1727" s="227"/>
      <c r="BQC1727" s="227"/>
      <c r="BQD1727" s="227"/>
      <c r="BQE1727" s="227"/>
      <c r="BQF1727" s="227"/>
      <c r="BQG1727" s="227"/>
      <c r="BQH1727" s="227"/>
      <c r="BQI1727" s="227"/>
      <c r="BQJ1727" s="227"/>
      <c r="BQK1727" s="227"/>
      <c r="BQL1727" s="227"/>
      <c r="BQM1727" s="227"/>
      <c r="BQN1727" s="227"/>
      <c r="BQO1727" s="227"/>
      <c r="BQP1727" s="227"/>
      <c r="BQQ1727" s="227"/>
      <c r="BQR1727" s="227"/>
      <c r="BQS1727" s="227"/>
      <c r="BQT1727" s="227"/>
      <c r="BQU1727" s="227"/>
      <c r="BQV1727" s="227"/>
      <c r="BQW1727" s="227"/>
      <c r="BQX1727" s="227"/>
      <c r="BQY1727" s="227"/>
      <c r="BQZ1727" s="227"/>
      <c r="BRA1727" s="227"/>
      <c r="BRB1727" s="227"/>
      <c r="BRC1727" s="227"/>
      <c r="BRD1727" s="227"/>
      <c r="BRE1727" s="227"/>
      <c r="BRF1727" s="227"/>
      <c r="BRG1727" s="227"/>
      <c r="BRH1727" s="227"/>
      <c r="BRI1727" s="227"/>
      <c r="BRJ1727" s="227"/>
      <c r="BRK1727" s="227"/>
      <c r="BRL1727" s="227"/>
      <c r="BRM1727" s="227"/>
      <c r="BRN1727" s="227"/>
      <c r="BRO1727" s="227"/>
      <c r="BRP1727" s="227"/>
      <c r="BRQ1727" s="227"/>
      <c r="BRR1727" s="227"/>
      <c r="BRS1727" s="227"/>
      <c r="BRT1727" s="227"/>
      <c r="BRU1727" s="227"/>
      <c r="BRV1727" s="227"/>
      <c r="BRW1727" s="227"/>
      <c r="BRX1727" s="227"/>
      <c r="BRY1727" s="227"/>
      <c r="BRZ1727" s="227"/>
      <c r="BSA1727" s="227"/>
      <c r="BSB1727" s="227"/>
      <c r="BSC1727" s="227"/>
      <c r="BSD1727" s="227"/>
      <c r="BSE1727" s="227"/>
      <c r="BSF1727" s="227"/>
      <c r="BSG1727" s="227"/>
      <c r="BSH1727" s="227"/>
      <c r="BSI1727" s="227"/>
      <c r="BSJ1727" s="227"/>
      <c r="BSK1727" s="227"/>
      <c r="BSL1727" s="227"/>
      <c r="BSM1727" s="227"/>
      <c r="BSN1727" s="227"/>
      <c r="BSO1727" s="227"/>
      <c r="BSP1727" s="227"/>
      <c r="BSQ1727" s="227"/>
      <c r="BSR1727" s="227"/>
      <c r="BSS1727" s="227"/>
      <c r="BST1727" s="227"/>
      <c r="BSU1727" s="227"/>
      <c r="BSV1727" s="227"/>
      <c r="BSW1727" s="227"/>
      <c r="BSX1727" s="227"/>
      <c r="BSY1727" s="227"/>
      <c r="BSZ1727" s="227"/>
      <c r="BTA1727" s="227"/>
      <c r="BTB1727" s="227"/>
      <c r="BTC1727" s="227"/>
      <c r="BTD1727" s="227"/>
      <c r="BTE1727" s="227"/>
      <c r="BTF1727" s="227"/>
      <c r="BTG1727" s="227"/>
      <c r="BTH1727" s="227"/>
      <c r="BTI1727" s="227"/>
      <c r="BTJ1727" s="227"/>
      <c r="BTK1727" s="227"/>
      <c r="BTL1727" s="227"/>
      <c r="BTM1727" s="227"/>
      <c r="BTN1727" s="227"/>
      <c r="BTO1727" s="227"/>
      <c r="BTP1727" s="227"/>
      <c r="BTQ1727" s="227"/>
      <c r="BTR1727" s="227"/>
      <c r="BTS1727" s="227"/>
      <c r="BTT1727" s="227"/>
      <c r="BTU1727" s="227"/>
      <c r="BTV1727" s="227"/>
      <c r="BTW1727" s="227"/>
      <c r="BTX1727" s="227"/>
      <c r="BTY1727" s="227"/>
      <c r="BTZ1727" s="227"/>
      <c r="BUA1727" s="227"/>
      <c r="BUB1727" s="227"/>
      <c r="BUC1727" s="227"/>
      <c r="BUD1727" s="227"/>
      <c r="BUE1727" s="227"/>
      <c r="BUF1727" s="227"/>
      <c r="BUG1727" s="227"/>
      <c r="BUH1727" s="227"/>
      <c r="BUI1727" s="227"/>
      <c r="BUJ1727" s="227"/>
      <c r="BUK1727" s="227"/>
      <c r="BUL1727" s="227"/>
      <c r="BUM1727" s="227"/>
      <c r="BUN1727" s="227"/>
      <c r="BUO1727" s="227"/>
      <c r="BUP1727" s="227"/>
      <c r="BUQ1727" s="227"/>
      <c r="BUR1727" s="227"/>
      <c r="BUS1727" s="227"/>
      <c r="BUT1727" s="227"/>
      <c r="BUU1727" s="227"/>
      <c r="BUV1727" s="227"/>
      <c r="BUW1727" s="227"/>
      <c r="BUX1727" s="227"/>
      <c r="BUY1727" s="227"/>
      <c r="BUZ1727" s="227"/>
      <c r="BVA1727" s="227"/>
      <c r="BVB1727" s="227"/>
      <c r="BVC1727" s="227"/>
      <c r="BVD1727" s="227"/>
      <c r="BVE1727" s="227"/>
      <c r="BVF1727" s="227"/>
      <c r="BVG1727" s="227"/>
      <c r="BVH1727" s="227"/>
      <c r="BVI1727" s="227"/>
      <c r="BVJ1727" s="227"/>
      <c r="BVK1727" s="227"/>
      <c r="BVL1727" s="227"/>
      <c r="BVM1727" s="227"/>
      <c r="BVN1727" s="227"/>
      <c r="BVO1727" s="227"/>
      <c r="BVP1727" s="227"/>
      <c r="BVQ1727" s="227"/>
      <c r="BVR1727" s="227"/>
      <c r="BVS1727" s="227"/>
      <c r="BVT1727" s="227"/>
      <c r="BVU1727" s="227"/>
      <c r="BVV1727" s="227"/>
      <c r="BVW1727" s="227"/>
      <c r="BVX1727" s="227"/>
      <c r="BVY1727" s="227"/>
      <c r="BVZ1727" s="227"/>
      <c r="BWA1727" s="227"/>
      <c r="BWB1727" s="227"/>
      <c r="BWC1727" s="227"/>
      <c r="BWD1727" s="227"/>
      <c r="BWE1727" s="227"/>
      <c r="BWF1727" s="227"/>
      <c r="BWG1727" s="227"/>
      <c r="BWH1727" s="227"/>
      <c r="BWI1727" s="227"/>
      <c r="BWJ1727" s="227"/>
      <c r="BWK1727" s="227"/>
      <c r="BWL1727" s="227"/>
      <c r="BWM1727" s="227"/>
      <c r="BWN1727" s="227"/>
      <c r="BWO1727" s="227"/>
      <c r="BWP1727" s="227"/>
      <c r="BWQ1727" s="227"/>
      <c r="BWR1727" s="227"/>
      <c r="BWS1727" s="227"/>
      <c r="BWT1727" s="227"/>
      <c r="BWU1727" s="227"/>
      <c r="BWV1727" s="227"/>
      <c r="BWW1727" s="227"/>
      <c r="BWX1727" s="227"/>
      <c r="BWY1727" s="227"/>
      <c r="BWZ1727" s="227"/>
      <c r="BXA1727" s="227"/>
      <c r="BXB1727" s="227"/>
      <c r="BXC1727" s="227"/>
      <c r="BXD1727" s="227"/>
      <c r="BXE1727" s="227"/>
      <c r="BXF1727" s="227"/>
      <c r="BXG1727" s="227"/>
      <c r="BXH1727" s="227"/>
      <c r="BXI1727" s="227"/>
      <c r="BXJ1727" s="227"/>
      <c r="BXK1727" s="227"/>
      <c r="BXL1727" s="227"/>
      <c r="BXM1727" s="227"/>
      <c r="BXN1727" s="227"/>
      <c r="BXO1727" s="227"/>
      <c r="BXP1727" s="227"/>
      <c r="BXQ1727" s="227"/>
      <c r="BXR1727" s="227"/>
      <c r="BXS1727" s="227"/>
      <c r="BXT1727" s="227"/>
      <c r="BXU1727" s="227"/>
      <c r="BXV1727" s="227"/>
      <c r="BXW1727" s="227"/>
      <c r="BXX1727" s="227"/>
      <c r="BXY1727" s="227"/>
      <c r="BXZ1727" s="227"/>
      <c r="BYA1727" s="227"/>
      <c r="BYB1727" s="227"/>
      <c r="BYC1727" s="227"/>
      <c r="BYD1727" s="227"/>
      <c r="BYE1727" s="227"/>
      <c r="BYF1727" s="227"/>
      <c r="BYG1727" s="227"/>
      <c r="BYH1727" s="227"/>
      <c r="BYI1727" s="227"/>
      <c r="BYJ1727" s="227"/>
      <c r="BYK1727" s="227"/>
      <c r="BYL1727" s="227"/>
      <c r="BYM1727" s="227"/>
      <c r="BYN1727" s="227"/>
      <c r="BYO1727" s="227"/>
      <c r="BYP1727" s="227"/>
      <c r="BYQ1727" s="227"/>
      <c r="BYR1727" s="227"/>
      <c r="BYS1727" s="227"/>
      <c r="BYT1727" s="227"/>
      <c r="BYU1727" s="227"/>
      <c r="BYV1727" s="227"/>
      <c r="BYW1727" s="227"/>
      <c r="BYX1727" s="227"/>
      <c r="BYY1727" s="227"/>
      <c r="BYZ1727" s="227"/>
      <c r="BZA1727" s="227"/>
      <c r="BZB1727" s="227"/>
      <c r="BZC1727" s="227"/>
      <c r="BZD1727" s="227"/>
      <c r="BZE1727" s="227"/>
      <c r="BZF1727" s="227"/>
      <c r="BZG1727" s="227"/>
      <c r="BZH1727" s="227"/>
      <c r="BZI1727" s="227"/>
      <c r="BZJ1727" s="227"/>
      <c r="BZK1727" s="227"/>
      <c r="BZL1727" s="227"/>
      <c r="BZM1727" s="227"/>
      <c r="BZN1727" s="227"/>
      <c r="BZO1727" s="227"/>
      <c r="BZP1727" s="227"/>
      <c r="BZQ1727" s="227"/>
      <c r="BZR1727" s="227"/>
      <c r="BZS1727" s="227"/>
      <c r="BZT1727" s="227"/>
      <c r="BZU1727" s="227"/>
      <c r="BZV1727" s="227"/>
      <c r="BZW1727" s="227"/>
      <c r="BZX1727" s="227"/>
      <c r="BZY1727" s="227"/>
      <c r="BZZ1727" s="227"/>
      <c r="CAA1727" s="227"/>
      <c r="CAB1727" s="227"/>
      <c r="CAC1727" s="227"/>
      <c r="CAD1727" s="227"/>
      <c r="CAE1727" s="227"/>
      <c r="CAF1727" s="227"/>
      <c r="CAG1727" s="227"/>
      <c r="CAH1727" s="227"/>
      <c r="CAI1727" s="227"/>
      <c r="CAJ1727" s="227"/>
      <c r="CAK1727" s="227"/>
      <c r="CAL1727" s="227"/>
      <c r="CAM1727" s="227"/>
      <c r="CAN1727" s="227"/>
      <c r="CAO1727" s="227"/>
      <c r="CAP1727" s="227"/>
      <c r="CAQ1727" s="227"/>
      <c r="CAR1727" s="227"/>
      <c r="CAS1727" s="227"/>
      <c r="CAT1727" s="227"/>
      <c r="CAU1727" s="227"/>
      <c r="CAV1727" s="227"/>
      <c r="CAW1727" s="227"/>
      <c r="CAX1727" s="227"/>
      <c r="CAY1727" s="227"/>
      <c r="CAZ1727" s="227"/>
      <c r="CBA1727" s="227"/>
      <c r="CBB1727" s="227"/>
      <c r="CBC1727" s="227"/>
      <c r="CBD1727" s="227"/>
      <c r="CBE1727" s="227"/>
      <c r="CBF1727" s="227"/>
      <c r="CBG1727" s="227"/>
      <c r="CBH1727" s="227"/>
      <c r="CBI1727" s="227"/>
      <c r="CBJ1727" s="227"/>
      <c r="CBK1727" s="227"/>
      <c r="CBL1727" s="227"/>
      <c r="CBM1727" s="227"/>
      <c r="CBN1727" s="227"/>
      <c r="CBO1727" s="227"/>
      <c r="CBP1727" s="227"/>
      <c r="CBQ1727" s="227"/>
      <c r="CBR1727" s="227"/>
      <c r="CBS1727" s="227"/>
      <c r="CBT1727" s="227"/>
      <c r="CBU1727" s="227"/>
      <c r="CBV1727" s="227"/>
      <c r="CBW1727" s="227"/>
      <c r="CBX1727" s="227"/>
      <c r="CBY1727" s="227"/>
      <c r="CBZ1727" s="227"/>
      <c r="CCA1727" s="227"/>
      <c r="CCB1727" s="227"/>
      <c r="CCC1727" s="227"/>
      <c r="CCD1727" s="227"/>
      <c r="CCE1727" s="227"/>
      <c r="CCF1727" s="227"/>
      <c r="CCG1727" s="227"/>
      <c r="CCH1727" s="227"/>
      <c r="CCI1727" s="227"/>
      <c r="CCJ1727" s="227"/>
      <c r="CCK1727" s="227"/>
      <c r="CCL1727" s="227"/>
      <c r="CCM1727" s="227"/>
      <c r="CCN1727" s="227"/>
      <c r="CCO1727" s="227"/>
      <c r="CCP1727" s="227"/>
      <c r="CCQ1727" s="227"/>
      <c r="CCR1727" s="227"/>
      <c r="CCS1727" s="227"/>
      <c r="CCT1727" s="227"/>
      <c r="CCU1727" s="227"/>
      <c r="CCV1727" s="227"/>
      <c r="CCW1727" s="227"/>
      <c r="CCX1727" s="227"/>
      <c r="CCY1727" s="227"/>
      <c r="CCZ1727" s="227"/>
      <c r="CDA1727" s="227"/>
      <c r="CDB1727" s="227"/>
      <c r="CDC1727" s="227"/>
      <c r="CDD1727" s="227"/>
      <c r="CDE1727" s="227"/>
      <c r="CDF1727" s="227"/>
      <c r="CDG1727" s="227"/>
      <c r="CDH1727" s="227"/>
      <c r="CDI1727" s="227"/>
      <c r="CDJ1727" s="227"/>
      <c r="CDK1727" s="227"/>
      <c r="CDL1727" s="227"/>
      <c r="CDM1727" s="227"/>
      <c r="CDN1727" s="227"/>
      <c r="CDO1727" s="227"/>
      <c r="CDP1727" s="227"/>
      <c r="CDQ1727" s="227"/>
      <c r="CDR1727" s="227"/>
      <c r="CDS1727" s="227"/>
      <c r="CDT1727" s="227"/>
      <c r="CDU1727" s="227"/>
      <c r="CDV1727" s="227"/>
      <c r="CDW1727" s="227"/>
      <c r="CDX1727" s="227"/>
      <c r="CDY1727" s="227"/>
      <c r="CDZ1727" s="227"/>
      <c r="CEA1727" s="227"/>
      <c r="CEB1727" s="227"/>
      <c r="CEC1727" s="227"/>
      <c r="CED1727" s="227"/>
      <c r="CEE1727" s="227"/>
      <c r="CEF1727" s="227"/>
      <c r="CEG1727" s="227"/>
      <c r="CEH1727" s="227"/>
      <c r="CEI1727" s="227"/>
      <c r="CEJ1727" s="227"/>
      <c r="CEK1727" s="227"/>
      <c r="CEL1727" s="227"/>
      <c r="CEM1727" s="227"/>
      <c r="CEN1727" s="227"/>
      <c r="CEO1727" s="227"/>
      <c r="CEP1727" s="227"/>
      <c r="CEQ1727" s="227"/>
      <c r="CER1727" s="227"/>
      <c r="CES1727" s="227"/>
      <c r="CET1727" s="227"/>
      <c r="CEU1727" s="227"/>
      <c r="CEV1727" s="227"/>
      <c r="CEW1727" s="227"/>
      <c r="CEX1727" s="227"/>
      <c r="CEY1727" s="227"/>
      <c r="CEZ1727" s="227"/>
      <c r="CFA1727" s="227"/>
      <c r="CFB1727" s="227"/>
      <c r="CFC1727" s="227"/>
      <c r="CFD1727" s="227"/>
      <c r="CFE1727" s="227"/>
      <c r="CFF1727" s="227"/>
      <c r="CFG1727" s="227"/>
      <c r="CFH1727" s="227"/>
      <c r="CFI1727" s="227"/>
      <c r="CFJ1727" s="227"/>
      <c r="CFK1727" s="227"/>
      <c r="CFL1727" s="227"/>
      <c r="CFM1727" s="227"/>
      <c r="CFN1727" s="227"/>
      <c r="CFO1727" s="227"/>
      <c r="CFP1727" s="227"/>
      <c r="CFQ1727" s="227"/>
      <c r="CFR1727" s="227"/>
      <c r="CFS1727" s="227"/>
      <c r="CFT1727" s="227"/>
      <c r="CFU1727" s="227"/>
      <c r="CFV1727" s="227"/>
      <c r="CFW1727" s="227"/>
      <c r="CFX1727" s="227"/>
      <c r="CFY1727" s="227"/>
      <c r="CFZ1727" s="227"/>
      <c r="CGA1727" s="227"/>
      <c r="CGB1727" s="227"/>
      <c r="CGC1727" s="227"/>
      <c r="CGD1727" s="227"/>
      <c r="CGE1727" s="227"/>
      <c r="CGF1727" s="227"/>
      <c r="CGG1727" s="227"/>
      <c r="CGH1727" s="227"/>
      <c r="CGI1727" s="227"/>
      <c r="CGJ1727" s="227"/>
      <c r="CGK1727" s="227"/>
      <c r="CGL1727" s="227"/>
      <c r="CGM1727" s="227"/>
      <c r="CGN1727" s="227"/>
      <c r="CGO1727" s="227"/>
      <c r="CGP1727" s="227"/>
      <c r="CGQ1727" s="227"/>
      <c r="CGR1727" s="227"/>
      <c r="CGS1727" s="227"/>
      <c r="CGT1727" s="227"/>
      <c r="CGU1727" s="227"/>
      <c r="CGV1727" s="227"/>
      <c r="CGW1727" s="227"/>
      <c r="CGX1727" s="227"/>
      <c r="CGY1727" s="227"/>
      <c r="CGZ1727" s="227"/>
      <c r="CHA1727" s="227"/>
      <c r="CHB1727" s="227"/>
      <c r="CHC1727" s="227"/>
      <c r="CHD1727" s="227"/>
      <c r="CHE1727" s="227"/>
      <c r="CHF1727" s="227"/>
      <c r="CHG1727" s="227"/>
      <c r="CHH1727" s="227"/>
      <c r="CHI1727" s="227"/>
      <c r="CHJ1727" s="227"/>
      <c r="CHK1727" s="227"/>
      <c r="CHL1727" s="227"/>
      <c r="CHM1727" s="227"/>
      <c r="CHN1727" s="227"/>
      <c r="CHO1727" s="227"/>
      <c r="CHP1727" s="227"/>
      <c r="CHQ1727" s="227"/>
      <c r="CHR1727" s="227"/>
      <c r="CHS1727" s="227"/>
      <c r="CHT1727" s="227"/>
      <c r="CHU1727" s="227"/>
      <c r="CHV1727" s="227"/>
      <c r="CHW1727" s="227"/>
      <c r="CHX1727" s="227"/>
      <c r="CHY1727" s="227"/>
      <c r="CHZ1727" s="227"/>
      <c r="CIA1727" s="227"/>
      <c r="CIB1727" s="227"/>
      <c r="CIC1727" s="227"/>
      <c r="CID1727" s="227"/>
      <c r="CIE1727" s="227"/>
      <c r="CIF1727" s="227"/>
      <c r="CIG1727" s="227"/>
      <c r="CIH1727" s="227"/>
      <c r="CII1727" s="227"/>
      <c r="CIJ1727" s="227"/>
      <c r="CIK1727" s="227"/>
      <c r="CIL1727" s="227"/>
      <c r="CIM1727" s="227"/>
      <c r="CIN1727" s="227"/>
      <c r="CIO1727" s="227"/>
      <c r="CIP1727" s="227"/>
      <c r="CIQ1727" s="227"/>
      <c r="CIR1727" s="227"/>
      <c r="CIS1727" s="227"/>
      <c r="CIT1727" s="227"/>
      <c r="CIU1727" s="227"/>
      <c r="CIV1727" s="227"/>
      <c r="CIW1727" s="227"/>
      <c r="CIX1727" s="227"/>
      <c r="CIY1727" s="227"/>
      <c r="CIZ1727" s="227"/>
      <c r="CJA1727" s="227"/>
      <c r="CJB1727" s="227"/>
      <c r="CJC1727" s="227"/>
      <c r="CJD1727" s="227"/>
      <c r="CJE1727" s="227"/>
      <c r="CJF1727" s="227"/>
      <c r="CJG1727" s="227"/>
      <c r="CJH1727" s="227"/>
      <c r="CJI1727" s="227"/>
      <c r="CJJ1727" s="227"/>
      <c r="CJK1727" s="227"/>
      <c r="CJL1727" s="227"/>
      <c r="CJM1727" s="227"/>
      <c r="CJN1727" s="227"/>
      <c r="CJO1727" s="227"/>
      <c r="CJP1727" s="227"/>
      <c r="CJQ1727" s="227"/>
      <c r="CJR1727" s="227"/>
      <c r="CJS1727" s="227"/>
      <c r="CJT1727" s="227"/>
      <c r="CJU1727" s="227"/>
      <c r="CJV1727" s="227"/>
      <c r="CJW1727" s="227"/>
      <c r="CJX1727" s="227"/>
      <c r="CJY1727" s="227"/>
      <c r="CJZ1727" s="227"/>
      <c r="CKA1727" s="227"/>
      <c r="CKB1727" s="227"/>
      <c r="CKC1727" s="227"/>
      <c r="CKD1727" s="227"/>
      <c r="CKE1727" s="227"/>
      <c r="CKF1727" s="227"/>
      <c r="CKG1727" s="227"/>
      <c r="CKH1727" s="227"/>
      <c r="CKI1727" s="227"/>
      <c r="CKJ1727" s="227"/>
      <c r="CKK1727" s="227"/>
      <c r="CKL1727" s="227"/>
      <c r="CKM1727" s="227"/>
      <c r="CKN1727" s="227"/>
      <c r="CKO1727" s="227"/>
      <c r="CKP1727" s="227"/>
      <c r="CKQ1727" s="227"/>
      <c r="CKR1727" s="227"/>
      <c r="CKS1727" s="227"/>
      <c r="CKT1727" s="227"/>
      <c r="CKU1727" s="227"/>
      <c r="CKV1727" s="227"/>
      <c r="CKW1727" s="227"/>
      <c r="CKX1727" s="227"/>
      <c r="CKY1727" s="227"/>
      <c r="CKZ1727" s="227"/>
      <c r="CLA1727" s="227"/>
      <c r="CLB1727" s="227"/>
      <c r="CLC1727" s="227"/>
      <c r="CLD1727" s="227"/>
      <c r="CLE1727" s="227"/>
      <c r="CLF1727" s="227"/>
      <c r="CLG1727" s="227"/>
      <c r="CLH1727" s="227"/>
      <c r="CLI1727" s="227"/>
      <c r="CLJ1727" s="227"/>
      <c r="CLK1727" s="227"/>
      <c r="CLL1727" s="227"/>
      <c r="CLM1727" s="227"/>
      <c r="CLN1727" s="227"/>
      <c r="CLO1727" s="227"/>
      <c r="CLP1727" s="227"/>
      <c r="CLQ1727" s="227"/>
      <c r="CLR1727" s="227"/>
      <c r="CLS1727" s="227"/>
      <c r="CLT1727" s="227"/>
      <c r="CLU1727" s="227"/>
      <c r="CLV1727" s="227"/>
      <c r="CLW1727" s="227"/>
      <c r="CLX1727" s="227"/>
      <c r="CLY1727" s="227"/>
      <c r="CLZ1727" s="227"/>
      <c r="CMA1727" s="227"/>
      <c r="CMB1727" s="227"/>
      <c r="CMC1727" s="227"/>
      <c r="CMD1727" s="227"/>
      <c r="CME1727" s="227"/>
      <c r="CMF1727" s="227"/>
      <c r="CMG1727" s="227"/>
      <c r="CMH1727" s="227"/>
      <c r="CMI1727" s="227"/>
      <c r="CMJ1727" s="227"/>
      <c r="CMK1727" s="227"/>
      <c r="CML1727" s="227"/>
      <c r="CMM1727" s="227"/>
      <c r="CMN1727" s="227"/>
      <c r="CMO1727" s="227"/>
      <c r="CMP1727" s="227"/>
      <c r="CMQ1727" s="227"/>
      <c r="CMR1727" s="227"/>
      <c r="CMS1727" s="227"/>
      <c r="CMT1727" s="227"/>
      <c r="CMU1727" s="227"/>
      <c r="CMV1727" s="227"/>
      <c r="CMW1727" s="227"/>
      <c r="CMX1727" s="227"/>
      <c r="CMY1727" s="227"/>
      <c r="CMZ1727" s="227"/>
      <c r="CNA1727" s="227"/>
      <c r="CNB1727" s="227"/>
      <c r="CNC1727" s="227"/>
      <c r="CND1727" s="227"/>
      <c r="CNE1727" s="227"/>
      <c r="CNF1727" s="227"/>
      <c r="CNG1727" s="227"/>
      <c r="CNH1727" s="227"/>
      <c r="CNI1727" s="227"/>
      <c r="CNJ1727" s="227"/>
      <c r="CNK1727" s="227"/>
      <c r="CNL1727" s="227"/>
      <c r="CNM1727" s="227"/>
      <c r="CNN1727" s="227"/>
      <c r="CNO1727" s="227"/>
      <c r="CNP1727" s="227"/>
      <c r="CNQ1727" s="227"/>
      <c r="CNR1727" s="227"/>
      <c r="CNS1727" s="227"/>
      <c r="CNT1727" s="227"/>
      <c r="CNU1727" s="227"/>
      <c r="CNV1727" s="227"/>
      <c r="CNW1727" s="227"/>
      <c r="CNX1727" s="227"/>
      <c r="CNY1727" s="227"/>
      <c r="CNZ1727" s="227"/>
      <c r="COA1727" s="227"/>
      <c r="COB1727" s="227"/>
      <c r="COC1727" s="227"/>
      <c r="COD1727" s="227"/>
      <c r="COE1727" s="227"/>
      <c r="COF1727" s="227"/>
      <c r="COG1727" s="227"/>
      <c r="COH1727" s="227"/>
      <c r="COI1727" s="227"/>
      <c r="COJ1727" s="227"/>
      <c r="COK1727" s="227"/>
      <c r="COL1727" s="227"/>
      <c r="COM1727" s="227"/>
      <c r="CON1727" s="227"/>
      <c r="COO1727" s="227"/>
      <c r="COP1727" s="227"/>
      <c r="COQ1727" s="227"/>
      <c r="COR1727" s="227"/>
      <c r="COS1727" s="227"/>
      <c r="COT1727" s="227"/>
      <c r="COU1727" s="227"/>
      <c r="COV1727" s="227"/>
      <c r="COW1727" s="227"/>
      <c r="COX1727" s="227"/>
      <c r="COY1727" s="227"/>
      <c r="COZ1727" s="227"/>
      <c r="CPA1727" s="227"/>
      <c r="CPB1727" s="227"/>
      <c r="CPC1727" s="227"/>
      <c r="CPD1727" s="227"/>
      <c r="CPE1727" s="227"/>
      <c r="CPF1727" s="227"/>
      <c r="CPG1727" s="227"/>
      <c r="CPH1727" s="227"/>
      <c r="CPI1727" s="227"/>
      <c r="CPJ1727" s="227"/>
      <c r="CPK1727" s="227"/>
      <c r="CPL1727" s="227"/>
      <c r="CPM1727" s="227"/>
      <c r="CPN1727" s="227"/>
      <c r="CPO1727" s="227"/>
      <c r="CPP1727" s="227"/>
      <c r="CPQ1727" s="227"/>
      <c r="CPR1727" s="227"/>
      <c r="CPS1727" s="227"/>
      <c r="CPT1727" s="227"/>
      <c r="CPU1727" s="227"/>
      <c r="CPV1727" s="227"/>
      <c r="CPW1727" s="227"/>
      <c r="CPX1727" s="227"/>
      <c r="CPY1727" s="227"/>
      <c r="CPZ1727" s="227"/>
      <c r="CQA1727" s="227"/>
      <c r="CQB1727" s="227"/>
      <c r="CQC1727" s="227"/>
      <c r="CQD1727" s="227"/>
      <c r="CQE1727" s="227"/>
      <c r="CQF1727" s="227"/>
      <c r="CQG1727" s="227"/>
      <c r="CQH1727" s="227"/>
      <c r="CQI1727" s="227"/>
      <c r="CQJ1727" s="227"/>
      <c r="CQK1727" s="227"/>
      <c r="CQL1727" s="227"/>
      <c r="CQM1727" s="227"/>
      <c r="CQN1727" s="227"/>
      <c r="CQO1727" s="227"/>
      <c r="CQP1727" s="227"/>
      <c r="CQQ1727" s="227"/>
      <c r="CQR1727" s="227"/>
      <c r="CQS1727" s="227"/>
      <c r="CQT1727" s="227"/>
      <c r="CQU1727" s="227"/>
      <c r="CQV1727" s="227"/>
      <c r="CQW1727" s="227"/>
      <c r="CQX1727" s="227"/>
      <c r="CQY1727" s="227"/>
      <c r="CQZ1727" s="227"/>
      <c r="CRA1727" s="227"/>
      <c r="CRB1727" s="227"/>
      <c r="CRC1727" s="227"/>
      <c r="CRD1727" s="227"/>
      <c r="CRE1727" s="227"/>
      <c r="CRF1727" s="227"/>
      <c r="CRG1727" s="227"/>
      <c r="CRH1727" s="227"/>
      <c r="CRI1727" s="227"/>
      <c r="CRJ1727" s="227"/>
      <c r="CRK1727" s="227"/>
      <c r="CRL1727" s="227"/>
      <c r="CRM1727" s="227"/>
      <c r="CRN1727" s="227"/>
      <c r="CRO1727" s="227"/>
      <c r="CRP1727" s="227"/>
      <c r="CRQ1727" s="227"/>
      <c r="CRR1727" s="227"/>
      <c r="CRS1727" s="227"/>
      <c r="CRT1727" s="227"/>
      <c r="CRU1727" s="227"/>
      <c r="CRV1727" s="227"/>
      <c r="CRW1727" s="227"/>
      <c r="CRX1727" s="227"/>
      <c r="CRY1727" s="227"/>
      <c r="CRZ1727" s="227"/>
      <c r="CSA1727" s="227"/>
      <c r="CSB1727" s="227"/>
      <c r="CSC1727" s="227"/>
      <c r="CSD1727" s="227"/>
      <c r="CSE1727" s="227"/>
      <c r="CSF1727" s="227"/>
      <c r="CSG1727" s="227"/>
      <c r="CSH1727" s="227"/>
      <c r="CSI1727" s="227"/>
      <c r="CSJ1727" s="227"/>
      <c r="CSK1727" s="227"/>
      <c r="CSL1727" s="227"/>
      <c r="CSM1727" s="227"/>
      <c r="CSN1727" s="227"/>
      <c r="CSO1727" s="227"/>
      <c r="CSP1727" s="227"/>
      <c r="CSQ1727" s="227"/>
      <c r="CSR1727" s="227"/>
      <c r="CSS1727" s="227"/>
      <c r="CST1727" s="227"/>
      <c r="CSU1727" s="227"/>
      <c r="CSV1727" s="227"/>
      <c r="CSW1727" s="227"/>
      <c r="CSX1727" s="227"/>
      <c r="CSY1727" s="227"/>
      <c r="CSZ1727" s="227"/>
      <c r="CTA1727" s="227"/>
      <c r="CTB1727" s="227"/>
      <c r="CTC1727" s="227"/>
      <c r="CTD1727" s="227"/>
      <c r="CTE1727" s="227"/>
      <c r="CTF1727" s="227"/>
      <c r="CTG1727" s="227"/>
      <c r="CTH1727" s="227"/>
      <c r="CTI1727" s="227"/>
      <c r="CTJ1727" s="227"/>
      <c r="CTK1727" s="227"/>
      <c r="CTL1727" s="227"/>
      <c r="CTM1727" s="227"/>
      <c r="CTN1727" s="227"/>
      <c r="CTO1727" s="227"/>
      <c r="CTP1727" s="227"/>
      <c r="CTQ1727" s="227"/>
      <c r="CTR1727" s="227"/>
      <c r="CTS1727" s="227"/>
      <c r="CTT1727" s="227"/>
      <c r="CTU1727" s="227"/>
      <c r="CTV1727" s="227"/>
      <c r="CTW1727" s="227"/>
      <c r="CTX1727" s="227"/>
      <c r="CTY1727" s="227"/>
      <c r="CTZ1727" s="227"/>
      <c r="CUA1727" s="227"/>
      <c r="CUB1727" s="227"/>
      <c r="CUC1727" s="227"/>
      <c r="CUD1727" s="227"/>
      <c r="CUE1727" s="227"/>
      <c r="CUF1727" s="227"/>
      <c r="CUG1727" s="227"/>
      <c r="CUH1727" s="227"/>
      <c r="CUI1727" s="227"/>
      <c r="CUJ1727" s="227"/>
      <c r="CUK1727" s="227"/>
      <c r="CUL1727" s="227"/>
      <c r="CUM1727" s="227"/>
      <c r="CUN1727" s="227"/>
      <c r="CUO1727" s="227"/>
      <c r="CUP1727" s="227"/>
      <c r="CUQ1727" s="227"/>
      <c r="CUR1727" s="227"/>
      <c r="CUS1727" s="227"/>
      <c r="CUT1727" s="227"/>
      <c r="CUU1727" s="227"/>
      <c r="CUV1727" s="227"/>
      <c r="CUW1727" s="227"/>
      <c r="CUX1727" s="227"/>
      <c r="CUY1727" s="227"/>
      <c r="CUZ1727" s="227"/>
      <c r="CVA1727" s="227"/>
      <c r="CVB1727" s="227"/>
      <c r="CVC1727" s="227"/>
      <c r="CVD1727" s="227"/>
      <c r="CVE1727" s="227"/>
      <c r="CVF1727" s="227"/>
      <c r="CVG1727" s="227"/>
      <c r="CVH1727" s="227"/>
      <c r="CVI1727" s="227"/>
      <c r="CVJ1727" s="227"/>
      <c r="CVK1727" s="227"/>
      <c r="CVL1727" s="227"/>
      <c r="CVM1727" s="227"/>
      <c r="CVN1727" s="227"/>
      <c r="CVO1727" s="227"/>
      <c r="CVP1727" s="227"/>
      <c r="CVQ1727" s="227"/>
      <c r="CVR1727" s="227"/>
      <c r="CVS1727" s="227"/>
      <c r="CVT1727" s="227"/>
      <c r="CVU1727" s="227"/>
      <c r="CVV1727" s="227"/>
      <c r="CVW1727" s="227"/>
      <c r="CVX1727" s="227"/>
      <c r="CVY1727" s="227"/>
      <c r="CVZ1727" s="227"/>
      <c r="CWA1727" s="227"/>
      <c r="CWB1727" s="227"/>
      <c r="CWC1727" s="227"/>
      <c r="CWD1727" s="227"/>
      <c r="CWE1727" s="227"/>
      <c r="CWF1727" s="227"/>
      <c r="CWG1727" s="227"/>
      <c r="CWH1727" s="227"/>
      <c r="CWI1727" s="227"/>
      <c r="CWJ1727" s="227"/>
      <c r="CWK1727" s="227"/>
      <c r="CWL1727" s="227"/>
      <c r="CWM1727" s="227"/>
      <c r="CWN1727" s="227"/>
      <c r="CWO1727" s="227"/>
      <c r="CWP1727" s="227"/>
      <c r="CWQ1727" s="227"/>
      <c r="CWR1727" s="227"/>
      <c r="CWS1727" s="227"/>
      <c r="CWT1727" s="227"/>
      <c r="CWU1727" s="227"/>
      <c r="CWV1727" s="227"/>
      <c r="CWW1727" s="227"/>
      <c r="CWX1727" s="227"/>
      <c r="CWY1727" s="227"/>
      <c r="CWZ1727" s="227"/>
      <c r="CXA1727" s="227"/>
      <c r="CXB1727" s="227"/>
      <c r="CXC1727" s="227"/>
      <c r="CXD1727" s="227"/>
      <c r="CXE1727" s="227"/>
      <c r="CXF1727" s="227"/>
      <c r="CXG1727" s="227"/>
      <c r="CXH1727" s="227"/>
      <c r="CXI1727" s="227"/>
      <c r="CXJ1727" s="227"/>
      <c r="CXK1727" s="227"/>
      <c r="CXL1727" s="227"/>
      <c r="CXM1727" s="227"/>
      <c r="CXN1727" s="227"/>
      <c r="CXO1727" s="227"/>
      <c r="CXP1727" s="227"/>
      <c r="CXQ1727" s="227"/>
      <c r="CXR1727" s="227"/>
      <c r="CXS1727" s="227"/>
      <c r="CXT1727" s="227"/>
      <c r="CXU1727" s="227"/>
      <c r="CXV1727" s="227"/>
      <c r="CXW1727" s="227"/>
      <c r="CXX1727" s="227"/>
      <c r="CXY1727" s="227"/>
      <c r="CXZ1727" s="227"/>
      <c r="CYA1727" s="227"/>
      <c r="CYB1727" s="227"/>
      <c r="CYC1727" s="227"/>
      <c r="CYD1727" s="227"/>
      <c r="CYE1727" s="227"/>
      <c r="CYF1727" s="227"/>
      <c r="CYG1727" s="227"/>
      <c r="CYH1727" s="227"/>
      <c r="CYI1727" s="227"/>
      <c r="CYJ1727" s="227"/>
      <c r="CYK1727" s="227"/>
      <c r="CYL1727" s="227"/>
      <c r="CYM1727" s="227"/>
      <c r="CYN1727" s="227"/>
      <c r="CYO1727" s="227"/>
      <c r="CYP1727" s="227"/>
      <c r="CYQ1727" s="227"/>
      <c r="CYR1727" s="227"/>
      <c r="CYS1727" s="227"/>
      <c r="CYT1727" s="227"/>
      <c r="CYU1727" s="227"/>
      <c r="CYV1727" s="227"/>
      <c r="CYW1727" s="227"/>
      <c r="CYX1727" s="227"/>
      <c r="CYY1727" s="227"/>
      <c r="CYZ1727" s="227"/>
      <c r="CZA1727" s="227"/>
      <c r="CZB1727" s="227"/>
      <c r="CZC1727" s="227"/>
      <c r="CZD1727" s="227"/>
      <c r="CZE1727" s="227"/>
      <c r="CZF1727" s="227"/>
      <c r="CZG1727" s="227"/>
      <c r="CZH1727" s="227"/>
      <c r="CZI1727" s="227"/>
      <c r="CZJ1727" s="227"/>
      <c r="CZK1727" s="227"/>
      <c r="CZL1727" s="227"/>
      <c r="CZM1727" s="227"/>
      <c r="CZN1727" s="227"/>
      <c r="CZO1727" s="227"/>
      <c r="CZP1727" s="227"/>
      <c r="CZQ1727" s="227"/>
      <c r="CZR1727" s="227"/>
      <c r="CZS1727" s="227"/>
      <c r="CZT1727" s="227"/>
      <c r="CZU1727" s="227"/>
      <c r="CZV1727" s="227"/>
      <c r="CZW1727" s="227"/>
      <c r="CZX1727" s="227"/>
      <c r="CZY1727" s="227"/>
      <c r="CZZ1727" s="227"/>
      <c r="DAA1727" s="227"/>
      <c r="DAB1727" s="227"/>
      <c r="DAC1727" s="227"/>
      <c r="DAD1727" s="227"/>
      <c r="DAE1727" s="227"/>
      <c r="DAF1727" s="227"/>
      <c r="DAG1727" s="227"/>
      <c r="DAH1727" s="227"/>
      <c r="DAI1727" s="227"/>
      <c r="DAJ1727" s="227"/>
      <c r="DAK1727" s="227"/>
      <c r="DAL1727" s="227"/>
      <c r="DAM1727" s="227"/>
      <c r="DAN1727" s="227"/>
      <c r="DAO1727" s="227"/>
      <c r="DAP1727" s="227"/>
      <c r="DAQ1727" s="227"/>
      <c r="DAR1727" s="227"/>
      <c r="DAS1727" s="227"/>
      <c r="DAT1727" s="227"/>
      <c r="DAU1727" s="227"/>
      <c r="DAV1727" s="227"/>
      <c r="DAW1727" s="227"/>
      <c r="DAX1727" s="227"/>
      <c r="DAY1727" s="227"/>
      <c r="DAZ1727" s="227"/>
      <c r="DBA1727" s="227"/>
      <c r="DBB1727" s="227"/>
      <c r="DBC1727" s="227"/>
      <c r="DBD1727" s="227"/>
      <c r="DBE1727" s="227"/>
      <c r="DBF1727" s="227"/>
      <c r="DBG1727" s="227"/>
      <c r="DBH1727" s="227"/>
      <c r="DBI1727" s="227"/>
      <c r="DBJ1727" s="227"/>
      <c r="DBK1727" s="227"/>
      <c r="DBL1727" s="227"/>
      <c r="DBM1727" s="227"/>
      <c r="DBN1727" s="227"/>
      <c r="DBO1727" s="227"/>
      <c r="DBP1727" s="227"/>
      <c r="DBQ1727" s="227"/>
      <c r="DBR1727" s="227"/>
      <c r="DBS1727" s="227"/>
      <c r="DBT1727" s="227"/>
      <c r="DBU1727" s="227"/>
      <c r="DBV1727" s="227"/>
      <c r="DBW1727" s="227"/>
      <c r="DBX1727" s="227"/>
      <c r="DBY1727" s="227"/>
      <c r="DBZ1727" s="227"/>
      <c r="DCA1727" s="227"/>
      <c r="DCB1727" s="227"/>
      <c r="DCC1727" s="227"/>
      <c r="DCD1727" s="227"/>
      <c r="DCE1727" s="227"/>
      <c r="DCF1727" s="227"/>
      <c r="DCG1727" s="227"/>
      <c r="DCH1727" s="227"/>
      <c r="DCI1727" s="227"/>
      <c r="DCJ1727" s="227"/>
      <c r="DCK1727" s="227"/>
      <c r="DCL1727" s="227"/>
      <c r="DCM1727" s="227"/>
      <c r="DCN1727" s="227"/>
      <c r="DCO1727" s="227"/>
      <c r="DCP1727" s="227"/>
      <c r="DCQ1727" s="227"/>
      <c r="DCR1727" s="227"/>
      <c r="DCS1727" s="227"/>
      <c r="DCT1727" s="227"/>
      <c r="DCU1727" s="227"/>
      <c r="DCV1727" s="227"/>
      <c r="DCW1727" s="227"/>
      <c r="DCX1727" s="227"/>
      <c r="DCY1727" s="227"/>
      <c r="DCZ1727" s="227"/>
      <c r="DDA1727" s="227"/>
      <c r="DDB1727" s="227"/>
      <c r="DDC1727" s="227"/>
      <c r="DDD1727" s="227"/>
      <c r="DDE1727" s="227"/>
      <c r="DDF1727" s="227"/>
      <c r="DDG1727" s="227"/>
      <c r="DDH1727" s="227"/>
      <c r="DDI1727" s="227"/>
      <c r="DDJ1727" s="227"/>
      <c r="DDK1727" s="227"/>
      <c r="DDL1727" s="227"/>
      <c r="DDM1727" s="227"/>
      <c r="DDN1727" s="227"/>
      <c r="DDO1727" s="227"/>
      <c r="DDP1727" s="227"/>
      <c r="DDQ1727" s="227"/>
      <c r="DDR1727" s="227"/>
      <c r="DDS1727" s="227"/>
      <c r="DDT1727" s="227"/>
      <c r="DDU1727" s="227"/>
      <c r="DDV1727" s="227"/>
      <c r="DDW1727" s="227"/>
      <c r="DDX1727" s="227"/>
      <c r="DDY1727" s="227"/>
      <c r="DDZ1727" s="227"/>
      <c r="DEA1727" s="227"/>
      <c r="DEB1727" s="227"/>
      <c r="DEC1727" s="227"/>
      <c r="DED1727" s="227"/>
      <c r="DEE1727" s="227"/>
      <c r="DEF1727" s="227"/>
      <c r="DEG1727" s="227"/>
      <c r="DEH1727" s="227"/>
      <c r="DEI1727" s="227"/>
      <c r="DEJ1727" s="227"/>
      <c r="DEK1727" s="227"/>
      <c r="DEL1727" s="227"/>
      <c r="DEM1727" s="227"/>
      <c r="DEN1727" s="227"/>
      <c r="DEO1727" s="227"/>
      <c r="DEP1727" s="227"/>
      <c r="DEQ1727" s="227"/>
      <c r="DER1727" s="227"/>
      <c r="DES1727" s="227"/>
      <c r="DET1727" s="227"/>
      <c r="DEU1727" s="227"/>
      <c r="DEV1727" s="227"/>
      <c r="DEW1727" s="227"/>
      <c r="DEX1727" s="227"/>
      <c r="DEY1727" s="227"/>
      <c r="DEZ1727" s="227"/>
      <c r="DFA1727" s="227"/>
      <c r="DFB1727" s="227"/>
      <c r="DFC1727" s="227"/>
      <c r="DFD1727" s="227"/>
      <c r="DFE1727" s="227"/>
      <c r="DFF1727" s="227"/>
      <c r="DFG1727" s="227"/>
      <c r="DFH1727" s="227"/>
      <c r="DFI1727" s="227"/>
      <c r="DFJ1727" s="227"/>
      <c r="DFK1727" s="227"/>
      <c r="DFL1727" s="227"/>
      <c r="DFM1727" s="227"/>
      <c r="DFN1727" s="227"/>
      <c r="DFO1727" s="227"/>
      <c r="DFP1727" s="227"/>
      <c r="DFQ1727" s="227"/>
      <c r="DFR1727" s="227"/>
      <c r="DFS1727" s="227"/>
      <c r="DFT1727" s="227"/>
      <c r="DFU1727" s="227"/>
      <c r="DFV1727" s="227"/>
      <c r="DFW1727" s="227"/>
      <c r="DFX1727" s="227"/>
      <c r="DFY1727" s="227"/>
      <c r="DFZ1727" s="227"/>
      <c r="DGA1727" s="227"/>
      <c r="DGB1727" s="227"/>
      <c r="DGC1727" s="227"/>
      <c r="DGD1727" s="227"/>
      <c r="DGE1727" s="227"/>
      <c r="DGF1727" s="227"/>
      <c r="DGG1727" s="227"/>
      <c r="DGH1727" s="227"/>
      <c r="DGI1727" s="227"/>
      <c r="DGJ1727" s="227"/>
      <c r="DGK1727" s="227"/>
      <c r="DGL1727" s="227"/>
      <c r="DGM1727" s="227"/>
      <c r="DGN1727" s="227"/>
      <c r="DGO1727" s="227"/>
      <c r="DGP1727" s="227"/>
      <c r="DGQ1727" s="227"/>
      <c r="DGR1727" s="227"/>
      <c r="DGS1727" s="227"/>
      <c r="DGT1727" s="227"/>
      <c r="DGU1727" s="227"/>
      <c r="DGV1727" s="227"/>
      <c r="DGW1727" s="227"/>
      <c r="DGX1727" s="227"/>
      <c r="DGY1727" s="227"/>
      <c r="DGZ1727" s="227"/>
      <c r="DHA1727" s="227"/>
      <c r="DHB1727" s="227"/>
      <c r="DHC1727" s="227"/>
      <c r="DHD1727" s="227"/>
      <c r="DHE1727" s="227"/>
      <c r="DHF1727" s="227"/>
      <c r="DHG1727" s="227"/>
      <c r="DHH1727" s="227"/>
      <c r="DHI1727" s="227"/>
      <c r="DHJ1727" s="227"/>
      <c r="DHK1727" s="227"/>
      <c r="DHL1727" s="227"/>
      <c r="DHM1727" s="227"/>
      <c r="DHN1727" s="227"/>
      <c r="DHO1727" s="227"/>
      <c r="DHP1727" s="227"/>
      <c r="DHQ1727" s="227"/>
      <c r="DHR1727" s="227"/>
      <c r="DHS1727" s="227"/>
      <c r="DHT1727" s="227"/>
      <c r="DHU1727" s="227"/>
      <c r="DHV1727" s="227"/>
      <c r="DHW1727" s="227"/>
      <c r="DHX1727" s="227"/>
      <c r="DHY1727" s="227"/>
      <c r="DHZ1727" s="227"/>
      <c r="DIA1727" s="227"/>
      <c r="DIB1727" s="227"/>
      <c r="DIC1727" s="227"/>
      <c r="DID1727" s="227"/>
      <c r="DIE1727" s="227"/>
      <c r="DIF1727" s="227"/>
      <c r="DIG1727" s="227"/>
      <c r="DIH1727" s="227"/>
      <c r="DII1727" s="227"/>
      <c r="DIJ1727" s="227"/>
      <c r="DIK1727" s="227"/>
      <c r="DIL1727" s="227"/>
      <c r="DIM1727" s="227"/>
      <c r="DIN1727" s="227"/>
      <c r="DIO1727" s="227"/>
      <c r="DIP1727" s="227"/>
      <c r="DIQ1727" s="227"/>
      <c r="DIR1727" s="227"/>
      <c r="DIS1727" s="227"/>
      <c r="DIT1727" s="227"/>
      <c r="DIU1727" s="227"/>
      <c r="DIV1727" s="227"/>
      <c r="DIW1727" s="227"/>
      <c r="DIX1727" s="227"/>
      <c r="DIY1727" s="227"/>
      <c r="DIZ1727" s="227"/>
      <c r="DJA1727" s="227"/>
      <c r="DJB1727" s="227"/>
      <c r="DJC1727" s="227"/>
      <c r="DJD1727" s="227"/>
      <c r="DJE1727" s="227"/>
      <c r="DJF1727" s="227"/>
      <c r="DJG1727" s="227"/>
      <c r="DJH1727" s="227"/>
      <c r="DJI1727" s="227"/>
      <c r="DJJ1727" s="227"/>
      <c r="DJK1727" s="227"/>
      <c r="DJL1727" s="227"/>
      <c r="DJM1727" s="227"/>
      <c r="DJN1727" s="227"/>
      <c r="DJO1727" s="227"/>
      <c r="DJP1727" s="227"/>
      <c r="DJQ1727" s="227"/>
      <c r="DJR1727" s="227"/>
      <c r="DJS1727" s="227"/>
      <c r="DJT1727" s="227"/>
      <c r="DJU1727" s="227"/>
      <c r="DJV1727" s="227"/>
      <c r="DJW1727" s="227"/>
      <c r="DJX1727" s="227"/>
      <c r="DJY1727" s="227"/>
      <c r="DJZ1727" s="227"/>
      <c r="DKA1727" s="227"/>
      <c r="DKB1727" s="227"/>
      <c r="DKC1727" s="227"/>
      <c r="DKD1727" s="227"/>
      <c r="DKE1727" s="227"/>
      <c r="DKF1727" s="227"/>
      <c r="DKG1727" s="227"/>
      <c r="DKH1727" s="227"/>
      <c r="DKI1727" s="227"/>
      <c r="DKJ1727" s="227"/>
      <c r="DKK1727" s="227"/>
      <c r="DKL1727" s="227"/>
      <c r="DKM1727" s="227"/>
      <c r="DKN1727" s="227"/>
      <c r="DKO1727" s="227"/>
      <c r="DKP1727" s="227"/>
      <c r="DKQ1727" s="227"/>
      <c r="DKR1727" s="227"/>
      <c r="DKS1727" s="227"/>
      <c r="DKT1727" s="227"/>
      <c r="DKU1727" s="227"/>
      <c r="DKV1727" s="227"/>
      <c r="DKW1727" s="227"/>
      <c r="DKX1727" s="227"/>
      <c r="DKY1727" s="227"/>
      <c r="DKZ1727" s="227"/>
      <c r="DLA1727" s="227"/>
      <c r="DLB1727" s="227"/>
      <c r="DLC1727" s="227"/>
      <c r="DLD1727" s="227"/>
      <c r="DLE1727" s="227"/>
      <c r="DLF1727" s="227"/>
      <c r="DLG1727" s="227"/>
      <c r="DLH1727" s="227"/>
      <c r="DLI1727" s="227"/>
      <c r="DLJ1727" s="227"/>
      <c r="DLK1727" s="227"/>
      <c r="DLL1727" s="227"/>
      <c r="DLM1727" s="227"/>
      <c r="DLN1727" s="227"/>
      <c r="DLO1727" s="227"/>
      <c r="DLP1727" s="227"/>
      <c r="DLQ1727" s="227"/>
      <c r="DLR1727" s="227"/>
      <c r="DLS1727" s="227"/>
      <c r="DLT1727" s="227"/>
      <c r="DLU1727" s="227"/>
      <c r="DLV1727" s="227"/>
      <c r="DLW1727" s="227"/>
      <c r="DLX1727" s="227"/>
      <c r="DLY1727" s="227"/>
      <c r="DLZ1727" s="227"/>
      <c r="DMA1727" s="227"/>
      <c r="DMB1727" s="227"/>
      <c r="DMC1727" s="227"/>
      <c r="DMD1727" s="227"/>
      <c r="DME1727" s="227"/>
      <c r="DMF1727" s="227"/>
      <c r="DMG1727" s="227"/>
      <c r="DMH1727" s="227"/>
      <c r="DMI1727" s="227"/>
      <c r="DMJ1727" s="227"/>
      <c r="DMK1727" s="227"/>
      <c r="DML1727" s="227"/>
      <c r="DMM1727" s="227"/>
      <c r="DMN1727" s="227"/>
      <c r="DMO1727" s="227"/>
      <c r="DMP1727" s="227"/>
      <c r="DMQ1727" s="227"/>
      <c r="DMR1727" s="227"/>
      <c r="DMS1727" s="227"/>
      <c r="DMT1727" s="227"/>
      <c r="DMU1727" s="227"/>
      <c r="DMV1727" s="227"/>
      <c r="DMW1727" s="227"/>
      <c r="DMX1727" s="227"/>
      <c r="DMY1727" s="227"/>
      <c r="DMZ1727" s="227"/>
      <c r="DNA1727" s="227"/>
      <c r="DNB1727" s="227"/>
      <c r="DNC1727" s="227"/>
      <c r="DND1727" s="227"/>
      <c r="DNE1727" s="227"/>
      <c r="DNF1727" s="227"/>
      <c r="DNG1727" s="227"/>
      <c r="DNH1727" s="227"/>
      <c r="DNI1727" s="227"/>
      <c r="DNJ1727" s="227"/>
      <c r="DNK1727" s="227"/>
      <c r="DNL1727" s="227"/>
      <c r="DNM1727" s="227"/>
      <c r="DNN1727" s="227"/>
      <c r="DNO1727" s="227"/>
      <c r="DNP1727" s="227"/>
      <c r="DNQ1727" s="227"/>
      <c r="DNR1727" s="227"/>
      <c r="DNS1727" s="227"/>
      <c r="DNT1727" s="227"/>
      <c r="DNU1727" s="227"/>
      <c r="DNV1727" s="227"/>
      <c r="DNW1727" s="227"/>
      <c r="DNX1727" s="227"/>
      <c r="DNY1727" s="227"/>
      <c r="DNZ1727" s="227"/>
      <c r="DOA1727" s="227"/>
      <c r="DOB1727" s="227"/>
      <c r="DOC1727" s="227"/>
      <c r="DOD1727" s="227"/>
      <c r="DOE1727" s="227"/>
      <c r="DOF1727" s="227"/>
      <c r="DOG1727" s="227"/>
      <c r="DOH1727" s="227"/>
      <c r="DOI1727" s="227"/>
      <c r="DOJ1727" s="227"/>
      <c r="DOK1727" s="227"/>
      <c r="DOL1727" s="227"/>
      <c r="DOM1727" s="227"/>
      <c r="DON1727" s="227"/>
      <c r="DOO1727" s="227"/>
      <c r="DOP1727" s="227"/>
      <c r="DOQ1727" s="227"/>
      <c r="DOR1727" s="227"/>
      <c r="DOS1727" s="227"/>
      <c r="DOT1727" s="227"/>
      <c r="DOU1727" s="227"/>
      <c r="DOV1727" s="227"/>
      <c r="DOW1727" s="227"/>
      <c r="DOX1727" s="227"/>
      <c r="DOY1727" s="227"/>
      <c r="DOZ1727" s="227"/>
      <c r="DPA1727" s="227"/>
      <c r="DPB1727" s="227"/>
      <c r="DPC1727" s="227"/>
      <c r="DPD1727" s="227"/>
      <c r="DPE1727" s="227"/>
      <c r="DPF1727" s="227"/>
      <c r="DPG1727" s="227"/>
      <c r="DPH1727" s="227"/>
      <c r="DPI1727" s="227"/>
      <c r="DPJ1727" s="227"/>
      <c r="DPK1727" s="227"/>
      <c r="DPL1727" s="227"/>
      <c r="DPM1727" s="227"/>
      <c r="DPN1727" s="227"/>
      <c r="DPO1727" s="227"/>
      <c r="DPP1727" s="227"/>
      <c r="DPQ1727" s="227"/>
      <c r="DPR1727" s="227"/>
      <c r="DPS1727" s="227"/>
      <c r="DPT1727" s="227"/>
      <c r="DPU1727" s="227"/>
      <c r="DPV1727" s="227"/>
      <c r="DPW1727" s="227"/>
      <c r="DPX1727" s="227"/>
      <c r="DPY1727" s="227"/>
      <c r="DPZ1727" s="227"/>
      <c r="DQA1727" s="227"/>
      <c r="DQB1727" s="227"/>
      <c r="DQC1727" s="227"/>
      <c r="DQD1727" s="227"/>
      <c r="DQE1727" s="227"/>
      <c r="DQF1727" s="227"/>
      <c r="DQG1727" s="227"/>
      <c r="DQH1727" s="227"/>
      <c r="DQI1727" s="227"/>
      <c r="DQJ1727" s="227"/>
      <c r="DQK1727" s="227"/>
      <c r="DQL1727" s="227"/>
      <c r="DQM1727" s="227"/>
      <c r="DQN1727" s="227"/>
      <c r="DQO1727" s="227"/>
      <c r="DQP1727" s="227"/>
      <c r="DQQ1727" s="227"/>
      <c r="DQR1727" s="227"/>
      <c r="DQS1727" s="227"/>
      <c r="DQT1727" s="227"/>
      <c r="DQU1727" s="227"/>
      <c r="DQV1727" s="227"/>
      <c r="DQW1727" s="227"/>
      <c r="DQX1727" s="227"/>
      <c r="DQY1727" s="227"/>
      <c r="DQZ1727" s="227"/>
      <c r="DRA1727" s="227"/>
      <c r="DRB1727" s="227"/>
      <c r="DRC1727" s="227"/>
      <c r="DRD1727" s="227"/>
      <c r="DRE1727" s="227"/>
      <c r="DRF1727" s="227"/>
      <c r="DRG1727" s="227"/>
      <c r="DRH1727" s="227"/>
      <c r="DRI1727" s="227"/>
      <c r="DRJ1727" s="227"/>
      <c r="DRK1727" s="227"/>
      <c r="DRL1727" s="227"/>
      <c r="DRM1727" s="227"/>
      <c r="DRN1727" s="227"/>
      <c r="DRO1727" s="227"/>
      <c r="DRP1727" s="227"/>
      <c r="DRQ1727" s="227"/>
      <c r="DRR1727" s="227"/>
      <c r="DRS1727" s="227"/>
      <c r="DRT1727" s="227"/>
      <c r="DRU1727" s="227"/>
      <c r="DRV1727" s="227"/>
      <c r="DRW1727" s="227"/>
      <c r="DRX1727" s="227"/>
      <c r="DRY1727" s="227"/>
      <c r="DRZ1727" s="227"/>
      <c r="DSA1727" s="227"/>
      <c r="DSB1727" s="227"/>
      <c r="DSC1727" s="227"/>
      <c r="DSD1727" s="227"/>
      <c r="DSE1727" s="227"/>
      <c r="DSF1727" s="227"/>
      <c r="DSG1727" s="227"/>
      <c r="DSH1727" s="227"/>
      <c r="DSI1727" s="227"/>
      <c r="DSJ1727" s="227"/>
      <c r="DSK1727" s="227"/>
      <c r="DSL1727" s="227"/>
      <c r="DSM1727" s="227"/>
      <c r="DSN1727" s="227"/>
      <c r="DSO1727" s="227"/>
      <c r="DSP1727" s="227"/>
      <c r="DSQ1727" s="227"/>
      <c r="DSR1727" s="227"/>
      <c r="DSS1727" s="227"/>
      <c r="DST1727" s="227"/>
      <c r="DSU1727" s="227"/>
      <c r="DSV1727" s="227"/>
      <c r="DSW1727" s="227"/>
      <c r="DSX1727" s="227"/>
      <c r="DSY1727" s="227"/>
      <c r="DSZ1727" s="227"/>
      <c r="DTA1727" s="227"/>
      <c r="DTB1727" s="227"/>
      <c r="DTC1727" s="227"/>
      <c r="DTD1727" s="227"/>
      <c r="DTE1727" s="227"/>
      <c r="DTF1727" s="227"/>
      <c r="DTG1727" s="227"/>
      <c r="DTH1727" s="227"/>
      <c r="DTI1727" s="227"/>
      <c r="DTJ1727" s="227"/>
      <c r="DTK1727" s="227"/>
      <c r="DTL1727" s="227"/>
      <c r="DTM1727" s="227"/>
      <c r="DTN1727" s="227"/>
      <c r="DTO1727" s="227"/>
      <c r="DTP1727" s="227"/>
      <c r="DTQ1727" s="227"/>
      <c r="DTR1727" s="227"/>
      <c r="DTS1727" s="227"/>
      <c r="DTT1727" s="227"/>
      <c r="DTU1727" s="227"/>
      <c r="DTV1727" s="227"/>
      <c r="DTW1727" s="227"/>
      <c r="DTX1727" s="227"/>
      <c r="DTY1727" s="227"/>
      <c r="DTZ1727" s="227"/>
      <c r="DUA1727" s="227"/>
      <c r="DUB1727" s="227"/>
      <c r="DUC1727" s="227"/>
      <c r="DUD1727" s="227"/>
      <c r="DUE1727" s="227"/>
      <c r="DUF1727" s="227"/>
      <c r="DUG1727" s="227"/>
      <c r="DUH1727" s="227"/>
      <c r="DUI1727" s="227"/>
      <c r="DUJ1727" s="227"/>
      <c r="DUK1727" s="227"/>
      <c r="DUL1727" s="227"/>
      <c r="DUM1727" s="227"/>
      <c r="DUN1727" s="227"/>
      <c r="DUO1727" s="227"/>
      <c r="DUP1727" s="227"/>
      <c r="DUQ1727" s="227"/>
      <c r="DUR1727" s="227"/>
      <c r="DUS1727" s="227"/>
      <c r="DUT1727" s="227"/>
      <c r="DUU1727" s="227"/>
      <c r="DUV1727" s="227"/>
      <c r="DUW1727" s="227"/>
      <c r="DUX1727" s="227"/>
      <c r="DUY1727" s="227"/>
      <c r="DUZ1727" s="227"/>
      <c r="DVA1727" s="227"/>
      <c r="DVB1727" s="227"/>
      <c r="DVC1727" s="227"/>
      <c r="DVD1727" s="227"/>
      <c r="DVE1727" s="227"/>
      <c r="DVF1727" s="227"/>
      <c r="DVG1727" s="227"/>
      <c r="DVH1727" s="227"/>
      <c r="DVI1727" s="227"/>
      <c r="DVJ1727" s="227"/>
      <c r="DVK1727" s="227"/>
      <c r="DVL1727" s="227"/>
      <c r="DVM1727" s="227"/>
      <c r="DVN1727" s="227"/>
      <c r="DVO1727" s="227"/>
      <c r="DVP1727" s="227"/>
      <c r="DVQ1727" s="227"/>
      <c r="DVR1727" s="227"/>
      <c r="DVS1727" s="227"/>
      <c r="DVT1727" s="227"/>
      <c r="DVU1727" s="227"/>
      <c r="DVV1727" s="227"/>
      <c r="DVW1727" s="227"/>
      <c r="DVX1727" s="227"/>
      <c r="DVY1727" s="227"/>
      <c r="DVZ1727" s="227"/>
      <c r="DWA1727" s="227"/>
      <c r="DWB1727" s="227"/>
      <c r="DWC1727" s="227"/>
      <c r="DWD1727" s="227"/>
      <c r="DWE1727" s="227"/>
      <c r="DWF1727" s="227"/>
      <c r="DWG1727" s="227"/>
      <c r="DWH1727" s="227"/>
      <c r="DWI1727" s="227"/>
      <c r="DWJ1727" s="227"/>
      <c r="DWK1727" s="227"/>
      <c r="DWL1727" s="227"/>
      <c r="DWM1727" s="227"/>
      <c r="DWN1727" s="227"/>
      <c r="DWO1727" s="227"/>
      <c r="DWP1727" s="227"/>
      <c r="DWQ1727" s="227"/>
      <c r="DWR1727" s="227"/>
      <c r="DWS1727" s="227"/>
      <c r="DWT1727" s="227"/>
      <c r="DWU1727" s="227"/>
      <c r="DWV1727" s="227"/>
      <c r="DWW1727" s="227"/>
      <c r="DWX1727" s="227"/>
      <c r="DWY1727" s="227"/>
      <c r="DWZ1727" s="227"/>
      <c r="DXA1727" s="227"/>
      <c r="DXB1727" s="227"/>
      <c r="DXC1727" s="227"/>
      <c r="DXD1727" s="227"/>
      <c r="DXE1727" s="227"/>
      <c r="DXF1727" s="227"/>
      <c r="DXG1727" s="227"/>
      <c r="DXH1727" s="227"/>
      <c r="DXI1727" s="227"/>
      <c r="DXJ1727" s="227"/>
      <c r="DXK1727" s="227"/>
      <c r="DXL1727" s="227"/>
      <c r="DXM1727" s="227"/>
      <c r="DXN1727" s="227"/>
      <c r="DXO1727" s="227"/>
      <c r="DXP1727" s="227"/>
      <c r="DXQ1727" s="227"/>
      <c r="DXR1727" s="227"/>
      <c r="DXS1727" s="227"/>
      <c r="DXT1727" s="227"/>
      <c r="DXU1727" s="227"/>
      <c r="DXV1727" s="227"/>
      <c r="DXW1727" s="227"/>
      <c r="DXX1727" s="227"/>
      <c r="DXY1727" s="227"/>
      <c r="DXZ1727" s="227"/>
      <c r="DYA1727" s="227"/>
      <c r="DYB1727" s="227"/>
      <c r="DYC1727" s="227"/>
      <c r="DYD1727" s="227"/>
      <c r="DYE1727" s="227"/>
      <c r="DYF1727" s="227"/>
      <c r="DYG1727" s="227"/>
      <c r="DYH1727" s="227"/>
      <c r="DYI1727" s="227"/>
      <c r="DYJ1727" s="227"/>
      <c r="DYK1727" s="227"/>
      <c r="DYL1727" s="227"/>
      <c r="DYM1727" s="227"/>
      <c r="DYN1727" s="227"/>
      <c r="DYO1727" s="227"/>
      <c r="DYP1727" s="227"/>
      <c r="DYQ1727" s="227"/>
      <c r="DYR1727" s="227"/>
      <c r="DYS1727" s="227"/>
      <c r="DYT1727" s="227"/>
      <c r="DYU1727" s="227"/>
      <c r="DYV1727" s="227"/>
      <c r="DYW1727" s="227"/>
      <c r="DYX1727" s="227"/>
      <c r="DYY1727" s="227"/>
      <c r="DYZ1727" s="227"/>
      <c r="DZA1727" s="227"/>
      <c r="DZB1727" s="227"/>
      <c r="DZC1727" s="227"/>
      <c r="DZD1727" s="227"/>
      <c r="DZE1727" s="227"/>
      <c r="DZF1727" s="227"/>
      <c r="DZG1727" s="227"/>
      <c r="DZH1727" s="227"/>
      <c r="DZI1727" s="227"/>
      <c r="DZJ1727" s="227"/>
      <c r="DZK1727" s="227"/>
      <c r="DZL1727" s="227"/>
      <c r="DZM1727" s="227"/>
      <c r="DZN1727" s="227"/>
      <c r="DZO1727" s="227"/>
      <c r="DZP1727" s="227"/>
      <c r="DZQ1727" s="227"/>
      <c r="DZR1727" s="227"/>
      <c r="DZS1727" s="227"/>
      <c r="DZT1727" s="227"/>
      <c r="DZU1727" s="227"/>
      <c r="DZV1727" s="227"/>
      <c r="DZW1727" s="227"/>
      <c r="DZX1727" s="227"/>
      <c r="DZY1727" s="227"/>
      <c r="DZZ1727" s="227"/>
      <c r="EAA1727" s="227"/>
      <c r="EAB1727" s="227"/>
      <c r="EAC1727" s="227"/>
      <c r="EAD1727" s="227"/>
      <c r="EAE1727" s="227"/>
      <c r="EAF1727" s="227"/>
      <c r="EAG1727" s="227"/>
      <c r="EAH1727" s="227"/>
      <c r="EAI1727" s="227"/>
      <c r="EAJ1727" s="227"/>
      <c r="EAK1727" s="227"/>
      <c r="EAL1727" s="227"/>
      <c r="EAM1727" s="227"/>
      <c r="EAN1727" s="227"/>
      <c r="EAO1727" s="227"/>
      <c r="EAP1727" s="227"/>
      <c r="EAQ1727" s="227"/>
      <c r="EAR1727" s="227"/>
      <c r="EAS1727" s="227"/>
      <c r="EAT1727" s="227"/>
      <c r="EAU1727" s="227"/>
      <c r="EAV1727" s="227"/>
      <c r="EAW1727" s="227"/>
      <c r="EAX1727" s="227"/>
      <c r="EAY1727" s="227"/>
      <c r="EAZ1727" s="227"/>
      <c r="EBA1727" s="227"/>
      <c r="EBB1727" s="227"/>
      <c r="EBC1727" s="227"/>
      <c r="EBD1727" s="227"/>
      <c r="EBE1727" s="227"/>
      <c r="EBF1727" s="227"/>
      <c r="EBG1727" s="227"/>
      <c r="EBH1727" s="227"/>
      <c r="EBI1727" s="227"/>
      <c r="EBJ1727" s="227"/>
      <c r="EBK1727" s="227"/>
      <c r="EBL1727" s="227"/>
      <c r="EBM1727" s="227"/>
      <c r="EBN1727" s="227"/>
      <c r="EBO1727" s="227"/>
      <c r="EBP1727" s="227"/>
      <c r="EBQ1727" s="227"/>
      <c r="EBR1727" s="227"/>
      <c r="EBS1727" s="227"/>
      <c r="EBT1727" s="227"/>
      <c r="EBU1727" s="227"/>
      <c r="EBV1727" s="227"/>
      <c r="EBW1727" s="227"/>
      <c r="EBX1727" s="227"/>
      <c r="EBY1727" s="227"/>
      <c r="EBZ1727" s="227"/>
      <c r="ECA1727" s="227"/>
      <c r="ECB1727" s="227"/>
      <c r="ECC1727" s="227"/>
      <c r="ECD1727" s="227"/>
      <c r="ECE1727" s="227"/>
      <c r="ECF1727" s="227"/>
      <c r="ECG1727" s="227"/>
      <c r="ECH1727" s="227"/>
      <c r="ECI1727" s="227"/>
      <c r="ECJ1727" s="227"/>
      <c r="ECK1727" s="227"/>
      <c r="ECL1727" s="227"/>
      <c r="ECM1727" s="227"/>
      <c r="ECN1727" s="227"/>
      <c r="ECO1727" s="227"/>
      <c r="ECP1727" s="227"/>
      <c r="ECQ1727" s="227"/>
      <c r="ECR1727" s="227"/>
      <c r="ECS1727" s="227"/>
      <c r="ECT1727" s="227"/>
      <c r="ECU1727" s="227"/>
      <c r="ECV1727" s="227"/>
      <c r="ECW1727" s="227"/>
      <c r="ECX1727" s="227"/>
      <c r="ECY1727" s="227"/>
      <c r="ECZ1727" s="227"/>
      <c r="EDA1727" s="227"/>
      <c r="EDB1727" s="227"/>
      <c r="EDC1727" s="227"/>
      <c r="EDD1727" s="227"/>
      <c r="EDE1727" s="227"/>
      <c r="EDF1727" s="227"/>
      <c r="EDG1727" s="227"/>
      <c r="EDH1727" s="227"/>
      <c r="EDI1727" s="227"/>
      <c r="EDJ1727" s="227"/>
      <c r="EDK1727" s="227"/>
      <c r="EDL1727" s="227"/>
      <c r="EDM1727" s="227"/>
      <c r="EDN1727" s="227"/>
      <c r="EDO1727" s="227"/>
      <c r="EDP1727" s="227"/>
      <c r="EDQ1727" s="227"/>
      <c r="EDR1727" s="227"/>
      <c r="EDS1727" s="227"/>
      <c r="EDT1727" s="227"/>
      <c r="EDU1727" s="227"/>
      <c r="EDV1727" s="227"/>
      <c r="EDW1727" s="227"/>
      <c r="EDX1727" s="227"/>
      <c r="EDY1727" s="227"/>
      <c r="EDZ1727" s="227"/>
      <c r="EEA1727" s="227"/>
      <c r="EEB1727" s="227"/>
      <c r="EEC1727" s="227"/>
      <c r="EED1727" s="227"/>
      <c r="EEE1727" s="227"/>
      <c r="EEF1727" s="227"/>
      <c r="EEG1727" s="227"/>
      <c r="EEH1727" s="227"/>
      <c r="EEI1727" s="227"/>
      <c r="EEJ1727" s="227"/>
      <c r="EEK1727" s="227"/>
      <c r="EEL1727" s="227"/>
      <c r="EEM1727" s="227"/>
      <c r="EEN1727" s="227"/>
      <c r="EEO1727" s="227"/>
      <c r="EEP1727" s="227"/>
      <c r="EEQ1727" s="227"/>
      <c r="EER1727" s="227"/>
      <c r="EES1727" s="227"/>
      <c r="EET1727" s="227"/>
      <c r="EEU1727" s="227"/>
      <c r="EEV1727" s="227"/>
      <c r="EEW1727" s="227"/>
      <c r="EEX1727" s="227"/>
      <c r="EEY1727" s="227"/>
      <c r="EEZ1727" s="227"/>
      <c r="EFA1727" s="227"/>
      <c r="EFB1727" s="227"/>
      <c r="EFC1727" s="227"/>
      <c r="EFD1727" s="227"/>
      <c r="EFE1727" s="227"/>
      <c r="EFF1727" s="227"/>
      <c r="EFG1727" s="227"/>
      <c r="EFH1727" s="227"/>
      <c r="EFI1727" s="227"/>
      <c r="EFJ1727" s="227"/>
      <c r="EFK1727" s="227"/>
      <c r="EFL1727" s="227"/>
      <c r="EFM1727" s="227"/>
      <c r="EFN1727" s="227"/>
      <c r="EFO1727" s="227"/>
      <c r="EFP1727" s="227"/>
      <c r="EFQ1727" s="227"/>
      <c r="EFR1727" s="227"/>
      <c r="EFS1727" s="227"/>
      <c r="EFT1727" s="227"/>
      <c r="EFU1727" s="227"/>
      <c r="EFV1727" s="227"/>
      <c r="EFW1727" s="227"/>
      <c r="EFX1727" s="227"/>
      <c r="EFY1727" s="227"/>
      <c r="EFZ1727" s="227"/>
      <c r="EGA1727" s="227"/>
      <c r="EGB1727" s="227"/>
      <c r="EGC1727" s="227"/>
      <c r="EGD1727" s="227"/>
      <c r="EGE1727" s="227"/>
      <c r="EGF1727" s="227"/>
      <c r="EGG1727" s="227"/>
      <c r="EGH1727" s="227"/>
      <c r="EGI1727" s="227"/>
      <c r="EGJ1727" s="227"/>
      <c r="EGK1727" s="227"/>
      <c r="EGL1727" s="227"/>
      <c r="EGM1727" s="227"/>
      <c r="EGN1727" s="227"/>
      <c r="EGO1727" s="227"/>
      <c r="EGP1727" s="227"/>
      <c r="EGQ1727" s="227"/>
      <c r="EGR1727" s="227"/>
      <c r="EGS1727" s="227"/>
      <c r="EGT1727" s="227"/>
      <c r="EGU1727" s="227"/>
      <c r="EGV1727" s="227"/>
      <c r="EGW1727" s="227"/>
      <c r="EGX1727" s="227"/>
      <c r="EGY1727" s="227"/>
      <c r="EGZ1727" s="227"/>
      <c r="EHA1727" s="227"/>
      <c r="EHB1727" s="227"/>
      <c r="EHC1727" s="227"/>
      <c r="EHD1727" s="227"/>
      <c r="EHE1727" s="227"/>
      <c r="EHF1727" s="227"/>
      <c r="EHG1727" s="227"/>
      <c r="EHH1727" s="227"/>
      <c r="EHI1727" s="227"/>
      <c r="EHJ1727" s="227"/>
      <c r="EHK1727" s="227"/>
      <c r="EHL1727" s="227"/>
      <c r="EHM1727" s="227"/>
      <c r="EHN1727" s="227"/>
      <c r="EHO1727" s="227"/>
      <c r="EHP1727" s="227"/>
      <c r="EHQ1727" s="227"/>
      <c r="EHR1727" s="227"/>
      <c r="EHS1727" s="227"/>
      <c r="EHT1727" s="227"/>
      <c r="EHU1727" s="227"/>
      <c r="EHV1727" s="227"/>
      <c r="EHW1727" s="227"/>
      <c r="EHX1727" s="227"/>
      <c r="EHY1727" s="227"/>
      <c r="EHZ1727" s="227"/>
      <c r="EIA1727" s="227"/>
      <c r="EIB1727" s="227"/>
      <c r="EIC1727" s="227"/>
      <c r="EID1727" s="227"/>
      <c r="EIE1727" s="227"/>
      <c r="EIF1727" s="227"/>
      <c r="EIG1727" s="227"/>
      <c r="EIH1727" s="227"/>
      <c r="EII1727" s="227"/>
      <c r="EIJ1727" s="227"/>
      <c r="EIK1727" s="227"/>
      <c r="EIL1727" s="227"/>
      <c r="EIM1727" s="227"/>
      <c r="EIN1727" s="227"/>
      <c r="EIO1727" s="227"/>
      <c r="EIP1727" s="227"/>
      <c r="EIQ1727" s="227"/>
      <c r="EIR1727" s="227"/>
      <c r="EIS1727" s="227"/>
      <c r="EIT1727" s="227"/>
      <c r="EIU1727" s="227"/>
      <c r="EIV1727" s="227"/>
      <c r="EIW1727" s="227"/>
      <c r="EIX1727" s="227"/>
      <c r="EIY1727" s="227"/>
      <c r="EIZ1727" s="227"/>
      <c r="EJA1727" s="227"/>
      <c r="EJB1727" s="227"/>
      <c r="EJC1727" s="227"/>
      <c r="EJD1727" s="227"/>
      <c r="EJE1727" s="227"/>
      <c r="EJF1727" s="227"/>
      <c r="EJG1727" s="227"/>
      <c r="EJH1727" s="227"/>
      <c r="EJI1727" s="227"/>
      <c r="EJJ1727" s="227"/>
      <c r="EJK1727" s="227"/>
      <c r="EJL1727" s="227"/>
      <c r="EJM1727" s="227"/>
      <c r="EJN1727" s="227"/>
      <c r="EJO1727" s="227"/>
      <c r="EJP1727" s="227"/>
      <c r="EJQ1727" s="227"/>
      <c r="EJR1727" s="227"/>
      <c r="EJS1727" s="227"/>
      <c r="EJT1727" s="227"/>
      <c r="EJU1727" s="227"/>
      <c r="EJV1727" s="227"/>
      <c r="EJW1727" s="227"/>
      <c r="EJX1727" s="227"/>
      <c r="EJY1727" s="227"/>
      <c r="EJZ1727" s="227"/>
      <c r="EKA1727" s="227"/>
      <c r="EKB1727" s="227"/>
      <c r="EKC1727" s="227"/>
      <c r="EKD1727" s="227"/>
      <c r="EKE1727" s="227"/>
      <c r="EKF1727" s="227"/>
      <c r="EKG1727" s="227"/>
      <c r="EKH1727" s="227"/>
      <c r="EKI1727" s="227"/>
      <c r="EKJ1727" s="227"/>
      <c r="EKK1727" s="227"/>
      <c r="EKL1727" s="227"/>
      <c r="EKM1727" s="227"/>
      <c r="EKN1727" s="227"/>
      <c r="EKO1727" s="227"/>
      <c r="EKP1727" s="227"/>
      <c r="EKQ1727" s="227"/>
      <c r="EKR1727" s="227"/>
      <c r="EKS1727" s="227"/>
      <c r="EKT1727" s="227"/>
      <c r="EKU1727" s="227"/>
      <c r="EKV1727" s="227"/>
      <c r="EKW1727" s="227"/>
      <c r="EKX1727" s="227"/>
      <c r="EKY1727" s="227"/>
      <c r="EKZ1727" s="227"/>
      <c r="ELA1727" s="227"/>
      <c r="ELB1727" s="227"/>
      <c r="ELC1727" s="227"/>
      <c r="ELD1727" s="227"/>
      <c r="ELE1727" s="227"/>
      <c r="ELF1727" s="227"/>
      <c r="ELG1727" s="227"/>
      <c r="ELH1727" s="227"/>
      <c r="ELI1727" s="227"/>
      <c r="ELJ1727" s="227"/>
      <c r="ELK1727" s="227"/>
      <c r="ELL1727" s="227"/>
      <c r="ELM1727" s="227"/>
      <c r="ELN1727" s="227"/>
      <c r="ELO1727" s="227"/>
      <c r="ELP1727" s="227"/>
      <c r="ELQ1727" s="227"/>
      <c r="ELR1727" s="227"/>
      <c r="ELS1727" s="227"/>
      <c r="ELT1727" s="227"/>
      <c r="ELU1727" s="227"/>
      <c r="ELV1727" s="227"/>
      <c r="ELW1727" s="227"/>
      <c r="ELX1727" s="227"/>
      <c r="ELY1727" s="227"/>
      <c r="ELZ1727" s="227"/>
      <c r="EMA1727" s="227"/>
      <c r="EMB1727" s="227"/>
      <c r="EMC1727" s="227"/>
      <c r="EMD1727" s="227"/>
      <c r="EME1727" s="227"/>
      <c r="EMF1727" s="227"/>
      <c r="EMG1727" s="227"/>
      <c r="EMH1727" s="227"/>
      <c r="EMI1727" s="227"/>
      <c r="EMJ1727" s="227"/>
      <c r="EMK1727" s="227"/>
      <c r="EML1727" s="227"/>
      <c r="EMM1727" s="227"/>
      <c r="EMN1727" s="227"/>
      <c r="EMO1727" s="227"/>
      <c r="EMP1727" s="227"/>
      <c r="EMQ1727" s="227"/>
      <c r="EMR1727" s="227"/>
      <c r="EMS1727" s="227"/>
      <c r="EMT1727" s="227"/>
      <c r="EMU1727" s="227"/>
      <c r="EMV1727" s="227"/>
      <c r="EMW1727" s="227"/>
      <c r="EMX1727" s="227"/>
      <c r="EMY1727" s="227"/>
      <c r="EMZ1727" s="227"/>
      <c r="ENA1727" s="227"/>
      <c r="ENB1727" s="227"/>
      <c r="ENC1727" s="227"/>
      <c r="END1727" s="227"/>
      <c r="ENE1727" s="227"/>
      <c r="ENF1727" s="227"/>
      <c r="ENG1727" s="227"/>
      <c r="ENH1727" s="227"/>
      <c r="ENI1727" s="227"/>
      <c r="ENJ1727" s="227"/>
      <c r="ENK1727" s="227"/>
      <c r="ENL1727" s="227"/>
      <c r="ENM1727" s="227"/>
      <c r="ENN1727" s="227"/>
      <c r="ENO1727" s="227"/>
      <c r="ENP1727" s="227"/>
      <c r="ENQ1727" s="227"/>
      <c r="ENR1727" s="227"/>
      <c r="ENS1727" s="227"/>
      <c r="ENT1727" s="227"/>
      <c r="ENU1727" s="227"/>
      <c r="ENV1727" s="227"/>
      <c r="ENW1727" s="227"/>
      <c r="ENX1727" s="227"/>
      <c r="ENY1727" s="227"/>
      <c r="ENZ1727" s="227"/>
      <c r="EOA1727" s="227"/>
      <c r="EOB1727" s="227"/>
      <c r="EOC1727" s="227"/>
      <c r="EOD1727" s="227"/>
      <c r="EOE1727" s="227"/>
      <c r="EOF1727" s="227"/>
      <c r="EOG1727" s="227"/>
      <c r="EOH1727" s="227"/>
      <c r="EOI1727" s="227"/>
      <c r="EOJ1727" s="227"/>
      <c r="EOK1727" s="227"/>
      <c r="EOL1727" s="227"/>
      <c r="EOM1727" s="227"/>
      <c r="EON1727" s="227"/>
      <c r="EOO1727" s="227"/>
      <c r="EOP1727" s="227"/>
      <c r="EOQ1727" s="227"/>
      <c r="EOR1727" s="227"/>
      <c r="EOS1727" s="227"/>
      <c r="EOT1727" s="227"/>
      <c r="EOU1727" s="227"/>
      <c r="EOV1727" s="227"/>
      <c r="EOW1727" s="227"/>
      <c r="EOX1727" s="227"/>
      <c r="EOY1727" s="227"/>
      <c r="EOZ1727" s="227"/>
      <c r="EPA1727" s="227"/>
      <c r="EPB1727" s="227"/>
      <c r="EPC1727" s="227"/>
      <c r="EPD1727" s="227"/>
      <c r="EPE1727" s="227"/>
      <c r="EPF1727" s="227"/>
      <c r="EPG1727" s="227"/>
      <c r="EPH1727" s="227"/>
      <c r="EPI1727" s="227"/>
      <c r="EPJ1727" s="227"/>
      <c r="EPK1727" s="227"/>
      <c r="EPL1727" s="227"/>
      <c r="EPM1727" s="227"/>
      <c r="EPN1727" s="227"/>
      <c r="EPO1727" s="227"/>
      <c r="EPP1727" s="227"/>
      <c r="EPQ1727" s="227"/>
      <c r="EPR1727" s="227"/>
      <c r="EPS1727" s="227"/>
      <c r="EPT1727" s="227"/>
      <c r="EPU1727" s="227"/>
      <c r="EPV1727" s="227"/>
      <c r="EPW1727" s="227"/>
      <c r="EPX1727" s="227"/>
      <c r="EPY1727" s="227"/>
      <c r="EPZ1727" s="227"/>
      <c r="EQA1727" s="227"/>
      <c r="EQB1727" s="227"/>
      <c r="EQC1727" s="227"/>
      <c r="EQD1727" s="227"/>
      <c r="EQE1727" s="227"/>
      <c r="EQF1727" s="227"/>
      <c r="EQG1727" s="227"/>
      <c r="EQH1727" s="227"/>
      <c r="EQI1727" s="227"/>
      <c r="EQJ1727" s="227"/>
      <c r="EQK1727" s="227"/>
      <c r="EQL1727" s="227"/>
      <c r="EQM1727" s="227"/>
      <c r="EQN1727" s="227"/>
      <c r="EQO1727" s="227"/>
      <c r="EQP1727" s="227"/>
      <c r="EQQ1727" s="227"/>
      <c r="EQR1727" s="227"/>
      <c r="EQS1727" s="227"/>
      <c r="EQT1727" s="227"/>
      <c r="EQU1727" s="227"/>
      <c r="EQV1727" s="227"/>
      <c r="EQW1727" s="227"/>
      <c r="EQX1727" s="227"/>
      <c r="EQY1727" s="227"/>
      <c r="EQZ1727" s="227"/>
      <c r="ERA1727" s="227"/>
      <c r="ERB1727" s="227"/>
      <c r="ERC1727" s="227"/>
      <c r="ERD1727" s="227"/>
      <c r="ERE1727" s="227"/>
      <c r="ERF1727" s="227"/>
      <c r="ERG1727" s="227"/>
      <c r="ERH1727" s="227"/>
      <c r="ERI1727" s="227"/>
      <c r="ERJ1727" s="227"/>
      <c r="ERK1727" s="227"/>
      <c r="ERL1727" s="227"/>
      <c r="ERM1727" s="227"/>
      <c r="ERN1727" s="227"/>
      <c r="ERO1727" s="227"/>
      <c r="ERP1727" s="227"/>
      <c r="ERQ1727" s="227"/>
      <c r="ERR1727" s="227"/>
      <c r="ERS1727" s="227"/>
      <c r="ERT1727" s="227"/>
      <c r="ERU1727" s="227"/>
      <c r="ERV1727" s="227"/>
      <c r="ERW1727" s="227"/>
      <c r="ERX1727" s="227"/>
      <c r="ERY1727" s="227"/>
      <c r="ERZ1727" s="227"/>
      <c r="ESA1727" s="227"/>
      <c r="ESB1727" s="227"/>
      <c r="ESC1727" s="227"/>
      <c r="ESD1727" s="227"/>
      <c r="ESE1727" s="227"/>
      <c r="ESF1727" s="227"/>
      <c r="ESG1727" s="227"/>
      <c r="ESH1727" s="227"/>
      <c r="ESI1727" s="227"/>
      <c r="ESJ1727" s="227"/>
      <c r="ESK1727" s="227"/>
      <c r="ESL1727" s="227"/>
      <c r="ESM1727" s="227"/>
      <c r="ESN1727" s="227"/>
      <c r="ESO1727" s="227"/>
      <c r="ESP1727" s="227"/>
      <c r="ESQ1727" s="227"/>
      <c r="ESR1727" s="227"/>
      <c r="ESS1727" s="227"/>
      <c r="EST1727" s="227"/>
      <c r="ESU1727" s="227"/>
      <c r="ESV1727" s="227"/>
      <c r="ESW1727" s="227"/>
      <c r="ESX1727" s="227"/>
      <c r="ESY1727" s="227"/>
      <c r="ESZ1727" s="227"/>
      <c r="ETA1727" s="227"/>
      <c r="ETB1727" s="227"/>
      <c r="ETC1727" s="227"/>
      <c r="ETD1727" s="227"/>
      <c r="ETE1727" s="227"/>
      <c r="ETF1727" s="227"/>
      <c r="ETG1727" s="227"/>
      <c r="ETH1727" s="227"/>
      <c r="ETI1727" s="227"/>
      <c r="ETJ1727" s="227"/>
      <c r="ETK1727" s="227"/>
      <c r="ETL1727" s="227"/>
      <c r="ETM1727" s="227"/>
      <c r="ETN1727" s="227"/>
      <c r="ETO1727" s="227"/>
      <c r="ETP1727" s="227"/>
      <c r="ETQ1727" s="227"/>
      <c r="ETR1727" s="227"/>
      <c r="ETS1727" s="227"/>
      <c r="ETT1727" s="227"/>
      <c r="ETU1727" s="227"/>
      <c r="ETV1727" s="227"/>
      <c r="ETW1727" s="227"/>
      <c r="ETX1727" s="227"/>
      <c r="ETY1727" s="227"/>
      <c r="ETZ1727" s="227"/>
      <c r="EUA1727" s="227"/>
      <c r="EUB1727" s="227"/>
      <c r="EUC1727" s="227"/>
      <c r="EUD1727" s="227"/>
      <c r="EUE1727" s="227"/>
      <c r="EUF1727" s="227"/>
      <c r="EUG1727" s="227"/>
      <c r="EUH1727" s="227"/>
      <c r="EUI1727" s="227"/>
      <c r="EUJ1727" s="227"/>
      <c r="EUK1727" s="227"/>
      <c r="EUL1727" s="227"/>
      <c r="EUM1727" s="227"/>
      <c r="EUN1727" s="227"/>
      <c r="EUO1727" s="227"/>
      <c r="EUP1727" s="227"/>
      <c r="EUQ1727" s="227"/>
      <c r="EUR1727" s="227"/>
      <c r="EUS1727" s="227"/>
      <c r="EUT1727" s="227"/>
      <c r="EUU1727" s="227"/>
      <c r="EUV1727" s="227"/>
      <c r="EUW1727" s="227"/>
      <c r="EUX1727" s="227"/>
      <c r="EUY1727" s="227"/>
      <c r="EUZ1727" s="227"/>
      <c r="EVA1727" s="227"/>
      <c r="EVB1727" s="227"/>
      <c r="EVC1727" s="227"/>
      <c r="EVD1727" s="227"/>
      <c r="EVE1727" s="227"/>
      <c r="EVF1727" s="227"/>
      <c r="EVG1727" s="227"/>
      <c r="EVH1727" s="227"/>
      <c r="EVI1727" s="227"/>
      <c r="EVJ1727" s="227"/>
      <c r="EVK1727" s="227"/>
      <c r="EVL1727" s="227"/>
      <c r="EVM1727" s="227"/>
      <c r="EVN1727" s="227"/>
      <c r="EVO1727" s="227"/>
      <c r="EVP1727" s="227"/>
      <c r="EVQ1727" s="227"/>
      <c r="EVR1727" s="227"/>
      <c r="EVS1727" s="227"/>
      <c r="EVT1727" s="227"/>
      <c r="EVU1727" s="227"/>
      <c r="EVV1727" s="227"/>
      <c r="EVW1727" s="227"/>
      <c r="EVX1727" s="227"/>
      <c r="EVY1727" s="227"/>
      <c r="EVZ1727" s="227"/>
      <c r="EWA1727" s="227"/>
      <c r="EWB1727" s="227"/>
      <c r="EWC1727" s="227"/>
      <c r="EWD1727" s="227"/>
      <c r="EWE1727" s="227"/>
      <c r="EWF1727" s="227"/>
      <c r="EWG1727" s="227"/>
      <c r="EWH1727" s="227"/>
      <c r="EWI1727" s="227"/>
      <c r="EWJ1727" s="227"/>
      <c r="EWK1727" s="227"/>
      <c r="EWL1727" s="227"/>
      <c r="EWM1727" s="227"/>
      <c r="EWN1727" s="227"/>
      <c r="EWO1727" s="227"/>
      <c r="EWP1727" s="227"/>
      <c r="EWQ1727" s="227"/>
      <c r="EWR1727" s="227"/>
      <c r="EWS1727" s="227"/>
      <c r="EWT1727" s="227"/>
      <c r="EWU1727" s="227"/>
      <c r="EWV1727" s="227"/>
      <c r="EWW1727" s="227"/>
      <c r="EWX1727" s="227"/>
      <c r="EWY1727" s="227"/>
      <c r="EWZ1727" s="227"/>
      <c r="EXA1727" s="227"/>
      <c r="EXB1727" s="227"/>
      <c r="EXC1727" s="227"/>
      <c r="EXD1727" s="227"/>
      <c r="EXE1727" s="227"/>
      <c r="EXF1727" s="227"/>
      <c r="EXG1727" s="227"/>
      <c r="EXH1727" s="227"/>
      <c r="EXI1727" s="227"/>
      <c r="EXJ1727" s="227"/>
      <c r="EXK1727" s="227"/>
      <c r="EXL1727" s="227"/>
      <c r="EXM1727" s="227"/>
      <c r="EXN1727" s="227"/>
      <c r="EXO1727" s="227"/>
      <c r="EXP1727" s="227"/>
      <c r="EXQ1727" s="227"/>
      <c r="EXR1727" s="227"/>
      <c r="EXS1727" s="227"/>
      <c r="EXT1727" s="227"/>
      <c r="EXU1727" s="227"/>
      <c r="EXV1727" s="227"/>
      <c r="EXW1727" s="227"/>
      <c r="EXX1727" s="227"/>
      <c r="EXY1727" s="227"/>
      <c r="EXZ1727" s="227"/>
      <c r="EYA1727" s="227"/>
      <c r="EYB1727" s="227"/>
      <c r="EYC1727" s="227"/>
      <c r="EYD1727" s="227"/>
      <c r="EYE1727" s="227"/>
      <c r="EYF1727" s="227"/>
      <c r="EYG1727" s="227"/>
      <c r="EYH1727" s="227"/>
      <c r="EYI1727" s="227"/>
      <c r="EYJ1727" s="227"/>
      <c r="EYK1727" s="227"/>
      <c r="EYL1727" s="227"/>
      <c r="EYM1727" s="227"/>
      <c r="EYN1727" s="227"/>
      <c r="EYO1727" s="227"/>
      <c r="EYP1727" s="227"/>
      <c r="EYQ1727" s="227"/>
      <c r="EYR1727" s="227"/>
      <c r="EYS1727" s="227"/>
      <c r="EYT1727" s="227"/>
      <c r="EYU1727" s="227"/>
      <c r="EYV1727" s="227"/>
      <c r="EYW1727" s="227"/>
      <c r="EYX1727" s="227"/>
      <c r="EYY1727" s="227"/>
      <c r="EYZ1727" s="227"/>
      <c r="EZA1727" s="227"/>
      <c r="EZB1727" s="227"/>
      <c r="EZC1727" s="227"/>
      <c r="EZD1727" s="227"/>
      <c r="EZE1727" s="227"/>
      <c r="EZF1727" s="227"/>
      <c r="EZG1727" s="227"/>
      <c r="EZH1727" s="227"/>
      <c r="EZI1727" s="227"/>
      <c r="EZJ1727" s="227"/>
      <c r="EZK1727" s="227"/>
      <c r="EZL1727" s="227"/>
      <c r="EZM1727" s="227"/>
      <c r="EZN1727" s="227"/>
      <c r="EZO1727" s="227"/>
      <c r="EZP1727" s="227"/>
      <c r="EZQ1727" s="227"/>
      <c r="EZR1727" s="227"/>
      <c r="EZS1727" s="227"/>
      <c r="EZT1727" s="227"/>
      <c r="EZU1727" s="227"/>
      <c r="EZV1727" s="227"/>
      <c r="EZW1727" s="227"/>
      <c r="EZX1727" s="227"/>
      <c r="EZY1727" s="227"/>
      <c r="EZZ1727" s="227"/>
      <c r="FAA1727" s="227"/>
      <c r="FAB1727" s="227"/>
      <c r="FAC1727" s="227"/>
      <c r="FAD1727" s="227"/>
      <c r="FAE1727" s="227"/>
      <c r="FAF1727" s="227"/>
      <c r="FAG1727" s="227"/>
      <c r="FAH1727" s="227"/>
      <c r="FAI1727" s="227"/>
      <c r="FAJ1727" s="227"/>
      <c r="FAK1727" s="227"/>
      <c r="FAL1727" s="227"/>
      <c r="FAM1727" s="227"/>
      <c r="FAN1727" s="227"/>
      <c r="FAO1727" s="227"/>
      <c r="FAP1727" s="227"/>
      <c r="FAQ1727" s="227"/>
      <c r="FAR1727" s="227"/>
      <c r="FAS1727" s="227"/>
      <c r="FAT1727" s="227"/>
      <c r="FAU1727" s="227"/>
      <c r="FAV1727" s="227"/>
      <c r="FAW1727" s="227"/>
      <c r="FAX1727" s="227"/>
      <c r="FAY1727" s="227"/>
      <c r="FAZ1727" s="227"/>
      <c r="FBA1727" s="227"/>
      <c r="FBB1727" s="227"/>
      <c r="FBC1727" s="227"/>
      <c r="FBD1727" s="227"/>
      <c r="FBE1727" s="227"/>
      <c r="FBF1727" s="227"/>
      <c r="FBG1727" s="227"/>
      <c r="FBH1727" s="227"/>
      <c r="FBI1727" s="227"/>
      <c r="FBJ1727" s="227"/>
      <c r="FBK1727" s="227"/>
      <c r="FBL1727" s="227"/>
      <c r="FBM1727" s="227"/>
      <c r="FBN1727" s="227"/>
      <c r="FBO1727" s="227"/>
      <c r="FBP1727" s="227"/>
      <c r="FBQ1727" s="227"/>
      <c r="FBR1727" s="227"/>
      <c r="FBS1727" s="227"/>
      <c r="FBT1727" s="227"/>
      <c r="FBU1727" s="227"/>
      <c r="FBV1727" s="227"/>
      <c r="FBW1727" s="227"/>
      <c r="FBX1727" s="227"/>
      <c r="FBY1727" s="227"/>
      <c r="FBZ1727" s="227"/>
      <c r="FCA1727" s="227"/>
      <c r="FCB1727" s="227"/>
      <c r="FCC1727" s="227"/>
      <c r="FCD1727" s="227"/>
      <c r="FCE1727" s="227"/>
      <c r="FCF1727" s="227"/>
      <c r="FCG1727" s="227"/>
      <c r="FCH1727" s="227"/>
      <c r="FCI1727" s="227"/>
      <c r="FCJ1727" s="227"/>
      <c r="FCK1727" s="227"/>
      <c r="FCL1727" s="227"/>
      <c r="FCM1727" s="227"/>
      <c r="FCN1727" s="227"/>
      <c r="FCO1727" s="227"/>
      <c r="FCP1727" s="227"/>
      <c r="FCQ1727" s="227"/>
      <c r="FCR1727" s="227"/>
      <c r="FCS1727" s="227"/>
      <c r="FCT1727" s="227"/>
      <c r="FCU1727" s="227"/>
      <c r="FCV1727" s="227"/>
      <c r="FCW1727" s="227"/>
      <c r="FCX1727" s="227"/>
      <c r="FCY1727" s="227"/>
      <c r="FCZ1727" s="227"/>
      <c r="FDA1727" s="227"/>
      <c r="FDB1727" s="227"/>
      <c r="FDC1727" s="227"/>
      <c r="FDD1727" s="227"/>
      <c r="FDE1727" s="227"/>
      <c r="FDF1727" s="227"/>
      <c r="FDG1727" s="227"/>
      <c r="FDH1727" s="227"/>
      <c r="FDI1727" s="227"/>
      <c r="FDJ1727" s="227"/>
      <c r="FDK1727" s="227"/>
      <c r="FDL1727" s="227"/>
      <c r="FDM1727" s="227"/>
      <c r="FDN1727" s="227"/>
      <c r="FDO1727" s="227"/>
      <c r="FDP1727" s="227"/>
      <c r="FDQ1727" s="227"/>
      <c r="FDR1727" s="227"/>
      <c r="FDS1727" s="227"/>
      <c r="FDT1727" s="227"/>
      <c r="FDU1727" s="227"/>
      <c r="FDV1727" s="227"/>
      <c r="FDW1727" s="227"/>
      <c r="FDX1727" s="227"/>
      <c r="FDY1727" s="227"/>
      <c r="FDZ1727" s="227"/>
      <c r="FEA1727" s="227"/>
      <c r="FEB1727" s="227"/>
      <c r="FEC1727" s="227"/>
      <c r="FED1727" s="227"/>
      <c r="FEE1727" s="227"/>
      <c r="FEF1727" s="227"/>
      <c r="FEG1727" s="227"/>
      <c r="FEH1727" s="227"/>
      <c r="FEI1727" s="227"/>
      <c r="FEJ1727" s="227"/>
      <c r="FEK1727" s="227"/>
      <c r="FEL1727" s="227"/>
      <c r="FEM1727" s="227"/>
      <c r="FEN1727" s="227"/>
      <c r="FEO1727" s="227"/>
      <c r="FEP1727" s="227"/>
      <c r="FEQ1727" s="227"/>
      <c r="FER1727" s="227"/>
      <c r="FES1727" s="227"/>
      <c r="FET1727" s="227"/>
      <c r="FEU1727" s="227"/>
      <c r="FEV1727" s="227"/>
      <c r="FEW1727" s="227"/>
      <c r="FEX1727" s="227"/>
      <c r="FEY1727" s="227"/>
      <c r="FEZ1727" s="227"/>
      <c r="FFA1727" s="227"/>
      <c r="FFB1727" s="227"/>
      <c r="FFC1727" s="227"/>
      <c r="FFD1727" s="227"/>
      <c r="FFE1727" s="227"/>
      <c r="FFF1727" s="227"/>
      <c r="FFG1727" s="227"/>
      <c r="FFH1727" s="227"/>
      <c r="FFI1727" s="227"/>
      <c r="FFJ1727" s="227"/>
      <c r="FFK1727" s="227"/>
      <c r="FFL1727" s="227"/>
      <c r="FFM1727" s="227"/>
      <c r="FFN1727" s="227"/>
      <c r="FFO1727" s="227"/>
      <c r="FFP1727" s="227"/>
      <c r="FFQ1727" s="227"/>
      <c r="FFR1727" s="227"/>
      <c r="FFS1727" s="227"/>
      <c r="FFT1727" s="227"/>
      <c r="FFU1727" s="227"/>
      <c r="FFV1727" s="227"/>
      <c r="FFW1727" s="227"/>
      <c r="FFX1727" s="227"/>
      <c r="FFY1727" s="227"/>
      <c r="FFZ1727" s="227"/>
      <c r="FGA1727" s="227"/>
      <c r="FGB1727" s="227"/>
      <c r="FGC1727" s="227"/>
      <c r="FGD1727" s="227"/>
      <c r="FGE1727" s="227"/>
      <c r="FGF1727" s="227"/>
      <c r="FGG1727" s="227"/>
      <c r="FGH1727" s="227"/>
      <c r="FGI1727" s="227"/>
      <c r="FGJ1727" s="227"/>
      <c r="FGK1727" s="227"/>
      <c r="FGL1727" s="227"/>
      <c r="FGM1727" s="227"/>
      <c r="FGN1727" s="227"/>
      <c r="FGO1727" s="227"/>
      <c r="FGP1727" s="227"/>
      <c r="FGQ1727" s="227"/>
      <c r="FGR1727" s="227"/>
      <c r="FGS1727" s="227"/>
      <c r="FGT1727" s="227"/>
      <c r="FGU1727" s="227"/>
      <c r="FGV1727" s="227"/>
      <c r="FGW1727" s="227"/>
      <c r="FGX1727" s="227"/>
      <c r="FGY1727" s="227"/>
      <c r="FGZ1727" s="227"/>
      <c r="FHA1727" s="227"/>
      <c r="FHB1727" s="227"/>
      <c r="FHC1727" s="227"/>
      <c r="FHD1727" s="227"/>
      <c r="FHE1727" s="227"/>
      <c r="FHF1727" s="227"/>
      <c r="FHG1727" s="227"/>
      <c r="FHH1727" s="227"/>
      <c r="FHI1727" s="227"/>
      <c r="FHJ1727" s="227"/>
      <c r="FHK1727" s="227"/>
      <c r="FHL1727" s="227"/>
      <c r="FHM1727" s="227"/>
      <c r="FHN1727" s="227"/>
      <c r="FHO1727" s="227"/>
      <c r="FHP1727" s="227"/>
      <c r="FHQ1727" s="227"/>
      <c r="FHR1727" s="227"/>
      <c r="FHS1727" s="227"/>
      <c r="FHT1727" s="227"/>
      <c r="FHU1727" s="227"/>
      <c r="FHV1727" s="227"/>
      <c r="FHW1727" s="227"/>
      <c r="FHX1727" s="227"/>
      <c r="FHY1727" s="227"/>
      <c r="FHZ1727" s="227"/>
      <c r="FIA1727" s="227"/>
      <c r="FIB1727" s="227"/>
      <c r="FIC1727" s="227"/>
      <c r="FID1727" s="227"/>
      <c r="FIE1727" s="227"/>
      <c r="FIF1727" s="227"/>
      <c r="FIG1727" s="227"/>
      <c r="FIH1727" s="227"/>
      <c r="FII1727" s="227"/>
      <c r="FIJ1727" s="227"/>
      <c r="FIK1727" s="227"/>
      <c r="FIL1727" s="227"/>
      <c r="FIM1727" s="227"/>
      <c r="FIN1727" s="227"/>
      <c r="FIO1727" s="227"/>
      <c r="FIP1727" s="227"/>
      <c r="FIQ1727" s="227"/>
      <c r="FIR1727" s="227"/>
      <c r="FIS1727" s="227"/>
      <c r="FIT1727" s="227"/>
      <c r="FIU1727" s="227"/>
      <c r="FIV1727" s="227"/>
      <c r="FIW1727" s="227"/>
      <c r="FIX1727" s="227"/>
      <c r="FIY1727" s="227"/>
      <c r="FIZ1727" s="227"/>
      <c r="FJA1727" s="227"/>
      <c r="FJB1727" s="227"/>
      <c r="FJC1727" s="227"/>
      <c r="FJD1727" s="227"/>
      <c r="FJE1727" s="227"/>
      <c r="FJF1727" s="227"/>
      <c r="FJG1727" s="227"/>
      <c r="FJH1727" s="227"/>
      <c r="FJI1727" s="227"/>
      <c r="FJJ1727" s="227"/>
      <c r="FJK1727" s="227"/>
      <c r="FJL1727" s="227"/>
      <c r="FJM1727" s="227"/>
      <c r="FJN1727" s="227"/>
      <c r="FJO1727" s="227"/>
      <c r="FJP1727" s="227"/>
      <c r="FJQ1727" s="227"/>
      <c r="FJR1727" s="227"/>
      <c r="FJS1727" s="227"/>
      <c r="FJT1727" s="227"/>
      <c r="FJU1727" s="227"/>
      <c r="FJV1727" s="227"/>
      <c r="FJW1727" s="227"/>
      <c r="FJX1727" s="227"/>
      <c r="FJY1727" s="227"/>
      <c r="FJZ1727" s="227"/>
      <c r="FKA1727" s="227"/>
      <c r="FKB1727" s="227"/>
      <c r="FKC1727" s="227"/>
      <c r="FKD1727" s="227"/>
      <c r="FKE1727" s="227"/>
      <c r="FKF1727" s="227"/>
      <c r="FKG1727" s="227"/>
      <c r="FKH1727" s="227"/>
      <c r="FKI1727" s="227"/>
      <c r="FKJ1727" s="227"/>
      <c r="FKK1727" s="227"/>
      <c r="FKL1727" s="227"/>
      <c r="FKM1727" s="227"/>
      <c r="FKN1727" s="227"/>
      <c r="FKO1727" s="227"/>
      <c r="FKP1727" s="227"/>
      <c r="FKQ1727" s="227"/>
      <c r="FKR1727" s="227"/>
      <c r="FKS1727" s="227"/>
      <c r="FKT1727" s="227"/>
      <c r="FKU1727" s="227"/>
      <c r="FKV1727" s="227"/>
      <c r="FKW1727" s="227"/>
      <c r="FKX1727" s="227"/>
      <c r="FKY1727" s="227"/>
      <c r="FKZ1727" s="227"/>
      <c r="FLA1727" s="227"/>
      <c r="FLB1727" s="227"/>
      <c r="FLC1727" s="227"/>
      <c r="FLD1727" s="227"/>
      <c r="FLE1727" s="227"/>
      <c r="FLF1727" s="227"/>
      <c r="FLG1727" s="227"/>
      <c r="FLH1727" s="227"/>
      <c r="FLI1727" s="227"/>
      <c r="FLJ1727" s="227"/>
      <c r="FLK1727" s="227"/>
      <c r="FLL1727" s="227"/>
      <c r="FLM1727" s="227"/>
      <c r="FLN1727" s="227"/>
      <c r="FLO1727" s="227"/>
      <c r="FLP1727" s="227"/>
      <c r="FLQ1727" s="227"/>
      <c r="FLR1727" s="227"/>
      <c r="FLS1727" s="227"/>
      <c r="FLT1727" s="227"/>
      <c r="FLU1727" s="227"/>
      <c r="FLV1727" s="227"/>
      <c r="FLW1727" s="227"/>
      <c r="FLX1727" s="227"/>
      <c r="FLY1727" s="227"/>
      <c r="FLZ1727" s="227"/>
      <c r="FMA1727" s="227"/>
      <c r="FMB1727" s="227"/>
      <c r="FMC1727" s="227"/>
      <c r="FMD1727" s="227"/>
      <c r="FME1727" s="227"/>
      <c r="FMF1727" s="227"/>
      <c r="FMG1727" s="227"/>
      <c r="FMH1727" s="227"/>
      <c r="FMI1727" s="227"/>
      <c r="FMJ1727" s="227"/>
      <c r="FMK1727" s="227"/>
      <c r="FML1727" s="227"/>
      <c r="FMM1727" s="227"/>
      <c r="FMN1727" s="227"/>
      <c r="FMO1727" s="227"/>
      <c r="FMP1727" s="227"/>
      <c r="FMQ1727" s="227"/>
      <c r="FMR1727" s="227"/>
      <c r="FMS1727" s="227"/>
      <c r="FMT1727" s="227"/>
      <c r="FMU1727" s="227"/>
      <c r="FMV1727" s="227"/>
      <c r="FMW1727" s="227"/>
      <c r="FMX1727" s="227"/>
      <c r="FMY1727" s="227"/>
      <c r="FMZ1727" s="227"/>
      <c r="FNA1727" s="227"/>
      <c r="FNB1727" s="227"/>
      <c r="FNC1727" s="227"/>
      <c r="FND1727" s="227"/>
      <c r="FNE1727" s="227"/>
      <c r="FNF1727" s="227"/>
      <c r="FNG1727" s="227"/>
      <c r="FNH1727" s="227"/>
      <c r="FNI1727" s="227"/>
      <c r="FNJ1727" s="227"/>
      <c r="FNK1727" s="227"/>
      <c r="FNL1727" s="227"/>
      <c r="FNM1727" s="227"/>
      <c r="FNN1727" s="227"/>
      <c r="FNO1727" s="227"/>
      <c r="FNP1727" s="227"/>
      <c r="FNQ1727" s="227"/>
      <c r="FNR1727" s="227"/>
      <c r="FNS1727" s="227"/>
      <c r="FNT1727" s="227"/>
      <c r="FNU1727" s="227"/>
      <c r="FNV1727" s="227"/>
      <c r="FNW1727" s="227"/>
      <c r="FNX1727" s="227"/>
      <c r="FNY1727" s="227"/>
      <c r="FNZ1727" s="227"/>
      <c r="FOA1727" s="227"/>
      <c r="FOB1727" s="227"/>
      <c r="FOC1727" s="227"/>
      <c r="FOD1727" s="227"/>
      <c r="FOE1727" s="227"/>
      <c r="FOF1727" s="227"/>
      <c r="FOG1727" s="227"/>
      <c r="FOH1727" s="227"/>
      <c r="FOI1727" s="227"/>
      <c r="FOJ1727" s="227"/>
      <c r="FOK1727" s="227"/>
      <c r="FOL1727" s="227"/>
      <c r="FOM1727" s="227"/>
      <c r="FON1727" s="227"/>
      <c r="FOO1727" s="227"/>
      <c r="FOP1727" s="227"/>
      <c r="FOQ1727" s="227"/>
      <c r="FOR1727" s="227"/>
      <c r="FOS1727" s="227"/>
      <c r="FOT1727" s="227"/>
      <c r="FOU1727" s="227"/>
      <c r="FOV1727" s="227"/>
      <c r="FOW1727" s="227"/>
      <c r="FOX1727" s="227"/>
      <c r="FOY1727" s="227"/>
      <c r="FOZ1727" s="227"/>
      <c r="FPA1727" s="227"/>
      <c r="FPB1727" s="227"/>
      <c r="FPC1727" s="227"/>
      <c r="FPD1727" s="227"/>
      <c r="FPE1727" s="227"/>
      <c r="FPF1727" s="227"/>
      <c r="FPG1727" s="227"/>
      <c r="FPH1727" s="227"/>
      <c r="FPI1727" s="227"/>
      <c r="FPJ1727" s="227"/>
      <c r="FPK1727" s="227"/>
      <c r="FPL1727" s="227"/>
      <c r="FPM1727" s="227"/>
      <c r="FPN1727" s="227"/>
      <c r="FPO1727" s="227"/>
      <c r="FPP1727" s="227"/>
      <c r="FPQ1727" s="227"/>
      <c r="FPR1727" s="227"/>
      <c r="FPS1727" s="227"/>
      <c r="FPT1727" s="227"/>
      <c r="FPU1727" s="227"/>
      <c r="FPV1727" s="227"/>
      <c r="FPW1727" s="227"/>
      <c r="FPX1727" s="227"/>
      <c r="FPY1727" s="227"/>
      <c r="FPZ1727" s="227"/>
      <c r="FQA1727" s="227"/>
      <c r="FQB1727" s="227"/>
      <c r="FQC1727" s="227"/>
      <c r="FQD1727" s="227"/>
      <c r="FQE1727" s="227"/>
      <c r="FQF1727" s="227"/>
      <c r="FQG1727" s="227"/>
      <c r="FQH1727" s="227"/>
      <c r="FQI1727" s="227"/>
      <c r="FQJ1727" s="227"/>
      <c r="FQK1727" s="227"/>
      <c r="FQL1727" s="227"/>
      <c r="FQM1727" s="227"/>
      <c r="FQN1727" s="227"/>
      <c r="FQO1727" s="227"/>
      <c r="FQP1727" s="227"/>
      <c r="FQQ1727" s="227"/>
      <c r="FQR1727" s="227"/>
      <c r="FQS1727" s="227"/>
      <c r="FQT1727" s="227"/>
      <c r="FQU1727" s="227"/>
      <c r="FQV1727" s="227"/>
      <c r="FQW1727" s="227"/>
      <c r="FQX1727" s="227"/>
      <c r="FQY1727" s="227"/>
      <c r="FQZ1727" s="227"/>
      <c r="FRA1727" s="227"/>
      <c r="FRB1727" s="227"/>
      <c r="FRC1727" s="227"/>
      <c r="FRD1727" s="227"/>
      <c r="FRE1727" s="227"/>
      <c r="FRF1727" s="227"/>
      <c r="FRG1727" s="227"/>
      <c r="FRH1727" s="227"/>
      <c r="FRI1727" s="227"/>
      <c r="FRJ1727" s="227"/>
      <c r="FRK1727" s="227"/>
      <c r="FRL1727" s="227"/>
      <c r="FRM1727" s="227"/>
      <c r="FRN1727" s="227"/>
      <c r="FRO1727" s="227"/>
      <c r="FRP1727" s="227"/>
      <c r="FRQ1727" s="227"/>
      <c r="FRR1727" s="227"/>
      <c r="FRS1727" s="227"/>
      <c r="FRT1727" s="227"/>
      <c r="FRU1727" s="227"/>
      <c r="FRV1727" s="227"/>
      <c r="FRW1727" s="227"/>
      <c r="FRX1727" s="227"/>
      <c r="FRY1727" s="227"/>
      <c r="FRZ1727" s="227"/>
      <c r="FSA1727" s="227"/>
      <c r="FSB1727" s="227"/>
      <c r="FSC1727" s="227"/>
      <c r="FSD1727" s="227"/>
      <c r="FSE1727" s="227"/>
      <c r="FSF1727" s="227"/>
      <c r="FSG1727" s="227"/>
      <c r="FSH1727" s="227"/>
      <c r="FSI1727" s="227"/>
      <c r="FSJ1727" s="227"/>
      <c r="FSK1727" s="227"/>
      <c r="FSL1727" s="227"/>
      <c r="FSM1727" s="227"/>
      <c r="FSN1727" s="227"/>
      <c r="FSO1727" s="227"/>
      <c r="FSP1727" s="227"/>
      <c r="FSQ1727" s="227"/>
      <c r="FSR1727" s="227"/>
      <c r="FSS1727" s="227"/>
      <c r="FST1727" s="227"/>
      <c r="FSU1727" s="227"/>
      <c r="FSV1727" s="227"/>
      <c r="FSW1727" s="227"/>
      <c r="FSX1727" s="227"/>
      <c r="FSY1727" s="227"/>
      <c r="FSZ1727" s="227"/>
      <c r="FTA1727" s="227"/>
      <c r="FTB1727" s="227"/>
      <c r="FTC1727" s="227"/>
      <c r="FTD1727" s="227"/>
      <c r="FTE1727" s="227"/>
      <c r="FTF1727" s="227"/>
      <c r="FTG1727" s="227"/>
      <c r="FTH1727" s="227"/>
      <c r="FTI1727" s="227"/>
      <c r="FTJ1727" s="227"/>
      <c r="FTK1727" s="227"/>
      <c r="FTL1727" s="227"/>
      <c r="FTM1727" s="227"/>
      <c r="FTN1727" s="227"/>
      <c r="FTO1727" s="227"/>
      <c r="FTP1727" s="227"/>
      <c r="FTQ1727" s="227"/>
      <c r="FTR1727" s="227"/>
      <c r="FTS1727" s="227"/>
      <c r="FTT1727" s="227"/>
      <c r="FTU1727" s="227"/>
      <c r="FTV1727" s="227"/>
      <c r="FTW1727" s="227"/>
      <c r="FTX1727" s="227"/>
      <c r="FTY1727" s="227"/>
      <c r="FTZ1727" s="227"/>
      <c r="FUA1727" s="227"/>
      <c r="FUB1727" s="227"/>
      <c r="FUC1727" s="227"/>
      <c r="FUD1727" s="227"/>
      <c r="FUE1727" s="227"/>
      <c r="FUF1727" s="227"/>
      <c r="FUG1727" s="227"/>
      <c r="FUH1727" s="227"/>
      <c r="FUI1727" s="227"/>
      <c r="FUJ1727" s="227"/>
      <c r="FUK1727" s="227"/>
      <c r="FUL1727" s="227"/>
      <c r="FUM1727" s="227"/>
      <c r="FUN1727" s="227"/>
      <c r="FUO1727" s="227"/>
      <c r="FUP1727" s="227"/>
      <c r="FUQ1727" s="227"/>
      <c r="FUR1727" s="227"/>
      <c r="FUS1727" s="227"/>
      <c r="FUT1727" s="227"/>
      <c r="FUU1727" s="227"/>
      <c r="FUV1727" s="227"/>
      <c r="FUW1727" s="227"/>
      <c r="FUX1727" s="227"/>
      <c r="FUY1727" s="227"/>
      <c r="FUZ1727" s="227"/>
      <c r="FVA1727" s="227"/>
      <c r="FVB1727" s="227"/>
      <c r="FVC1727" s="227"/>
      <c r="FVD1727" s="227"/>
      <c r="FVE1727" s="227"/>
      <c r="FVF1727" s="227"/>
      <c r="FVG1727" s="227"/>
      <c r="FVH1727" s="227"/>
      <c r="FVI1727" s="227"/>
      <c r="FVJ1727" s="227"/>
      <c r="FVK1727" s="227"/>
      <c r="FVL1727" s="227"/>
      <c r="FVM1727" s="227"/>
      <c r="FVN1727" s="227"/>
      <c r="FVO1727" s="227"/>
      <c r="FVP1727" s="227"/>
      <c r="FVQ1727" s="227"/>
      <c r="FVR1727" s="227"/>
      <c r="FVS1727" s="227"/>
      <c r="FVT1727" s="227"/>
      <c r="FVU1727" s="227"/>
      <c r="FVV1727" s="227"/>
      <c r="FVW1727" s="227"/>
      <c r="FVX1727" s="227"/>
      <c r="FVY1727" s="227"/>
      <c r="FVZ1727" s="227"/>
      <c r="FWA1727" s="227"/>
      <c r="FWB1727" s="227"/>
      <c r="FWC1727" s="227"/>
      <c r="FWD1727" s="227"/>
      <c r="FWE1727" s="227"/>
      <c r="FWF1727" s="227"/>
      <c r="FWG1727" s="227"/>
      <c r="FWH1727" s="227"/>
      <c r="FWI1727" s="227"/>
      <c r="FWJ1727" s="227"/>
      <c r="FWK1727" s="227"/>
      <c r="FWL1727" s="227"/>
      <c r="FWM1727" s="227"/>
      <c r="FWN1727" s="227"/>
      <c r="FWO1727" s="227"/>
      <c r="FWP1727" s="227"/>
      <c r="FWQ1727" s="227"/>
      <c r="FWR1727" s="227"/>
      <c r="FWS1727" s="227"/>
      <c r="FWT1727" s="227"/>
      <c r="FWU1727" s="227"/>
      <c r="FWV1727" s="227"/>
      <c r="FWW1727" s="227"/>
      <c r="FWX1727" s="227"/>
      <c r="FWY1727" s="227"/>
      <c r="FWZ1727" s="227"/>
      <c r="FXA1727" s="227"/>
      <c r="FXB1727" s="227"/>
      <c r="FXC1727" s="227"/>
      <c r="FXD1727" s="227"/>
      <c r="FXE1727" s="227"/>
      <c r="FXF1727" s="227"/>
      <c r="FXG1727" s="227"/>
      <c r="FXH1727" s="227"/>
      <c r="FXI1727" s="227"/>
      <c r="FXJ1727" s="227"/>
      <c r="FXK1727" s="227"/>
      <c r="FXL1727" s="227"/>
      <c r="FXM1727" s="227"/>
      <c r="FXN1727" s="227"/>
      <c r="FXO1727" s="227"/>
      <c r="FXP1727" s="227"/>
      <c r="FXQ1727" s="227"/>
      <c r="FXR1727" s="227"/>
      <c r="FXS1727" s="227"/>
      <c r="FXT1727" s="227"/>
      <c r="FXU1727" s="227"/>
      <c r="FXV1727" s="227"/>
      <c r="FXW1727" s="227"/>
      <c r="FXX1727" s="227"/>
      <c r="FXY1727" s="227"/>
      <c r="FXZ1727" s="227"/>
      <c r="FYA1727" s="227"/>
      <c r="FYB1727" s="227"/>
      <c r="FYC1727" s="227"/>
      <c r="FYD1727" s="227"/>
      <c r="FYE1727" s="227"/>
      <c r="FYF1727" s="227"/>
      <c r="FYG1727" s="227"/>
      <c r="FYH1727" s="227"/>
      <c r="FYI1727" s="227"/>
      <c r="FYJ1727" s="227"/>
      <c r="FYK1727" s="227"/>
      <c r="FYL1727" s="227"/>
      <c r="FYM1727" s="227"/>
      <c r="FYN1727" s="227"/>
      <c r="FYO1727" s="227"/>
      <c r="FYP1727" s="227"/>
      <c r="FYQ1727" s="227"/>
      <c r="FYR1727" s="227"/>
      <c r="FYS1727" s="227"/>
      <c r="FYT1727" s="227"/>
      <c r="FYU1727" s="227"/>
      <c r="FYV1727" s="227"/>
      <c r="FYW1727" s="227"/>
      <c r="FYX1727" s="227"/>
      <c r="FYY1727" s="227"/>
      <c r="FYZ1727" s="227"/>
      <c r="FZA1727" s="227"/>
      <c r="FZB1727" s="227"/>
      <c r="FZC1727" s="227"/>
      <c r="FZD1727" s="227"/>
      <c r="FZE1727" s="227"/>
      <c r="FZF1727" s="227"/>
      <c r="FZG1727" s="227"/>
      <c r="FZH1727" s="227"/>
      <c r="FZI1727" s="227"/>
      <c r="FZJ1727" s="227"/>
      <c r="FZK1727" s="227"/>
      <c r="FZL1727" s="227"/>
      <c r="FZM1727" s="227"/>
      <c r="FZN1727" s="227"/>
      <c r="FZO1727" s="227"/>
      <c r="FZP1727" s="227"/>
      <c r="FZQ1727" s="227"/>
      <c r="FZR1727" s="227"/>
      <c r="FZS1727" s="227"/>
      <c r="FZT1727" s="227"/>
      <c r="FZU1727" s="227"/>
      <c r="FZV1727" s="227"/>
      <c r="FZW1727" s="227"/>
      <c r="FZX1727" s="227"/>
      <c r="FZY1727" s="227"/>
      <c r="FZZ1727" s="227"/>
      <c r="GAA1727" s="227"/>
      <c r="GAB1727" s="227"/>
      <c r="GAC1727" s="227"/>
      <c r="GAD1727" s="227"/>
      <c r="GAE1727" s="227"/>
      <c r="GAF1727" s="227"/>
      <c r="GAG1727" s="227"/>
      <c r="GAH1727" s="227"/>
      <c r="GAI1727" s="227"/>
      <c r="GAJ1727" s="227"/>
      <c r="GAK1727" s="227"/>
      <c r="GAL1727" s="227"/>
      <c r="GAM1727" s="227"/>
      <c r="GAN1727" s="227"/>
      <c r="GAO1727" s="227"/>
      <c r="GAP1727" s="227"/>
      <c r="GAQ1727" s="227"/>
      <c r="GAR1727" s="227"/>
      <c r="GAS1727" s="227"/>
      <c r="GAT1727" s="227"/>
      <c r="GAU1727" s="227"/>
      <c r="GAV1727" s="227"/>
      <c r="GAW1727" s="227"/>
      <c r="GAX1727" s="227"/>
      <c r="GAY1727" s="227"/>
      <c r="GAZ1727" s="227"/>
      <c r="GBA1727" s="227"/>
      <c r="GBB1727" s="227"/>
      <c r="GBC1727" s="227"/>
      <c r="GBD1727" s="227"/>
      <c r="GBE1727" s="227"/>
      <c r="GBF1727" s="227"/>
      <c r="GBG1727" s="227"/>
      <c r="GBH1727" s="227"/>
      <c r="GBI1727" s="227"/>
      <c r="GBJ1727" s="227"/>
      <c r="GBK1727" s="227"/>
      <c r="GBL1727" s="227"/>
      <c r="GBM1727" s="227"/>
      <c r="GBN1727" s="227"/>
      <c r="GBO1727" s="227"/>
      <c r="GBP1727" s="227"/>
      <c r="GBQ1727" s="227"/>
      <c r="GBR1727" s="227"/>
      <c r="GBS1727" s="227"/>
      <c r="GBT1727" s="227"/>
      <c r="GBU1727" s="227"/>
      <c r="GBV1727" s="227"/>
      <c r="GBW1727" s="227"/>
      <c r="GBX1727" s="227"/>
      <c r="GBY1727" s="227"/>
      <c r="GBZ1727" s="227"/>
      <c r="GCA1727" s="227"/>
      <c r="GCB1727" s="227"/>
      <c r="GCC1727" s="227"/>
      <c r="GCD1727" s="227"/>
      <c r="GCE1727" s="227"/>
      <c r="GCF1727" s="227"/>
      <c r="GCG1727" s="227"/>
      <c r="GCH1727" s="227"/>
      <c r="GCI1727" s="227"/>
      <c r="GCJ1727" s="227"/>
      <c r="GCK1727" s="227"/>
      <c r="GCL1727" s="227"/>
      <c r="GCM1727" s="227"/>
      <c r="GCN1727" s="227"/>
      <c r="GCO1727" s="227"/>
      <c r="GCP1727" s="227"/>
      <c r="GCQ1727" s="227"/>
      <c r="GCR1727" s="227"/>
      <c r="GCS1727" s="227"/>
      <c r="GCT1727" s="227"/>
      <c r="GCU1727" s="227"/>
      <c r="GCV1727" s="227"/>
      <c r="GCW1727" s="227"/>
      <c r="GCX1727" s="227"/>
      <c r="GCY1727" s="227"/>
      <c r="GCZ1727" s="227"/>
      <c r="GDA1727" s="227"/>
      <c r="GDB1727" s="227"/>
      <c r="GDC1727" s="227"/>
      <c r="GDD1727" s="227"/>
      <c r="GDE1727" s="227"/>
      <c r="GDF1727" s="227"/>
      <c r="GDG1727" s="227"/>
      <c r="GDH1727" s="227"/>
      <c r="GDI1727" s="227"/>
      <c r="GDJ1727" s="227"/>
      <c r="GDK1727" s="227"/>
      <c r="GDL1727" s="227"/>
      <c r="GDM1727" s="227"/>
      <c r="GDN1727" s="227"/>
      <c r="GDO1727" s="227"/>
      <c r="GDP1727" s="227"/>
      <c r="GDQ1727" s="227"/>
      <c r="GDR1727" s="227"/>
      <c r="GDS1727" s="227"/>
      <c r="GDT1727" s="227"/>
      <c r="GDU1727" s="227"/>
      <c r="GDV1727" s="227"/>
      <c r="GDW1727" s="227"/>
      <c r="GDX1727" s="227"/>
      <c r="GDY1727" s="227"/>
      <c r="GDZ1727" s="227"/>
      <c r="GEA1727" s="227"/>
      <c r="GEB1727" s="227"/>
      <c r="GEC1727" s="227"/>
      <c r="GED1727" s="227"/>
      <c r="GEE1727" s="227"/>
      <c r="GEF1727" s="227"/>
      <c r="GEG1727" s="227"/>
      <c r="GEH1727" s="227"/>
      <c r="GEI1727" s="227"/>
      <c r="GEJ1727" s="227"/>
      <c r="GEK1727" s="227"/>
      <c r="GEL1727" s="227"/>
      <c r="GEM1727" s="227"/>
      <c r="GEN1727" s="227"/>
      <c r="GEO1727" s="227"/>
      <c r="GEP1727" s="227"/>
      <c r="GEQ1727" s="227"/>
      <c r="GER1727" s="227"/>
      <c r="GES1727" s="227"/>
      <c r="GET1727" s="227"/>
      <c r="GEU1727" s="227"/>
      <c r="GEV1727" s="227"/>
      <c r="GEW1727" s="227"/>
      <c r="GEX1727" s="227"/>
      <c r="GEY1727" s="227"/>
      <c r="GEZ1727" s="227"/>
      <c r="GFA1727" s="227"/>
      <c r="GFB1727" s="227"/>
      <c r="GFC1727" s="227"/>
      <c r="GFD1727" s="227"/>
      <c r="GFE1727" s="227"/>
      <c r="GFF1727" s="227"/>
      <c r="GFG1727" s="227"/>
      <c r="GFH1727" s="227"/>
      <c r="GFI1727" s="227"/>
      <c r="GFJ1727" s="227"/>
      <c r="GFK1727" s="227"/>
      <c r="GFL1727" s="227"/>
      <c r="GFM1727" s="227"/>
      <c r="GFN1727" s="227"/>
      <c r="GFO1727" s="227"/>
      <c r="GFP1727" s="227"/>
      <c r="GFQ1727" s="227"/>
      <c r="GFR1727" s="227"/>
      <c r="GFS1727" s="227"/>
      <c r="GFT1727" s="227"/>
      <c r="GFU1727" s="227"/>
      <c r="GFV1727" s="227"/>
      <c r="GFW1727" s="227"/>
      <c r="GFX1727" s="227"/>
      <c r="GFY1727" s="227"/>
      <c r="GFZ1727" s="227"/>
      <c r="GGA1727" s="227"/>
      <c r="GGB1727" s="227"/>
      <c r="GGC1727" s="227"/>
      <c r="GGD1727" s="227"/>
      <c r="GGE1727" s="227"/>
      <c r="GGF1727" s="227"/>
      <c r="GGG1727" s="227"/>
      <c r="GGH1727" s="227"/>
      <c r="GGI1727" s="227"/>
      <c r="GGJ1727" s="227"/>
      <c r="GGK1727" s="227"/>
      <c r="GGL1727" s="227"/>
      <c r="GGM1727" s="227"/>
      <c r="GGN1727" s="227"/>
      <c r="GGO1727" s="227"/>
      <c r="GGP1727" s="227"/>
      <c r="GGQ1727" s="227"/>
      <c r="GGR1727" s="227"/>
      <c r="GGS1727" s="227"/>
      <c r="GGT1727" s="227"/>
      <c r="GGU1727" s="227"/>
      <c r="GGV1727" s="227"/>
      <c r="GGW1727" s="227"/>
      <c r="GGX1727" s="227"/>
      <c r="GGY1727" s="227"/>
      <c r="GGZ1727" s="227"/>
      <c r="GHA1727" s="227"/>
      <c r="GHB1727" s="227"/>
      <c r="GHC1727" s="227"/>
      <c r="GHD1727" s="227"/>
      <c r="GHE1727" s="227"/>
      <c r="GHF1727" s="227"/>
      <c r="GHG1727" s="227"/>
      <c r="GHH1727" s="227"/>
      <c r="GHI1727" s="227"/>
      <c r="GHJ1727" s="227"/>
      <c r="GHK1727" s="227"/>
      <c r="GHL1727" s="227"/>
      <c r="GHM1727" s="227"/>
      <c r="GHN1727" s="227"/>
      <c r="GHO1727" s="227"/>
      <c r="GHP1727" s="227"/>
      <c r="GHQ1727" s="227"/>
      <c r="GHR1727" s="227"/>
      <c r="GHS1727" s="227"/>
      <c r="GHT1727" s="227"/>
      <c r="GHU1727" s="227"/>
      <c r="GHV1727" s="227"/>
      <c r="GHW1727" s="227"/>
      <c r="GHX1727" s="227"/>
      <c r="GHY1727" s="227"/>
      <c r="GHZ1727" s="227"/>
      <c r="GIA1727" s="227"/>
      <c r="GIB1727" s="227"/>
      <c r="GIC1727" s="227"/>
      <c r="GID1727" s="227"/>
      <c r="GIE1727" s="227"/>
      <c r="GIF1727" s="227"/>
      <c r="GIG1727" s="227"/>
      <c r="GIH1727" s="227"/>
      <c r="GII1727" s="227"/>
      <c r="GIJ1727" s="227"/>
      <c r="GIK1727" s="227"/>
      <c r="GIL1727" s="227"/>
      <c r="GIM1727" s="227"/>
      <c r="GIN1727" s="227"/>
      <c r="GIO1727" s="227"/>
      <c r="GIP1727" s="227"/>
      <c r="GIQ1727" s="227"/>
      <c r="GIR1727" s="227"/>
      <c r="GIS1727" s="227"/>
      <c r="GIT1727" s="227"/>
      <c r="GIU1727" s="227"/>
      <c r="GIV1727" s="227"/>
      <c r="GIW1727" s="227"/>
      <c r="GIX1727" s="227"/>
      <c r="GIY1727" s="227"/>
      <c r="GIZ1727" s="227"/>
      <c r="GJA1727" s="227"/>
      <c r="GJB1727" s="227"/>
      <c r="GJC1727" s="227"/>
      <c r="GJD1727" s="227"/>
      <c r="GJE1727" s="227"/>
      <c r="GJF1727" s="227"/>
      <c r="GJG1727" s="227"/>
      <c r="GJH1727" s="227"/>
      <c r="GJI1727" s="227"/>
      <c r="GJJ1727" s="227"/>
      <c r="GJK1727" s="227"/>
      <c r="GJL1727" s="227"/>
      <c r="GJM1727" s="227"/>
      <c r="GJN1727" s="227"/>
      <c r="GJO1727" s="227"/>
      <c r="GJP1727" s="227"/>
      <c r="GJQ1727" s="227"/>
      <c r="GJR1727" s="227"/>
      <c r="GJS1727" s="227"/>
      <c r="GJT1727" s="227"/>
      <c r="GJU1727" s="227"/>
      <c r="GJV1727" s="227"/>
      <c r="GJW1727" s="227"/>
      <c r="GJX1727" s="227"/>
      <c r="GJY1727" s="227"/>
      <c r="GJZ1727" s="227"/>
      <c r="GKA1727" s="227"/>
      <c r="GKB1727" s="227"/>
      <c r="GKC1727" s="227"/>
      <c r="GKD1727" s="227"/>
      <c r="GKE1727" s="227"/>
      <c r="GKF1727" s="227"/>
      <c r="GKG1727" s="227"/>
      <c r="GKH1727" s="227"/>
      <c r="GKI1727" s="227"/>
      <c r="GKJ1727" s="227"/>
      <c r="GKK1727" s="227"/>
      <c r="GKL1727" s="227"/>
      <c r="GKM1727" s="227"/>
      <c r="GKN1727" s="227"/>
      <c r="GKO1727" s="227"/>
      <c r="GKP1727" s="227"/>
      <c r="GKQ1727" s="227"/>
      <c r="GKR1727" s="227"/>
      <c r="GKS1727" s="227"/>
      <c r="GKT1727" s="227"/>
      <c r="GKU1727" s="227"/>
      <c r="GKV1727" s="227"/>
      <c r="GKW1727" s="227"/>
      <c r="GKX1727" s="227"/>
      <c r="GKY1727" s="227"/>
      <c r="GKZ1727" s="227"/>
      <c r="GLA1727" s="227"/>
      <c r="GLB1727" s="227"/>
      <c r="GLC1727" s="227"/>
      <c r="GLD1727" s="227"/>
      <c r="GLE1727" s="227"/>
      <c r="GLF1727" s="227"/>
      <c r="GLG1727" s="227"/>
      <c r="GLH1727" s="227"/>
      <c r="GLI1727" s="227"/>
      <c r="GLJ1727" s="227"/>
      <c r="GLK1727" s="227"/>
      <c r="GLL1727" s="227"/>
      <c r="GLM1727" s="227"/>
      <c r="GLN1727" s="227"/>
      <c r="GLO1727" s="227"/>
      <c r="GLP1727" s="227"/>
      <c r="GLQ1727" s="227"/>
      <c r="GLR1727" s="227"/>
      <c r="GLS1727" s="227"/>
      <c r="GLT1727" s="227"/>
      <c r="GLU1727" s="227"/>
      <c r="GLV1727" s="227"/>
      <c r="GLW1727" s="227"/>
      <c r="GLX1727" s="227"/>
      <c r="GLY1727" s="227"/>
      <c r="GLZ1727" s="227"/>
      <c r="GMA1727" s="227"/>
      <c r="GMB1727" s="227"/>
      <c r="GMC1727" s="227"/>
      <c r="GMD1727" s="227"/>
      <c r="GME1727" s="227"/>
      <c r="GMF1727" s="227"/>
      <c r="GMG1727" s="227"/>
      <c r="GMH1727" s="227"/>
      <c r="GMI1727" s="227"/>
      <c r="GMJ1727" s="227"/>
      <c r="GMK1727" s="227"/>
      <c r="GML1727" s="227"/>
      <c r="GMM1727" s="227"/>
      <c r="GMN1727" s="227"/>
      <c r="GMO1727" s="227"/>
      <c r="GMP1727" s="227"/>
      <c r="GMQ1727" s="227"/>
      <c r="GMR1727" s="227"/>
      <c r="GMS1727" s="227"/>
      <c r="GMT1727" s="227"/>
      <c r="GMU1727" s="227"/>
      <c r="GMV1727" s="227"/>
      <c r="GMW1727" s="227"/>
      <c r="GMX1727" s="227"/>
      <c r="GMY1727" s="227"/>
      <c r="GMZ1727" s="227"/>
      <c r="GNA1727" s="227"/>
      <c r="GNB1727" s="227"/>
      <c r="GNC1727" s="227"/>
      <c r="GND1727" s="227"/>
      <c r="GNE1727" s="227"/>
      <c r="GNF1727" s="227"/>
      <c r="GNG1727" s="227"/>
      <c r="GNH1727" s="227"/>
      <c r="GNI1727" s="227"/>
      <c r="GNJ1727" s="227"/>
      <c r="GNK1727" s="227"/>
      <c r="GNL1727" s="227"/>
      <c r="GNM1727" s="227"/>
      <c r="GNN1727" s="227"/>
      <c r="GNO1727" s="227"/>
      <c r="GNP1727" s="227"/>
      <c r="GNQ1727" s="227"/>
      <c r="GNR1727" s="227"/>
      <c r="GNS1727" s="227"/>
      <c r="GNT1727" s="227"/>
      <c r="GNU1727" s="227"/>
      <c r="GNV1727" s="227"/>
      <c r="GNW1727" s="227"/>
      <c r="GNX1727" s="227"/>
      <c r="GNY1727" s="227"/>
      <c r="GNZ1727" s="227"/>
      <c r="GOA1727" s="227"/>
      <c r="GOB1727" s="227"/>
      <c r="GOC1727" s="227"/>
      <c r="GOD1727" s="227"/>
      <c r="GOE1727" s="227"/>
      <c r="GOF1727" s="227"/>
      <c r="GOG1727" s="227"/>
      <c r="GOH1727" s="227"/>
      <c r="GOI1727" s="227"/>
      <c r="GOJ1727" s="227"/>
      <c r="GOK1727" s="227"/>
      <c r="GOL1727" s="227"/>
      <c r="GOM1727" s="227"/>
      <c r="GON1727" s="227"/>
      <c r="GOO1727" s="227"/>
      <c r="GOP1727" s="227"/>
      <c r="GOQ1727" s="227"/>
      <c r="GOR1727" s="227"/>
      <c r="GOS1727" s="227"/>
      <c r="GOT1727" s="227"/>
      <c r="GOU1727" s="227"/>
      <c r="GOV1727" s="227"/>
      <c r="GOW1727" s="227"/>
      <c r="GOX1727" s="227"/>
      <c r="GOY1727" s="227"/>
      <c r="GOZ1727" s="227"/>
      <c r="GPA1727" s="227"/>
      <c r="GPB1727" s="227"/>
      <c r="GPC1727" s="227"/>
      <c r="GPD1727" s="227"/>
      <c r="GPE1727" s="227"/>
      <c r="GPF1727" s="227"/>
      <c r="GPG1727" s="227"/>
      <c r="GPH1727" s="227"/>
      <c r="GPI1727" s="227"/>
      <c r="GPJ1727" s="227"/>
      <c r="GPK1727" s="227"/>
      <c r="GPL1727" s="227"/>
      <c r="GPM1727" s="227"/>
      <c r="GPN1727" s="227"/>
      <c r="GPO1727" s="227"/>
      <c r="GPP1727" s="227"/>
      <c r="GPQ1727" s="227"/>
      <c r="GPR1727" s="227"/>
      <c r="GPS1727" s="227"/>
      <c r="GPT1727" s="227"/>
      <c r="GPU1727" s="227"/>
      <c r="GPV1727" s="227"/>
      <c r="GPW1727" s="227"/>
      <c r="GPX1727" s="227"/>
      <c r="GPY1727" s="227"/>
      <c r="GPZ1727" s="227"/>
      <c r="GQA1727" s="227"/>
      <c r="GQB1727" s="227"/>
      <c r="GQC1727" s="227"/>
      <c r="GQD1727" s="227"/>
      <c r="GQE1727" s="227"/>
      <c r="GQF1727" s="227"/>
      <c r="GQG1727" s="227"/>
      <c r="GQH1727" s="227"/>
      <c r="GQI1727" s="227"/>
      <c r="GQJ1727" s="227"/>
      <c r="GQK1727" s="227"/>
      <c r="GQL1727" s="227"/>
      <c r="GQM1727" s="227"/>
      <c r="GQN1727" s="227"/>
      <c r="GQO1727" s="227"/>
      <c r="GQP1727" s="227"/>
      <c r="GQQ1727" s="227"/>
      <c r="GQR1727" s="227"/>
      <c r="GQS1727" s="227"/>
      <c r="GQT1727" s="227"/>
      <c r="GQU1727" s="227"/>
      <c r="GQV1727" s="227"/>
      <c r="GQW1727" s="227"/>
      <c r="GQX1727" s="227"/>
      <c r="GQY1727" s="227"/>
      <c r="GQZ1727" s="227"/>
      <c r="GRA1727" s="227"/>
      <c r="GRB1727" s="227"/>
      <c r="GRC1727" s="227"/>
      <c r="GRD1727" s="227"/>
      <c r="GRE1727" s="227"/>
      <c r="GRF1727" s="227"/>
      <c r="GRG1727" s="227"/>
      <c r="GRH1727" s="227"/>
      <c r="GRI1727" s="227"/>
      <c r="GRJ1727" s="227"/>
      <c r="GRK1727" s="227"/>
      <c r="GRL1727" s="227"/>
      <c r="GRM1727" s="227"/>
      <c r="GRN1727" s="227"/>
      <c r="GRO1727" s="227"/>
      <c r="GRP1727" s="227"/>
      <c r="GRQ1727" s="227"/>
      <c r="GRR1727" s="227"/>
      <c r="GRS1727" s="227"/>
      <c r="GRT1727" s="227"/>
      <c r="GRU1727" s="227"/>
      <c r="GRV1727" s="227"/>
      <c r="GRW1727" s="227"/>
      <c r="GRX1727" s="227"/>
      <c r="GRY1727" s="227"/>
      <c r="GRZ1727" s="227"/>
      <c r="GSA1727" s="227"/>
      <c r="GSB1727" s="227"/>
      <c r="GSC1727" s="227"/>
      <c r="GSD1727" s="227"/>
      <c r="GSE1727" s="227"/>
      <c r="GSF1727" s="227"/>
      <c r="GSG1727" s="227"/>
      <c r="GSH1727" s="227"/>
      <c r="GSI1727" s="227"/>
      <c r="GSJ1727" s="227"/>
      <c r="GSK1727" s="227"/>
      <c r="GSL1727" s="227"/>
      <c r="GSM1727" s="227"/>
      <c r="GSN1727" s="227"/>
      <c r="GSO1727" s="227"/>
      <c r="GSP1727" s="227"/>
      <c r="GSQ1727" s="227"/>
      <c r="GSR1727" s="227"/>
      <c r="GSS1727" s="227"/>
      <c r="GST1727" s="227"/>
      <c r="GSU1727" s="227"/>
      <c r="GSV1727" s="227"/>
      <c r="GSW1727" s="227"/>
      <c r="GSX1727" s="227"/>
      <c r="GSY1727" s="227"/>
      <c r="GSZ1727" s="227"/>
      <c r="GTA1727" s="227"/>
      <c r="GTB1727" s="227"/>
      <c r="GTC1727" s="227"/>
      <c r="GTD1727" s="227"/>
      <c r="GTE1727" s="227"/>
      <c r="GTF1727" s="227"/>
      <c r="GTG1727" s="227"/>
      <c r="GTH1727" s="227"/>
      <c r="GTI1727" s="227"/>
      <c r="GTJ1727" s="227"/>
      <c r="GTK1727" s="227"/>
      <c r="GTL1727" s="227"/>
      <c r="GTM1727" s="227"/>
      <c r="GTN1727" s="227"/>
      <c r="GTO1727" s="227"/>
      <c r="GTP1727" s="227"/>
      <c r="GTQ1727" s="227"/>
      <c r="GTR1727" s="227"/>
      <c r="GTS1727" s="227"/>
      <c r="GTT1727" s="227"/>
      <c r="GTU1727" s="227"/>
      <c r="GTV1727" s="227"/>
      <c r="GTW1727" s="227"/>
      <c r="GTX1727" s="227"/>
      <c r="GTY1727" s="227"/>
      <c r="GTZ1727" s="227"/>
      <c r="GUA1727" s="227"/>
      <c r="GUB1727" s="227"/>
      <c r="GUC1727" s="227"/>
      <c r="GUD1727" s="227"/>
      <c r="GUE1727" s="227"/>
      <c r="GUF1727" s="227"/>
      <c r="GUG1727" s="227"/>
      <c r="GUH1727" s="227"/>
      <c r="GUI1727" s="227"/>
      <c r="GUJ1727" s="227"/>
      <c r="GUK1727" s="227"/>
      <c r="GUL1727" s="227"/>
      <c r="GUM1727" s="227"/>
      <c r="GUN1727" s="227"/>
      <c r="GUO1727" s="227"/>
      <c r="GUP1727" s="227"/>
      <c r="GUQ1727" s="227"/>
      <c r="GUR1727" s="227"/>
      <c r="GUS1727" s="227"/>
      <c r="GUT1727" s="227"/>
      <c r="GUU1727" s="227"/>
      <c r="GUV1727" s="227"/>
      <c r="GUW1727" s="227"/>
      <c r="GUX1727" s="227"/>
      <c r="GUY1727" s="227"/>
      <c r="GUZ1727" s="227"/>
      <c r="GVA1727" s="227"/>
      <c r="GVB1727" s="227"/>
      <c r="GVC1727" s="227"/>
      <c r="GVD1727" s="227"/>
      <c r="GVE1727" s="227"/>
      <c r="GVF1727" s="227"/>
      <c r="GVG1727" s="227"/>
      <c r="GVH1727" s="227"/>
      <c r="GVI1727" s="227"/>
      <c r="GVJ1727" s="227"/>
      <c r="GVK1727" s="227"/>
      <c r="GVL1727" s="227"/>
      <c r="GVM1727" s="227"/>
      <c r="GVN1727" s="227"/>
      <c r="GVO1727" s="227"/>
      <c r="GVP1727" s="227"/>
      <c r="GVQ1727" s="227"/>
      <c r="GVR1727" s="227"/>
      <c r="GVS1727" s="227"/>
      <c r="GVT1727" s="227"/>
      <c r="GVU1727" s="227"/>
      <c r="GVV1727" s="227"/>
      <c r="GVW1727" s="227"/>
      <c r="GVX1727" s="227"/>
      <c r="GVY1727" s="227"/>
      <c r="GVZ1727" s="227"/>
      <c r="GWA1727" s="227"/>
      <c r="GWB1727" s="227"/>
      <c r="GWC1727" s="227"/>
      <c r="GWD1727" s="227"/>
      <c r="GWE1727" s="227"/>
      <c r="GWF1727" s="227"/>
      <c r="GWG1727" s="227"/>
      <c r="GWH1727" s="227"/>
      <c r="GWI1727" s="227"/>
      <c r="GWJ1727" s="227"/>
      <c r="GWK1727" s="227"/>
      <c r="GWL1727" s="227"/>
      <c r="GWM1727" s="227"/>
      <c r="GWN1727" s="227"/>
      <c r="GWO1727" s="227"/>
      <c r="GWP1727" s="227"/>
      <c r="GWQ1727" s="227"/>
      <c r="GWR1727" s="227"/>
      <c r="GWS1727" s="227"/>
      <c r="GWT1727" s="227"/>
      <c r="GWU1727" s="227"/>
      <c r="GWV1727" s="227"/>
      <c r="GWW1727" s="227"/>
      <c r="GWX1727" s="227"/>
      <c r="GWY1727" s="227"/>
      <c r="GWZ1727" s="227"/>
      <c r="GXA1727" s="227"/>
      <c r="GXB1727" s="227"/>
      <c r="GXC1727" s="227"/>
      <c r="GXD1727" s="227"/>
      <c r="GXE1727" s="227"/>
      <c r="GXF1727" s="227"/>
      <c r="GXG1727" s="227"/>
      <c r="GXH1727" s="227"/>
      <c r="GXI1727" s="227"/>
      <c r="GXJ1727" s="227"/>
      <c r="GXK1727" s="227"/>
      <c r="GXL1727" s="227"/>
      <c r="GXM1727" s="227"/>
      <c r="GXN1727" s="227"/>
      <c r="GXO1727" s="227"/>
      <c r="GXP1727" s="227"/>
      <c r="GXQ1727" s="227"/>
      <c r="GXR1727" s="227"/>
      <c r="GXS1727" s="227"/>
      <c r="GXT1727" s="227"/>
      <c r="GXU1727" s="227"/>
      <c r="GXV1727" s="227"/>
      <c r="GXW1727" s="227"/>
      <c r="GXX1727" s="227"/>
      <c r="GXY1727" s="227"/>
      <c r="GXZ1727" s="227"/>
      <c r="GYA1727" s="227"/>
      <c r="GYB1727" s="227"/>
      <c r="GYC1727" s="227"/>
      <c r="GYD1727" s="227"/>
      <c r="GYE1727" s="227"/>
      <c r="GYF1727" s="227"/>
      <c r="GYG1727" s="227"/>
      <c r="GYH1727" s="227"/>
      <c r="GYI1727" s="227"/>
      <c r="GYJ1727" s="227"/>
      <c r="GYK1727" s="227"/>
      <c r="GYL1727" s="227"/>
      <c r="GYM1727" s="227"/>
      <c r="GYN1727" s="227"/>
      <c r="GYO1727" s="227"/>
      <c r="GYP1727" s="227"/>
      <c r="GYQ1727" s="227"/>
      <c r="GYR1727" s="227"/>
      <c r="GYS1727" s="227"/>
      <c r="GYT1727" s="227"/>
      <c r="GYU1727" s="227"/>
      <c r="GYV1727" s="227"/>
      <c r="GYW1727" s="227"/>
      <c r="GYX1727" s="227"/>
      <c r="GYY1727" s="227"/>
      <c r="GYZ1727" s="227"/>
      <c r="GZA1727" s="227"/>
      <c r="GZB1727" s="227"/>
      <c r="GZC1727" s="227"/>
      <c r="GZD1727" s="227"/>
      <c r="GZE1727" s="227"/>
      <c r="GZF1727" s="227"/>
      <c r="GZG1727" s="227"/>
      <c r="GZH1727" s="227"/>
      <c r="GZI1727" s="227"/>
      <c r="GZJ1727" s="227"/>
      <c r="GZK1727" s="227"/>
      <c r="GZL1727" s="227"/>
      <c r="GZM1727" s="227"/>
      <c r="GZN1727" s="227"/>
      <c r="GZO1727" s="227"/>
      <c r="GZP1727" s="227"/>
      <c r="GZQ1727" s="227"/>
      <c r="GZR1727" s="227"/>
      <c r="GZS1727" s="227"/>
      <c r="GZT1727" s="227"/>
      <c r="GZU1727" s="227"/>
      <c r="GZV1727" s="227"/>
      <c r="GZW1727" s="227"/>
      <c r="GZX1727" s="227"/>
      <c r="GZY1727" s="227"/>
      <c r="GZZ1727" s="227"/>
      <c r="HAA1727" s="227"/>
      <c r="HAB1727" s="227"/>
      <c r="HAC1727" s="227"/>
      <c r="HAD1727" s="227"/>
      <c r="HAE1727" s="227"/>
      <c r="HAF1727" s="227"/>
      <c r="HAG1727" s="227"/>
      <c r="HAH1727" s="227"/>
      <c r="HAI1727" s="227"/>
      <c r="HAJ1727" s="227"/>
      <c r="HAK1727" s="227"/>
      <c r="HAL1727" s="227"/>
      <c r="HAM1727" s="227"/>
      <c r="HAN1727" s="227"/>
      <c r="HAO1727" s="227"/>
      <c r="HAP1727" s="227"/>
      <c r="HAQ1727" s="227"/>
      <c r="HAR1727" s="227"/>
      <c r="HAS1727" s="227"/>
      <c r="HAT1727" s="227"/>
      <c r="HAU1727" s="227"/>
      <c r="HAV1727" s="227"/>
      <c r="HAW1727" s="227"/>
      <c r="HAX1727" s="227"/>
      <c r="HAY1727" s="227"/>
      <c r="HAZ1727" s="227"/>
      <c r="HBA1727" s="227"/>
      <c r="HBB1727" s="227"/>
      <c r="HBC1727" s="227"/>
      <c r="HBD1727" s="227"/>
      <c r="HBE1727" s="227"/>
      <c r="HBF1727" s="227"/>
      <c r="HBG1727" s="227"/>
      <c r="HBH1727" s="227"/>
      <c r="HBI1727" s="227"/>
      <c r="HBJ1727" s="227"/>
      <c r="HBK1727" s="227"/>
      <c r="HBL1727" s="227"/>
      <c r="HBM1727" s="227"/>
      <c r="HBN1727" s="227"/>
      <c r="HBO1727" s="227"/>
      <c r="HBP1727" s="227"/>
      <c r="HBQ1727" s="227"/>
      <c r="HBR1727" s="227"/>
      <c r="HBS1727" s="227"/>
      <c r="HBT1727" s="227"/>
      <c r="HBU1727" s="227"/>
      <c r="HBV1727" s="227"/>
      <c r="HBW1727" s="227"/>
      <c r="HBX1727" s="227"/>
      <c r="HBY1727" s="227"/>
      <c r="HBZ1727" s="227"/>
      <c r="HCA1727" s="227"/>
      <c r="HCB1727" s="227"/>
      <c r="HCC1727" s="227"/>
      <c r="HCD1727" s="227"/>
      <c r="HCE1727" s="227"/>
      <c r="HCF1727" s="227"/>
      <c r="HCG1727" s="227"/>
      <c r="HCH1727" s="227"/>
      <c r="HCI1727" s="227"/>
      <c r="HCJ1727" s="227"/>
      <c r="HCK1727" s="227"/>
      <c r="HCL1727" s="227"/>
      <c r="HCM1727" s="227"/>
      <c r="HCN1727" s="227"/>
      <c r="HCO1727" s="227"/>
      <c r="HCP1727" s="227"/>
      <c r="HCQ1727" s="227"/>
      <c r="HCR1727" s="227"/>
      <c r="HCS1727" s="227"/>
      <c r="HCT1727" s="227"/>
      <c r="HCU1727" s="227"/>
      <c r="HCV1727" s="227"/>
      <c r="HCW1727" s="227"/>
      <c r="HCX1727" s="227"/>
      <c r="HCY1727" s="227"/>
      <c r="HCZ1727" s="227"/>
      <c r="HDA1727" s="227"/>
      <c r="HDB1727" s="227"/>
      <c r="HDC1727" s="227"/>
      <c r="HDD1727" s="227"/>
      <c r="HDE1727" s="227"/>
      <c r="HDF1727" s="227"/>
      <c r="HDG1727" s="227"/>
      <c r="HDH1727" s="227"/>
      <c r="HDI1727" s="227"/>
      <c r="HDJ1727" s="227"/>
      <c r="HDK1727" s="227"/>
      <c r="HDL1727" s="227"/>
      <c r="HDM1727" s="227"/>
      <c r="HDN1727" s="227"/>
      <c r="HDO1727" s="227"/>
      <c r="HDP1727" s="227"/>
      <c r="HDQ1727" s="227"/>
      <c r="HDR1727" s="227"/>
      <c r="HDS1727" s="227"/>
      <c r="HDT1727" s="227"/>
      <c r="HDU1727" s="227"/>
      <c r="HDV1727" s="227"/>
      <c r="HDW1727" s="227"/>
      <c r="HDX1727" s="227"/>
      <c r="HDY1727" s="227"/>
      <c r="HDZ1727" s="227"/>
      <c r="HEA1727" s="227"/>
      <c r="HEB1727" s="227"/>
      <c r="HEC1727" s="227"/>
      <c r="HED1727" s="227"/>
      <c r="HEE1727" s="227"/>
      <c r="HEF1727" s="227"/>
      <c r="HEG1727" s="227"/>
      <c r="HEH1727" s="227"/>
      <c r="HEI1727" s="227"/>
      <c r="HEJ1727" s="227"/>
      <c r="HEK1727" s="227"/>
      <c r="HEL1727" s="227"/>
      <c r="HEM1727" s="227"/>
      <c r="HEN1727" s="227"/>
      <c r="HEO1727" s="227"/>
      <c r="HEP1727" s="227"/>
      <c r="HEQ1727" s="227"/>
      <c r="HER1727" s="227"/>
      <c r="HES1727" s="227"/>
      <c r="HET1727" s="227"/>
      <c r="HEU1727" s="227"/>
      <c r="HEV1727" s="227"/>
      <c r="HEW1727" s="227"/>
      <c r="HEX1727" s="227"/>
      <c r="HEY1727" s="227"/>
      <c r="HEZ1727" s="227"/>
      <c r="HFA1727" s="227"/>
      <c r="HFB1727" s="227"/>
      <c r="HFC1727" s="227"/>
      <c r="HFD1727" s="227"/>
      <c r="HFE1727" s="227"/>
      <c r="HFF1727" s="227"/>
      <c r="HFG1727" s="227"/>
      <c r="HFH1727" s="227"/>
      <c r="HFI1727" s="227"/>
      <c r="HFJ1727" s="227"/>
      <c r="HFK1727" s="227"/>
      <c r="HFL1727" s="227"/>
      <c r="HFM1727" s="227"/>
      <c r="HFN1727" s="227"/>
      <c r="HFO1727" s="227"/>
      <c r="HFP1727" s="227"/>
      <c r="HFQ1727" s="227"/>
      <c r="HFR1727" s="227"/>
      <c r="HFS1727" s="227"/>
      <c r="HFT1727" s="227"/>
      <c r="HFU1727" s="227"/>
      <c r="HFV1727" s="227"/>
      <c r="HFW1727" s="227"/>
      <c r="HFX1727" s="227"/>
      <c r="HFY1727" s="227"/>
      <c r="HFZ1727" s="227"/>
      <c r="HGA1727" s="227"/>
      <c r="HGB1727" s="227"/>
      <c r="HGC1727" s="227"/>
      <c r="HGD1727" s="227"/>
      <c r="HGE1727" s="227"/>
      <c r="HGF1727" s="227"/>
      <c r="HGG1727" s="227"/>
      <c r="HGH1727" s="227"/>
      <c r="HGI1727" s="227"/>
      <c r="HGJ1727" s="227"/>
      <c r="HGK1727" s="227"/>
      <c r="HGL1727" s="227"/>
      <c r="HGM1727" s="227"/>
      <c r="HGN1727" s="227"/>
      <c r="HGO1727" s="227"/>
      <c r="HGP1727" s="227"/>
      <c r="HGQ1727" s="227"/>
      <c r="HGR1727" s="227"/>
      <c r="HGS1727" s="227"/>
      <c r="HGT1727" s="227"/>
      <c r="HGU1727" s="227"/>
      <c r="HGV1727" s="227"/>
      <c r="HGW1727" s="227"/>
      <c r="HGX1727" s="227"/>
      <c r="HGY1727" s="227"/>
      <c r="HGZ1727" s="227"/>
      <c r="HHA1727" s="227"/>
      <c r="HHB1727" s="227"/>
      <c r="HHC1727" s="227"/>
      <c r="HHD1727" s="227"/>
      <c r="HHE1727" s="227"/>
      <c r="HHF1727" s="227"/>
      <c r="HHG1727" s="227"/>
      <c r="HHH1727" s="227"/>
      <c r="HHI1727" s="227"/>
      <c r="HHJ1727" s="227"/>
      <c r="HHK1727" s="227"/>
      <c r="HHL1727" s="227"/>
      <c r="HHM1727" s="227"/>
      <c r="HHN1727" s="227"/>
      <c r="HHO1727" s="227"/>
      <c r="HHP1727" s="227"/>
      <c r="HHQ1727" s="227"/>
      <c r="HHR1727" s="227"/>
      <c r="HHS1727" s="227"/>
      <c r="HHT1727" s="227"/>
      <c r="HHU1727" s="227"/>
      <c r="HHV1727" s="227"/>
      <c r="HHW1727" s="227"/>
      <c r="HHX1727" s="227"/>
      <c r="HHY1727" s="227"/>
      <c r="HHZ1727" s="227"/>
      <c r="HIA1727" s="227"/>
      <c r="HIB1727" s="227"/>
      <c r="HIC1727" s="227"/>
      <c r="HID1727" s="227"/>
      <c r="HIE1727" s="227"/>
      <c r="HIF1727" s="227"/>
      <c r="HIG1727" s="227"/>
      <c r="HIH1727" s="227"/>
      <c r="HII1727" s="227"/>
      <c r="HIJ1727" s="227"/>
      <c r="HIK1727" s="227"/>
      <c r="HIL1727" s="227"/>
      <c r="HIM1727" s="227"/>
      <c r="HIN1727" s="227"/>
      <c r="HIO1727" s="227"/>
      <c r="HIP1727" s="227"/>
      <c r="HIQ1727" s="227"/>
      <c r="HIR1727" s="227"/>
      <c r="HIS1727" s="227"/>
      <c r="HIT1727" s="227"/>
      <c r="HIU1727" s="227"/>
      <c r="HIV1727" s="227"/>
      <c r="HIW1727" s="227"/>
      <c r="HIX1727" s="227"/>
      <c r="HIY1727" s="227"/>
      <c r="HIZ1727" s="227"/>
      <c r="HJA1727" s="227"/>
      <c r="HJB1727" s="227"/>
      <c r="HJC1727" s="227"/>
      <c r="HJD1727" s="227"/>
      <c r="HJE1727" s="227"/>
      <c r="HJF1727" s="227"/>
      <c r="HJG1727" s="227"/>
      <c r="HJH1727" s="227"/>
      <c r="HJI1727" s="227"/>
      <c r="HJJ1727" s="227"/>
      <c r="HJK1727" s="227"/>
      <c r="HJL1727" s="227"/>
      <c r="HJM1727" s="227"/>
      <c r="HJN1727" s="227"/>
      <c r="HJO1727" s="227"/>
      <c r="HJP1727" s="227"/>
      <c r="HJQ1727" s="227"/>
      <c r="HJR1727" s="227"/>
      <c r="HJS1727" s="227"/>
      <c r="HJT1727" s="227"/>
      <c r="HJU1727" s="227"/>
      <c r="HJV1727" s="227"/>
      <c r="HJW1727" s="227"/>
      <c r="HJX1727" s="227"/>
      <c r="HJY1727" s="227"/>
      <c r="HJZ1727" s="227"/>
      <c r="HKA1727" s="227"/>
      <c r="HKB1727" s="227"/>
      <c r="HKC1727" s="227"/>
      <c r="HKD1727" s="227"/>
      <c r="HKE1727" s="227"/>
      <c r="HKF1727" s="227"/>
      <c r="HKG1727" s="227"/>
      <c r="HKH1727" s="227"/>
      <c r="HKI1727" s="227"/>
      <c r="HKJ1727" s="227"/>
      <c r="HKK1727" s="227"/>
      <c r="HKL1727" s="227"/>
      <c r="HKM1727" s="227"/>
      <c r="HKN1727" s="227"/>
      <c r="HKO1727" s="227"/>
      <c r="HKP1727" s="227"/>
      <c r="HKQ1727" s="227"/>
      <c r="HKR1727" s="227"/>
      <c r="HKS1727" s="227"/>
      <c r="HKT1727" s="227"/>
      <c r="HKU1727" s="227"/>
      <c r="HKV1727" s="227"/>
      <c r="HKW1727" s="227"/>
      <c r="HKX1727" s="227"/>
      <c r="HKY1727" s="227"/>
      <c r="HKZ1727" s="227"/>
      <c r="HLA1727" s="227"/>
      <c r="HLB1727" s="227"/>
      <c r="HLC1727" s="227"/>
      <c r="HLD1727" s="227"/>
      <c r="HLE1727" s="227"/>
      <c r="HLF1727" s="227"/>
      <c r="HLG1727" s="227"/>
      <c r="HLH1727" s="227"/>
      <c r="HLI1727" s="227"/>
      <c r="HLJ1727" s="227"/>
      <c r="HLK1727" s="227"/>
      <c r="HLL1727" s="227"/>
      <c r="HLM1727" s="227"/>
      <c r="HLN1727" s="227"/>
      <c r="HLO1727" s="227"/>
      <c r="HLP1727" s="227"/>
      <c r="HLQ1727" s="227"/>
      <c r="HLR1727" s="227"/>
      <c r="HLS1727" s="227"/>
      <c r="HLT1727" s="227"/>
      <c r="HLU1727" s="227"/>
      <c r="HLV1727" s="227"/>
      <c r="HLW1727" s="227"/>
      <c r="HLX1727" s="227"/>
      <c r="HLY1727" s="227"/>
      <c r="HLZ1727" s="227"/>
      <c r="HMA1727" s="227"/>
      <c r="HMB1727" s="227"/>
      <c r="HMC1727" s="227"/>
      <c r="HMD1727" s="227"/>
      <c r="HME1727" s="227"/>
      <c r="HMF1727" s="227"/>
      <c r="HMG1727" s="227"/>
      <c r="HMH1727" s="227"/>
      <c r="HMI1727" s="227"/>
      <c r="HMJ1727" s="227"/>
      <c r="HMK1727" s="227"/>
      <c r="HML1727" s="227"/>
      <c r="HMM1727" s="227"/>
      <c r="HMN1727" s="227"/>
      <c r="HMO1727" s="227"/>
      <c r="HMP1727" s="227"/>
      <c r="HMQ1727" s="227"/>
      <c r="HMR1727" s="227"/>
      <c r="HMS1727" s="227"/>
      <c r="HMT1727" s="227"/>
      <c r="HMU1727" s="227"/>
      <c r="HMV1727" s="227"/>
      <c r="HMW1727" s="227"/>
      <c r="HMX1727" s="227"/>
      <c r="HMY1727" s="227"/>
      <c r="HMZ1727" s="227"/>
      <c r="HNA1727" s="227"/>
      <c r="HNB1727" s="227"/>
      <c r="HNC1727" s="227"/>
      <c r="HND1727" s="227"/>
      <c r="HNE1727" s="227"/>
      <c r="HNF1727" s="227"/>
      <c r="HNG1727" s="227"/>
      <c r="HNH1727" s="227"/>
      <c r="HNI1727" s="227"/>
      <c r="HNJ1727" s="227"/>
      <c r="HNK1727" s="227"/>
      <c r="HNL1727" s="227"/>
      <c r="HNM1727" s="227"/>
      <c r="HNN1727" s="227"/>
      <c r="HNO1727" s="227"/>
      <c r="HNP1727" s="227"/>
      <c r="HNQ1727" s="227"/>
      <c r="HNR1727" s="227"/>
      <c r="HNS1727" s="227"/>
      <c r="HNT1727" s="227"/>
      <c r="HNU1727" s="227"/>
      <c r="HNV1727" s="227"/>
      <c r="HNW1727" s="227"/>
      <c r="HNX1727" s="227"/>
      <c r="HNY1727" s="227"/>
      <c r="HNZ1727" s="227"/>
      <c r="HOA1727" s="227"/>
      <c r="HOB1727" s="227"/>
      <c r="HOC1727" s="227"/>
      <c r="HOD1727" s="227"/>
      <c r="HOE1727" s="227"/>
      <c r="HOF1727" s="227"/>
      <c r="HOG1727" s="227"/>
      <c r="HOH1727" s="227"/>
      <c r="HOI1727" s="227"/>
      <c r="HOJ1727" s="227"/>
      <c r="HOK1727" s="227"/>
      <c r="HOL1727" s="227"/>
      <c r="HOM1727" s="227"/>
      <c r="HON1727" s="227"/>
      <c r="HOO1727" s="227"/>
      <c r="HOP1727" s="227"/>
      <c r="HOQ1727" s="227"/>
      <c r="HOR1727" s="227"/>
      <c r="HOS1727" s="227"/>
      <c r="HOT1727" s="227"/>
      <c r="HOU1727" s="227"/>
      <c r="HOV1727" s="227"/>
      <c r="HOW1727" s="227"/>
      <c r="HOX1727" s="227"/>
      <c r="HOY1727" s="227"/>
      <c r="HOZ1727" s="227"/>
      <c r="HPA1727" s="227"/>
      <c r="HPB1727" s="227"/>
      <c r="HPC1727" s="227"/>
      <c r="HPD1727" s="227"/>
      <c r="HPE1727" s="227"/>
      <c r="HPF1727" s="227"/>
      <c r="HPG1727" s="227"/>
      <c r="HPH1727" s="227"/>
      <c r="HPI1727" s="227"/>
      <c r="HPJ1727" s="227"/>
      <c r="HPK1727" s="227"/>
      <c r="HPL1727" s="227"/>
      <c r="HPM1727" s="227"/>
      <c r="HPN1727" s="227"/>
      <c r="HPO1727" s="227"/>
      <c r="HPP1727" s="227"/>
      <c r="HPQ1727" s="227"/>
      <c r="HPR1727" s="227"/>
      <c r="HPS1727" s="227"/>
      <c r="HPT1727" s="227"/>
      <c r="HPU1727" s="227"/>
      <c r="HPV1727" s="227"/>
      <c r="HPW1727" s="227"/>
      <c r="HPX1727" s="227"/>
      <c r="HPY1727" s="227"/>
      <c r="HPZ1727" s="227"/>
      <c r="HQA1727" s="227"/>
      <c r="HQB1727" s="227"/>
      <c r="HQC1727" s="227"/>
      <c r="HQD1727" s="227"/>
      <c r="HQE1727" s="227"/>
      <c r="HQF1727" s="227"/>
      <c r="HQG1727" s="227"/>
      <c r="HQH1727" s="227"/>
      <c r="HQI1727" s="227"/>
      <c r="HQJ1727" s="227"/>
      <c r="HQK1727" s="227"/>
      <c r="HQL1727" s="227"/>
      <c r="HQM1727" s="227"/>
      <c r="HQN1727" s="227"/>
      <c r="HQO1727" s="227"/>
      <c r="HQP1727" s="227"/>
      <c r="HQQ1727" s="227"/>
      <c r="HQR1727" s="227"/>
      <c r="HQS1727" s="227"/>
      <c r="HQT1727" s="227"/>
      <c r="HQU1727" s="227"/>
      <c r="HQV1727" s="227"/>
      <c r="HQW1727" s="227"/>
      <c r="HQX1727" s="227"/>
      <c r="HQY1727" s="227"/>
      <c r="HQZ1727" s="227"/>
      <c r="HRA1727" s="227"/>
      <c r="HRB1727" s="227"/>
      <c r="HRC1727" s="227"/>
      <c r="HRD1727" s="227"/>
      <c r="HRE1727" s="227"/>
      <c r="HRF1727" s="227"/>
      <c r="HRG1727" s="227"/>
      <c r="HRH1727" s="227"/>
      <c r="HRI1727" s="227"/>
      <c r="HRJ1727" s="227"/>
      <c r="HRK1727" s="227"/>
      <c r="HRL1727" s="227"/>
      <c r="HRM1727" s="227"/>
      <c r="HRN1727" s="227"/>
      <c r="HRO1727" s="227"/>
      <c r="HRP1727" s="227"/>
      <c r="HRQ1727" s="227"/>
      <c r="HRR1727" s="227"/>
      <c r="HRS1727" s="227"/>
      <c r="HRT1727" s="227"/>
      <c r="HRU1727" s="227"/>
      <c r="HRV1727" s="227"/>
      <c r="HRW1727" s="227"/>
      <c r="HRX1727" s="227"/>
      <c r="HRY1727" s="227"/>
      <c r="HRZ1727" s="227"/>
      <c r="HSA1727" s="227"/>
      <c r="HSB1727" s="227"/>
      <c r="HSC1727" s="227"/>
      <c r="HSD1727" s="227"/>
      <c r="HSE1727" s="227"/>
      <c r="HSF1727" s="227"/>
      <c r="HSG1727" s="227"/>
      <c r="HSH1727" s="227"/>
      <c r="HSI1727" s="227"/>
      <c r="HSJ1727" s="227"/>
      <c r="HSK1727" s="227"/>
      <c r="HSL1727" s="227"/>
      <c r="HSM1727" s="227"/>
      <c r="HSN1727" s="227"/>
      <c r="HSO1727" s="227"/>
      <c r="HSP1727" s="227"/>
      <c r="HSQ1727" s="227"/>
      <c r="HSR1727" s="227"/>
      <c r="HSS1727" s="227"/>
      <c r="HST1727" s="227"/>
      <c r="HSU1727" s="227"/>
      <c r="HSV1727" s="227"/>
      <c r="HSW1727" s="227"/>
      <c r="HSX1727" s="227"/>
      <c r="HSY1727" s="227"/>
      <c r="HSZ1727" s="227"/>
      <c r="HTA1727" s="227"/>
      <c r="HTB1727" s="227"/>
      <c r="HTC1727" s="227"/>
      <c r="HTD1727" s="227"/>
      <c r="HTE1727" s="227"/>
      <c r="HTF1727" s="227"/>
      <c r="HTG1727" s="227"/>
      <c r="HTH1727" s="227"/>
      <c r="HTI1727" s="227"/>
      <c r="HTJ1727" s="227"/>
      <c r="HTK1727" s="227"/>
      <c r="HTL1727" s="227"/>
      <c r="HTM1727" s="227"/>
      <c r="HTN1727" s="227"/>
      <c r="HTO1727" s="227"/>
      <c r="HTP1727" s="227"/>
      <c r="HTQ1727" s="227"/>
      <c r="HTR1727" s="227"/>
      <c r="HTS1727" s="227"/>
      <c r="HTT1727" s="227"/>
      <c r="HTU1727" s="227"/>
      <c r="HTV1727" s="227"/>
      <c r="HTW1727" s="227"/>
      <c r="HTX1727" s="227"/>
      <c r="HTY1727" s="227"/>
      <c r="HTZ1727" s="227"/>
      <c r="HUA1727" s="227"/>
      <c r="HUB1727" s="227"/>
      <c r="HUC1727" s="227"/>
      <c r="HUD1727" s="227"/>
      <c r="HUE1727" s="227"/>
      <c r="HUF1727" s="227"/>
      <c r="HUG1727" s="227"/>
      <c r="HUH1727" s="227"/>
      <c r="HUI1727" s="227"/>
      <c r="HUJ1727" s="227"/>
      <c r="HUK1727" s="227"/>
      <c r="HUL1727" s="227"/>
      <c r="HUM1727" s="227"/>
      <c r="HUN1727" s="227"/>
      <c r="HUO1727" s="227"/>
      <c r="HUP1727" s="227"/>
      <c r="HUQ1727" s="227"/>
      <c r="HUR1727" s="227"/>
      <c r="HUS1727" s="227"/>
      <c r="HUT1727" s="227"/>
      <c r="HUU1727" s="227"/>
      <c r="HUV1727" s="227"/>
      <c r="HUW1727" s="227"/>
      <c r="HUX1727" s="227"/>
      <c r="HUY1727" s="227"/>
      <c r="HUZ1727" s="227"/>
      <c r="HVA1727" s="227"/>
      <c r="HVB1727" s="227"/>
      <c r="HVC1727" s="227"/>
      <c r="HVD1727" s="227"/>
      <c r="HVE1727" s="227"/>
      <c r="HVF1727" s="227"/>
      <c r="HVG1727" s="227"/>
      <c r="HVH1727" s="227"/>
      <c r="HVI1727" s="227"/>
      <c r="HVJ1727" s="227"/>
      <c r="HVK1727" s="227"/>
      <c r="HVL1727" s="227"/>
      <c r="HVM1727" s="227"/>
      <c r="HVN1727" s="227"/>
      <c r="HVO1727" s="227"/>
      <c r="HVP1727" s="227"/>
      <c r="HVQ1727" s="227"/>
      <c r="HVR1727" s="227"/>
      <c r="HVS1727" s="227"/>
      <c r="HVT1727" s="227"/>
      <c r="HVU1727" s="227"/>
      <c r="HVV1727" s="227"/>
      <c r="HVW1727" s="227"/>
      <c r="HVX1727" s="227"/>
      <c r="HVY1727" s="227"/>
      <c r="HVZ1727" s="227"/>
      <c r="HWA1727" s="227"/>
      <c r="HWB1727" s="227"/>
      <c r="HWC1727" s="227"/>
      <c r="HWD1727" s="227"/>
      <c r="HWE1727" s="227"/>
      <c r="HWF1727" s="227"/>
      <c r="HWG1727" s="227"/>
      <c r="HWH1727" s="227"/>
      <c r="HWI1727" s="227"/>
      <c r="HWJ1727" s="227"/>
      <c r="HWK1727" s="227"/>
      <c r="HWL1727" s="227"/>
      <c r="HWM1727" s="227"/>
      <c r="HWN1727" s="227"/>
      <c r="HWO1727" s="227"/>
      <c r="HWP1727" s="227"/>
      <c r="HWQ1727" s="227"/>
      <c r="HWR1727" s="227"/>
      <c r="HWS1727" s="227"/>
      <c r="HWT1727" s="227"/>
      <c r="HWU1727" s="227"/>
      <c r="HWV1727" s="227"/>
      <c r="HWW1727" s="227"/>
      <c r="HWX1727" s="227"/>
      <c r="HWY1727" s="227"/>
      <c r="HWZ1727" s="227"/>
      <c r="HXA1727" s="227"/>
      <c r="HXB1727" s="227"/>
      <c r="HXC1727" s="227"/>
      <c r="HXD1727" s="227"/>
      <c r="HXE1727" s="227"/>
      <c r="HXF1727" s="227"/>
      <c r="HXG1727" s="227"/>
      <c r="HXH1727" s="227"/>
      <c r="HXI1727" s="227"/>
      <c r="HXJ1727" s="227"/>
      <c r="HXK1727" s="227"/>
      <c r="HXL1727" s="227"/>
      <c r="HXM1727" s="227"/>
      <c r="HXN1727" s="227"/>
      <c r="HXO1727" s="227"/>
      <c r="HXP1727" s="227"/>
      <c r="HXQ1727" s="227"/>
      <c r="HXR1727" s="227"/>
      <c r="HXS1727" s="227"/>
      <c r="HXT1727" s="227"/>
      <c r="HXU1727" s="227"/>
      <c r="HXV1727" s="227"/>
      <c r="HXW1727" s="227"/>
      <c r="HXX1727" s="227"/>
      <c r="HXY1727" s="227"/>
      <c r="HXZ1727" s="227"/>
      <c r="HYA1727" s="227"/>
      <c r="HYB1727" s="227"/>
      <c r="HYC1727" s="227"/>
      <c r="HYD1727" s="227"/>
      <c r="HYE1727" s="227"/>
      <c r="HYF1727" s="227"/>
      <c r="HYG1727" s="227"/>
      <c r="HYH1727" s="227"/>
      <c r="HYI1727" s="227"/>
      <c r="HYJ1727" s="227"/>
      <c r="HYK1727" s="227"/>
      <c r="HYL1727" s="227"/>
      <c r="HYM1727" s="227"/>
      <c r="HYN1727" s="227"/>
      <c r="HYO1727" s="227"/>
      <c r="HYP1727" s="227"/>
      <c r="HYQ1727" s="227"/>
      <c r="HYR1727" s="227"/>
      <c r="HYS1727" s="227"/>
      <c r="HYT1727" s="227"/>
      <c r="HYU1727" s="227"/>
      <c r="HYV1727" s="227"/>
      <c r="HYW1727" s="227"/>
      <c r="HYX1727" s="227"/>
      <c r="HYY1727" s="227"/>
      <c r="HYZ1727" s="227"/>
      <c r="HZA1727" s="227"/>
      <c r="HZB1727" s="227"/>
      <c r="HZC1727" s="227"/>
      <c r="HZD1727" s="227"/>
      <c r="HZE1727" s="227"/>
      <c r="HZF1727" s="227"/>
      <c r="HZG1727" s="227"/>
      <c r="HZH1727" s="227"/>
      <c r="HZI1727" s="227"/>
      <c r="HZJ1727" s="227"/>
      <c r="HZK1727" s="227"/>
      <c r="HZL1727" s="227"/>
      <c r="HZM1727" s="227"/>
      <c r="HZN1727" s="227"/>
      <c r="HZO1727" s="227"/>
      <c r="HZP1727" s="227"/>
      <c r="HZQ1727" s="227"/>
      <c r="HZR1727" s="227"/>
      <c r="HZS1727" s="227"/>
      <c r="HZT1727" s="227"/>
      <c r="HZU1727" s="227"/>
      <c r="HZV1727" s="227"/>
      <c r="HZW1727" s="227"/>
      <c r="HZX1727" s="227"/>
      <c r="HZY1727" s="227"/>
      <c r="HZZ1727" s="227"/>
      <c r="IAA1727" s="227"/>
      <c r="IAB1727" s="227"/>
      <c r="IAC1727" s="227"/>
      <c r="IAD1727" s="227"/>
      <c r="IAE1727" s="227"/>
      <c r="IAF1727" s="227"/>
      <c r="IAG1727" s="227"/>
      <c r="IAH1727" s="227"/>
      <c r="IAI1727" s="227"/>
      <c r="IAJ1727" s="227"/>
      <c r="IAK1727" s="227"/>
      <c r="IAL1727" s="227"/>
      <c r="IAM1727" s="227"/>
      <c r="IAN1727" s="227"/>
      <c r="IAO1727" s="227"/>
      <c r="IAP1727" s="227"/>
      <c r="IAQ1727" s="227"/>
      <c r="IAR1727" s="227"/>
      <c r="IAS1727" s="227"/>
      <c r="IAT1727" s="227"/>
      <c r="IAU1727" s="227"/>
      <c r="IAV1727" s="227"/>
      <c r="IAW1727" s="227"/>
      <c r="IAX1727" s="227"/>
      <c r="IAY1727" s="227"/>
      <c r="IAZ1727" s="227"/>
      <c r="IBA1727" s="227"/>
      <c r="IBB1727" s="227"/>
      <c r="IBC1727" s="227"/>
      <c r="IBD1727" s="227"/>
      <c r="IBE1727" s="227"/>
      <c r="IBF1727" s="227"/>
      <c r="IBG1727" s="227"/>
      <c r="IBH1727" s="227"/>
      <c r="IBI1727" s="227"/>
      <c r="IBJ1727" s="227"/>
      <c r="IBK1727" s="227"/>
      <c r="IBL1727" s="227"/>
      <c r="IBM1727" s="227"/>
      <c r="IBN1727" s="227"/>
      <c r="IBO1727" s="227"/>
      <c r="IBP1727" s="227"/>
      <c r="IBQ1727" s="227"/>
      <c r="IBR1727" s="227"/>
      <c r="IBS1727" s="227"/>
      <c r="IBT1727" s="227"/>
      <c r="IBU1727" s="227"/>
      <c r="IBV1727" s="227"/>
      <c r="IBW1727" s="227"/>
      <c r="IBX1727" s="227"/>
      <c r="IBY1727" s="227"/>
      <c r="IBZ1727" s="227"/>
      <c r="ICA1727" s="227"/>
      <c r="ICB1727" s="227"/>
      <c r="ICC1727" s="227"/>
      <c r="ICD1727" s="227"/>
      <c r="ICE1727" s="227"/>
      <c r="ICF1727" s="227"/>
      <c r="ICG1727" s="227"/>
      <c r="ICH1727" s="227"/>
      <c r="ICI1727" s="227"/>
      <c r="ICJ1727" s="227"/>
      <c r="ICK1727" s="227"/>
      <c r="ICL1727" s="227"/>
      <c r="ICM1727" s="227"/>
      <c r="ICN1727" s="227"/>
      <c r="ICO1727" s="227"/>
      <c r="ICP1727" s="227"/>
      <c r="ICQ1727" s="227"/>
      <c r="ICR1727" s="227"/>
      <c r="ICS1727" s="227"/>
      <c r="ICT1727" s="227"/>
      <c r="ICU1727" s="227"/>
      <c r="ICV1727" s="227"/>
      <c r="ICW1727" s="227"/>
      <c r="ICX1727" s="227"/>
      <c r="ICY1727" s="227"/>
      <c r="ICZ1727" s="227"/>
      <c r="IDA1727" s="227"/>
      <c r="IDB1727" s="227"/>
      <c r="IDC1727" s="227"/>
      <c r="IDD1727" s="227"/>
      <c r="IDE1727" s="227"/>
      <c r="IDF1727" s="227"/>
      <c r="IDG1727" s="227"/>
      <c r="IDH1727" s="227"/>
      <c r="IDI1727" s="227"/>
      <c r="IDJ1727" s="227"/>
      <c r="IDK1727" s="227"/>
      <c r="IDL1727" s="227"/>
      <c r="IDM1727" s="227"/>
      <c r="IDN1727" s="227"/>
      <c r="IDO1727" s="227"/>
      <c r="IDP1727" s="227"/>
      <c r="IDQ1727" s="227"/>
      <c r="IDR1727" s="227"/>
      <c r="IDS1727" s="227"/>
      <c r="IDT1727" s="227"/>
      <c r="IDU1727" s="227"/>
      <c r="IDV1727" s="227"/>
      <c r="IDW1727" s="227"/>
      <c r="IDX1727" s="227"/>
      <c r="IDY1727" s="227"/>
      <c r="IDZ1727" s="227"/>
      <c r="IEA1727" s="227"/>
      <c r="IEB1727" s="227"/>
      <c r="IEC1727" s="227"/>
      <c r="IED1727" s="227"/>
      <c r="IEE1727" s="227"/>
      <c r="IEF1727" s="227"/>
      <c r="IEG1727" s="227"/>
      <c r="IEH1727" s="227"/>
      <c r="IEI1727" s="227"/>
      <c r="IEJ1727" s="227"/>
      <c r="IEK1727" s="227"/>
      <c r="IEL1727" s="227"/>
      <c r="IEM1727" s="227"/>
      <c r="IEN1727" s="227"/>
      <c r="IEO1727" s="227"/>
      <c r="IEP1727" s="227"/>
      <c r="IEQ1727" s="227"/>
      <c r="IER1727" s="227"/>
      <c r="IES1727" s="227"/>
      <c r="IET1727" s="227"/>
      <c r="IEU1727" s="227"/>
      <c r="IEV1727" s="227"/>
      <c r="IEW1727" s="227"/>
      <c r="IEX1727" s="227"/>
      <c r="IEY1727" s="227"/>
      <c r="IEZ1727" s="227"/>
      <c r="IFA1727" s="227"/>
      <c r="IFB1727" s="227"/>
      <c r="IFC1727" s="227"/>
      <c r="IFD1727" s="227"/>
      <c r="IFE1727" s="227"/>
      <c r="IFF1727" s="227"/>
      <c r="IFG1727" s="227"/>
      <c r="IFH1727" s="227"/>
      <c r="IFI1727" s="227"/>
      <c r="IFJ1727" s="227"/>
      <c r="IFK1727" s="227"/>
      <c r="IFL1727" s="227"/>
      <c r="IFM1727" s="227"/>
      <c r="IFN1727" s="227"/>
      <c r="IFO1727" s="227"/>
      <c r="IFP1727" s="227"/>
      <c r="IFQ1727" s="227"/>
      <c r="IFR1727" s="227"/>
      <c r="IFS1727" s="227"/>
      <c r="IFT1727" s="227"/>
      <c r="IFU1727" s="227"/>
      <c r="IFV1727" s="227"/>
      <c r="IFW1727" s="227"/>
      <c r="IFX1727" s="227"/>
      <c r="IFY1727" s="227"/>
      <c r="IFZ1727" s="227"/>
      <c r="IGA1727" s="227"/>
      <c r="IGB1727" s="227"/>
      <c r="IGC1727" s="227"/>
      <c r="IGD1727" s="227"/>
      <c r="IGE1727" s="227"/>
      <c r="IGF1727" s="227"/>
      <c r="IGG1727" s="227"/>
      <c r="IGH1727" s="227"/>
      <c r="IGI1727" s="227"/>
      <c r="IGJ1727" s="227"/>
      <c r="IGK1727" s="227"/>
      <c r="IGL1727" s="227"/>
      <c r="IGM1727" s="227"/>
      <c r="IGN1727" s="227"/>
      <c r="IGO1727" s="227"/>
      <c r="IGP1727" s="227"/>
      <c r="IGQ1727" s="227"/>
      <c r="IGR1727" s="227"/>
      <c r="IGS1727" s="227"/>
      <c r="IGT1727" s="227"/>
      <c r="IGU1727" s="227"/>
      <c r="IGV1727" s="227"/>
      <c r="IGW1727" s="227"/>
      <c r="IGX1727" s="227"/>
      <c r="IGY1727" s="227"/>
      <c r="IGZ1727" s="227"/>
      <c r="IHA1727" s="227"/>
      <c r="IHB1727" s="227"/>
      <c r="IHC1727" s="227"/>
      <c r="IHD1727" s="227"/>
      <c r="IHE1727" s="227"/>
      <c r="IHF1727" s="227"/>
      <c r="IHG1727" s="227"/>
      <c r="IHH1727" s="227"/>
      <c r="IHI1727" s="227"/>
      <c r="IHJ1727" s="227"/>
      <c r="IHK1727" s="227"/>
      <c r="IHL1727" s="227"/>
      <c r="IHM1727" s="227"/>
      <c r="IHN1727" s="227"/>
      <c r="IHO1727" s="227"/>
      <c r="IHP1727" s="227"/>
      <c r="IHQ1727" s="227"/>
      <c r="IHR1727" s="227"/>
      <c r="IHS1727" s="227"/>
      <c r="IHT1727" s="227"/>
      <c r="IHU1727" s="227"/>
      <c r="IHV1727" s="227"/>
      <c r="IHW1727" s="227"/>
      <c r="IHX1727" s="227"/>
      <c r="IHY1727" s="227"/>
      <c r="IHZ1727" s="227"/>
      <c r="IIA1727" s="227"/>
      <c r="IIB1727" s="227"/>
      <c r="IIC1727" s="227"/>
      <c r="IID1727" s="227"/>
      <c r="IIE1727" s="227"/>
      <c r="IIF1727" s="227"/>
      <c r="IIG1727" s="227"/>
      <c r="IIH1727" s="227"/>
      <c r="III1727" s="227"/>
      <c r="IIJ1727" s="227"/>
      <c r="IIK1727" s="227"/>
      <c r="IIL1727" s="227"/>
      <c r="IIM1727" s="227"/>
      <c r="IIN1727" s="227"/>
      <c r="IIO1727" s="227"/>
      <c r="IIP1727" s="227"/>
      <c r="IIQ1727" s="227"/>
      <c r="IIR1727" s="227"/>
      <c r="IIS1727" s="227"/>
      <c r="IIT1727" s="227"/>
      <c r="IIU1727" s="227"/>
      <c r="IIV1727" s="227"/>
      <c r="IIW1727" s="227"/>
      <c r="IIX1727" s="227"/>
      <c r="IIY1727" s="227"/>
      <c r="IIZ1727" s="227"/>
      <c r="IJA1727" s="227"/>
      <c r="IJB1727" s="227"/>
      <c r="IJC1727" s="227"/>
      <c r="IJD1727" s="227"/>
      <c r="IJE1727" s="227"/>
      <c r="IJF1727" s="227"/>
      <c r="IJG1727" s="227"/>
      <c r="IJH1727" s="227"/>
      <c r="IJI1727" s="227"/>
      <c r="IJJ1727" s="227"/>
      <c r="IJK1727" s="227"/>
      <c r="IJL1727" s="227"/>
      <c r="IJM1727" s="227"/>
      <c r="IJN1727" s="227"/>
      <c r="IJO1727" s="227"/>
      <c r="IJP1727" s="227"/>
      <c r="IJQ1727" s="227"/>
      <c r="IJR1727" s="227"/>
      <c r="IJS1727" s="227"/>
      <c r="IJT1727" s="227"/>
      <c r="IJU1727" s="227"/>
      <c r="IJV1727" s="227"/>
      <c r="IJW1727" s="227"/>
      <c r="IJX1727" s="227"/>
      <c r="IJY1727" s="227"/>
      <c r="IJZ1727" s="227"/>
      <c r="IKA1727" s="227"/>
      <c r="IKB1727" s="227"/>
      <c r="IKC1727" s="227"/>
      <c r="IKD1727" s="227"/>
      <c r="IKE1727" s="227"/>
      <c r="IKF1727" s="227"/>
      <c r="IKG1727" s="227"/>
      <c r="IKH1727" s="227"/>
      <c r="IKI1727" s="227"/>
      <c r="IKJ1727" s="227"/>
      <c r="IKK1727" s="227"/>
      <c r="IKL1727" s="227"/>
      <c r="IKM1727" s="227"/>
      <c r="IKN1727" s="227"/>
      <c r="IKO1727" s="227"/>
      <c r="IKP1727" s="227"/>
      <c r="IKQ1727" s="227"/>
      <c r="IKR1727" s="227"/>
      <c r="IKS1727" s="227"/>
      <c r="IKT1727" s="227"/>
      <c r="IKU1727" s="227"/>
      <c r="IKV1727" s="227"/>
      <c r="IKW1727" s="227"/>
      <c r="IKX1727" s="227"/>
      <c r="IKY1727" s="227"/>
      <c r="IKZ1727" s="227"/>
      <c r="ILA1727" s="227"/>
      <c r="ILB1727" s="227"/>
      <c r="ILC1727" s="227"/>
      <c r="ILD1727" s="227"/>
      <c r="ILE1727" s="227"/>
      <c r="ILF1727" s="227"/>
      <c r="ILG1727" s="227"/>
      <c r="ILH1727" s="227"/>
      <c r="ILI1727" s="227"/>
      <c r="ILJ1727" s="227"/>
      <c r="ILK1727" s="227"/>
      <c r="ILL1727" s="227"/>
      <c r="ILM1727" s="227"/>
      <c r="ILN1727" s="227"/>
      <c r="ILO1727" s="227"/>
      <c r="ILP1727" s="227"/>
      <c r="ILQ1727" s="227"/>
      <c r="ILR1727" s="227"/>
      <c r="ILS1727" s="227"/>
      <c r="ILT1727" s="227"/>
      <c r="ILU1727" s="227"/>
      <c r="ILV1727" s="227"/>
      <c r="ILW1727" s="227"/>
      <c r="ILX1727" s="227"/>
      <c r="ILY1727" s="227"/>
      <c r="ILZ1727" s="227"/>
      <c r="IMA1727" s="227"/>
      <c r="IMB1727" s="227"/>
      <c r="IMC1727" s="227"/>
      <c r="IMD1727" s="227"/>
      <c r="IME1727" s="227"/>
      <c r="IMF1727" s="227"/>
      <c r="IMG1727" s="227"/>
      <c r="IMH1727" s="227"/>
      <c r="IMI1727" s="227"/>
      <c r="IMJ1727" s="227"/>
      <c r="IMK1727" s="227"/>
      <c r="IML1727" s="227"/>
      <c r="IMM1727" s="227"/>
      <c r="IMN1727" s="227"/>
      <c r="IMO1727" s="227"/>
      <c r="IMP1727" s="227"/>
      <c r="IMQ1727" s="227"/>
      <c r="IMR1727" s="227"/>
      <c r="IMS1727" s="227"/>
      <c r="IMT1727" s="227"/>
      <c r="IMU1727" s="227"/>
      <c r="IMV1727" s="227"/>
      <c r="IMW1727" s="227"/>
      <c r="IMX1727" s="227"/>
      <c r="IMY1727" s="227"/>
      <c r="IMZ1727" s="227"/>
      <c r="INA1727" s="227"/>
      <c r="INB1727" s="227"/>
      <c r="INC1727" s="227"/>
      <c r="IND1727" s="227"/>
      <c r="INE1727" s="227"/>
      <c r="INF1727" s="227"/>
      <c r="ING1727" s="227"/>
      <c r="INH1727" s="227"/>
      <c r="INI1727" s="227"/>
      <c r="INJ1727" s="227"/>
      <c r="INK1727" s="227"/>
      <c r="INL1727" s="227"/>
      <c r="INM1727" s="227"/>
      <c r="INN1727" s="227"/>
      <c r="INO1727" s="227"/>
      <c r="INP1727" s="227"/>
      <c r="INQ1727" s="227"/>
      <c r="INR1727" s="227"/>
      <c r="INS1727" s="227"/>
      <c r="INT1727" s="227"/>
      <c r="INU1727" s="227"/>
      <c r="INV1727" s="227"/>
      <c r="INW1727" s="227"/>
      <c r="INX1727" s="227"/>
      <c r="INY1727" s="227"/>
      <c r="INZ1727" s="227"/>
      <c r="IOA1727" s="227"/>
      <c r="IOB1727" s="227"/>
      <c r="IOC1727" s="227"/>
      <c r="IOD1727" s="227"/>
      <c r="IOE1727" s="227"/>
      <c r="IOF1727" s="227"/>
      <c r="IOG1727" s="227"/>
      <c r="IOH1727" s="227"/>
      <c r="IOI1727" s="227"/>
      <c r="IOJ1727" s="227"/>
      <c r="IOK1727" s="227"/>
      <c r="IOL1727" s="227"/>
      <c r="IOM1727" s="227"/>
      <c r="ION1727" s="227"/>
      <c r="IOO1727" s="227"/>
      <c r="IOP1727" s="227"/>
      <c r="IOQ1727" s="227"/>
      <c r="IOR1727" s="227"/>
      <c r="IOS1727" s="227"/>
      <c r="IOT1727" s="227"/>
      <c r="IOU1727" s="227"/>
      <c r="IOV1727" s="227"/>
      <c r="IOW1727" s="227"/>
      <c r="IOX1727" s="227"/>
      <c r="IOY1727" s="227"/>
      <c r="IOZ1727" s="227"/>
      <c r="IPA1727" s="227"/>
      <c r="IPB1727" s="227"/>
      <c r="IPC1727" s="227"/>
      <c r="IPD1727" s="227"/>
      <c r="IPE1727" s="227"/>
      <c r="IPF1727" s="227"/>
      <c r="IPG1727" s="227"/>
      <c r="IPH1727" s="227"/>
      <c r="IPI1727" s="227"/>
      <c r="IPJ1727" s="227"/>
      <c r="IPK1727" s="227"/>
      <c r="IPL1727" s="227"/>
      <c r="IPM1727" s="227"/>
      <c r="IPN1727" s="227"/>
      <c r="IPO1727" s="227"/>
      <c r="IPP1727" s="227"/>
      <c r="IPQ1727" s="227"/>
      <c r="IPR1727" s="227"/>
      <c r="IPS1727" s="227"/>
      <c r="IPT1727" s="227"/>
      <c r="IPU1727" s="227"/>
      <c r="IPV1727" s="227"/>
      <c r="IPW1727" s="227"/>
      <c r="IPX1727" s="227"/>
      <c r="IPY1727" s="227"/>
      <c r="IPZ1727" s="227"/>
      <c r="IQA1727" s="227"/>
      <c r="IQB1727" s="227"/>
      <c r="IQC1727" s="227"/>
      <c r="IQD1727" s="227"/>
      <c r="IQE1727" s="227"/>
      <c r="IQF1727" s="227"/>
      <c r="IQG1727" s="227"/>
      <c r="IQH1727" s="227"/>
      <c r="IQI1727" s="227"/>
      <c r="IQJ1727" s="227"/>
      <c r="IQK1727" s="227"/>
      <c r="IQL1727" s="227"/>
      <c r="IQM1727" s="227"/>
      <c r="IQN1727" s="227"/>
      <c r="IQO1727" s="227"/>
      <c r="IQP1727" s="227"/>
      <c r="IQQ1727" s="227"/>
      <c r="IQR1727" s="227"/>
      <c r="IQS1727" s="227"/>
      <c r="IQT1727" s="227"/>
      <c r="IQU1727" s="227"/>
      <c r="IQV1727" s="227"/>
      <c r="IQW1727" s="227"/>
      <c r="IQX1727" s="227"/>
      <c r="IQY1727" s="227"/>
      <c r="IQZ1727" s="227"/>
      <c r="IRA1727" s="227"/>
      <c r="IRB1727" s="227"/>
      <c r="IRC1727" s="227"/>
      <c r="IRD1727" s="227"/>
      <c r="IRE1727" s="227"/>
      <c r="IRF1727" s="227"/>
      <c r="IRG1727" s="227"/>
      <c r="IRH1727" s="227"/>
      <c r="IRI1727" s="227"/>
      <c r="IRJ1727" s="227"/>
      <c r="IRK1727" s="227"/>
      <c r="IRL1727" s="227"/>
      <c r="IRM1727" s="227"/>
      <c r="IRN1727" s="227"/>
      <c r="IRO1727" s="227"/>
      <c r="IRP1727" s="227"/>
      <c r="IRQ1727" s="227"/>
      <c r="IRR1727" s="227"/>
      <c r="IRS1727" s="227"/>
      <c r="IRT1727" s="227"/>
      <c r="IRU1727" s="227"/>
      <c r="IRV1727" s="227"/>
      <c r="IRW1727" s="227"/>
      <c r="IRX1727" s="227"/>
      <c r="IRY1727" s="227"/>
      <c r="IRZ1727" s="227"/>
      <c r="ISA1727" s="227"/>
      <c r="ISB1727" s="227"/>
      <c r="ISC1727" s="227"/>
      <c r="ISD1727" s="227"/>
      <c r="ISE1727" s="227"/>
      <c r="ISF1727" s="227"/>
      <c r="ISG1727" s="227"/>
      <c r="ISH1727" s="227"/>
      <c r="ISI1727" s="227"/>
      <c r="ISJ1727" s="227"/>
      <c r="ISK1727" s="227"/>
      <c r="ISL1727" s="227"/>
      <c r="ISM1727" s="227"/>
      <c r="ISN1727" s="227"/>
      <c r="ISO1727" s="227"/>
      <c r="ISP1727" s="227"/>
      <c r="ISQ1727" s="227"/>
      <c r="ISR1727" s="227"/>
      <c r="ISS1727" s="227"/>
      <c r="IST1727" s="227"/>
      <c r="ISU1727" s="227"/>
      <c r="ISV1727" s="227"/>
      <c r="ISW1727" s="227"/>
      <c r="ISX1727" s="227"/>
      <c r="ISY1727" s="227"/>
      <c r="ISZ1727" s="227"/>
      <c r="ITA1727" s="227"/>
      <c r="ITB1727" s="227"/>
      <c r="ITC1727" s="227"/>
      <c r="ITD1727" s="227"/>
      <c r="ITE1727" s="227"/>
      <c r="ITF1727" s="227"/>
      <c r="ITG1727" s="227"/>
      <c r="ITH1727" s="227"/>
      <c r="ITI1727" s="227"/>
      <c r="ITJ1727" s="227"/>
      <c r="ITK1727" s="227"/>
      <c r="ITL1727" s="227"/>
      <c r="ITM1727" s="227"/>
      <c r="ITN1727" s="227"/>
      <c r="ITO1727" s="227"/>
      <c r="ITP1727" s="227"/>
      <c r="ITQ1727" s="227"/>
      <c r="ITR1727" s="227"/>
      <c r="ITS1727" s="227"/>
      <c r="ITT1727" s="227"/>
      <c r="ITU1727" s="227"/>
      <c r="ITV1727" s="227"/>
      <c r="ITW1727" s="227"/>
      <c r="ITX1727" s="227"/>
      <c r="ITY1727" s="227"/>
      <c r="ITZ1727" s="227"/>
      <c r="IUA1727" s="227"/>
      <c r="IUB1727" s="227"/>
      <c r="IUC1727" s="227"/>
      <c r="IUD1727" s="227"/>
      <c r="IUE1727" s="227"/>
      <c r="IUF1727" s="227"/>
      <c r="IUG1727" s="227"/>
      <c r="IUH1727" s="227"/>
      <c r="IUI1727" s="227"/>
      <c r="IUJ1727" s="227"/>
      <c r="IUK1727" s="227"/>
      <c r="IUL1727" s="227"/>
      <c r="IUM1727" s="227"/>
      <c r="IUN1727" s="227"/>
      <c r="IUO1727" s="227"/>
      <c r="IUP1727" s="227"/>
      <c r="IUQ1727" s="227"/>
      <c r="IUR1727" s="227"/>
      <c r="IUS1727" s="227"/>
      <c r="IUT1727" s="227"/>
      <c r="IUU1727" s="227"/>
      <c r="IUV1727" s="227"/>
      <c r="IUW1727" s="227"/>
      <c r="IUX1727" s="227"/>
      <c r="IUY1727" s="227"/>
      <c r="IUZ1727" s="227"/>
      <c r="IVA1727" s="227"/>
      <c r="IVB1727" s="227"/>
      <c r="IVC1727" s="227"/>
      <c r="IVD1727" s="227"/>
      <c r="IVE1727" s="227"/>
      <c r="IVF1727" s="227"/>
      <c r="IVG1727" s="227"/>
      <c r="IVH1727" s="227"/>
      <c r="IVI1727" s="227"/>
      <c r="IVJ1727" s="227"/>
      <c r="IVK1727" s="227"/>
      <c r="IVL1727" s="227"/>
      <c r="IVM1727" s="227"/>
      <c r="IVN1727" s="227"/>
      <c r="IVO1727" s="227"/>
      <c r="IVP1727" s="227"/>
      <c r="IVQ1727" s="227"/>
      <c r="IVR1727" s="227"/>
      <c r="IVS1727" s="227"/>
      <c r="IVT1727" s="227"/>
      <c r="IVU1727" s="227"/>
      <c r="IVV1727" s="227"/>
      <c r="IVW1727" s="227"/>
      <c r="IVX1727" s="227"/>
      <c r="IVY1727" s="227"/>
      <c r="IVZ1727" s="227"/>
      <c r="IWA1727" s="227"/>
      <c r="IWB1727" s="227"/>
      <c r="IWC1727" s="227"/>
      <c r="IWD1727" s="227"/>
      <c r="IWE1727" s="227"/>
      <c r="IWF1727" s="227"/>
      <c r="IWG1727" s="227"/>
      <c r="IWH1727" s="227"/>
      <c r="IWI1727" s="227"/>
      <c r="IWJ1727" s="227"/>
      <c r="IWK1727" s="227"/>
      <c r="IWL1727" s="227"/>
      <c r="IWM1727" s="227"/>
      <c r="IWN1727" s="227"/>
      <c r="IWO1727" s="227"/>
      <c r="IWP1727" s="227"/>
      <c r="IWQ1727" s="227"/>
      <c r="IWR1727" s="227"/>
      <c r="IWS1727" s="227"/>
      <c r="IWT1727" s="227"/>
      <c r="IWU1727" s="227"/>
      <c r="IWV1727" s="227"/>
      <c r="IWW1727" s="227"/>
      <c r="IWX1727" s="227"/>
      <c r="IWY1727" s="227"/>
      <c r="IWZ1727" s="227"/>
      <c r="IXA1727" s="227"/>
      <c r="IXB1727" s="227"/>
      <c r="IXC1727" s="227"/>
      <c r="IXD1727" s="227"/>
      <c r="IXE1727" s="227"/>
      <c r="IXF1727" s="227"/>
      <c r="IXG1727" s="227"/>
      <c r="IXH1727" s="227"/>
      <c r="IXI1727" s="227"/>
      <c r="IXJ1727" s="227"/>
      <c r="IXK1727" s="227"/>
      <c r="IXL1727" s="227"/>
      <c r="IXM1727" s="227"/>
      <c r="IXN1727" s="227"/>
      <c r="IXO1727" s="227"/>
      <c r="IXP1727" s="227"/>
      <c r="IXQ1727" s="227"/>
      <c r="IXR1727" s="227"/>
      <c r="IXS1727" s="227"/>
      <c r="IXT1727" s="227"/>
      <c r="IXU1727" s="227"/>
      <c r="IXV1727" s="227"/>
      <c r="IXW1727" s="227"/>
      <c r="IXX1727" s="227"/>
      <c r="IXY1727" s="227"/>
      <c r="IXZ1727" s="227"/>
      <c r="IYA1727" s="227"/>
      <c r="IYB1727" s="227"/>
      <c r="IYC1727" s="227"/>
      <c r="IYD1727" s="227"/>
      <c r="IYE1727" s="227"/>
      <c r="IYF1727" s="227"/>
      <c r="IYG1727" s="227"/>
      <c r="IYH1727" s="227"/>
      <c r="IYI1727" s="227"/>
      <c r="IYJ1727" s="227"/>
      <c r="IYK1727" s="227"/>
      <c r="IYL1727" s="227"/>
      <c r="IYM1727" s="227"/>
      <c r="IYN1727" s="227"/>
      <c r="IYO1727" s="227"/>
      <c r="IYP1727" s="227"/>
      <c r="IYQ1727" s="227"/>
      <c r="IYR1727" s="227"/>
      <c r="IYS1727" s="227"/>
      <c r="IYT1727" s="227"/>
      <c r="IYU1727" s="227"/>
      <c r="IYV1727" s="227"/>
      <c r="IYW1727" s="227"/>
      <c r="IYX1727" s="227"/>
      <c r="IYY1727" s="227"/>
      <c r="IYZ1727" s="227"/>
      <c r="IZA1727" s="227"/>
      <c r="IZB1727" s="227"/>
      <c r="IZC1727" s="227"/>
      <c r="IZD1727" s="227"/>
      <c r="IZE1727" s="227"/>
      <c r="IZF1727" s="227"/>
      <c r="IZG1727" s="227"/>
      <c r="IZH1727" s="227"/>
      <c r="IZI1727" s="227"/>
      <c r="IZJ1727" s="227"/>
      <c r="IZK1727" s="227"/>
      <c r="IZL1727" s="227"/>
      <c r="IZM1727" s="227"/>
      <c r="IZN1727" s="227"/>
      <c r="IZO1727" s="227"/>
      <c r="IZP1727" s="227"/>
      <c r="IZQ1727" s="227"/>
      <c r="IZR1727" s="227"/>
      <c r="IZS1727" s="227"/>
      <c r="IZT1727" s="227"/>
      <c r="IZU1727" s="227"/>
      <c r="IZV1727" s="227"/>
      <c r="IZW1727" s="227"/>
      <c r="IZX1727" s="227"/>
      <c r="IZY1727" s="227"/>
      <c r="IZZ1727" s="227"/>
      <c r="JAA1727" s="227"/>
      <c r="JAB1727" s="227"/>
      <c r="JAC1727" s="227"/>
      <c r="JAD1727" s="227"/>
      <c r="JAE1727" s="227"/>
      <c r="JAF1727" s="227"/>
      <c r="JAG1727" s="227"/>
      <c r="JAH1727" s="227"/>
      <c r="JAI1727" s="227"/>
      <c r="JAJ1727" s="227"/>
      <c r="JAK1727" s="227"/>
      <c r="JAL1727" s="227"/>
      <c r="JAM1727" s="227"/>
      <c r="JAN1727" s="227"/>
      <c r="JAO1727" s="227"/>
      <c r="JAP1727" s="227"/>
      <c r="JAQ1727" s="227"/>
      <c r="JAR1727" s="227"/>
      <c r="JAS1727" s="227"/>
      <c r="JAT1727" s="227"/>
      <c r="JAU1727" s="227"/>
      <c r="JAV1727" s="227"/>
      <c r="JAW1727" s="227"/>
      <c r="JAX1727" s="227"/>
      <c r="JAY1727" s="227"/>
      <c r="JAZ1727" s="227"/>
      <c r="JBA1727" s="227"/>
      <c r="JBB1727" s="227"/>
      <c r="JBC1727" s="227"/>
      <c r="JBD1727" s="227"/>
      <c r="JBE1727" s="227"/>
      <c r="JBF1727" s="227"/>
      <c r="JBG1727" s="227"/>
      <c r="JBH1727" s="227"/>
      <c r="JBI1727" s="227"/>
      <c r="JBJ1727" s="227"/>
      <c r="JBK1727" s="227"/>
      <c r="JBL1727" s="227"/>
      <c r="JBM1727" s="227"/>
      <c r="JBN1727" s="227"/>
      <c r="JBO1727" s="227"/>
      <c r="JBP1727" s="227"/>
      <c r="JBQ1727" s="227"/>
      <c r="JBR1727" s="227"/>
      <c r="JBS1727" s="227"/>
      <c r="JBT1727" s="227"/>
      <c r="JBU1727" s="227"/>
      <c r="JBV1727" s="227"/>
      <c r="JBW1727" s="227"/>
      <c r="JBX1727" s="227"/>
      <c r="JBY1727" s="227"/>
      <c r="JBZ1727" s="227"/>
      <c r="JCA1727" s="227"/>
      <c r="JCB1727" s="227"/>
      <c r="JCC1727" s="227"/>
      <c r="JCD1727" s="227"/>
      <c r="JCE1727" s="227"/>
      <c r="JCF1727" s="227"/>
      <c r="JCG1727" s="227"/>
      <c r="JCH1727" s="227"/>
      <c r="JCI1727" s="227"/>
      <c r="JCJ1727" s="227"/>
      <c r="JCK1727" s="227"/>
      <c r="JCL1727" s="227"/>
      <c r="JCM1727" s="227"/>
      <c r="JCN1727" s="227"/>
      <c r="JCO1727" s="227"/>
      <c r="JCP1727" s="227"/>
      <c r="JCQ1727" s="227"/>
      <c r="JCR1727" s="227"/>
      <c r="JCS1727" s="227"/>
      <c r="JCT1727" s="227"/>
      <c r="JCU1727" s="227"/>
      <c r="JCV1727" s="227"/>
      <c r="JCW1727" s="227"/>
      <c r="JCX1727" s="227"/>
      <c r="JCY1727" s="227"/>
      <c r="JCZ1727" s="227"/>
      <c r="JDA1727" s="227"/>
      <c r="JDB1727" s="227"/>
      <c r="JDC1727" s="227"/>
      <c r="JDD1727" s="227"/>
      <c r="JDE1727" s="227"/>
      <c r="JDF1727" s="227"/>
      <c r="JDG1727" s="227"/>
      <c r="JDH1727" s="227"/>
      <c r="JDI1727" s="227"/>
      <c r="JDJ1727" s="227"/>
      <c r="JDK1727" s="227"/>
      <c r="JDL1727" s="227"/>
      <c r="JDM1727" s="227"/>
      <c r="JDN1727" s="227"/>
      <c r="JDO1727" s="227"/>
      <c r="JDP1727" s="227"/>
      <c r="JDQ1727" s="227"/>
      <c r="JDR1727" s="227"/>
      <c r="JDS1727" s="227"/>
      <c r="JDT1727" s="227"/>
      <c r="JDU1727" s="227"/>
      <c r="JDV1727" s="227"/>
      <c r="JDW1727" s="227"/>
      <c r="JDX1727" s="227"/>
      <c r="JDY1727" s="227"/>
      <c r="JDZ1727" s="227"/>
      <c r="JEA1727" s="227"/>
      <c r="JEB1727" s="227"/>
      <c r="JEC1727" s="227"/>
      <c r="JED1727" s="227"/>
      <c r="JEE1727" s="227"/>
      <c r="JEF1727" s="227"/>
      <c r="JEG1727" s="227"/>
      <c r="JEH1727" s="227"/>
      <c r="JEI1727" s="227"/>
      <c r="JEJ1727" s="227"/>
      <c r="JEK1727" s="227"/>
      <c r="JEL1727" s="227"/>
      <c r="JEM1727" s="227"/>
      <c r="JEN1727" s="227"/>
      <c r="JEO1727" s="227"/>
      <c r="JEP1727" s="227"/>
      <c r="JEQ1727" s="227"/>
      <c r="JER1727" s="227"/>
      <c r="JES1727" s="227"/>
      <c r="JET1727" s="227"/>
      <c r="JEU1727" s="227"/>
      <c r="JEV1727" s="227"/>
      <c r="JEW1727" s="227"/>
      <c r="JEX1727" s="227"/>
      <c r="JEY1727" s="227"/>
      <c r="JEZ1727" s="227"/>
      <c r="JFA1727" s="227"/>
      <c r="JFB1727" s="227"/>
      <c r="JFC1727" s="227"/>
      <c r="JFD1727" s="227"/>
      <c r="JFE1727" s="227"/>
      <c r="JFF1727" s="227"/>
      <c r="JFG1727" s="227"/>
      <c r="JFH1727" s="227"/>
      <c r="JFI1727" s="227"/>
      <c r="JFJ1727" s="227"/>
      <c r="JFK1727" s="227"/>
      <c r="JFL1727" s="227"/>
      <c r="JFM1727" s="227"/>
      <c r="JFN1727" s="227"/>
      <c r="JFO1727" s="227"/>
      <c r="JFP1727" s="227"/>
      <c r="JFQ1727" s="227"/>
      <c r="JFR1727" s="227"/>
      <c r="JFS1727" s="227"/>
      <c r="JFT1727" s="227"/>
      <c r="JFU1727" s="227"/>
      <c r="JFV1727" s="227"/>
      <c r="JFW1727" s="227"/>
      <c r="JFX1727" s="227"/>
      <c r="JFY1727" s="227"/>
      <c r="JFZ1727" s="227"/>
      <c r="JGA1727" s="227"/>
      <c r="JGB1727" s="227"/>
      <c r="JGC1727" s="227"/>
      <c r="JGD1727" s="227"/>
      <c r="JGE1727" s="227"/>
      <c r="JGF1727" s="227"/>
      <c r="JGG1727" s="227"/>
      <c r="JGH1727" s="227"/>
      <c r="JGI1727" s="227"/>
      <c r="JGJ1727" s="227"/>
      <c r="JGK1727" s="227"/>
      <c r="JGL1727" s="227"/>
      <c r="JGM1727" s="227"/>
      <c r="JGN1727" s="227"/>
      <c r="JGO1727" s="227"/>
      <c r="JGP1727" s="227"/>
      <c r="JGQ1727" s="227"/>
      <c r="JGR1727" s="227"/>
      <c r="JGS1727" s="227"/>
      <c r="JGT1727" s="227"/>
      <c r="JGU1727" s="227"/>
      <c r="JGV1727" s="227"/>
      <c r="JGW1727" s="227"/>
      <c r="JGX1727" s="227"/>
      <c r="JGY1727" s="227"/>
      <c r="JGZ1727" s="227"/>
      <c r="JHA1727" s="227"/>
      <c r="JHB1727" s="227"/>
      <c r="JHC1727" s="227"/>
      <c r="JHD1727" s="227"/>
      <c r="JHE1727" s="227"/>
      <c r="JHF1727" s="227"/>
      <c r="JHG1727" s="227"/>
      <c r="JHH1727" s="227"/>
      <c r="JHI1727" s="227"/>
      <c r="JHJ1727" s="227"/>
      <c r="JHK1727" s="227"/>
      <c r="JHL1727" s="227"/>
      <c r="JHM1727" s="227"/>
      <c r="JHN1727" s="227"/>
      <c r="JHO1727" s="227"/>
      <c r="JHP1727" s="227"/>
      <c r="JHQ1727" s="227"/>
      <c r="JHR1727" s="227"/>
      <c r="JHS1727" s="227"/>
      <c r="JHT1727" s="227"/>
      <c r="JHU1727" s="227"/>
      <c r="JHV1727" s="227"/>
      <c r="JHW1727" s="227"/>
      <c r="JHX1727" s="227"/>
      <c r="JHY1727" s="227"/>
      <c r="JHZ1727" s="227"/>
      <c r="JIA1727" s="227"/>
      <c r="JIB1727" s="227"/>
      <c r="JIC1727" s="227"/>
      <c r="JID1727" s="227"/>
      <c r="JIE1727" s="227"/>
      <c r="JIF1727" s="227"/>
      <c r="JIG1727" s="227"/>
      <c r="JIH1727" s="227"/>
      <c r="JII1727" s="227"/>
      <c r="JIJ1727" s="227"/>
      <c r="JIK1727" s="227"/>
      <c r="JIL1727" s="227"/>
      <c r="JIM1727" s="227"/>
      <c r="JIN1727" s="227"/>
      <c r="JIO1727" s="227"/>
      <c r="JIP1727" s="227"/>
      <c r="JIQ1727" s="227"/>
      <c r="JIR1727" s="227"/>
      <c r="JIS1727" s="227"/>
      <c r="JIT1727" s="227"/>
      <c r="JIU1727" s="227"/>
      <c r="JIV1727" s="227"/>
      <c r="JIW1727" s="227"/>
      <c r="JIX1727" s="227"/>
      <c r="JIY1727" s="227"/>
      <c r="JIZ1727" s="227"/>
      <c r="JJA1727" s="227"/>
      <c r="JJB1727" s="227"/>
      <c r="JJC1727" s="227"/>
      <c r="JJD1727" s="227"/>
      <c r="JJE1727" s="227"/>
      <c r="JJF1727" s="227"/>
      <c r="JJG1727" s="227"/>
      <c r="JJH1727" s="227"/>
      <c r="JJI1727" s="227"/>
      <c r="JJJ1727" s="227"/>
      <c r="JJK1727" s="227"/>
      <c r="JJL1727" s="227"/>
      <c r="JJM1727" s="227"/>
      <c r="JJN1727" s="227"/>
      <c r="JJO1727" s="227"/>
      <c r="JJP1727" s="227"/>
      <c r="JJQ1727" s="227"/>
      <c r="JJR1727" s="227"/>
      <c r="JJS1727" s="227"/>
      <c r="JJT1727" s="227"/>
      <c r="JJU1727" s="227"/>
      <c r="JJV1727" s="227"/>
      <c r="JJW1727" s="227"/>
      <c r="JJX1727" s="227"/>
      <c r="JJY1727" s="227"/>
      <c r="JJZ1727" s="227"/>
      <c r="JKA1727" s="227"/>
      <c r="JKB1727" s="227"/>
      <c r="JKC1727" s="227"/>
      <c r="JKD1727" s="227"/>
      <c r="JKE1727" s="227"/>
      <c r="JKF1727" s="227"/>
      <c r="JKG1727" s="227"/>
      <c r="JKH1727" s="227"/>
      <c r="JKI1727" s="227"/>
      <c r="JKJ1727" s="227"/>
      <c r="JKK1727" s="227"/>
      <c r="JKL1727" s="227"/>
      <c r="JKM1727" s="227"/>
      <c r="JKN1727" s="227"/>
      <c r="JKO1727" s="227"/>
      <c r="JKP1727" s="227"/>
      <c r="JKQ1727" s="227"/>
      <c r="JKR1727" s="227"/>
      <c r="JKS1727" s="227"/>
      <c r="JKT1727" s="227"/>
      <c r="JKU1727" s="227"/>
      <c r="JKV1727" s="227"/>
      <c r="JKW1727" s="227"/>
      <c r="JKX1727" s="227"/>
      <c r="JKY1727" s="227"/>
      <c r="JKZ1727" s="227"/>
      <c r="JLA1727" s="227"/>
      <c r="JLB1727" s="227"/>
      <c r="JLC1727" s="227"/>
      <c r="JLD1727" s="227"/>
      <c r="JLE1727" s="227"/>
      <c r="JLF1727" s="227"/>
      <c r="JLG1727" s="227"/>
      <c r="JLH1727" s="227"/>
      <c r="JLI1727" s="227"/>
      <c r="JLJ1727" s="227"/>
      <c r="JLK1727" s="227"/>
      <c r="JLL1727" s="227"/>
      <c r="JLM1727" s="227"/>
      <c r="JLN1727" s="227"/>
      <c r="JLO1727" s="227"/>
      <c r="JLP1727" s="227"/>
      <c r="JLQ1727" s="227"/>
      <c r="JLR1727" s="227"/>
      <c r="JLS1727" s="227"/>
      <c r="JLT1727" s="227"/>
      <c r="JLU1727" s="227"/>
      <c r="JLV1727" s="227"/>
      <c r="JLW1727" s="227"/>
      <c r="JLX1727" s="227"/>
      <c r="JLY1727" s="227"/>
      <c r="JLZ1727" s="227"/>
      <c r="JMA1727" s="227"/>
      <c r="JMB1727" s="227"/>
      <c r="JMC1727" s="227"/>
      <c r="JMD1727" s="227"/>
      <c r="JME1727" s="227"/>
      <c r="JMF1727" s="227"/>
      <c r="JMG1727" s="227"/>
      <c r="JMH1727" s="227"/>
      <c r="JMI1727" s="227"/>
      <c r="JMJ1727" s="227"/>
      <c r="JMK1727" s="227"/>
      <c r="JML1727" s="227"/>
      <c r="JMM1727" s="227"/>
      <c r="JMN1727" s="227"/>
      <c r="JMO1727" s="227"/>
      <c r="JMP1727" s="227"/>
      <c r="JMQ1727" s="227"/>
      <c r="JMR1727" s="227"/>
      <c r="JMS1727" s="227"/>
      <c r="JMT1727" s="227"/>
      <c r="JMU1727" s="227"/>
      <c r="JMV1727" s="227"/>
      <c r="JMW1727" s="227"/>
      <c r="JMX1727" s="227"/>
      <c r="JMY1727" s="227"/>
      <c r="JMZ1727" s="227"/>
      <c r="JNA1727" s="227"/>
      <c r="JNB1727" s="227"/>
      <c r="JNC1727" s="227"/>
      <c r="JND1727" s="227"/>
      <c r="JNE1727" s="227"/>
      <c r="JNF1727" s="227"/>
      <c r="JNG1727" s="227"/>
      <c r="JNH1727" s="227"/>
      <c r="JNI1727" s="227"/>
      <c r="JNJ1727" s="227"/>
      <c r="JNK1727" s="227"/>
      <c r="JNL1727" s="227"/>
      <c r="JNM1727" s="227"/>
      <c r="JNN1727" s="227"/>
      <c r="JNO1727" s="227"/>
      <c r="JNP1727" s="227"/>
      <c r="JNQ1727" s="227"/>
      <c r="JNR1727" s="227"/>
      <c r="JNS1727" s="227"/>
      <c r="JNT1727" s="227"/>
      <c r="JNU1727" s="227"/>
      <c r="JNV1727" s="227"/>
      <c r="JNW1727" s="227"/>
      <c r="JNX1727" s="227"/>
      <c r="JNY1727" s="227"/>
      <c r="JNZ1727" s="227"/>
      <c r="JOA1727" s="227"/>
      <c r="JOB1727" s="227"/>
      <c r="JOC1727" s="227"/>
      <c r="JOD1727" s="227"/>
      <c r="JOE1727" s="227"/>
      <c r="JOF1727" s="227"/>
      <c r="JOG1727" s="227"/>
      <c r="JOH1727" s="227"/>
      <c r="JOI1727" s="227"/>
      <c r="JOJ1727" s="227"/>
      <c r="JOK1727" s="227"/>
      <c r="JOL1727" s="227"/>
      <c r="JOM1727" s="227"/>
      <c r="JON1727" s="227"/>
      <c r="JOO1727" s="227"/>
      <c r="JOP1727" s="227"/>
      <c r="JOQ1727" s="227"/>
      <c r="JOR1727" s="227"/>
      <c r="JOS1727" s="227"/>
      <c r="JOT1727" s="227"/>
      <c r="JOU1727" s="227"/>
      <c r="JOV1727" s="227"/>
      <c r="JOW1727" s="227"/>
      <c r="JOX1727" s="227"/>
      <c r="JOY1727" s="227"/>
      <c r="JOZ1727" s="227"/>
      <c r="JPA1727" s="227"/>
      <c r="JPB1727" s="227"/>
      <c r="JPC1727" s="227"/>
      <c r="JPD1727" s="227"/>
      <c r="JPE1727" s="227"/>
      <c r="JPF1727" s="227"/>
      <c r="JPG1727" s="227"/>
      <c r="JPH1727" s="227"/>
      <c r="JPI1727" s="227"/>
      <c r="JPJ1727" s="227"/>
      <c r="JPK1727" s="227"/>
      <c r="JPL1727" s="227"/>
      <c r="JPM1727" s="227"/>
      <c r="JPN1727" s="227"/>
      <c r="JPO1727" s="227"/>
      <c r="JPP1727" s="227"/>
      <c r="JPQ1727" s="227"/>
      <c r="JPR1727" s="227"/>
      <c r="JPS1727" s="227"/>
      <c r="JPT1727" s="227"/>
      <c r="JPU1727" s="227"/>
      <c r="JPV1727" s="227"/>
      <c r="JPW1727" s="227"/>
      <c r="JPX1727" s="227"/>
      <c r="JPY1727" s="227"/>
      <c r="JPZ1727" s="227"/>
      <c r="JQA1727" s="227"/>
      <c r="JQB1727" s="227"/>
      <c r="JQC1727" s="227"/>
      <c r="JQD1727" s="227"/>
      <c r="JQE1727" s="227"/>
      <c r="JQF1727" s="227"/>
      <c r="JQG1727" s="227"/>
      <c r="JQH1727" s="227"/>
      <c r="JQI1727" s="227"/>
      <c r="JQJ1727" s="227"/>
      <c r="JQK1727" s="227"/>
      <c r="JQL1727" s="227"/>
      <c r="JQM1727" s="227"/>
      <c r="JQN1727" s="227"/>
      <c r="JQO1727" s="227"/>
      <c r="JQP1727" s="227"/>
      <c r="JQQ1727" s="227"/>
      <c r="JQR1727" s="227"/>
      <c r="JQS1727" s="227"/>
      <c r="JQT1727" s="227"/>
      <c r="JQU1727" s="227"/>
      <c r="JQV1727" s="227"/>
      <c r="JQW1727" s="227"/>
      <c r="JQX1727" s="227"/>
      <c r="JQY1727" s="227"/>
      <c r="JQZ1727" s="227"/>
      <c r="JRA1727" s="227"/>
      <c r="JRB1727" s="227"/>
      <c r="JRC1727" s="227"/>
      <c r="JRD1727" s="227"/>
      <c r="JRE1727" s="227"/>
      <c r="JRF1727" s="227"/>
      <c r="JRG1727" s="227"/>
      <c r="JRH1727" s="227"/>
      <c r="JRI1727" s="227"/>
      <c r="JRJ1727" s="227"/>
      <c r="JRK1727" s="227"/>
      <c r="JRL1727" s="227"/>
      <c r="JRM1727" s="227"/>
      <c r="JRN1727" s="227"/>
      <c r="JRO1727" s="227"/>
      <c r="JRP1727" s="227"/>
      <c r="JRQ1727" s="227"/>
      <c r="JRR1727" s="227"/>
      <c r="JRS1727" s="227"/>
      <c r="JRT1727" s="227"/>
      <c r="JRU1727" s="227"/>
      <c r="JRV1727" s="227"/>
      <c r="JRW1727" s="227"/>
      <c r="JRX1727" s="227"/>
      <c r="JRY1727" s="227"/>
      <c r="JRZ1727" s="227"/>
      <c r="JSA1727" s="227"/>
      <c r="JSB1727" s="227"/>
      <c r="JSC1727" s="227"/>
      <c r="JSD1727" s="227"/>
      <c r="JSE1727" s="227"/>
      <c r="JSF1727" s="227"/>
      <c r="JSG1727" s="227"/>
      <c r="JSH1727" s="227"/>
      <c r="JSI1727" s="227"/>
      <c r="JSJ1727" s="227"/>
      <c r="JSK1727" s="227"/>
      <c r="JSL1727" s="227"/>
      <c r="JSM1727" s="227"/>
      <c r="JSN1727" s="227"/>
      <c r="JSO1727" s="227"/>
      <c r="JSP1727" s="227"/>
      <c r="JSQ1727" s="227"/>
      <c r="JSR1727" s="227"/>
      <c r="JSS1727" s="227"/>
      <c r="JST1727" s="227"/>
      <c r="JSU1727" s="227"/>
      <c r="JSV1727" s="227"/>
      <c r="JSW1727" s="227"/>
      <c r="JSX1727" s="227"/>
      <c r="JSY1727" s="227"/>
      <c r="JSZ1727" s="227"/>
      <c r="JTA1727" s="227"/>
      <c r="JTB1727" s="227"/>
      <c r="JTC1727" s="227"/>
      <c r="JTD1727" s="227"/>
      <c r="JTE1727" s="227"/>
      <c r="JTF1727" s="227"/>
      <c r="JTG1727" s="227"/>
      <c r="JTH1727" s="227"/>
      <c r="JTI1727" s="227"/>
      <c r="JTJ1727" s="227"/>
      <c r="JTK1727" s="227"/>
      <c r="JTL1727" s="227"/>
      <c r="JTM1727" s="227"/>
      <c r="JTN1727" s="227"/>
      <c r="JTO1727" s="227"/>
      <c r="JTP1727" s="227"/>
      <c r="JTQ1727" s="227"/>
      <c r="JTR1727" s="227"/>
      <c r="JTS1727" s="227"/>
      <c r="JTT1727" s="227"/>
      <c r="JTU1727" s="227"/>
      <c r="JTV1727" s="227"/>
      <c r="JTW1727" s="227"/>
      <c r="JTX1727" s="227"/>
      <c r="JTY1727" s="227"/>
      <c r="JTZ1727" s="227"/>
      <c r="JUA1727" s="227"/>
      <c r="JUB1727" s="227"/>
      <c r="JUC1727" s="227"/>
      <c r="JUD1727" s="227"/>
      <c r="JUE1727" s="227"/>
      <c r="JUF1727" s="227"/>
      <c r="JUG1727" s="227"/>
      <c r="JUH1727" s="227"/>
      <c r="JUI1727" s="227"/>
      <c r="JUJ1727" s="227"/>
      <c r="JUK1727" s="227"/>
      <c r="JUL1727" s="227"/>
      <c r="JUM1727" s="227"/>
      <c r="JUN1727" s="227"/>
      <c r="JUO1727" s="227"/>
      <c r="JUP1727" s="227"/>
      <c r="JUQ1727" s="227"/>
      <c r="JUR1727" s="227"/>
      <c r="JUS1727" s="227"/>
      <c r="JUT1727" s="227"/>
      <c r="JUU1727" s="227"/>
      <c r="JUV1727" s="227"/>
      <c r="JUW1727" s="227"/>
      <c r="JUX1727" s="227"/>
      <c r="JUY1727" s="227"/>
      <c r="JUZ1727" s="227"/>
      <c r="JVA1727" s="227"/>
      <c r="JVB1727" s="227"/>
      <c r="JVC1727" s="227"/>
      <c r="JVD1727" s="227"/>
      <c r="JVE1727" s="227"/>
      <c r="JVF1727" s="227"/>
      <c r="JVG1727" s="227"/>
      <c r="JVH1727" s="227"/>
      <c r="JVI1727" s="227"/>
      <c r="JVJ1727" s="227"/>
      <c r="JVK1727" s="227"/>
      <c r="JVL1727" s="227"/>
      <c r="JVM1727" s="227"/>
      <c r="JVN1727" s="227"/>
      <c r="JVO1727" s="227"/>
      <c r="JVP1727" s="227"/>
      <c r="JVQ1727" s="227"/>
      <c r="JVR1727" s="227"/>
      <c r="JVS1727" s="227"/>
      <c r="JVT1727" s="227"/>
      <c r="JVU1727" s="227"/>
      <c r="JVV1727" s="227"/>
      <c r="JVW1727" s="227"/>
      <c r="JVX1727" s="227"/>
      <c r="JVY1727" s="227"/>
      <c r="JVZ1727" s="227"/>
      <c r="JWA1727" s="227"/>
      <c r="JWB1727" s="227"/>
      <c r="JWC1727" s="227"/>
      <c r="JWD1727" s="227"/>
      <c r="JWE1727" s="227"/>
      <c r="JWF1727" s="227"/>
      <c r="JWG1727" s="227"/>
      <c r="JWH1727" s="227"/>
      <c r="JWI1727" s="227"/>
      <c r="JWJ1727" s="227"/>
      <c r="JWK1727" s="227"/>
      <c r="JWL1727" s="227"/>
      <c r="JWM1727" s="227"/>
      <c r="JWN1727" s="227"/>
      <c r="JWO1727" s="227"/>
      <c r="JWP1727" s="227"/>
      <c r="JWQ1727" s="227"/>
      <c r="JWR1727" s="227"/>
      <c r="JWS1727" s="227"/>
      <c r="JWT1727" s="227"/>
      <c r="JWU1727" s="227"/>
      <c r="JWV1727" s="227"/>
      <c r="JWW1727" s="227"/>
      <c r="JWX1727" s="227"/>
      <c r="JWY1727" s="227"/>
      <c r="JWZ1727" s="227"/>
      <c r="JXA1727" s="227"/>
      <c r="JXB1727" s="227"/>
      <c r="JXC1727" s="227"/>
      <c r="JXD1727" s="227"/>
      <c r="JXE1727" s="227"/>
      <c r="JXF1727" s="227"/>
      <c r="JXG1727" s="227"/>
      <c r="JXH1727" s="227"/>
      <c r="JXI1727" s="227"/>
      <c r="JXJ1727" s="227"/>
      <c r="JXK1727" s="227"/>
      <c r="JXL1727" s="227"/>
      <c r="JXM1727" s="227"/>
      <c r="JXN1727" s="227"/>
      <c r="JXO1727" s="227"/>
      <c r="JXP1727" s="227"/>
      <c r="JXQ1727" s="227"/>
      <c r="JXR1727" s="227"/>
      <c r="JXS1727" s="227"/>
      <c r="JXT1727" s="227"/>
      <c r="JXU1727" s="227"/>
      <c r="JXV1727" s="227"/>
      <c r="JXW1727" s="227"/>
      <c r="JXX1727" s="227"/>
      <c r="JXY1727" s="227"/>
      <c r="JXZ1727" s="227"/>
      <c r="JYA1727" s="227"/>
      <c r="JYB1727" s="227"/>
      <c r="JYC1727" s="227"/>
      <c r="JYD1727" s="227"/>
      <c r="JYE1727" s="227"/>
      <c r="JYF1727" s="227"/>
      <c r="JYG1727" s="227"/>
      <c r="JYH1727" s="227"/>
      <c r="JYI1727" s="227"/>
      <c r="JYJ1727" s="227"/>
      <c r="JYK1727" s="227"/>
      <c r="JYL1727" s="227"/>
      <c r="JYM1727" s="227"/>
      <c r="JYN1727" s="227"/>
      <c r="JYO1727" s="227"/>
      <c r="JYP1727" s="227"/>
      <c r="JYQ1727" s="227"/>
      <c r="JYR1727" s="227"/>
      <c r="JYS1727" s="227"/>
      <c r="JYT1727" s="227"/>
      <c r="JYU1727" s="227"/>
      <c r="JYV1727" s="227"/>
      <c r="JYW1727" s="227"/>
      <c r="JYX1727" s="227"/>
      <c r="JYY1727" s="227"/>
      <c r="JYZ1727" s="227"/>
      <c r="JZA1727" s="227"/>
      <c r="JZB1727" s="227"/>
      <c r="JZC1727" s="227"/>
      <c r="JZD1727" s="227"/>
      <c r="JZE1727" s="227"/>
      <c r="JZF1727" s="227"/>
      <c r="JZG1727" s="227"/>
      <c r="JZH1727" s="227"/>
      <c r="JZI1727" s="227"/>
      <c r="JZJ1727" s="227"/>
      <c r="JZK1727" s="227"/>
      <c r="JZL1727" s="227"/>
      <c r="JZM1727" s="227"/>
      <c r="JZN1727" s="227"/>
      <c r="JZO1727" s="227"/>
      <c r="JZP1727" s="227"/>
      <c r="JZQ1727" s="227"/>
      <c r="JZR1727" s="227"/>
      <c r="JZS1727" s="227"/>
      <c r="JZT1727" s="227"/>
      <c r="JZU1727" s="227"/>
      <c r="JZV1727" s="227"/>
      <c r="JZW1727" s="227"/>
      <c r="JZX1727" s="227"/>
      <c r="JZY1727" s="227"/>
      <c r="JZZ1727" s="227"/>
      <c r="KAA1727" s="227"/>
      <c r="KAB1727" s="227"/>
      <c r="KAC1727" s="227"/>
      <c r="KAD1727" s="227"/>
      <c r="KAE1727" s="227"/>
      <c r="KAF1727" s="227"/>
      <c r="KAG1727" s="227"/>
      <c r="KAH1727" s="227"/>
      <c r="KAI1727" s="227"/>
      <c r="KAJ1727" s="227"/>
      <c r="KAK1727" s="227"/>
      <c r="KAL1727" s="227"/>
      <c r="KAM1727" s="227"/>
      <c r="KAN1727" s="227"/>
      <c r="KAO1727" s="227"/>
      <c r="KAP1727" s="227"/>
      <c r="KAQ1727" s="227"/>
      <c r="KAR1727" s="227"/>
      <c r="KAS1727" s="227"/>
      <c r="KAT1727" s="227"/>
      <c r="KAU1727" s="227"/>
      <c r="KAV1727" s="227"/>
      <c r="KAW1727" s="227"/>
      <c r="KAX1727" s="227"/>
      <c r="KAY1727" s="227"/>
      <c r="KAZ1727" s="227"/>
      <c r="KBA1727" s="227"/>
      <c r="KBB1727" s="227"/>
      <c r="KBC1727" s="227"/>
      <c r="KBD1727" s="227"/>
      <c r="KBE1727" s="227"/>
      <c r="KBF1727" s="227"/>
      <c r="KBG1727" s="227"/>
      <c r="KBH1727" s="227"/>
      <c r="KBI1727" s="227"/>
      <c r="KBJ1727" s="227"/>
      <c r="KBK1727" s="227"/>
      <c r="KBL1727" s="227"/>
      <c r="KBM1727" s="227"/>
      <c r="KBN1727" s="227"/>
      <c r="KBO1727" s="227"/>
      <c r="KBP1727" s="227"/>
      <c r="KBQ1727" s="227"/>
      <c r="KBR1727" s="227"/>
      <c r="KBS1727" s="227"/>
      <c r="KBT1727" s="227"/>
      <c r="KBU1727" s="227"/>
      <c r="KBV1727" s="227"/>
      <c r="KBW1727" s="227"/>
      <c r="KBX1727" s="227"/>
      <c r="KBY1727" s="227"/>
      <c r="KBZ1727" s="227"/>
      <c r="KCA1727" s="227"/>
      <c r="KCB1727" s="227"/>
      <c r="KCC1727" s="227"/>
      <c r="KCD1727" s="227"/>
      <c r="KCE1727" s="227"/>
      <c r="KCF1727" s="227"/>
      <c r="KCG1727" s="227"/>
      <c r="KCH1727" s="227"/>
      <c r="KCI1727" s="227"/>
      <c r="KCJ1727" s="227"/>
      <c r="KCK1727" s="227"/>
      <c r="KCL1727" s="227"/>
      <c r="KCM1727" s="227"/>
      <c r="KCN1727" s="227"/>
      <c r="KCO1727" s="227"/>
      <c r="KCP1727" s="227"/>
      <c r="KCQ1727" s="227"/>
      <c r="KCR1727" s="227"/>
      <c r="KCS1727" s="227"/>
      <c r="KCT1727" s="227"/>
      <c r="KCU1727" s="227"/>
      <c r="KCV1727" s="227"/>
      <c r="KCW1727" s="227"/>
      <c r="KCX1727" s="227"/>
      <c r="KCY1727" s="227"/>
      <c r="KCZ1727" s="227"/>
      <c r="KDA1727" s="227"/>
      <c r="KDB1727" s="227"/>
      <c r="KDC1727" s="227"/>
      <c r="KDD1727" s="227"/>
      <c r="KDE1727" s="227"/>
      <c r="KDF1727" s="227"/>
      <c r="KDG1727" s="227"/>
      <c r="KDH1727" s="227"/>
      <c r="KDI1727" s="227"/>
      <c r="KDJ1727" s="227"/>
      <c r="KDK1727" s="227"/>
      <c r="KDL1727" s="227"/>
      <c r="KDM1727" s="227"/>
      <c r="KDN1727" s="227"/>
      <c r="KDO1727" s="227"/>
      <c r="KDP1727" s="227"/>
      <c r="KDQ1727" s="227"/>
      <c r="KDR1727" s="227"/>
      <c r="KDS1727" s="227"/>
      <c r="KDT1727" s="227"/>
      <c r="KDU1727" s="227"/>
      <c r="KDV1727" s="227"/>
      <c r="KDW1727" s="227"/>
      <c r="KDX1727" s="227"/>
      <c r="KDY1727" s="227"/>
      <c r="KDZ1727" s="227"/>
      <c r="KEA1727" s="227"/>
      <c r="KEB1727" s="227"/>
      <c r="KEC1727" s="227"/>
      <c r="KED1727" s="227"/>
      <c r="KEE1727" s="227"/>
      <c r="KEF1727" s="227"/>
      <c r="KEG1727" s="227"/>
      <c r="KEH1727" s="227"/>
      <c r="KEI1727" s="227"/>
      <c r="KEJ1727" s="227"/>
      <c r="KEK1727" s="227"/>
      <c r="KEL1727" s="227"/>
      <c r="KEM1727" s="227"/>
      <c r="KEN1727" s="227"/>
      <c r="KEO1727" s="227"/>
      <c r="KEP1727" s="227"/>
      <c r="KEQ1727" s="227"/>
      <c r="KER1727" s="227"/>
      <c r="KES1727" s="227"/>
      <c r="KET1727" s="227"/>
      <c r="KEU1727" s="227"/>
      <c r="KEV1727" s="227"/>
      <c r="KEW1727" s="227"/>
      <c r="KEX1727" s="227"/>
      <c r="KEY1727" s="227"/>
      <c r="KEZ1727" s="227"/>
      <c r="KFA1727" s="227"/>
      <c r="KFB1727" s="227"/>
      <c r="KFC1727" s="227"/>
      <c r="KFD1727" s="227"/>
      <c r="KFE1727" s="227"/>
      <c r="KFF1727" s="227"/>
      <c r="KFG1727" s="227"/>
      <c r="KFH1727" s="227"/>
      <c r="KFI1727" s="227"/>
      <c r="KFJ1727" s="227"/>
      <c r="KFK1727" s="227"/>
      <c r="KFL1727" s="227"/>
      <c r="KFM1727" s="227"/>
      <c r="KFN1727" s="227"/>
      <c r="KFO1727" s="227"/>
      <c r="KFP1727" s="227"/>
      <c r="KFQ1727" s="227"/>
      <c r="KFR1727" s="227"/>
      <c r="KFS1727" s="227"/>
      <c r="KFT1727" s="227"/>
      <c r="KFU1727" s="227"/>
      <c r="KFV1727" s="227"/>
      <c r="KFW1727" s="227"/>
      <c r="KFX1727" s="227"/>
      <c r="KFY1727" s="227"/>
      <c r="KFZ1727" s="227"/>
      <c r="KGA1727" s="227"/>
      <c r="KGB1727" s="227"/>
      <c r="KGC1727" s="227"/>
      <c r="KGD1727" s="227"/>
      <c r="KGE1727" s="227"/>
      <c r="KGF1727" s="227"/>
      <c r="KGG1727" s="227"/>
      <c r="KGH1727" s="227"/>
      <c r="KGI1727" s="227"/>
      <c r="KGJ1727" s="227"/>
      <c r="KGK1727" s="227"/>
      <c r="KGL1727" s="227"/>
      <c r="KGM1727" s="227"/>
      <c r="KGN1727" s="227"/>
      <c r="KGO1727" s="227"/>
      <c r="KGP1727" s="227"/>
      <c r="KGQ1727" s="227"/>
      <c r="KGR1727" s="227"/>
      <c r="KGS1727" s="227"/>
      <c r="KGT1727" s="227"/>
      <c r="KGU1727" s="227"/>
      <c r="KGV1727" s="227"/>
      <c r="KGW1727" s="227"/>
      <c r="KGX1727" s="227"/>
      <c r="KGY1727" s="227"/>
      <c r="KGZ1727" s="227"/>
      <c r="KHA1727" s="227"/>
      <c r="KHB1727" s="227"/>
      <c r="KHC1727" s="227"/>
      <c r="KHD1727" s="227"/>
      <c r="KHE1727" s="227"/>
      <c r="KHF1727" s="227"/>
      <c r="KHG1727" s="227"/>
      <c r="KHH1727" s="227"/>
      <c r="KHI1727" s="227"/>
      <c r="KHJ1727" s="227"/>
      <c r="KHK1727" s="227"/>
      <c r="KHL1727" s="227"/>
      <c r="KHM1727" s="227"/>
      <c r="KHN1727" s="227"/>
      <c r="KHO1727" s="227"/>
      <c r="KHP1727" s="227"/>
      <c r="KHQ1727" s="227"/>
      <c r="KHR1727" s="227"/>
      <c r="KHS1727" s="227"/>
      <c r="KHT1727" s="227"/>
      <c r="KHU1727" s="227"/>
      <c r="KHV1727" s="227"/>
      <c r="KHW1727" s="227"/>
      <c r="KHX1727" s="227"/>
      <c r="KHY1727" s="227"/>
      <c r="KHZ1727" s="227"/>
      <c r="KIA1727" s="227"/>
      <c r="KIB1727" s="227"/>
      <c r="KIC1727" s="227"/>
      <c r="KID1727" s="227"/>
      <c r="KIE1727" s="227"/>
      <c r="KIF1727" s="227"/>
      <c r="KIG1727" s="227"/>
      <c r="KIH1727" s="227"/>
      <c r="KII1727" s="227"/>
      <c r="KIJ1727" s="227"/>
      <c r="KIK1727" s="227"/>
      <c r="KIL1727" s="227"/>
      <c r="KIM1727" s="227"/>
      <c r="KIN1727" s="227"/>
      <c r="KIO1727" s="227"/>
      <c r="KIP1727" s="227"/>
      <c r="KIQ1727" s="227"/>
      <c r="KIR1727" s="227"/>
      <c r="KIS1727" s="227"/>
      <c r="KIT1727" s="227"/>
      <c r="KIU1727" s="227"/>
      <c r="KIV1727" s="227"/>
      <c r="KIW1727" s="227"/>
      <c r="KIX1727" s="227"/>
      <c r="KIY1727" s="227"/>
      <c r="KIZ1727" s="227"/>
      <c r="KJA1727" s="227"/>
      <c r="KJB1727" s="227"/>
      <c r="KJC1727" s="227"/>
      <c r="KJD1727" s="227"/>
      <c r="KJE1727" s="227"/>
      <c r="KJF1727" s="227"/>
      <c r="KJG1727" s="227"/>
      <c r="KJH1727" s="227"/>
      <c r="KJI1727" s="227"/>
      <c r="KJJ1727" s="227"/>
      <c r="KJK1727" s="227"/>
      <c r="KJL1727" s="227"/>
      <c r="KJM1727" s="227"/>
      <c r="KJN1727" s="227"/>
      <c r="KJO1727" s="227"/>
      <c r="KJP1727" s="227"/>
      <c r="KJQ1727" s="227"/>
      <c r="KJR1727" s="227"/>
      <c r="KJS1727" s="227"/>
      <c r="KJT1727" s="227"/>
      <c r="KJU1727" s="227"/>
      <c r="KJV1727" s="227"/>
      <c r="KJW1727" s="227"/>
      <c r="KJX1727" s="227"/>
      <c r="KJY1727" s="227"/>
      <c r="KJZ1727" s="227"/>
      <c r="KKA1727" s="227"/>
      <c r="KKB1727" s="227"/>
      <c r="KKC1727" s="227"/>
      <c r="KKD1727" s="227"/>
      <c r="KKE1727" s="227"/>
      <c r="KKF1727" s="227"/>
      <c r="KKG1727" s="227"/>
      <c r="KKH1727" s="227"/>
      <c r="KKI1727" s="227"/>
      <c r="KKJ1727" s="227"/>
      <c r="KKK1727" s="227"/>
      <c r="KKL1727" s="227"/>
      <c r="KKM1727" s="227"/>
      <c r="KKN1727" s="227"/>
      <c r="KKO1727" s="227"/>
      <c r="KKP1727" s="227"/>
      <c r="KKQ1727" s="227"/>
      <c r="KKR1727" s="227"/>
      <c r="KKS1727" s="227"/>
      <c r="KKT1727" s="227"/>
      <c r="KKU1727" s="227"/>
      <c r="KKV1727" s="227"/>
      <c r="KKW1727" s="227"/>
      <c r="KKX1727" s="227"/>
      <c r="KKY1727" s="227"/>
      <c r="KKZ1727" s="227"/>
      <c r="KLA1727" s="227"/>
      <c r="KLB1727" s="227"/>
      <c r="KLC1727" s="227"/>
      <c r="KLD1727" s="227"/>
      <c r="KLE1727" s="227"/>
      <c r="KLF1727" s="227"/>
      <c r="KLG1727" s="227"/>
      <c r="KLH1727" s="227"/>
      <c r="KLI1727" s="227"/>
      <c r="KLJ1727" s="227"/>
      <c r="KLK1727" s="227"/>
      <c r="KLL1727" s="227"/>
      <c r="KLM1727" s="227"/>
      <c r="KLN1727" s="227"/>
      <c r="KLO1727" s="227"/>
      <c r="KLP1727" s="227"/>
      <c r="KLQ1727" s="227"/>
      <c r="KLR1727" s="227"/>
      <c r="KLS1727" s="227"/>
      <c r="KLT1727" s="227"/>
      <c r="KLU1727" s="227"/>
      <c r="KLV1727" s="227"/>
      <c r="KLW1727" s="227"/>
      <c r="KLX1727" s="227"/>
      <c r="KLY1727" s="227"/>
      <c r="KLZ1727" s="227"/>
      <c r="KMA1727" s="227"/>
      <c r="KMB1727" s="227"/>
      <c r="KMC1727" s="227"/>
      <c r="KMD1727" s="227"/>
      <c r="KME1727" s="227"/>
      <c r="KMF1727" s="227"/>
      <c r="KMG1727" s="227"/>
      <c r="KMH1727" s="227"/>
      <c r="KMI1727" s="227"/>
      <c r="KMJ1727" s="227"/>
      <c r="KMK1727" s="227"/>
      <c r="KML1727" s="227"/>
      <c r="KMM1727" s="227"/>
      <c r="KMN1727" s="227"/>
      <c r="KMO1727" s="227"/>
      <c r="KMP1727" s="227"/>
      <c r="KMQ1727" s="227"/>
      <c r="KMR1727" s="227"/>
      <c r="KMS1727" s="227"/>
      <c r="KMT1727" s="227"/>
      <c r="KMU1727" s="227"/>
      <c r="KMV1727" s="227"/>
      <c r="KMW1727" s="227"/>
      <c r="KMX1727" s="227"/>
      <c r="KMY1727" s="227"/>
      <c r="KMZ1727" s="227"/>
      <c r="KNA1727" s="227"/>
      <c r="KNB1727" s="227"/>
      <c r="KNC1727" s="227"/>
      <c r="KND1727" s="227"/>
      <c r="KNE1727" s="227"/>
      <c r="KNF1727" s="227"/>
      <c r="KNG1727" s="227"/>
      <c r="KNH1727" s="227"/>
      <c r="KNI1727" s="227"/>
      <c r="KNJ1727" s="227"/>
      <c r="KNK1727" s="227"/>
      <c r="KNL1727" s="227"/>
      <c r="KNM1727" s="227"/>
      <c r="KNN1727" s="227"/>
      <c r="KNO1727" s="227"/>
      <c r="KNP1727" s="227"/>
      <c r="KNQ1727" s="227"/>
      <c r="KNR1727" s="227"/>
      <c r="KNS1727" s="227"/>
      <c r="KNT1727" s="227"/>
      <c r="KNU1727" s="227"/>
      <c r="KNV1727" s="227"/>
      <c r="KNW1727" s="227"/>
      <c r="KNX1727" s="227"/>
      <c r="KNY1727" s="227"/>
      <c r="KNZ1727" s="227"/>
      <c r="KOA1727" s="227"/>
      <c r="KOB1727" s="227"/>
      <c r="KOC1727" s="227"/>
      <c r="KOD1727" s="227"/>
      <c r="KOE1727" s="227"/>
      <c r="KOF1727" s="227"/>
      <c r="KOG1727" s="227"/>
      <c r="KOH1727" s="227"/>
      <c r="KOI1727" s="227"/>
      <c r="KOJ1727" s="227"/>
      <c r="KOK1727" s="227"/>
      <c r="KOL1727" s="227"/>
      <c r="KOM1727" s="227"/>
      <c r="KON1727" s="227"/>
      <c r="KOO1727" s="227"/>
      <c r="KOP1727" s="227"/>
      <c r="KOQ1727" s="227"/>
      <c r="KOR1727" s="227"/>
      <c r="KOS1727" s="227"/>
      <c r="KOT1727" s="227"/>
      <c r="KOU1727" s="227"/>
      <c r="KOV1727" s="227"/>
      <c r="KOW1727" s="227"/>
      <c r="KOX1727" s="227"/>
      <c r="KOY1727" s="227"/>
      <c r="KOZ1727" s="227"/>
      <c r="KPA1727" s="227"/>
      <c r="KPB1727" s="227"/>
      <c r="KPC1727" s="227"/>
      <c r="KPD1727" s="227"/>
      <c r="KPE1727" s="227"/>
      <c r="KPF1727" s="227"/>
      <c r="KPG1727" s="227"/>
      <c r="KPH1727" s="227"/>
      <c r="KPI1727" s="227"/>
      <c r="KPJ1727" s="227"/>
      <c r="KPK1727" s="227"/>
      <c r="KPL1727" s="227"/>
      <c r="KPM1727" s="227"/>
      <c r="KPN1727" s="227"/>
      <c r="KPO1727" s="227"/>
      <c r="KPP1727" s="227"/>
      <c r="KPQ1727" s="227"/>
      <c r="KPR1727" s="227"/>
      <c r="KPS1727" s="227"/>
      <c r="KPT1727" s="227"/>
      <c r="KPU1727" s="227"/>
      <c r="KPV1727" s="227"/>
      <c r="KPW1727" s="227"/>
      <c r="KPX1727" s="227"/>
      <c r="KPY1727" s="227"/>
      <c r="KPZ1727" s="227"/>
      <c r="KQA1727" s="227"/>
      <c r="KQB1727" s="227"/>
      <c r="KQC1727" s="227"/>
      <c r="KQD1727" s="227"/>
      <c r="KQE1727" s="227"/>
      <c r="KQF1727" s="227"/>
      <c r="KQG1727" s="227"/>
      <c r="KQH1727" s="227"/>
      <c r="KQI1727" s="227"/>
      <c r="KQJ1727" s="227"/>
      <c r="KQK1727" s="227"/>
      <c r="KQL1727" s="227"/>
      <c r="KQM1727" s="227"/>
      <c r="KQN1727" s="227"/>
      <c r="KQO1727" s="227"/>
      <c r="KQP1727" s="227"/>
      <c r="KQQ1727" s="227"/>
      <c r="KQR1727" s="227"/>
      <c r="KQS1727" s="227"/>
      <c r="KQT1727" s="227"/>
      <c r="KQU1727" s="227"/>
      <c r="KQV1727" s="227"/>
      <c r="KQW1727" s="227"/>
      <c r="KQX1727" s="227"/>
      <c r="KQY1727" s="227"/>
      <c r="KQZ1727" s="227"/>
      <c r="KRA1727" s="227"/>
      <c r="KRB1727" s="227"/>
      <c r="KRC1727" s="227"/>
      <c r="KRD1727" s="227"/>
      <c r="KRE1727" s="227"/>
      <c r="KRF1727" s="227"/>
      <c r="KRG1727" s="227"/>
      <c r="KRH1727" s="227"/>
      <c r="KRI1727" s="227"/>
      <c r="KRJ1727" s="227"/>
      <c r="KRK1727" s="227"/>
      <c r="KRL1727" s="227"/>
      <c r="KRM1727" s="227"/>
      <c r="KRN1727" s="227"/>
      <c r="KRO1727" s="227"/>
      <c r="KRP1727" s="227"/>
      <c r="KRQ1727" s="227"/>
      <c r="KRR1727" s="227"/>
      <c r="KRS1727" s="227"/>
      <c r="KRT1727" s="227"/>
      <c r="KRU1727" s="227"/>
      <c r="KRV1727" s="227"/>
      <c r="KRW1727" s="227"/>
      <c r="KRX1727" s="227"/>
      <c r="KRY1727" s="227"/>
      <c r="KRZ1727" s="227"/>
      <c r="KSA1727" s="227"/>
      <c r="KSB1727" s="227"/>
      <c r="KSC1727" s="227"/>
      <c r="KSD1727" s="227"/>
      <c r="KSE1727" s="227"/>
      <c r="KSF1727" s="227"/>
      <c r="KSG1727" s="227"/>
      <c r="KSH1727" s="227"/>
      <c r="KSI1727" s="227"/>
      <c r="KSJ1727" s="227"/>
      <c r="KSK1727" s="227"/>
      <c r="KSL1727" s="227"/>
      <c r="KSM1727" s="227"/>
      <c r="KSN1727" s="227"/>
      <c r="KSO1727" s="227"/>
      <c r="KSP1727" s="227"/>
      <c r="KSQ1727" s="227"/>
      <c r="KSR1727" s="227"/>
      <c r="KSS1727" s="227"/>
      <c r="KST1727" s="227"/>
      <c r="KSU1727" s="227"/>
      <c r="KSV1727" s="227"/>
      <c r="KSW1727" s="227"/>
      <c r="KSX1727" s="227"/>
      <c r="KSY1727" s="227"/>
      <c r="KSZ1727" s="227"/>
      <c r="KTA1727" s="227"/>
      <c r="KTB1727" s="227"/>
      <c r="KTC1727" s="227"/>
      <c r="KTD1727" s="227"/>
      <c r="KTE1727" s="227"/>
      <c r="KTF1727" s="227"/>
      <c r="KTG1727" s="227"/>
      <c r="KTH1727" s="227"/>
      <c r="KTI1727" s="227"/>
      <c r="KTJ1727" s="227"/>
      <c r="KTK1727" s="227"/>
      <c r="KTL1727" s="227"/>
      <c r="KTM1727" s="227"/>
      <c r="KTN1727" s="227"/>
      <c r="KTO1727" s="227"/>
      <c r="KTP1727" s="227"/>
      <c r="KTQ1727" s="227"/>
      <c r="KTR1727" s="227"/>
      <c r="KTS1727" s="227"/>
      <c r="KTT1727" s="227"/>
      <c r="KTU1727" s="227"/>
      <c r="KTV1727" s="227"/>
      <c r="KTW1727" s="227"/>
      <c r="KTX1727" s="227"/>
      <c r="KTY1727" s="227"/>
      <c r="KTZ1727" s="227"/>
      <c r="KUA1727" s="227"/>
      <c r="KUB1727" s="227"/>
      <c r="KUC1727" s="227"/>
      <c r="KUD1727" s="227"/>
      <c r="KUE1727" s="227"/>
      <c r="KUF1727" s="227"/>
      <c r="KUG1727" s="227"/>
      <c r="KUH1727" s="227"/>
      <c r="KUI1727" s="227"/>
      <c r="KUJ1727" s="227"/>
      <c r="KUK1727" s="227"/>
      <c r="KUL1727" s="227"/>
      <c r="KUM1727" s="227"/>
      <c r="KUN1727" s="227"/>
      <c r="KUO1727" s="227"/>
      <c r="KUP1727" s="227"/>
      <c r="KUQ1727" s="227"/>
      <c r="KUR1727" s="227"/>
      <c r="KUS1727" s="227"/>
      <c r="KUT1727" s="227"/>
      <c r="KUU1727" s="227"/>
      <c r="KUV1727" s="227"/>
      <c r="KUW1727" s="227"/>
      <c r="KUX1727" s="227"/>
      <c r="KUY1727" s="227"/>
      <c r="KUZ1727" s="227"/>
      <c r="KVA1727" s="227"/>
      <c r="KVB1727" s="227"/>
      <c r="KVC1727" s="227"/>
      <c r="KVD1727" s="227"/>
      <c r="KVE1727" s="227"/>
      <c r="KVF1727" s="227"/>
      <c r="KVG1727" s="227"/>
      <c r="KVH1727" s="227"/>
      <c r="KVI1727" s="227"/>
      <c r="KVJ1727" s="227"/>
      <c r="KVK1727" s="227"/>
      <c r="KVL1727" s="227"/>
      <c r="KVM1727" s="227"/>
      <c r="KVN1727" s="227"/>
      <c r="KVO1727" s="227"/>
      <c r="KVP1727" s="227"/>
      <c r="KVQ1727" s="227"/>
      <c r="KVR1727" s="227"/>
      <c r="KVS1727" s="227"/>
      <c r="KVT1727" s="227"/>
      <c r="KVU1727" s="227"/>
      <c r="KVV1727" s="227"/>
      <c r="KVW1727" s="227"/>
      <c r="KVX1727" s="227"/>
      <c r="KVY1727" s="227"/>
      <c r="KVZ1727" s="227"/>
      <c r="KWA1727" s="227"/>
      <c r="KWB1727" s="227"/>
      <c r="KWC1727" s="227"/>
      <c r="KWD1727" s="227"/>
      <c r="KWE1727" s="227"/>
      <c r="KWF1727" s="227"/>
      <c r="KWG1727" s="227"/>
      <c r="KWH1727" s="227"/>
      <c r="KWI1727" s="227"/>
      <c r="KWJ1727" s="227"/>
      <c r="KWK1727" s="227"/>
      <c r="KWL1727" s="227"/>
      <c r="KWM1727" s="227"/>
      <c r="KWN1727" s="227"/>
      <c r="KWO1727" s="227"/>
      <c r="KWP1727" s="227"/>
      <c r="KWQ1727" s="227"/>
      <c r="KWR1727" s="227"/>
      <c r="KWS1727" s="227"/>
      <c r="KWT1727" s="227"/>
      <c r="KWU1727" s="227"/>
      <c r="KWV1727" s="227"/>
      <c r="KWW1727" s="227"/>
      <c r="KWX1727" s="227"/>
      <c r="KWY1727" s="227"/>
      <c r="KWZ1727" s="227"/>
      <c r="KXA1727" s="227"/>
      <c r="KXB1727" s="227"/>
      <c r="KXC1727" s="227"/>
      <c r="KXD1727" s="227"/>
      <c r="KXE1727" s="227"/>
      <c r="KXF1727" s="227"/>
      <c r="KXG1727" s="227"/>
      <c r="KXH1727" s="227"/>
      <c r="KXI1727" s="227"/>
      <c r="KXJ1727" s="227"/>
      <c r="KXK1727" s="227"/>
      <c r="KXL1727" s="227"/>
      <c r="KXM1727" s="227"/>
      <c r="KXN1727" s="227"/>
      <c r="KXO1727" s="227"/>
      <c r="KXP1727" s="227"/>
      <c r="KXQ1727" s="227"/>
      <c r="KXR1727" s="227"/>
      <c r="KXS1727" s="227"/>
      <c r="KXT1727" s="227"/>
      <c r="KXU1727" s="227"/>
      <c r="KXV1727" s="227"/>
      <c r="KXW1727" s="227"/>
      <c r="KXX1727" s="227"/>
      <c r="KXY1727" s="227"/>
      <c r="KXZ1727" s="227"/>
      <c r="KYA1727" s="227"/>
      <c r="KYB1727" s="227"/>
      <c r="KYC1727" s="227"/>
      <c r="KYD1727" s="227"/>
      <c r="KYE1727" s="227"/>
      <c r="KYF1727" s="227"/>
      <c r="KYG1727" s="227"/>
      <c r="KYH1727" s="227"/>
      <c r="KYI1727" s="227"/>
      <c r="KYJ1727" s="227"/>
      <c r="KYK1727" s="227"/>
      <c r="KYL1727" s="227"/>
      <c r="KYM1727" s="227"/>
      <c r="KYN1727" s="227"/>
      <c r="KYO1727" s="227"/>
      <c r="KYP1727" s="227"/>
      <c r="KYQ1727" s="227"/>
      <c r="KYR1727" s="227"/>
      <c r="KYS1727" s="227"/>
      <c r="KYT1727" s="227"/>
      <c r="KYU1727" s="227"/>
      <c r="KYV1727" s="227"/>
      <c r="KYW1727" s="227"/>
      <c r="KYX1727" s="227"/>
      <c r="KYY1727" s="227"/>
      <c r="KYZ1727" s="227"/>
      <c r="KZA1727" s="227"/>
      <c r="KZB1727" s="227"/>
      <c r="KZC1727" s="227"/>
      <c r="KZD1727" s="227"/>
      <c r="KZE1727" s="227"/>
      <c r="KZF1727" s="227"/>
      <c r="KZG1727" s="227"/>
      <c r="KZH1727" s="227"/>
      <c r="KZI1727" s="227"/>
      <c r="KZJ1727" s="227"/>
      <c r="KZK1727" s="227"/>
      <c r="KZL1727" s="227"/>
      <c r="KZM1727" s="227"/>
      <c r="KZN1727" s="227"/>
      <c r="KZO1727" s="227"/>
      <c r="KZP1727" s="227"/>
      <c r="KZQ1727" s="227"/>
      <c r="KZR1727" s="227"/>
      <c r="KZS1727" s="227"/>
      <c r="KZT1727" s="227"/>
      <c r="KZU1727" s="227"/>
      <c r="KZV1727" s="227"/>
      <c r="KZW1727" s="227"/>
      <c r="KZX1727" s="227"/>
      <c r="KZY1727" s="227"/>
      <c r="KZZ1727" s="227"/>
      <c r="LAA1727" s="227"/>
      <c r="LAB1727" s="227"/>
      <c r="LAC1727" s="227"/>
      <c r="LAD1727" s="227"/>
      <c r="LAE1727" s="227"/>
      <c r="LAF1727" s="227"/>
      <c r="LAG1727" s="227"/>
      <c r="LAH1727" s="227"/>
      <c r="LAI1727" s="227"/>
      <c r="LAJ1727" s="227"/>
      <c r="LAK1727" s="227"/>
      <c r="LAL1727" s="227"/>
      <c r="LAM1727" s="227"/>
      <c r="LAN1727" s="227"/>
      <c r="LAO1727" s="227"/>
      <c r="LAP1727" s="227"/>
      <c r="LAQ1727" s="227"/>
      <c r="LAR1727" s="227"/>
      <c r="LAS1727" s="227"/>
      <c r="LAT1727" s="227"/>
      <c r="LAU1727" s="227"/>
      <c r="LAV1727" s="227"/>
      <c r="LAW1727" s="227"/>
      <c r="LAX1727" s="227"/>
      <c r="LAY1727" s="227"/>
      <c r="LAZ1727" s="227"/>
      <c r="LBA1727" s="227"/>
      <c r="LBB1727" s="227"/>
      <c r="LBC1727" s="227"/>
      <c r="LBD1727" s="227"/>
      <c r="LBE1727" s="227"/>
      <c r="LBF1727" s="227"/>
      <c r="LBG1727" s="227"/>
      <c r="LBH1727" s="227"/>
      <c r="LBI1727" s="227"/>
      <c r="LBJ1727" s="227"/>
      <c r="LBK1727" s="227"/>
      <c r="LBL1727" s="227"/>
      <c r="LBM1727" s="227"/>
      <c r="LBN1727" s="227"/>
      <c r="LBO1727" s="227"/>
      <c r="LBP1727" s="227"/>
      <c r="LBQ1727" s="227"/>
      <c r="LBR1727" s="227"/>
      <c r="LBS1727" s="227"/>
      <c r="LBT1727" s="227"/>
      <c r="LBU1727" s="227"/>
      <c r="LBV1727" s="227"/>
      <c r="LBW1727" s="227"/>
      <c r="LBX1727" s="227"/>
      <c r="LBY1727" s="227"/>
      <c r="LBZ1727" s="227"/>
      <c r="LCA1727" s="227"/>
      <c r="LCB1727" s="227"/>
      <c r="LCC1727" s="227"/>
      <c r="LCD1727" s="227"/>
      <c r="LCE1727" s="227"/>
      <c r="LCF1727" s="227"/>
      <c r="LCG1727" s="227"/>
      <c r="LCH1727" s="227"/>
      <c r="LCI1727" s="227"/>
      <c r="LCJ1727" s="227"/>
      <c r="LCK1727" s="227"/>
      <c r="LCL1727" s="227"/>
      <c r="LCM1727" s="227"/>
      <c r="LCN1727" s="227"/>
      <c r="LCO1727" s="227"/>
      <c r="LCP1727" s="227"/>
      <c r="LCQ1727" s="227"/>
      <c r="LCR1727" s="227"/>
      <c r="LCS1727" s="227"/>
      <c r="LCT1727" s="227"/>
      <c r="LCU1727" s="227"/>
      <c r="LCV1727" s="227"/>
      <c r="LCW1727" s="227"/>
      <c r="LCX1727" s="227"/>
      <c r="LCY1727" s="227"/>
      <c r="LCZ1727" s="227"/>
      <c r="LDA1727" s="227"/>
      <c r="LDB1727" s="227"/>
      <c r="LDC1727" s="227"/>
      <c r="LDD1727" s="227"/>
      <c r="LDE1727" s="227"/>
      <c r="LDF1727" s="227"/>
      <c r="LDG1727" s="227"/>
      <c r="LDH1727" s="227"/>
      <c r="LDI1727" s="227"/>
      <c r="LDJ1727" s="227"/>
      <c r="LDK1727" s="227"/>
      <c r="LDL1727" s="227"/>
      <c r="LDM1727" s="227"/>
      <c r="LDN1727" s="227"/>
      <c r="LDO1727" s="227"/>
      <c r="LDP1727" s="227"/>
      <c r="LDQ1727" s="227"/>
      <c r="LDR1727" s="227"/>
      <c r="LDS1727" s="227"/>
      <c r="LDT1727" s="227"/>
      <c r="LDU1727" s="227"/>
      <c r="LDV1727" s="227"/>
      <c r="LDW1727" s="227"/>
      <c r="LDX1727" s="227"/>
      <c r="LDY1727" s="227"/>
      <c r="LDZ1727" s="227"/>
      <c r="LEA1727" s="227"/>
      <c r="LEB1727" s="227"/>
      <c r="LEC1727" s="227"/>
      <c r="LED1727" s="227"/>
      <c r="LEE1727" s="227"/>
      <c r="LEF1727" s="227"/>
      <c r="LEG1727" s="227"/>
      <c r="LEH1727" s="227"/>
      <c r="LEI1727" s="227"/>
      <c r="LEJ1727" s="227"/>
      <c r="LEK1727" s="227"/>
      <c r="LEL1727" s="227"/>
      <c r="LEM1727" s="227"/>
      <c r="LEN1727" s="227"/>
      <c r="LEO1727" s="227"/>
      <c r="LEP1727" s="227"/>
      <c r="LEQ1727" s="227"/>
      <c r="LER1727" s="227"/>
      <c r="LES1727" s="227"/>
      <c r="LET1727" s="227"/>
      <c r="LEU1727" s="227"/>
      <c r="LEV1727" s="227"/>
      <c r="LEW1727" s="227"/>
      <c r="LEX1727" s="227"/>
      <c r="LEY1727" s="227"/>
      <c r="LEZ1727" s="227"/>
      <c r="LFA1727" s="227"/>
      <c r="LFB1727" s="227"/>
      <c r="LFC1727" s="227"/>
      <c r="LFD1727" s="227"/>
      <c r="LFE1727" s="227"/>
      <c r="LFF1727" s="227"/>
      <c r="LFG1727" s="227"/>
      <c r="LFH1727" s="227"/>
      <c r="LFI1727" s="227"/>
      <c r="LFJ1727" s="227"/>
      <c r="LFK1727" s="227"/>
      <c r="LFL1727" s="227"/>
      <c r="LFM1727" s="227"/>
      <c r="LFN1727" s="227"/>
      <c r="LFO1727" s="227"/>
      <c r="LFP1727" s="227"/>
      <c r="LFQ1727" s="227"/>
      <c r="LFR1727" s="227"/>
      <c r="LFS1727" s="227"/>
      <c r="LFT1727" s="227"/>
      <c r="LFU1727" s="227"/>
      <c r="LFV1727" s="227"/>
      <c r="LFW1727" s="227"/>
      <c r="LFX1727" s="227"/>
      <c r="LFY1727" s="227"/>
      <c r="LFZ1727" s="227"/>
      <c r="LGA1727" s="227"/>
      <c r="LGB1727" s="227"/>
      <c r="LGC1727" s="227"/>
      <c r="LGD1727" s="227"/>
      <c r="LGE1727" s="227"/>
      <c r="LGF1727" s="227"/>
      <c r="LGG1727" s="227"/>
      <c r="LGH1727" s="227"/>
      <c r="LGI1727" s="227"/>
      <c r="LGJ1727" s="227"/>
      <c r="LGK1727" s="227"/>
      <c r="LGL1727" s="227"/>
      <c r="LGM1727" s="227"/>
      <c r="LGN1727" s="227"/>
      <c r="LGO1727" s="227"/>
      <c r="LGP1727" s="227"/>
      <c r="LGQ1727" s="227"/>
      <c r="LGR1727" s="227"/>
      <c r="LGS1727" s="227"/>
      <c r="LGT1727" s="227"/>
      <c r="LGU1727" s="227"/>
      <c r="LGV1727" s="227"/>
      <c r="LGW1727" s="227"/>
      <c r="LGX1727" s="227"/>
      <c r="LGY1727" s="227"/>
      <c r="LGZ1727" s="227"/>
      <c r="LHA1727" s="227"/>
      <c r="LHB1727" s="227"/>
      <c r="LHC1727" s="227"/>
      <c r="LHD1727" s="227"/>
      <c r="LHE1727" s="227"/>
      <c r="LHF1727" s="227"/>
      <c r="LHG1727" s="227"/>
      <c r="LHH1727" s="227"/>
      <c r="LHI1727" s="227"/>
      <c r="LHJ1727" s="227"/>
      <c r="LHK1727" s="227"/>
      <c r="LHL1727" s="227"/>
      <c r="LHM1727" s="227"/>
      <c r="LHN1727" s="227"/>
      <c r="LHO1727" s="227"/>
      <c r="LHP1727" s="227"/>
      <c r="LHQ1727" s="227"/>
      <c r="LHR1727" s="227"/>
      <c r="LHS1727" s="227"/>
      <c r="LHT1727" s="227"/>
      <c r="LHU1727" s="227"/>
      <c r="LHV1727" s="227"/>
      <c r="LHW1727" s="227"/>
      <c r="LHX1727" s="227"/>
      <c r="LHY1727" s="227"/>
      <c r="LHZ1727" s="227"/>
      <c r="LIA1727" s="227"/>
      <c r="LIB1727" s="227"/>
      <c r="LIC1727" s="227"/>
      <c r="LID1727" s="227"/>
      <c r="LIE1727" s="227"/>
      <c r="LIF1727" s="227"/>
      <c r="LIG1727" s="227"/>
      <c r="LIH1727" s="227"/>
      <c r="LII1727" s="227"/>
      <c r="LIJ1727" s="227"/>
      <c r="LIK1727" s="227"/>
      <c r="LIL1727" s="227"/>
      <c r="LIM1727" s="227"/>
      <c r="LIN1727" s="227"/>
      <c r="LIO1727" s="227"/>
      <c r="LIP1727" s="227"/>
      <c r="LIQ1727" s="227"/>
      <c r="LIR1727" s="227"/>
      <c r="LIS1727" s="227"/>
      <c r="LIT1727" s="227"/>
      <c r="LIU1727" s="227"/>
      <c r="LIV1727" s="227"/>
      <c r="LIW1727" s="227"/>
      <c r="LIX1727" s="227"/>
      <c r="LIY1727" s="227"/>
      <c r="LIZ1727" s="227"/>
      <c r="LJA1727" s="227"/>
      <c r="LJB1727" s="227"/>
      <c r="LJC1727" s="227"/>
      <c r="LJD1727" s="227"/>
      <c r="LJE1727" s="227"/>
      <c r="LJF1727" s="227"/>
      <c r="LJG1727" s="227"/>
      <c r="LJH1727" s="227"/>
      <c r="LJI1727" s="227"/>
      <c r="LJJ1727" s="227"/>
      <c r="LJK1727" s="227"/>
      <c r="LJL1727" s="227"/>
      <c r="LJM1727" s="227"/>
      <c r="LJN1727" s="227"/>
      <c r="LJO1727" s="227"/>
      <c r="LJP1727" s="227"/>
      <c r="LJQ1727" s="227"/>
      <c r="LJR1727" s="227"/>
      <c r="LJS1727" s="227"/>
      <c r="LJT1727" s="227"/>
      <c r="LJU1727" s="227"/>
      <c r="LJV1727" s="227"/>
      <c r="LJW1727" s="227"/>
      <c r="LJX1727" s="227"/>
      <c r="LJY1727" s="227"/>
      <c r="LJZ1727" s="227"/>
      <c r="LKA1727" s="227"/>
      <c r="LKB1727" s="227"/>
      <c r="LKC1727" s="227"/>
      <c r="LKD1727" s="227"/>
      <c r="LKE1727" s="227"/>
      <c r="LKF1727" s="227"/>
      <c r="LKG1727" s="227"/>
      <c r="LKH1727" s="227"/>
      <c r="LKI1727" s="227"/>
      <c r="LKJ1727" s="227"/>
      <c r="LKK1727" s="227"/>
      <c r="LKL1727" s="227"/>
      <c r="LKM1727" s="227"/>
      <c r="LKN1727" s="227"/>
      <c r="LKO1727" s="227"/>
      <c r="LKP1727" s="227"/>
      <c r="LKQ1727" s="227"/>
      <c r="LKR1727" s="227"/>
      <c r="LKS1727" s="227"/>
      <c r="LKT1727" s="227"/>
      <c r="LKU1727" s="227"/>
      <c r="LKV1727" s="227"/>
      <c r="LKW1727" s="227"/>
      <c r="LKX1727" s="227"/>
      <c r="LKY1727" s="227"/>
      <c r="LKZ1727" s="227"/>
      <c r="LLA1727" s="227"/>
      <c r="LLB1727" s="227"/>
      <c r="LLC1727" s="227"/>
      <c r="LLD1727" s="227"/>
      <c r="LLE1727" s="227"/>
      <c r="LLF1727" s="227"/>
      <c r="LLG1727" s="227"/>
      <c r="LLH1727" s="227"/>
      <c r="LLI1727" s="227"/>
      <c r="LLJ1727" s="227"/>
      <c r="LLK1727" s="227"/>
      <c r="LLL1727" s="227"/>
      <c r="LLM1727" s="227"/>
      <c r="LLN1727" s="227"/>
      <c r="LLO1727" s="227"/>
      <c r="LLP1727" s="227"/>
      <c r="LLQ1727" s="227"/>
      <c r="LLR1727" s="227"/>
      <c r="LLS1727" s="227"/>
      <c r="LLT1727" s="227"/>
      <c r="LLU1727" s="227"/>
      <c r="LLV1727" s="227"/>
      <c r="LLW1727" s="227"/>
      <c r="LLX1727" s="227"/>
      <c r="LLY1727" s="227"/>
      <c r="LLZ1727" s="227"/>
      <c r="LMA1727" s="227"/>
      <c r="LMB1727" s="227"/>
      <c r="LMC1727" s="227"/>
      <c r="LMD1727" s="227"/>
      <c r="LME1727" s="227"/>
      <c r="LMF1727" s="227"/>
      <c r="LMG1727" s="227"/>
      <c r="LMH1727" s="227"/>
      <c r="LMI1727" s="227"/>
      <c r="LMJ1727" s="227"/>
      <c r="LMK1727" s="227"/>
      <c r="LML1727" s="227"/>
      <c r="LMM1727" s="227"/>
      <c r="LMN1727" s="227"/>
      <c r="LMO1727" s="227"/>
      <c r="LMP1727" s="227"/>
      <c r="LMQ1727" s="227"/>
      <c r="LMR1727" s="227"/>
      <c r="LMS1727" s="227"/>
      <c r="LMT1727" s="227"/>
      <c r="LMU1727" s="227"/>
      <c r="LMV1727" s="227"/>
      <c r="LMW1727" s="227"/>
      <c r="LMX1727" s="227"/>
      <c r="LMY1727" s="227"/>
      <c r="LMZ1727" s="227"/>
      <c r="LNA1727" s="227"/>
      <c r="LNB1727" s="227"/>
      <c r="LNC1727" s="227"/>
      <c r="LND1727" s="227"/>
      <c r="LNE1727" s="227"/>
      <c r="LNF1727" s="227"/>
      <c r="LNG1727" s="227"/>
      <c r="LNH1727" s="227"/>
      <c r="LNI1727" s="227"/>
      <c r="LNJ1727" s="227"/>
      <c r="LNK1727" s="227"/>
      <c r="LNL1727" s="227"/>
      <c r="LNM1727" s="227"/>
      <c r="LNN1727" s="227"/>
      <c r="LNO1727" s="227"/>
      <c r="LNP1727" s="227"/>
      <c r="LNQ1727" s="227"/>
      <c r="LNR1727" s="227"/>
      <c r="LNS1727" s="227"/>
      <c r="LNT1727" s="227"/>
      <c r="LNU1727" s="227"/>
      <c r="LNV1727" s="227"/>
      <c r="LNW1727" s="227"/>
      <c r="LNX1727" s="227"/>
      <c r="LNY1727" s="227"/>
      <c r="LNZ1727" s="227"/>
      <c r="LOA1727" s="227"/>
      <c r="LOB1727" s="227"/>
      <c r="LOC1727" s="227"/>
      <c r="LOD1727" s="227"/>
      <c r="LOE1727" s="227"/>
      <c r="LOF1727" s="227"/>
      <c r="LOG1727" s="227"/>
      <c r="LOH1727" s="227"/>
      <c r="LOI1727" s="227"/>
      <c r="LOJ1727" s="227"/>
      <c r="LOK1727" s="227"/>
      <c r="LOL1727" s="227"/>
      <c r="LOM1727" s="227"/>
      <c r="LON1727" s="227"/>
      <c r="LOO1727" s="227"/>
      <c r="LOP1727" s="227"/>
      <c r="LOQ1727" s="227"/>
      <c r="LOR1727" s="227"/>
      <c r="LOS1727" s="227"/>
      <c r="LOT1727" s="227"/>
      <c r="LOU1727" s="227"/>
      <c r="LOV1727" s="227"/>
      <c r="LOW1727" s="227"/>
      <c r="LOX1727" s="227"/>
      <c r="LOY1727" s="227"/>
      <c r="LOZ1727" s="227"/>
      <c r="LPA1727" s="227"/>
      <c r="LPB1727" s="227"/>
      <c r="LPC1727" s="227"/>
      <c r="LPD1727" s="227"/>
      <c r="LPE1727" s="227"/>
      <c r="LPF1727" s="227"/>
      <c r="LPG1727" s="227"/>
      <c r="LPH1727" s="227"/>
      <c r="LPI1727" s="227"/>
      <c r="LPJ1727" s="227"/>
      <c r="LPK1727" s="227"/>
      <c r="LPL1727" s="227"/>
      <c r="LPM1727" s="227"/>
      <c r="LPN1727" s="227"/>
      <c r="LPO1727" s="227"/>
      <c r="LPP1727" s="227"/>
      <c r="LPQ1727" s="227"/>
      <c r="LPR1727" s="227"/>
      <c r="LPS1727" s="227"/>
      <c r="LPT1727" s="227"/>
      <c r="LPU1727" s="227"/>
      <c r="LPV1727" s="227"/>
      <c r="LPW1727" s="227"/>
      <c r="LPX1727" s="227"/>
      <c r="LPY1727" s="227"/>
      <c r="LPZ1727" s="227"/>
      <c r="LQA1727" s="227"/>
      <c r="LQB1727" s="227"/>
      <c r="LQC1727" s="227"/>
      <c r="LQD1727" s="227"/>
      <c r="LQE1727" s="227"/>
      <c r="LQF1727" s="227"/>
      <c r="LQG1727" s="227"/>
      <c r="LQH1727" s="227"/>
      <c r="LQI1727" s="227"/>
      <c r="LQJ1727" s="227"/>
      <c r="LQK1727" s="227"/>
      <c r="LQL1727" s="227"/>
      <c r="LQM1727" s="227"/>
      <c r="LQN1727" s="227"/>
      <c r="LQO1727" s="227"/>
      <c r="LQP1727" s="227"/>
      <c r="LQQ1727" s="227"/>
      <c r="LQR1727" s="227"/>
      <c r="LQS1727" s="227"/>
      <c r="LQT1727" s="227"/>
      <c r="LQU1727" s="227"/>
      <c r="LQV1727" s="227"/>
      <c r="LQW1727" s="227"/>
      <c r="LQX1727" s="227"/>
      <c r="LQY1727" s="227"/>
      <c r="LQZ1727" s="227"/>
      <c r="LRA1727" s="227"/>
      <c r="LRB1727" s="227"/>
      <c r="LRC1727" s="227"/>
      <c r="LRD1727" s="227"/>
      <c r="LRE1727" s="227"/>
      <c r="LRF1727" s="227"/>
      <c r="LRG1727" s="227"/>
      <c r="LRH1727" s="227"/>
      <c r="LRI1727" s="227"/>
      <c r="LRJ1727" s="227"/>
      <c r="LRK1727" s="227"/>
      <c r="LRL1727" s="227"/>
      <c r="LRM1727" s="227"/>
      <c r="LRN1727" s="227"/>
      <c r="LRO1727" s="227"/>
      <c r="LRP1727" s="227"/>
      <c r="LRQ1727" s="227"/>
      <c r="LRR1727" s="227"/>
      <c r="LRS1727" s="227"/>
      <c r="LRT1727" s="227"/>
      <c r="LRU1727" s="227"/>
      <c r="LRV1727" s="227"/>
      <c r="LRW1727" s="227"/>
      <c r="LRX1727" s="227"/>
      <c r="LRY1727" s="227"/>
      <c r="LRZ1727" s="227"/>
      <c r="LSA1727" s="227"/>
      <c r="LSB1727" s="227"/>
      <c r="LSC1727" s="227"/>
      <c r="LSD1727" s="227"/>
      <c r="LSE1727" s="227"/>
      <c r="LSF1727" s="227"/>
      <c r="LSG1727" s="227"/>
      <c r="LSH1727" s="227"/>
      <c r="LSI1727" s="227"/>
      <c r="LSJ1727" s="227"/>
      <c r="LSK1727" s="227"/>
      <c r="LSL1727" s="227"/>
      <c r="LSM1727" s="227"/>
      <c r="LSN1727" s="227"/>
      <c r="LSO1727" s="227"/>
      <c r="LSP1727" s="227"/>
      <c r="LSQ1727" s="227"/>
      <c r="LSR1727" s="227"/>
      <c r="LSS1727" s="227"/>
      <c r="LST1727" s="227"/>
      <c r="LSU1727" s="227"/>
      <c r="LSV1727" s="227"/>
      <c r="LSW1727" s="227"/>
      <c r="LSX1727" s="227"/>
      <c r="LSY1727" s="227"/>
      <c r="LSZ1727" s="227"/>
      <c r="LTA1727" s="227"/>
      <c r="LTB1727" s="227"/>
      <c r="LTC1727" s="227"/>
      <c r="LTD1727" s="227"/>
      <c r="LTE1727" s="227"/>
      <c r="LTF1727" s="227"/>
      <c r="LTG1727" s="227"/>
      <c r="LTH1727" s="227"/>
      <c r="LTI1727" s="227"/>
      <c r="LTJ1727" s="227"/>
      <c r="LTK1727" s="227"/>
      <c r="LTL1727" s="227"/>
      <c r="LTM1727" s="227"/>
      <c r="LTN1727" s="227"/>
      <c r="LTO1727" s="227"/>
      <c r="LTP1727" s="227"/>
      <c r="LTQ1727" s="227"/>
      <c r="LTR1727" s="227"/>
      <c r="LTS1727" s="227"/>
      <c r="LTT1727" s="227"/>
      <c r="LTU1727" s="227"/>
      <c r="LTV1727" s="227"/>
      <c r="LTW1727" s="227"/>
      <c r="LTX1727" s="227"/>
      <c r="LTY1727" s="227"/>
      <c r="LTZ1727" s="227"/>
      <c r="LUA1727" s="227"/>
      <c r="LUB1727" s="227"/>
      <c r="LUC1727" s="227"/>
      <c r="LUD1727" s="227"/>
      <c r="LUE1727" s="227"/>
      <c r="LUF1727" s="227"/>
      <c r="LUG1727" s="227"/>
      <c r="LUH1727" s="227"/>
      <c r="LUI1727" s="227"/>
      <c r="LUJ1727" s="227"/>
      <c r="LUK1727" s="227"/>
      <c r="LUL1727" s="227"/>
      <c r="LUM1727" s="227"/>
      <c r="LUN1727" s="227"/>
      <c r="LUO1727" s="227"/>
      <c r="LUP1727" s="227"/>
      <c r="LUQ1727" s="227"/>
      <c r="LUR1727" s="227"/>
      <c r="LUS1727" s="227"/>
      <c r="LUT1727" s="227"/>
      <c r="LUU1727" s="227"/>
      <c r="LUV1727" s="227"/>
      <c r="LUW1727" s="227"/>
      <c r="LUX1727" s="227"/>
      <c r="LUY1727" s="227"/>
      <c r="LUZ1727" s="227"/>
      <c r="LVA1727" s="227"/>
      <c r="LVB1727" s="227"/>
      <c r="LVC1727" s="227"/>
      <c r="LVD1727" s="227"/>
      <c r="LVE1727" s="227"/>
      <c r="LVF1727" s="227"/>
      <c r="LVG1727" s="227"/>
      <c r="LVH1727" s="227"/>
      <c r="LVI1727" s="227"/>
      <c r="LVJ1727" s="227"/>
      <c r="LVK1727" s="227"/>
      <c r="LVL1727" s="227"/>
      <c r="LVM1727" s="227"/>
      <c r="LVN1727" s="227"/>
      <c r="LVO1727" s="227"/>
      <c r="LVP1727" s="227"/>
      <c r="LVQ1727" s="227"/>
      <c r="LVR1727" s="227"/>
      <c r="LVS1727" s="227"/>
      <c r="LVT1727" s="227"/>
      <c r="LVU1727" s="227"/>
      <c r="LVV1727" s="227"/>
      <c r="LVW1727" s="227"/>
      <c r="LVX1727" s="227"/>
      <c r="LVY1727" s="227"/>
      <c r="LVZ1727" s="227"/>
      <c r="LWA1727" s="227"/>
      <c r="LWB1727" s="227"/>
      <c r="LWC1727" s="227"/>
      <c r="LWD1727" s="227"/>
      <c r="LWE1727" s="227"/>
      <c r="LWF1727" s="227"/>
      <c r="LWG1727" s="227"/>
      <c r="LWH1727" s="227"/>
      <c r="LWI1727" s="227"/>
      <c r="LWJ1727" s="227"/>
      <c r="LWK1727" s="227"/>
      <c r="LWL1727" s="227"/>
      <c r="LWM1727" s="227"/>
      <c r="LWN1727" s="227"/>
      <c r="LWO1727" s="227"/>
      <c r="LWP1727" s="227"/>
      <c r="LWQ1727" s="227"/>
      <c r="LWR1727" s="227"/>
      <c r="LWS1727" s="227"/>
      <c r="LWT1727" s="227"/>
      <c r="LWU1727" s="227"/>
      <c r="LWV1727" s="227"/>
      <c r="LWW1727" s="227"/>
      <c r="LWX1727" s="227"/>
      <c r="LWY1727" s="227"/>
      <c r="LWZ1727" s="227"/>
      <c r="LXA1727" s="227"/>
      <c r="LXB1727" s="227"/>
      <c r="LXC1727" s="227"/>
      <c r="LXD1727" s="227"/>
      <c r="LXE1727" s="227"/>
      <c r="LXF1727" s="227"/>
      <c r="LXG1727" s="227"/>
      <c r="LXH1727" s="227"/>
      <c r="LXI1727" s="227"/>
      <c r="LXJ1727" s="227"/>
      <c r="LXK1727" s="227"/>
      <c r="LXL1727" s="227"/>
      <c r="LXM1727" s="227"/>
      <c r="LXN1727" s="227"/>
      <c r="LXO1727" s="227"/>
      <c r="LXP1727" s="227"/>
      <c r="LXQ1727" s="227"/>
      <c r="LXR1727" s="227"/>
      <c r="LXS1727" s="227"/>
      <c r="LXT1727" s="227"/>
      <c r="LXU1727" s="227"/>
      <c r="LXV1727" s="227"/>
      <c r="LXW1727" s="227"/>
      <c r="LXX1727" s="227"/>
      <c r="LXY1727" s="227"/>
      <c r="LXZ1727" s="227"/>
      <c r="LYA1727" s="227"/>
      <c r="LYB1727" s="227"/>
      <c r="LYC1727" s="227"/>
      <c r="LYD1727" s="227"/>
      <c r="LYE1727" s="227"/>
      <c r="LYF1727" s="227"/>
      <c r="LYG1727" s="227"/>
      <c r="LYH1727" s="227"/>
      <c r="LYI1727" s="227"/>
      <c r="LYJ1727" s="227"/>
      <c r="LYK1727" s="227"/>
      <c r="LYL1727" s="227"/>
      <c r="LYM1727" s="227"/>
      <c r="LYN1727" s="227"/>
      <c r="LYO1727" s="227"/>
      <c r="LYP1727" s="227"/>
      <c r="LYQ1727" s="227"/>
      <c r="LYR1727" s="227"/>
      <c r="LYS1727" s="227"/>
      <c r="LYT1727" s="227"/>
      <c r="LYU1727" s="227"/>
      <c r="LYV1727" s="227"/>
      <c r="LYW1727" s="227"/>
      <c r="LYX1727" s="227"/>
      <c r="LYY1727" s="227"/>
      <c r="LYZ1727" s="227"/>
      <c r="LZA1727" s="227"/>
      <c r="LZB1727" s="227"/>
      <c r="LZC1727" s="227"/>
      <c r="LZD1727" s="227"/>
      <c r="LZE1727" s="227"/>
      <c r="LZF1727" s="227"/>
      <c r="LZG1727" s="227"/>
      <c r="LZH1727" s="227"/>
      <c r="LZI1727" s="227"/>
      <c r="LZJ1727" s="227"/>
      <c r="LZK1727" s="227"/>
      <c r="LZL1727" s="227"/>
      <c r="LZM1727" s="227"/>
      <c r="LZN1727" s="227"/>
      <c r="LZO1727" s="227"/>
      <c r="LZP1727" s="227"/>
      <c r="LZQ1727" s="227"/>
      <c r="LZR1727" s="227"/>
      <c r="LZS1727" s="227"/>
      <c r="LZT1727" s="227"/>
      <c r="LZU1727" s="227"/>
      <c r="LZV1727" s="227"/>
      <c r="LZW1727" s="227"/>
      <c r="LZX1727" s="227"/>
      <c r="LZY1727" s="227"/>
      <c r="LZZ1727" s="227"/>
      <c r="MAA1727" s="227"/>
      <c r="MAB1727" s="227"/>
      <c r="MAC1727" s="227"/>
      <c r="MAD1727" s="227"/>
      <c r="MAE1727" s="227"/>
      <c r="MAF1727" s="227"/>
      <c r="MAG1727" s="227"/>
      <c r="MAH1727" s="227"/>
      <c r="MAI1727" s="227"/>
      <c r="MAJ1727" s="227"/>
      <c r="MAK1727" s="227"/>
      <c r="MAL1727" s="227"/>
      <c r="MAM1727" s="227"/>
      <c r="MAN1727" s="227"/>
      <c r="MAO1727" s="227"/>
      <c r="MAP1727" s="227"/>
      <c r="MAQ1727" s="227"/>
      <c r="MAR1727" s="227"/>
      <c r="MAS1727" s="227"/>
      <c r="MAT1727" s="227"/>
      <c r="MAU1727" s="227"/>
      <c r="MAV1727" s="227"/>
      <c r="MAW1727" s="227"/>
      <c r="MAX1727" s="227"/>
      <c r="MAY1727" s="227"/>
      <c r="MAZ1727" s="227"/>
      <c r="MBA1727" s="227"/>
      <c r="MBB1727" s="227"/>
      <c r="MBC1727" s="227"/>
      <c r="MBD1727" s="227"/>
      <c r="MBE1727" s="227"/>
      <c r="MBF1727" s="227"/>
      <c r="MBG1727" s="227"/>
      <c r="MBH1727" s="227"/>
      <c r="MBI1727" s="227"/>
      <c r="MBJ1727" s="227"/>
      <c r="MBK1727" s="227"/>
      <c r="MBL1727" s="227"/>
      <c r="MBM1727" s="227"/>
      <c r="MBN1727" s="227"/>
      <c r="MBO1727" s="227"/>
      <c r="MBP1727" s="227"/>
      <c r="MBQ1727" s="227"/>
      <c r="MBR1727" s="227"/>
      <c r="MBS1727" s="227"/>
      <c r="MBT1727" s="227"/>
      <c r="MBU1727" s="227"/>
      <c r="MBV1727" s="227"/>
      <c r="MBW1727" s="227"/>
      <c r="MBX1727" s="227"/>
      <c r="MBY1727" s="227"/>
      <c r="MBZ1727" s="227"/>
      <c r="MCA1727" s="227"/>
      <c r="MCB1727" s="227"/>
      <c r="MCC1727" s="227"/>
      <c r="MCD1727" s="227"/>
      <c r="MCE1727" s="227"/>
      <c r="MCF1727" s="227"/>
      <c r="MCG1727" s="227"/>
      <c r="MCH1727" s="227"/>
      <c r="MCI1727" s="227"/>
      <c r="MCJ1727" s="227"/>
      <c r="MCK1727" s="227"/>
      <c r="MCL1727" s="227"/>
      <c r="MCM1727" s="227"/>
      <c r="MCN1727" s="227"/>
      <c r="MCO1727" s="227"/>
      <c r="MCP1727" s="227"/>
      <c r="MCQ1727" s="227"/>
      <c r="MCR1727" s="227"/>
      <c r="MCS1727" s="227"/>
      <c r="MCT1727" s="227"/>
      <c r="MCU1727" s="227"/>
      <c r="MCV1727" s="227"/>
      <c r="MCW1727" s="227"/>
      <c r="MCX1727" s="227"/>
      <c r="MCY1727" s="227"/>
      <c r="MCZ1727" s="227"/>
      <c r="MDA1727" s="227"/>
      <c r="MDB1727" s="227"/>
      <c r="MDC1727" s="227"/>
      <c r="MDD1727" s="227"/>
      <c r="MDE1727" s="227"/>
      <c r="MDF1727" s="227"/>
      <c r="MDG1727" s="227"/>
      <c r="MDH1727" s="227"/>
      <c r="MDI1727" s="227"/>
      <c r="MDJ1727" s="227"/>
      <c r="MDK1727" s="227"/>
      <c r="MDL1727" s="227"/>
      <c r="MDM1727" s="227"/>
      <c r="MDN1727" s="227"/>
      <c r="MDO1727" s="227"/>
      <c r="MDP1727" s="227"/>
      <c r="MDQ1727" s="227"/>
      <c r="MDR1727" s="227"/>
      <c r="MDS1727" s="227"/>
      <c r="MDT1727" s="227"/>
      <c r="MDU1727" s="227"/>
      <c r="MDV1727" s="227"/>
      <c r="MDW1727" s="227"/>
      <c r="MDX1727" s="227"/>
      <c r="MDY1727" s="227"/>
      <c r="MDZ1727" s="227"/>
      <c r="MEA1727" s="227"/>
      <c r="MEB1727" s="227"/>
      <c r="MEC1727" s="227"/>
      <c r="MED1727" s="227"/>
      <c r="MEE1727" s="227"/>
      <c r="MEF1727" s="227"/>
      <c r="MEG1727" s="227"/>
      <c r="MEH1727" s="227"/>
      <c r="MEI1727" s="227"/>
      <c r="MEJ1727" s="227"/>
      <c r="MEK1727" s="227"/>
      <c r="MEL1727" s="227"/>
      <c r="MEM1727" s="227"/>
      <c r="MEN1727" s="227"/>
      <c r="MEO1727" s="227"/>
      <c r="MEP1727" s="227"/>
      <c r="MEQ1727" s="227"/>
      <c r="MER1727" s="227"/>
      <c r="MES1727" s="227"/>
      <c r="MET1727" s="227"/>
      <c r="MEU1727" s="227"/>
      <c r="MEV1727" s="227"/>
      <c r="MEW1727" s="227"/>
      <c r="MEX1727" s="227"/>
      <c r="MEY1727" s="227"/>
      <c r="MEZ1727" s="227"/>
      <c r="MFA1727" s="227"/>
      <c r="MFB1727" s="227"/>
      <c r="MFC1727" s="227"/>
      <c r="MFD1727" s="227"/>
      <c r="MFE1727" s="227"/>
      <c r="MFF1727" s="227"/>
      <c r="MFG1727" s="227"/>
      <c r="MFH1727" s="227"/>
      <c r="MFI1727" s="227"/>
      <c r="MFJ1727" s="227"/>
      <c r="MFK1727" s="227"/>
      <c r="MFL1727" s="227"/>
      <c r="MFM1727" s="227"/>
      <c r="MFN1727" s="227"/>
      <c r="MFO1727" s="227"/>
      <c r="MFP1727" s="227"/>
      <c r="MFQ1727" s="227"/>
      <c r="MFR1727" s="227"/>
      <c r="MFS1727" s="227"/>
      <c r="MFT1727" s="227"/>
      <c r="MFU1727" s="227"/>
      <c r="MFV1727" s="227"/>
      <c r="MFW1727" s="227"/>
      <c r="MFX1727" s="227"/>
      <c r="MFY1727" s="227"/>
      <c r="MFZ1727" s="227"/>
      <c r="MGA1727" s="227"/>
      <c r="MGB1727" s="227"/>
      <c r="MGC1727" s="227"/>
      <c r="MGD1727" s="227"/>
      <c r="MGE1727" s="227"/>
      <c r="MGF1727" s="227"/>
      <c r="MGG1727" s="227"/>
      <c r="MGH1727" s="227"/>
      <c r="MGI1727" s="227"/>
      <c r="MGJ1727" s="227"/>
      <c r="MGK1727" s="227"/>
      <c r="MGL1727" s="227"/>
      <c r="MGM1727" s="227"/>
      <c r="MGN1727" s="227"/>
      <c r="MGO1727" s="227"/>
      <c r="MGP1727" s="227"/>
      <c r="MGQ1727" s="227"/>
      <c r="MGR1727" s="227"/>
      <c r="MGS1727" s="227"/>
      <c r="MGT1727" s="227"/>
      <c r="MGU1727" s="227"/>
      <c r="MGV1727" s="227"/>
      <c r="MGW1727" s="227"/>
      <c r="MGX1727" s="227"/>
      <c r="MGY1727" s="227"/>
      <c r="MGZ1727" s="227"/>
      <c r="MHA1727" s="227"/>
      <c r="MHB1727" s="227"/>
      <c r="MHC1727" s="227"/>
      <c r="MHD1727" s="227"/>
      <c r="MHE1727" s="227"/>
      <c r="MHF1727" s="227"/>
      <c r="MHG1727" s="227"/>
      <c r="MHH1727" s="227"/>
      <c r="MHI1727" s="227"/>
      <c r="MHJ1727" s="227"/>
      <c r="MHK1727" s="227"/>
      <c r="MHL1727" s="227"/>
      <c r="MHM1727" s="227"/>
      <c r="MHN1727" s="227"/>
      <c r="MHO1727" s="227"/>
      <c r="MHP1727" s="227"/>
      <c r="MHQ1727" s="227"/>
      <c r="MHR1727" s="227"/>
      <c r="MHS1727" s="227"/>
      <c r="MHT1727" s="227"/>
      <c r="MHU1727" s="227"/>
      <c r="MHV1727" s="227"/>
      <c r="MHW1727" s="227"/>
      <c r="MHX1727" s="227"/>
      <c r="MHY1727" s="227"/>
      <c r="MHZ1727" s="227"/>
      <c r="MIA1727" s="227"/>
      <c r="MIB1727" s="227"/>
      <c r="MIC1727" s="227"/>
      <c r="MID1727" s="227"/>
      <c r="MIE1727" s="227"/>
      <c r="MIF1727" s="227"/>
      <c r="MIG1727" s="227"/>
      <c r="MIH1727" s="227"/>
      <c r="MII1727" s="227"/>
      <c r="MIJ1727" s="227"/>
      <c r="MIK1727" s="227"/>
      <c r="MIL1727" s="227"/>
      <c r="MIM1727" s="227"/>
      <c r="MIN1727" s="227"/>
      <c r="MIO1727" s="227"/>
      <c r="MIP1727" s="227"/>
      <c r="MIQ1727" s="227"/>
      <c r="MIR1727" s="227"/>
      <c r="MIS1727" s="227"/>
      <c r="MIT1727" s="227"/>
      <c r="MIU1727" s="227"/>
      <c r="MIV1727" s="227"/>
      <c r="MIW1727" s="227"/>
      <c r="MIX1727" s="227"/>
      <c r="MIY1727" s="227"/>
      <c r="MIZ1727" s="227"/>
      <c r="MJA1727" s="227"/>
      <c r="MJB1727" s="227"/>
      <c r="MJC1727" s="227"/>
      <c r="MJD1727" s="227"/>
      <c r="MJE1727" s="227"/>
      <c r="MJF1727" s="227"/>
      <c r="MJG1727" s="227"/>
      <c r="MJH1727" s="227"/>
      <c r="MJI1727" s="227"/>
      <c r="MJJ1727" s="227"/>
      <c r="MJK1727" s="227"/>
      <c r="MJL1727" s="227"/>
      <c r="MJM1727" s="227"/>
      <c r="MJN1727" s="227"/>
      <c r="MJO1727" s="227"/>
      <c r="MJP1727" s="227"/>
      <c r="MJQ1727" s="227"/>
      <c r="MJR1727" s="227"/>
      <c r="MJS1727" s="227"/>
      <c r="MJT1727" s="227"/>
      <c r="MJU1727" s="227"/>
      <c r="MJV1727" s="227"/>
      <c r="MJW1727" s="227"/>
      <c r="MJX1727" s="227"/>
      <c r="MJY1727" s="227"/>
      <c r="MJZ1727" s="227"/>
      <c r="MKA1727" s="227"/>
      <c r="MKB1727" s="227"/>
      <c r="MKC1727" s="227"/>
      <c r="MKD1727" s="227"/>
      <c r="MKE1727" s="227"/>
      <c r="MKF1727" s="227"/>
      <c r="MKG1727" s="227"/>
      <c r="MKH1727" s="227"/>
      <c r="MKI1727" s="227"/>
      <c r="MKJ1727" s="227"/>
      <c r="MKK1727" s="227"/>
      <c r="MKL1727" s="227"/>
      <c r="MKM1727" s="227"/>
      <c r="MKN1727" s="227"/>
      <c r="MKO1727" s="227"/>
      <c r="MKP1727" s="227"/>
      <c r="MKQ1727" s="227"/>
      <c r="MKR1727" s="227"/>
      <c r="MKS1727" s="227"/>
      <c r="MKT1727" s="227"/>
      <c r="MKU1727" s="227"/>
      <c r="MKV1727" s="227"/>
      <c r="MKW1727" s="227"/>
      <c r="MKX1727" s="227"/>
      <c r="MKY1727" s="227"/>
      <c r="MKZ1727" s="227"/>
      <c r="MLA1727" s="227"/>
      <c r="MLB1727" s="227"/>
      <c r="MLC1727" s="227"/>
      <c r="MLD1727" s="227"/>
      <c r="MLE1727" s="227"/>
      <c r="MLF1727" s="227"/>
      <c r="MLG1727" s="227"/>
      <c r="MLH1727" s="227"/>
      <c r="MLI1727" s="227"/>
      <c r="MLJ1727" s="227"/>
      <c r="MLK1727" s="227"/>
      <c r="MLL1727" s="227"/>
      <c r="MLM1727" s="227"/>
      <c r="MLN1727" s="227"/>
      <c r="MLO1727" s="227"/>
      <c r="MLP1727" s="227"/>
      <c r="MLQ1727" s="227"/>
      <c r="MLR1727" s="227"/>
      <c r="MLS1727" s="227"/>
      <c r="MLT1727" s="227"/>
      <c r="MLU1727" s="227"/>
      <c r="MLV1727" s="227"/>
      <c r="MLW1727" s="227"/>
      <c r="MLX1727" s="227"/>
      <c r="MLY1727" s="227"/>
      <c r="MLZ1727" s="227"/>
      <c r="MMA1727" s="227"/>
      <c r="MMB1727" s="227"/>
      <c r="MMC1727" s="227"/>
      <c r="MMD1727" s="227"/>
      <c r="MME1727" s="227"/>
      <c r="MMF1727" s="227"/>
      <c r="MMG1727" s="227"/>
      <c r="MMH1727" s="227"/>
      <c r="MMI1727" s="227"/>
      <c r="MMJ1727" s="227"/>
      <c r="MMK1727" s="227"/>
      <c r="MML1727" s="227"/>
      <c r="MMM1727" s="227"/>
      <c r="MMN1727" s="227"/>
      <c r="MMO1727" s="227"/>
      <c r="MMP1727" s="227"/>
      <c r="MMQ1727" s="227"/>
      <c r="MMR1727" s="227"/>
      <c r="MMS1727" s="227"/>
      <c r="MMT1727" s="227"/>
      <c r="MMU1727" s="227"/>
      <c r="MMV1727" s="227"/>
      <c r="MMW1727" s="227"/>
      <c r="MMX1727" s="227"/>
      <c r="MMY1727" s="227"/>
      <c r="MMZ1727" s="227"/>
      <c r="MNA1727" s="227"/>
      <c r="MNB1727" s="227"/>
      <c r="MNC1727" s="227"/>
      <c r="MND1727" s="227"/>
      <c r="MNE1727" s="227"/>
      <c r="MNF1727" s="227"/>
      <c r="MNG1727" s="227"/>
      <c r="MNH1727" s="227"/>
      <c r="MNI1727" s="227"/>
      <c r="MNJ1727" s="227"/>
      <c r="MNK1727" s="227"/>
      <c r="MNL1727" s="227"/>
      <c r="MNM1727" s="227"/>
      <c r="MNN1727" s="227"/>
      <c r="MNO1727" s="227"/>
      <c r="MNP1727" s="227"/>
      <c r="MNQ1727" s="227"/>
      <c r="MNR1727" s="227"/>
      <c r="MNS1727" s="227"/>
      <c r="MNT1727" s="227"/>
      <c r="MNU1727" s="227"/>
      <c r="MNV1727" s="227"/>
      <c r="MNW1727" s="227"/>
      <c r="MNX1727" s="227"/>
      <c r="MNY1727" s="227"/>
      <c r="MNZ1727" s="227"/>
      <c r="MOA1727" s="227"/>
      <c r="MOB1727" s="227"/>
      <c r="MOC1727" s="227"/>
      <c r="MOD1727" s="227"/>
      <c r="MOE1727" s="227"/>
      <c r="MOF1727" s="227"/>
      <c r="MOG1727" s="227"/>
      <c r="MOH1727" s="227"/>
      <c r="MOI1727" s="227"/>
      <c r="MOJ1727" s="227"/>
      <c r="MOK1727" s="227"/>
      <c r="MOL1727" s="227"/>
      <c r="MOM1727" s="227"/>
      <c r="MON1727" s="227"/>
      <c r="MOO1727" s="227"/>
      <c r="MOP1727" s="227"/>
      <c r="MOQ1727" s="227"/>
      <c r="MOR1727" s="227"/>
      <c r="MOS1727" s="227"/>
      <c r="MOT1727" s="227"/>
      <c r="MOU1727" s="227"/>
      <c r="MOV1727" s="227"/>
      <c r="MOW1727" s="227"/>
      <c r="MOX1727" s="227"/>
      <c r="MOY1727" s="227"/>
      <c r="MOZ1727" s="227"/>
      <c r="MPA1727" s="227"/>
      <c r="MPB1727" s="227"/>
      <c r="MPC1727" s="227"/>
      <c r="MPD1727" s="227"/>
      <c r="MPE1727" s="227"/>
      <c r="MPF1727" s="227"/>
      <c r="MPG1727" s="227"/>
      <c r="MPH1727" s="227"/>
      <c r="MPI1727" s="227"/>
      <c r="MPJ1727" s="227"/>
      <c r="MPK1727" s="227"/>
      <c r="MPL1727" s="227"/>
      <c r="MPM1727" s="227"/>
      <c r="MPN1727" s="227"/>
      <c r="MPO1727" s="227"/>
      <c r="MPP1727" s="227"/>
      <c r="MPQ1727" s="227"/>
      <c r="MPR1727" s="227"/>
      <c r="MPS1727" s="227"/>
      <c r="MPT1727" s="227"/>
      <c r="MPU1727" s="227"/>
      <c r="MPV1727" s="227"/>
      <c r="MPW1727" s="227"/>
      <c r="MPX1727" s="227"/>
      <c r="MPY1727" s="227"/>
      <c r="MPZ1727" s="227"/>
      <c r="MQA1727" s="227"/>
      <c r="MQB1727" s="227"/>
      <c r="MQC1727" s="227"/>
      <c r="MQD1727" s="227"/>
      <c r="MQE1727" s="227"/>
      <c r="MQF1727" s="227"/>
      <c r="MQG1727" s="227"/>
      <c r="MQH1727" s="227"/>
      <c r="MQI1727" s="227"/>
      <c r="MQJ1727" s="227"/>
      <c r="MQK1727" s="227"/>
      <c r="MQL1727" s="227"/>
      <c r="MQM1727" s="227"/>
      <c r="MQN1727" s="227"/>
      <c r="MQO1727" s="227"/>
      <c r="MQP1727" s="227"/>
      <c r="MQQ1727" s="227"/>
      <c r="MQR1727" s="227"/>
      <c r="MQS1727" s="227"/>
      <c r="MQT1727" s="227"/>
      <c r="MQU1727" s="227"/>
      <c r="MQV1727" s="227"/>
      <c r="MQW1727" s="227"/>
      <c r="MQX1727" s="227"/>
      <c r="MQY1727" s="227"/>
      <c r="MQZ1727" s="227"/>
      <c r="MRA1727" s="227"/>
      <c r="MRB1727" s="227"/>
      <c r="MRC1727" s="227"/>
      <c r="MRD1727" s="227"/>
      <c r="MRE1727" s="227"/>
      <c r="MRF1727" s="227"/>
      <c r="MRG1727" s="227"/>
      <c r="MRH1727" s="227"/>
      <c r="MRI1727" s="227"/>
      <c r="MRJ1727" s="227"/>
      <c r="MRK1727" s="227"/>
      <c r="MRL1727" s="227"/>
      <c r="MRM1727" s="227"/>
      <c r="MRN1727" s="227"/>
      <c r="MRO1727" s="227"/>
      <c r="MRP1727" s="227"/>
      <c r="MRQ1727" s="227"/>
      <c r="MRR1727" s="227"/>
      <c r="MRS1727" s="227"/>
      <c r="MRT1727" s="227"/>
      <c r="MRU1727" s="227"/>
      <c r="MRV1727" s="227"/>
      <c r="MRW1727" s="227"/>
      <c r="MRX1727" s="227"/>
      <c r="MRY1727" s="227"/>
      <c r="MRZ1727" s="227"/>
      <c r="MSA1727" s="227"/>
      <c r="MSB1727" s="227"/>
      <c r="MSC1727" s="227"/>
      <c r="MSD1727" s="227"/>
      <c r="MSE1727" s="227"/>
      <c r="MSF1727" s="227"/>
      <c r="MSG1727" s="227"/>
      <c r="MSH1727" s="227"/>
      <c r="MSI1727" s="227"/>
      <c r="MSJ1727" s="227"/>
      <c r="MSK1727" s="227"/>
      <c r="MSL1727" s="227"/>
      <c r="MSM1727" s="227"/>
      <c r="MSN1727" s="227"/>
      <c r="MSO1727" s="227"/>
      <c r="MSP1727" s="227"/>
      <c r="MSQ1727" s="227"/>
      <c r="MSR1727" s="227"/>
      <c r="MSS1727" s="227"/>
      <c r="MST1727" s="227"/>
      <c r="MSU1727" s="227"/>
      <c r="MSV1727" s="227"/>
      <c r="MSW1727" s="227"/>
      <c r="MSX1727" s="227"/>
      <c r="MSY1727" s="227"/>
      <c r="MSZ1727" s="227"/>
      <c r="MTA1727" s="227"/>
      <c r="MTB1727" s="227"/>
      <c r="MTC1727" s="227"/>
      <c r="MTD1727" s="227"/>
      <c r="MTE1727" s="227"/>
      <c r="MTF1727" s="227"/>
      <c r="MTG1727" s="227"/>
      <c r="MTH1727" s="227"/>
      <c r="MTI1727" s="227"/>
      <c r="MTJ1727" s="227"/>
      <c r="MTK1727" s="227"/>
      <c r="MTL1727" s="227"/>
      <c r="MTM1727" s="227"/>
      <c r="MTN1727" s="227"/>
      <c r="MTO1727" s="227"/>
      <c r="MTP1727" s="227"/>
      <c r="MTQ1727" s="227"/>
      <c r="MTR1727" s="227"/>
      <c r="MTS1727" s="227"/>
      <c r="MTT1727" s="227"/>
      <c r="MTU1727" s="227"/>
      <c r="MTV1727" s="227"/>
      <c r="MTW1727" s="227"/>
      <c r="MTX1727" s="227"/>
      <c r="MTY1727" s="227"/>
      <c r="MTZ1727" s="227"/>
      <c r="MUA1727" s="227"/>
      <c r="MUB1727" s="227"/>
      <c r="MUC1727" s="227"/>
      <c r="MUD1727" s="227"/>
      <c r="MUE1727" s="227"/>
      <c r="MUF1727" s="227"/>
      <c r="MUG1727" s="227"/>
      <c r="MUH1727" s="227"/>
      <c r="MUI1727" s="227"/>
      <c r="MUJ1727" s="227"/>
      <c r="MUK1727" s="227"/>
      <c r="MUL1727" s="227"/>
      <c r="MUM1727" s="227"/>
      <c r="MUN1727" s="227"/>
      <c r="MUO1727" s="227"/>
      <c r="MUP1727" s="227"/>
      <c r="MUQ1727" s="227"/>
      <c r="MUR1727" s="227"/>
      <c r="MUS1727" s="227"/>
      <c r="MUT1727" s="227"/>
      <c r="MUU1727" s="227"/>
      <c r="MUV1727" s="227"/>
      <c r="MUW1727" s="227"/>
      <c r="MUX1727" s="227"/>
      <c r="MUY1727" s="227"/>
      <c r="MUZ1727" s="227"/>
      <c r="MVA1727" s="227"/>
      <c r="MVB1727" s="227"/>
      <c r="MVC1727" s="227"/>
      <c r="MVD1727" s="227"/>
      <c r="MVE1727" s="227"/>
      <c r="MVF1727" s="227"/>
      <c r="MVG1727" s="227"/>
      <c r="MVH1727" s="227"/>
      <c r="MVI1727" s="227"/>
      <c r="MVJ1727" s="227"/>
      <c r="MVK1727" s="227"/>
      <c r="MVL1727" s="227"/>
      <c r="MVM1727" s="227"/>
      <c r="MVN1727" s="227"/>
      <c r="MVO1727" s="227"/>
      <c r="MVP1727" s="227"/>
      <c r="MVQ1727" s="227"/>
      <c r="MVR1727" s="227"/>
      <c r="MVS1727" s="227"/>
      <c r="MVT1727" s="227"/>
      <c r="MVU1727" s="227"/>
      <c r="MVV1727" s="227"/>
      <c r="MVW1727" s="227"/>
      <c r="MVX1727" s="227"/>
      <c r="MVY1727" s="227"/>
      <c r="MVZ1727" s="227"/>
      <c r="MWA1727" s="227"/>
      <c r="MWB1727" s="227"/>
      <c r="MWC1727" s="227"/>
      <c r="MWD1727" s="227"/>
      <c r="MWE1727" s="227"/>
      <c r="MWF1727" s="227"/>
      <c r="MWG1727" s="227"/>
      <c r="MWH1727" s="227"/>
      <c r="MWI1727" s="227"/>
      <c r="MWJ1727" s="227"/>
      <c r="MWK1727" s="227"/>
      <c r="MWL1727" s="227"/>
      <c r="MWM1727" s="227"/>
      <c r="MWN1727" s="227"/>
      <c r="MWO1727" s="227"/>
      <c r="MWP1727" s="227"/>
      <c r="MWQ1727" s="227"/>
      <c r="MWR1727" s="227"/>
      <c r="MWS1727" s="227"/>
      <c r="MWT1727" s="227"/>
      <c r="MWU1727" s="227"/>
      <c r="MWV1727" s="227"/>
      <c r="MWW1727" s="227"/>
      <c r="MWX1727" s="227"/>
      <c r="MWY1727" s="227"/>
      <c r="MWZ1727" s="227"/>
      <c r="MXA1727" s="227"/>
      <c r="MXB1727" s="227"/>
      <c r="MXC1727" s="227"/>
      <c r="MXD1727" s="227"/>
      <c r="MXE1727" s="227"/>
      <c r="MXF1727" s="227"/>
      <c r="MXG1727" s="227"/>
      <c r="MXH1727" s="227"/>
      <c r="MXI1727" s="227"/>
      <c r="MXJ1727" s="227"/>
      <c r="MXK1727" s="227"/>
      <c r="MXL1727" s="227"/>
      <c r="MXM1727" s="227"/>
      <c r="MXN1727" s="227"/>
      <c r="MXO1727" s="227"/>
      <c r="MXP1727" s="227"/>
      <c r="MXQ1727" s="227"/>
      <c r="MXR1727" s="227"/>
      <c r="MXS1727" s="227"/>
      <c r="MXT1727" s="227"/>
      <c r="MXU1727" s="227"/>
      <c r="MXV1727" s="227"/>
      <c r="MXW1727" s="227"/>
      <c r="MXX1727" s="227"/>
      <c r="MXY1727" s="227"/>
      <c r="MXZ1727" s="227"/>
      <c r="MYA1727" s="227"/>
      <c r="MYB1727" s="227"/>
      <c r="MYC1727" s="227"/>
      <c r="MYD1727" s="227"/>
      <c r="MYE1727" s="227"/>
      <c r="MYF1727" s="227"/>
      <c r="MYG1727" s="227"/>
      <c r="MYH1727" s="227"/>
      <c r="MYI1727" s="227"/>
      <c r="MYJ1727" s="227"/>
      <c r="MYK1727" s="227"/>
      <c r="MYL1727" s="227"/>
      <c r="MYM1727" s="227"/>
      <c r="MYN1727" s="227"/>
      <c r="MYO1727" s="227"/>
      <c r="MYP1727" s="227"/>
      <c r="MYQ1727" s="227"/>
      <c r="MYR1727" s="227"/>
      <c r="MYS1727" s="227"/>
      <c r="MYT1727" s="227"/>
      <c r="MYU1727" s="227"/>
      <c r="MYV1727" s="227"/>
      <c r="MYW1727" s="227"/>
      <c r="MYX1727" s="227"/>
      <c r="MYY1727" s="227"/>
      <c r="MYZ1727" s="227"/>
      <c r="MZA1727" s="227"/>
      <c r="MZB1727" s="227"/>
      <c r="MZC1727" s="227"/>
      <c r="MZD1727" s="227"/>
      <c r="MZE1727" s="227"/>
      <c r="MZF1727" s="227"/>
      <c r="MZG1727" s="227"/>
      <c r="MZH1727" s="227"/>
      <c r="MZI1727" s="227"/>
      <c r="MZJ1727" s="227"/>
      <c r="MZK1727" s="227"/>
      <c r="MZL1727" s="227"/>
      <c r="MZM1727" s="227"/>
      <c r="MZN1727" s="227"/>
      <c r="MZO1727" s="227"/>
      <c r="MZP1727" s="227"/>
      <c r="MZQ1727" s="227"/>
      <c r="MZR1727" s="227"/>
      <c r="MZS1727" s="227"/>
      <c r="MZT1727" s="227"/>
      <c r="MZU1727" s="227"/>
      <c r="MZV1727" s="227"/>
      <c r="MZW1727" s="227"/>
      <c r="MZX1727" s="227"/>
      <c r="MZY1727" s="227"/>
      <c r="MZZ1727" s="227"/>
      <c r="NAA1727" s="227"/>
      <c r="NAB1727" s="227"/>
      <c r="NAC1727" s="227"/>
      <c r="NAD1727" s="227"/>
      <c r="NAE1727" s="227"/>
      <c r="NAF1727" s="227"/>
      <c r="NAG1727" s="227"/>
      <c r="NAH1727" s="227"/>
      <c r="NAI1727" s="227"/>
      <c r="NAJ1727" s="227"/>
      <c r="NAK1727" s="227"/>
      <c r="NAL1727" s="227"/>
      <c r="NAM1727" s="227"/>
      <c r="NAN1727" s="227"/>
      <c r="NAO1727" s="227"/>
      <c r="NAP1727" s="227"/>
      <c r="NAQ1727" s="227"/>
      <c r="NAR1727" s="227"/>
      <c r="NAS1727" s="227"/>
      <c r="NAT1727" s="227"/>
      <c r="NAU1727" s="227"/>
      <c r="NAV1727" s="227"/>
      <c r="NAW1727" s="227"/>
      <c r="NAX1727" s="227"/>
      <c r="NAY1727" s="227"/>
      <c r="NAZ1727" s="227"/>
      <c r="NBA1727" s="227"/>
      <c r="NBB1727" s="227"/>
      <c r="NBC1727" s="227"/>
      <c r="NBD1727" s="227"/>
      <c r="NBE1727" s="227"/>
      <c r="NBF1727" s="227"/>
      <c r="NBG1727" s="227"/>
      <c r="NBH1727" s="227"/>
      <c r="NBI1727" s="227"/>
      <c r="NBJ1727" s="227"/>
      <c r="NBK1727" s="227"/>
      <c r="NBL1727" s="227"/>
      <c r="NBM1727" s="227"/>
      <c r="NBN1727" s="227"/>
      <c r="NBO1727" s="227"/>
      <c r="NBP1727" s="227"/>
      <c r="NBQ1727" s="227"/>
      <c r="NBR1727" s="227"/>
      <c r="NBS1727" s="227"/>
      <c r="NBT1727" s="227"/>
      <c r="NBU1727" s="227"/>
      <c r="NBV1727" s="227"/>
      <c r="NBW1727" s="227"/>
      <c r="NBX1727" s="227"/>
      <c r="NBY1727" s="227"/>
      <c r="NBZ1727" s="227"/>
      <c r="NCA1727" s="227"/>
      <c r="NCB1727" s="227"/>
      <c r="NCC1727" s="227"/>
      <c r="NCD1727" s="227"/>
      <c r="NCE1727" s="227"/>
      <c r="NCF1727" s="227"/>
      <c r="NCG1727" s="227"/>
      <c r="NCH1727" s="227"/>
      <c r="NCI1727" s="227"/>
      <c r="NCJ1727" s="227"/>
      <c r="NCK1727" s="227"/>
      <c r="NCL1727" s="227"/>
      <c r="NCM1727" s="227"/>
      <c r="NCN1727" s="227"/>
      <c r="NCO1727" s="227"/>
      <c r="NCP1727" s="227"/>
      <c r="NCQ1727" s="227"/>
      <c r="NCR1727" s="227"/>
      <c r="NCS1727" s="227"/>
      <c r="NCT1727" s="227"/>
      <c r="NCU1727" s="227"/>
      <c r="NCV1727" s="227"/>
      <c r="NCW1727" s="227"/>
      <c r="NCX1727" s="227"/>
      <c r="NCY1727" s="227"/>
      <c r="NCZ1727" s="227"/>
      <c r="NDA1727" s="227"/>
      <c r="NDB1727" s="227"/>
      <c r="NDC1727" s="227"/>
      <c r="NDD1727" s="227"/>
      <c r="NDE1727" s="227"/>
      <c r="NDF1727" s="227"/>
      <c r="NDG1727" s="227"/>
      <c r="NDH1727" s="227"/>
      <c r="NDI1727" s="227"/>
      <c r="NDJ1727" s="227"/>
      <c r="NDK1727" s="227"/>
      <c r="NDL1727" s="227"/>
      <c r="NDM1727" s="227"/>
      <c r="NDN1727" s="227"/>
      <c r="NDO1727" s="227"/>
      <c r="NDP1727" s="227"/>
      <c r="NDQ1727" s="227"/>
      <c r="NDR1727" s="227"/>
      <c r="NDS1727" s="227"/>
      <c r="NDT1727" s="227"/>
      <c r="NDU1727" s="227"/>
      <c r="NDV1727" s="227"/>
      <c r="NDW1727" s="227"/>
      <c r="NDX1727" s="227"/>
      <c r="NDY1727" s="227"/>
      <c r="NDZ1727" s="227"/>
      <c r="NEA1727" s="227"/>
      <c r="NEB1727" s="227"/>
      <c r="NEC1727" s="227"/>
      <c r="NED1727" s="227"/>
      <c r="NEE1727" s="227"/>
      <c r="NEF1727" s="227"/>
      <c r="NEG1727" s="227"/>
      <c r="NEH1727" s="227"/>
      <c r="NEI1727" s="227"/>
      <c r="NEJ1727" s="227"/>
      <c r="NEK1727" s="227"/>
      <c r="NEL1727" s="227"/>
      <c r="NEM1727" s="227"/>
      <c r="NEN1727" s="227"/>
      <c r="NEO1727" s="227"/>
      <c r="NEP1727" s="227"/>
      <c r="NEQ1727" s="227"/>
      <c r="NER1727" s="227"/>
      <c r="NES1727" s="227"/>
      <c r="NET1727" s="227"/>
      <c r="NEU1727" s="227"/>
      <c r="NEV1727" s="227"/>
      <c r="NEW1727" s="227"/>
      <c r="NEX1727" s="227"/>
      <c r="NEY1727" s="227"/>
      <c r="NEZ1727" s="227"/>
      <c r="NFA1727" s="227"/>
      <c r="NFB1727" s="227"/>
      <c r="NFC1727" s="227"/>
      <c r="NFD1727" s="227"/>
      <c r="NFE1727" s="227"/>
      <c r="NFF1727" s="227"/>
      <c r="NFG1727" s="227"/>
      <c r="NFH1727" s="227"/>
      <c r="NFI1727" s="227"/>
      <c r="NFJ1727" s="227"/>
      <c r="NFK1727" s="227"/>
      <c r="NFL1727" s="227"/>
      <c r="NFM1727" s="227"/>
      <c r="NFN1727" s="227"/>
      <c r="NFO1727" s="227"/>
      <c r="NFP1727" s="227"/>
      <c r="NFQ1727" s="227"/>
      <c r="NFR1727" s="227"/>
      <c r="NFS1727" s="227"/>
      <c r="NFT1727" s="227"/>
      <c r="NFU1727" s="227"/>
      <c r="NFV1727" s="227"/>
      <c r="NFW1727" s="227"/>
      <c r="NFX1727" s="227"/>
      <c r="NFY1727" s="227"/>
      <c r="NFZ1727" s="227"/>
      <c r="NGA1727" s="227"/>
      <c r="NGB1727" s="227"/>
      <c r="NGC1727" s="227"/>
      <c r="NGD1727" s="227"/>
      <c r="NGE1727" s="227"/>
      <c r="NGF1727" s="227"/>
      <c r="NGG1727" s="227"/>
      <c r="NGH1727" s="227"/>
      <c r="NGI1727" s="227"/>
      <c r="NGJ1727" s="227"/>
      <c r="NGK1727" s="227"/>
      <c r="NGL1727" s="227"/>
      <c r="NGM1727" s="227"/>
      <c r="NGN1727" s="227"/>
      <c r="NGO1727" s="227"/>
      <c r="NGP1727" s="227"/>
      <c r="NGQ1727" s="227"/>
      <c r="NGR1727" s="227"/>
      <c r="NGS1727" s="227"/>
      <c r="NGT1727" s="227"/>
      <c r="NGU1727" s="227"/>
      <c r="NGV1727" s="227"/>
      <c r="NGW1727" s="227"/>
      <c r="NGX1727" s="227"/>
      <c r="NGY1727" s="227"/>
      <c r="NGZ1727" s="227"/>
      <c r="NHA1727" s="227"/>
      <c r="NHB1727" s="227"/>
      <c r="NHC1727" s="227"/>
      <c r="NHD1727" s="227"/>
      <c r="NHE1727" s="227"/>
      <c r="NHF1727" s="227"/>
      <c r="NHG1727" s="227"/>
      <c r="NHH1727" s="227"/>
      <c r="NHI1727" s="227"/>
      <c r="NHJ1727" s="227"/>
      <c r="NHK1727" s="227"/>
      <c r="NHL1727" s="227"/>
      <c r="NHM1727" s="227"/>
      <c r="NHN1727" s="227"/>
      <c r="NHO1727" s="227"/>
      <c r="NHP1727" s="227"/>
      <c r="NHQ1727" s="227"/>
      <c r="NHR1727" s="227"/>
      <c r="NHS1727" s="227"/>
      <c r="NHT1727" s="227"/>
      <c r="NHU1727" s="227"/>
      <c r="NHV1727" s="227"/>
      <c r="NHW1727" s="227"/>
      <c r="NHX1727" s="227"/>
      <c r="NHY1727" s="227"/>
      <c r="NHZ1727" s="227"/>
      <c r="NIA1727" s="227"/>
      <c r="NIB1727" s="227"/>
      <c r="NIC1727" s="227"/>
      <c r="NID1727" s="227"/>
      <c r="NIE1727" s="227"/>
      <c r="NIF1727" s="227"/>
      <c r="NIG1727" s="227"/>
      <c r="NIH1727" s="227"/>
      <c r="NII1727" s="227"/>
      <c r="NIJ1727" s="227"/>
      <c r="NIK1727" s="227"/>
      <c r="NIL1727" s="227"/>
      <c r="NIM1727" s="227"/>
      <c r="NIN1727" s="227"/>
      <c r="NIO1727" s="227"/>
      <c r="NIP1727" s="227"/>
      <c r="NIQ1727" s="227"/>
      <c r="NIR1727" s="227"/>
      <c r="NIS1727" s="227"/>
      <c r="NIT1727" s="227"/>
      <c r="NIU1727" s="227"/>
      <c r="NIV1727" s="227"/>
      <c r="NIW1727" s="227"/>
      <c r="NIX1727" s="227"/>
      <c r="NIY1727" s="227"/>
      <c r="NIZ1727" s="227"/>
      <c r="NJA1727" s="227"/>
      <c r="NJB1727" s="227"/>
      <c r="NJC1727" s="227"/>
      <c r="NJD1727" s="227"/>
      <c r="NJE1727" s="227"/>
      <c r="NJF1727" s="227"/>
      <c r="NJG1727" s="227"/>
      <c r="NJH1727" s="227"/>
      <c r="NJI1727" s="227"/>
      <c r="NJJ1727" s="227"/>
      <c r="NJK1727" s="227"/>
      <c r="NJL1727" s="227"/>
      <c r="NJM1727" s="227"/>
      <c r="NJN1727" s="227"/>
      <c r="NJO1727" s="227"/>
      <c r="NJP1727" s="227"/>
      <c r="NJQ1727" s="227"/>
      <c r="NJR1727" s="227"/>
      <c r="NJS1727" s="227"/>
      <c r="NJT1727" s="227"/>
      <c r="NJU1727" s="227"/>
      <c r="NJV1727" s="227"/>
      <c r="NJW1727" s="227"/>
      <c r="NJX1727" s="227"/>
      <c r="NJY1727" s="227"/>
      <c r="NJZ1727" s="227"/>
      <c r="NKA1727" s="227"/>
      <c r="NKB1727" s="227"/>
      <c r="NKC1727" s="227"/>
      <c r="NKD1727" s="227"/>
      <c r="NKE1727" s="227"/>
      <c r="NKF1727" s="227"/>
      <c r="NKG1727" s="227"/>
      <c r="NKH1727" s="227"/>
      <c r="NKI1727" s="227"/>
      <c r="NKJ1727" s="227"/>
      <c r="NKK1727" s="227"/>
      <c r="NKL1727" s="227"/>
      <c r="NKM1727" s="227"/>
      <c r="NKN1727" s="227"/>
      <c r="NKO1727" s="227"/>
      <c r="NKP1727" s="227"/>
      <c r="NKQ1727" s="227"/>
      <c r="NKR1727" s="227"/>
      <c r="NKS1727" s="227"/>
      <c r="NKT1727" s="227"/>
      <c r="NKU1727" s="227"/>
      <c r="NKV1727" s="227"/>
      <c r="NKW1727" s="227"/>
      <c r="NKX1727" s="227"/>
      <c r="NKY1727" s="227"/>
      <c r="NKZ1727" s="227"/>
      <c r="NLA1727" s="227"/>
      <c r="NLB1727" s="227"/>
      <c r="NLC1727" s="227"/>
      <c r="NLD1727" s="227"/>
      <c r="NLE1727" s="227"/>
      <c r="NLF1727" s="227"/>
      <c r="NLG1727" s="227"/>
      <c r="NLH1727" s="227"/>
      <c r="NLI1727" s="227"/>
      <c r="NLJ1727" s="227"/>
      <c r="NLK1727" s="227"/>
      <c r="NLL1727" s="227"/>
      <c r="NLM1727" s="227"/>
      <c r="NLN1727" s="227"/>
      <c r="NLO1727" s="227"/>
      <c r="NLP1727" s="227"/>
      <c r="NLQ1727" s="227"/>
      <c r="NLR1727" s="227"/>
      <c r="NLS1727" s="227"/>
      <c r="NLT1727" s="227"/>
      <c r="NLU1727" s="227"/>
      <c r="NLV1727" s="227"/>
      <c r="NLW1727" s="227"/>
      <c r="NLX1727" s="227"/>
      <c r="NLY1727" s="227"/>
      <c r="NLZ1727" s="227"/>
      <c r="NMA1727" s="227"/>
      <c r="NMB1727" s="227"/>
      <c r="NMC1727" s="227"/>
      <c r="NMD1727" s="227"/>
      <c r="NME1727" s="227"/>
      <c r="NMF1727" s="227"/>
      <c r="NMG1727" s="227"/>
      <c r="NMH1727" s="227"/>
      <c r="NMI1727" s="227"/>
      <c r="NMJ1727" s="227"/>
      <c r="NMK1727" s="227"/>
      <c r="NML1727" s="227"/>
      <c r="NMM1727" s="227"/>
      <c r="NMN1727" s="227"/>
      <c r="NMO1727" s="227"/>
      <c r="NMP1727" s="227"/>
      <c r="NMQ1727" s="227"/>
      <c r="NMR1727" s="227"/>
      <c r="NMS1727" s="227"/>
      <c r="NMT1727" s="227"/>
      <c r="NMU1727" s="227"/>
      <c r="NMV1727" s="227"/>
      <c r="NMW1727" s="227"/>
      <c r="NMX1727" s="227"/>
      <c r="NMY1727" s="227"/>
      <c r="NMZ1727" s="227"/>
      <c r="NNA1727" s="227"/>
      <c r="NNB1727" s="227"/>
      <c r="NNC1727" s="227"/>
      <c r="NND1727" s="227"/>
      <c r="NNE1727" s="227"/>
      <c r="NNF1727" s="227"/>
      <c r="NNG1727" s="227"/>
      <c r="NNH1727" s="227"/>
      <c r="NNI1727" s="227"/>
      <c r="NNJ1727" s="227"/>
      <c r="NNK1727" s="227"/>
      <c r="NNL1727" s="227"/>
      <c r="NNM1727" s="227"/>
      <c r="NNN1727" s="227"/>
      <c r="NNO1727" s="227"/>
      <c r="NNP1727" s="227"/>
      <c r="NNQ1727" s="227"/>
      <c r="NNR1727" s="227"/>
      <c r="NNS1727" s="227"/>
      <c r="NNT1727" s="227"/>
      <c r="NNU1727" s="227"/>
      <c r="NNV1727" s="227"/>
      <c r="NNW1727" s="227"/>
      <c r="NNX1727" s="227"/>
      <c r="NNY1727" s="227"/>
      <c r="NNZ1727" s="227"/>
      <c r="NOA1727" s="227"/>
      <c r="NOB1727" s="227"/>
      <c r="NOC1727" s="227"/>
      <c r="NOD1727" s="227"/>
      <c r="NOE1727" s="227"/>
      <c r="NOF1727" s="227"/>
      <c r="NOG1727" s="227"/>
      <c r="NOH1727" s="227"/>
      <c r="NOI1727" s="227"/>
      <c r="NOJ1727" s="227"/>
      <c r="NOK1727" s="227"/>
      <c r="NOL1727" s="227"/>
      <c r="NOM1727" s="227"/>
      <c r="NON1727" s="227"/>
      <c r="NOO1727" s="227"/>
      <c r="NOP1727" s="227"/>
      <c r="NOQ1727" s="227"/>
      <c r="NOR1727" s="227"/>
      <c r="NOS1727" s="227"/>
      <c r="NOT1727" s="227"/>
      <c r="NOU1727" s="227"/>
      <c r="NOV1727" s="227"/>
      <c r="NOW1727" s="227"/>
      <c r="NOX1727" s="227"/>
      <c r="NOY1727" s="227"/>
      <c r="NOZ1727" s="227"/>
      <c r="NPA1727" s="227"/>
      <c r="NPB1727" s="227"/>
      <c r="NPC1727" s="227"/>
      <c r="NPD1727" s="227"/>
      <c r="NPE1727" s="227"/>
      <c r="NPF1727" s="227"/>
      <c r="NPG1727" s="227"/>
      <c r="NPH1727" s="227"/>
      <c r="NPI1727" s="227"/>
      <c r="NPJ1727" s="227"/>
      <c r="NPK1727" s="227"/>
      <c r="NPL1727" s="227"/>
      <c r="NPM1727" s="227"/>
      <c r="NPN1727" s="227"/>
      <c r="NPO1727" s="227"/>
      <c r="NPP1727" s="227"/>
      <c r="NPQ1727" s="227"/>
      <c r="NPR1727" s="227"/>
      <c r="NPS1727" s="227"/>
      <c r="NPT1727" s="227"/>
      <c r="NPU1727" s="227"/>
      <c r="NPV1727" s="227"/>
      <c r="NPW1727" s="227"/>
      <c r="NPX1727" s="227"/>
      <c r="NPY1727" s="227"/>
      <c r="NPZ1727" s="227"/>
      <c r="NQA1727" s="227"/>
      <c r="NQB1727" s="227"/>
      <c r="NQC1727" s="227"/>
      <c r="NQD1727" s="227"/>
      <c r="NQE1727" s="227"/>
      <c r="NQF1727" s="227"/>
      <c r="NQG1727" s="227"/>
      <c r="NQH1727" s="227"/>
      <c r="NQI1727" s="227"/>
      <c r="NQJ1727" s="227"/>
      <c r="NQK1727" s="227"/>
      <c r="NQL1727" s="227"/>
      <c r="NQM1727" s="227"/>
      <c r="NQN1727" s="227"/>
      <c r="NQO1727" s="227"/>
      <c r="NQP1727" s="227"/>
      <c r="NQQ1727" s="227"/>
      <c r="NQR1727" s="227"/>
      <c r="NQS1727" s="227"/>
      <c r="NQT1727" s="227"/>
      <c r="NQU1727" s="227"/>
      <c r="NQV1727" s="227"/>
      <c r="NQW1727" s="227"/>
      <c r="NQX1727" s="227"/>
      <c r="NQY1727" s="227"/>
      <c r="NQZ1727" s="227"/>
      <c r="NRA1727" s="227"/>
      <c r="NRB1727" s="227"/>
      <c r="NRC1727" s="227"/>
      <c r="NRD1727" s="227"/>
      <c r="NRE1727" s="227"/>
      <c r="NRF1727" s="227"/>
      <c r="NRG1727" s="227"/>
      <c r="NRH1727" s="227"/>
      <c r="NRI1727" s="227"/>
      <c r="NRJ1727" s="227"/>
      <c r="NRK1727" s="227"/>
      <c r="NRL1727" s="227"/>
      <c r="NRM1727" s="227"/>
      <c r="NRN1727" s="227"/>
      <c r="NRO1727" s="227"/>
      <c r="NRP1727" s="227"/>
      <c r="NRQ1727" s="227"/>
      <c r="NRR1727" s="227"/>
      <c r="NRS1727" s="227"/>
      <c r="NRT1727" s="227"/>
      <c r="NRU1727" s="227"/>
      <c r="NRV1727" s="227"/>
      <c r="NRW1727" s="227"/>
      <c r="NRX1727" s="227"/>
      <c r="NRY1727" s="227"/>
      <c r="NRZ1727" s="227"/>
      <c r="NSA1727" s="227"/>
      <c r="NSB1727" s="227"/>
      <c r="NSC1727" s="227"/>
      <c r="NSD1727" s="227"/>
      <c r="NSE1727" s="227"/>
      <c r="NSF1727" s="227"/>
      <c r="NSG1727" s="227"/>
      <c r="NSH1727" s="227"/>
      <c r="NSI1727" s="227"/>
      <c r="NSJ1727" s="227"/>
      <c r="NSK1727" s="227"/>
      <c r="NSL1727" s="227"/>
      <c r="NSM1727" s="227"/>
      <c r="NSN1727" s="227"/>
      <c r="NSO1727" s="227"/>
      <c r="NSP1727" s="227"/>
      <c r="NSQ1727" s="227"/>
      <c r="NSR1727" s="227"/>
      <c r="NSS1727" s="227"/>
      <c r="NST1727" s="227"/>
      <c r="NSU1727" s="227"/>
      <c r="NSV1727" s="227"/>
      <c r="NSW1727" s="227"/>
      <c r="NSX1727" s="227"/>
      <c r="NSY1727" s="227"/>
      <c r="NSZ1727" s="227"/>
      <c r="NTA1727" s="227"/>
      <c r="NTB1727" s="227"/>
      <c r="NTC1727" s="227"/>
      <c r="NTD1727" s="227"/>
      <c r="NTE1727" s="227"/>
      <c r="NTF1727" s="227"/>
      <c r="NTG1727" s="227"/>
      <c r="NTH1727" s="227"/>
      <c r="NTI1727" s="227"/>
      <c r="NTJ1727" s="227"/>
      <c r="NTK1727" s="227"/>
      <c r="NTL1727" s="227"/>
      <c r="NTM1727" s="227"/>
      <c r="NTN1727" s="227"/>
      <c r="NTO1727" s="227"/>
      <c r="NTP1727" s="227"/>
      <c r="NTQ1727" s="227"/>
      <c r="NTR1727" s="227"/>
      <c r="NTS1727" s="227"/>
      <c r="NTT1727" s="227"/>
      <c r="NTU1727" s="227"/>
      <c r="NTV1727" s="227"/>
      <c r="NTW1727" s="227"/>
      <c r="NTX1727" s="227"/>
      <c r="NTY1727" s="227"/>
      <c r="NTZ1727" s="227"/>
      <c r="NUA1727" s="227"/>
      <c r="NUB1727" s="227"/>
      <c r="NUC1727" s="227"/>
      <c r="NUD1727" s="227"/>
      <c r="NUE1727" s="227"/>
      <c r="NUF1727" s="227"/>
      <c r="NUG1727" s="227"/>
      <c r="NUH1727" s="227"/>
      <c r="NUI1727" s="227"/>
      <c r="NUJ1727" s="227"/>
      <c r="NUK1727" s="227"/>
      <c r="NUL1727" s="227"/>
      <c r="NUM1727" s="227"/>
      <c r="NUN1727" s="227"/>
      <c r="NUO1727" s="227"/>
      <c r="NUP1727" s="227"/>
      <c r="NUQ1727" s="227"/>
      <c r="NUR1727" s="227"/>
      <c r="NUS1727" s="227"/>
      <c r="NUT1727" s="227"/>
      <c r="NUU1727" s="227"/>
      <c r="NUV1727" s="227"/>
      <c r="NUW1727" s="227"/>
      <c r="NUX1727" s="227"/>
      <c r="NUY1727" s="227"/>
      <c r="NUZ1727" s="227"/>
      <c r="NVA1727" s="227"/>
      <c r="NVB1727" s="227"/>
      <c r="NVC1727" s="227"/>
      <c r="NVD1727" s="227"/>
      <c r="NVE1727" s="227"/>
      <c r="NVF1727" s="227"/>
      <c r="NVG1727" s="227"/>
      <c r="NVH1727" s="227"/>
      <c r="NVI1727" s="227"/>
      <c r="NVJ1727" s="227"/>
      <c r="NVK1727" s="227"/>
      <c r="NVL1727" s="227"/>
      <c r="NVM1727" s="227"/>
      <c r="NVN1727" s="227"/>
      <c r="NVO1727" s="227"/>
      <c r="NVP1727" s="227"/>
      <c r="NVQ1727" s="227"/>
      <c r="NVR1727" s="227"/>
      <c r="NVS1727" s="227"/>
      <c r="NVT1727" s="227"/>
      <c r="NVU1727" s="227"/>
      <c r="NVV1727" s="227"/>
      <c r="NVW1727" s="227"/>
      <c r="NVX1727" s="227"/>
      <c r="NVY1727" s="227"/>
      <c r="NVZ1727" s="227"/>
      <c r="NWA1727" s="227"/>
      <c r="NWB1727" s="227"/>
      <c r="NWC1727" s="227"/>
      <c r="NWD1727" s="227"/>
      <c r="NWE1727" s="227"/>
      <c r="NWF1727" s="227"/>
      <c r="NWG1727" s="227"/>
      <c r="NWH1727" s="227"/>
      <c r="NWI1727" s="227"/>
      <c r="NWJ1727" s="227"/>
      <c r="NWK1727" s="227"/>
      <c r="NWL1727" s="227"/>
      <c r="NWM1727" s="227"/>
      <c r="NWN1727" s="227"/>
      <c r="NWO1727" s="227"/>
      <c r="NWP1727" s="227"/>
      <c r="NWQ1727" s="227"/>
      <c r="NWR1727" s="227"/>
      <c r="NWS1727" s="227"/>
      <c r="NWT1727" s="227"/>
      <c r="NWU1727" s="227"/>
      <c r="NWV1727" s="227"/>
      <c r="NWW1727" s="227"/>
      <c r="NWX1727" s="227"/>
      <c r="NWY1727" s="227"/>
      <c r="NWZ1727" s="227"/>
      <c r="NXA1727" s="227"/>
      <c r="NXB1727" s="227"/>
      <c r="NXC1727" s="227"/>
      <c r="NXD1727" s="227"/>
      <c r="NXE1727" s="227"/>
      <c r="NXF1727" s="227"/>
      <c r="NXG1727" s="227"/>
      <c r="NXH1727" s="227"/>
      <c r="NXI1727" s="227"/>
      <c r="NXJ1727" s="227"/>
      <c r="NXK1727" s="227"/>
      <c r="NXL1727" s="227"/>
      <c r="NXM1727" s="227"/>
      <c r="NXN1727" s="227"/>
      <c r="NXO1727" s="227"/>
      <c r="NXP1727" s="227"/>
      <c r="NXQ1727" s="227"/>
      <c r="NXR1727" s="227"/>
      <c r="NXS1727" s="227"/>
      <c r="NXT1727" s="227"/>
      <c r="NXU1727" s="227"/>
      <c r="NXV1727" s="227"/>
      <c r="NXW1727" s="227"/>
      <c r="NXX1727" s="227"/>
      <c r="NXY1727" s="227"/>
      <c r="NXZ1727" s="227"/>
      <c r="NYA1727" s="227"/>
      <c r="NYB1727" s="227"/>
      <c r="NYC1727" s="227"/>
      <c r="NYD1727" s="227"/>
      <c r="NYE1727" s="227"/>
      <c r="NYF1727" s="227"/>
      <c r="NYG1727" s="227"/>
      <c r="NYH1727" s="227"/>
      <c r="NYI1727" s="227"/>
      <c r="NYJ1727" s="227"/>
      <c r="NYK1727" s="227"/>
      <c r="NYL1727" s="227"/>
      <c r="NYM1727" s="227"/>
      <c r="NYN1727" s="227"/>
      <c r="NYO1727" s="227"/>
      <c r="NYP1727" s="227"/>
      <c r="NYQ1727" s="227"/>
      <c r="NYR1727" s="227"/>
      <c r="NYS1727" s="227"/>
      <c r="NYT1727" s="227"/>
      <c r="NYU1727" s="227"/>
      <c r="NYV1727" s="227"/>
      <c r="NYW1727" s="227"/>
      <c r="NYX1727" s="227"/>
      <c r="NYY1727" s="227"/>
      <c r="NYZ1727" s="227"/>
      <c r="NZA1727" s="227"/>
      <c r="NZB1727" s="227"/>
      <c r="NZC1727" s="227"/>
      <c r="NZD1727" s="227"/>
      <c r="NZE1727" s="227"/>
      <c r="NZF1727" s="227"/>
      <c r="NZG1727" s="227"/>
      <c r="NZH1727" s="227"/>
      <c r="NZI1727" s="227"/>
      <c r="NZJ1727" s="227"/>
      <c r="NZK1727" s="227"/>
      <c r="NZL1727" s="227"/>
      <c r="NZM1727" s="227"/>
      <c r="NZN1727" s="227"/>
      <c r="NZO1727" s="227"/>
      <c r="NZP1727" s="227"/>
      <c r="NZQ1727" s="227"/>
      <c r="NZR1727" s="227"/>
      <c r="NZS1727" s="227"/>
      <c r="NZT1727" s="227"/>
      <c r="NZU1727" s="227"/>
      <c r="NZV1727" s="227"/>
      <c r="NZW1727" s="227"/>
      <c r="NZX1727" s="227"/>
      <c r="NZY1727" s="227"/>
      <c r="NZZ1727" s="227"/>
      <c r="OAA1727" s="227"/>
      <c r="OAB1727" s="227"/>
      <c r="OAC1727" s="227"/>
      <c r="OAD1727" s="227"/>
      <c r="OAE1727" s="227"/>
      <c r="OAF1727" s="227"/>
      <c r="OAG1727" s="227"/>
      <c r="OAH1727" s="227"/>
      <c r="OAI1727" s="227"/>
      <c r="OAJ1727" s="227"/>
      <c r="OAK1727" s="227"/>
      <c r="OAL1727" s="227"/>
      <c r="OAM1727" s="227"/>
      <c r="OAN1727" s="227"/>
      <c r="OAO1727" s="227"/>
      <c r="OAP1727" s="227"/>
      <c r="OAQ1727" s="227"/>
      <c r="OAR1727" s="227"/>
      <c r="OAS1727" s="227"/>
      <c r="OAT1727" s="227"/>
      <c r="OAU1727" s="227"/>
      <c r="OAV1727" s="227"/>
      <c r="OAW1727" s="227"/>
      <c r="OAX1727" s="227"/>
      <c r="OAY1727" s="227"/>
      <c r="OAZ1727" s="227"/>
      <c r="OBA1727" s="227"/>
      <c r="OBB1727" s="227"/>
      <c r="OBC1727" s="227"/>
      <c r="OBD1727" s="227"/>
      <c r="OBE1727" s="227"/>
      <c r="OBF1727" s="227"/>
      <c r="OBG1727" s="227"/>
      <c r="OBH1727" s="227"/>
      <c r="OBI1727" s="227"/>
      <c r="OBJ1727" s="227"/>
      <c r="OBK1727" s="227"/>
      <c r="OBL1727" s="227"/>
      <c r="OBM1727" s="227"/>
      <c r="OBN1727" s="227"/>
      <c r="OBO1727" s="227"/>
      <c r="OBP1727" s="227"/>
      <c r="OBQ1727" s="227"/>
      <c r="OBR1727" s="227"/>
      <c r="OBS1727" s="227"/>
      <c r="OBT1727" s="227"/>
      <c r="OBU1727" s="227"/>
      <c r="OBV1727" s="227"/>
      <c r="OBW1727" s="227"/>
      <c r="OBX1727" s="227"/>
      <c r="OBY1727" s="227"/>
      <c r="OBZ1727" s="227"/>
      <c r="OCA1727" s="227"/>
      <c r="OCB1727" s="227"/>
      <c r="OCC1727" s="227"/>
      <c r="OCD1727" s="227"/>
      <c r="OCE1727" s="227"/>
      <c r="OCF1727" s="227"/>
      <c r="OCG1727" s="227"/>
      <c r="OCH1727" s="227"/>
      <c r="OCI1727" s="227"/>
      <c r="OCJ1727" s="227"/>
      <c r="OCK1727" s="227"/>
      <c r="OCL1727" s="227"/>
      <c r="OCM1727" s="227"/>
      <c r="OCN1727" s="227"/>
      <c r="OCO1727" s="227"/>
      <c r="OCP1727" s="227"/>
      <c r="OCQ1727" s="227"/>
      <c r="OCR1727" s="227"/>
      <c r="OCS1727" s="227"/>
      <c r="OCT1727" s="227"/>
      <c r="OCU1727" s="227"/>
      <c r="OCV1727" s="227"/>
      <c r="OCW1727" s="227"/>
      <c r="OCX1727" s="227"/>
      <c r="OCY1727" s="227"/>
      <c r="OCZ1727" s="227"/>
      <c r="ODA1727" s="227"/>
      <c r="ODB1727" s="227"/>
      <c r="ODC1727" s="227"/>
      <c r="ODD1727" s="227"/>
      <c r="ODE1727" s="227"/>
      <c r="ODF1727" s="227"/>
      <c r="ODG1727" s="227"/>
      <c r="ODH1727" s="227"/>
      <c r="ODI1727" s="227"/>
      <c r="ODJ1727" s="227"/>
      <c r="ODK1727" s="227"/>
      <c r="ODL1727" s="227"/>
      <c r="ODM1727" s="227"/>
      <c r="ODN1727" s="227"/>
      <c r="ODO1727" s="227"/>
      <c r="ODP1727" s="227"/>
      <c r="ODQ1727" s="227"/>
      <c r="ODR1727" s="227"/>
      <c r="ODS1727" s="227"/>
      <c r="ODT1727" s="227"/>
      <c r="ODU1727" s="227"/>
      <c r="ODV1727" s="227"/>
      <c r="ODW1727" s="227"/>
      <c r="ODX1727" s="227"/>
      <c r="ODY1727" s="227"/>
      <c r="ODZ1727" s="227"/>
      <c r="OEA1727" s="227"/>
      <c r="OEB1727" s="227"/>
      <c r="OEC1727" s="227"/>
      <c r="OED1727" s="227"/>
      <c r="OEE1727" s="227"/>
      <c r="OEF1727" s="227"/>
      <c r="OEG1727" s="227"/>
      <c r="OEH1727" s="227"/>
      <c r="OEI1727" s="227"/>
      <c r="OEJ1727" s="227"/>
      <c r="OEK1727" s="227"/>
      <c r="OEL1727" s="227"/>
      <c r="OEM1727" s="227"/>
      <c r="OEN1727" s="227"/>
      <c r="OEO1727" s="227"/>
      <c r="OEP1727" s="227"/>
      <c r="OEQ1727" s="227"/>
      <c r="OER1727" s="227"/>
      <c r="OES1727" s="227"/>
      <c r="OET1727" s="227"/>
      <c r="OEU1727" s="227"/>
      <c r="OEV1727" s="227"/>
      <c r="OEW1727" s="227"/>
      <c r="OEX1727" s="227"/>
      <c r="OEY1727" s="227"/>
      <c r="OEZ1727" s="227"/>
      <c r="OFA1727" s="227"/>
      <c r="OFB1727" s="227"/>
      <c r="OFC1727" s="227"/>
      <c r="OFD1727" s="227"/>
      <c r="OFE1727" s="227"/>
      <c r="OFF1727" s="227"/>
      <c r="OFG1727" s="227"/>
      <c r="OFH1727" s="227"/>
      <c r="OFI1727" s="227"/>
      <c r="OFJ1727" s="227"/>
      <c r="OFK1727" s="227"/>
      <c r="OFL1727" s="227"/>
      <c r="OFM1727" s="227"/>
      <c r="OFN1727" s="227"/>
      <c r="OFO1727" s="227"/>
      <c r="OFP1727" s="227"/>
      <c r="OFQ1727" s="227"/>
      <c r="OFR1727" s="227"/>
      <c r="OFS1727" s="227"/>
      <c r="OFT1727" s="227"/>
      <c r="OFU1727" s="227"/>
      <c r="OFV1727" s="227"/>
      <c r="OFW1727" s="227"/>
      <c r="OFX1727" s="227"/>
      <c r="OFY1727" s="227"/>
      <c r="OFZ1727" s="227"/>
      <c r="OGA1727" s="227"/>
      <c r="OGB1727" s="227"/>
      <c r="OGC1727" s="227"/>
      <c r="OGD1727" s="227"/>
      <c r="OGE1727" s="227"/>
      <c r="OGF1727" s="227"/>
      <c r="OGG1727" s="227"/>
      <c r="OGH1727" s="227"/>
      <c r="OGI1727" s="227"/>
      <c r="OGJ1727" s="227"/>
      <c r="OGK1727" s="227"/>
      <c r="OGL1727" s="227"/>
      <c r="OGM1727" s="227"/>
      <c r="OGN1727" s="227"/>
      <c r="OGO1727" s="227"/>
      <c r="OGP1727" s="227"/>
      <c r="OGQ1727" s="227"/>
      <c r="OGR1727" s="227"/>
      <c r="OGS1727" s="227"/>
      <c r="OGT1727" s="227"/>
      <c r="OGU1727" s="227"/>
      <c r="OGV1727" s="227"/>
      <c r="OGW1727" s="227"/>
      <c r="OGX1727" s="227"/>
      <c r="OGY1727" s="227"/>
      <c r="OGZ1727" s="227"/>
      <c r="OHA1727" s="227"/>
      <c r="OHB1727" s="227"/>
      <c r="OHC1727" s="227"/>
      <c r="OHD1727" s="227"/>
      <c r="OHE1727" s="227"/>
      <c r="OHF1727" s="227"/>
      <c r="OHG1727" s="227"/>
      <c r="OHH1727" s="227"/>
      <c r="OHI1727" s="227"/>
      <c r="OHJ1727" s="227"/>
      <c r="OHK1727" s="227"/>
      <c r="OHL1727" s="227"/>
      <c r="OHM1727" s="227"/>
      <c r="OHN1727" s="227"/>
      <c r="OHO1727" s="227"/>
      <c r="OHP1727" s="227"/>
      <c r="OHQ1727" s="227"/>
      <c r="OHR1727" s="227"/>
      <c r="OHS1727" s="227"/>
      <c r="OHT1727" s="227"/>
      <c r="OHU1727" s="227"/>
      <c r="OHV1727" s="227"/>
      <c r="OHW1727" s="227"/>
      <c r="OHX1727" s="227"/>
      <c r="OHY1727" s="227"/>
      <c r="OHZ1727" s="227"/>
      <c r="OIA1727" s="227"/>
      <c r="OIB1727" s="227"/>
      <c r="OIC1727" s="227"/>
      <c r="OID1727" s="227"/>
      <c r="OIE1727" s="227"/>
      <c r="OIF1727" s="227"/>
      <c r="OIG1727" s="227"/>
      <c r="OIH1727" s="227"/>
      <c r="OII1727" s="227"/>
      <c r="OIJ1727" s="227"/>
      <c r="OIK1727" s="227"/>
      <c r="OIL1727" s="227"/>
      <c r="OIM1727" s="227"/>
      <c r="OIN1727" s="227"/>
      <c r="OIO1727" s="227"/>
      <c r="OIP1727" s="227"/>
      <c r="OIQ1727" s="227"/>
      <c r="OIR1727" s="227"/>
      <c r="OIS1727" s="227"/>
      <c r="OIT1727" s="227"/>
      <c r="OIU1727" s="227"/>
      <c r="OIV1727" s="227"/>
      <c r="OIW1727" s="227"/>
      <c r="OIX1727" s="227"/>
      <c r="OIY1727" s="227"/>
      <c r="OIZ1727" s="227"/>
      <c r="OJA1727" s="227"/>
      <c r="OJB1727" s="227"/>
      <c r="OJC1727" s="227"/>
      <c r="OJD1727" s="227"/>
      <c r="OJE1727" s="227"/>
      <c r="OJF1727" s="227"/>
      <c r="OJG1727" s="227"/>
      <c r="OJH1727" s="227"/>
      <c r="OJI1727" s="227"/>
      <c r="OJJ1727" s="227"/>
      <c r="OJK1727" s="227"/>
      <c r="OJL1727" s="227"/>
      <c r="OJM1727" s="227"/>
      <c r="OJN1727" s="227"/>
      <c r="OJO1727" s="227"/>
      <c r="OJP1727" s="227"/>
      <c r="OJQ1727" s="227"/>
      <c r="OJR1727" s="227"/>
      <c r="OJS1727" s="227"/>
      <c r="OJT1727" s="227"/>
      <c r="OJU1727" s="227"/>
      <c r="OJV1727" s="227"/>
      <c r="OJW1727" s="227"/>
      <c r="OJX1727" s="227"/>
      <c r="OJY1727" s="227"/>
      <c r="OJZ1727" s="227"/>
      <c r="OKA1727" s="227"/>
      <c r="OKB1727" s="227"/>
      <c r="OKC1727" s="227"/>
      <c r="OKD1727" s="227"/>
      <c r="OKE1727" s="227"/>
      <c r="OKF1727" s="227"/>
      <c r="OKG1727" s="227"/>
      <c r="OKH1727" s="227"/>
      <c r="OKI1727" s="227"/>
      <c r="OKJ1727" s="227"/>
      <c r="OKK1727" s="227"/>
      <c r="OKL1727" s="227"/>
      <c r="OKM1727" s="227"/>
      <c r="OKN1727" s="227"/>
      <c r="OKO1727" s="227"/>
      <c r="OKP1727" s="227"/>
      <c r="OKQ1727" s="227"/>
      <c r="OKR1727" s="227"/>
      <c r="OKS1727" s="227"/>
      <c r="OKT1727" s="227"/>
      <c r="OKU1727" s="227"/>
      <c r="OKV1727" s="227"/>
      <c r="OKW1727" s="227"/>
      <c r="OKX1727" s="227"/>
      <c r="OKY1727" s="227"/>
      <c r="OKZ1727" s="227"/>
      <c r="OLA1727" s="227"/>
      <c r="OLB1727" s="227"/>
      <c r="OLC1727" s="227"/>
      <c r="OLD1727" s="227"/>
      <c r="OLE1727" s="227"/>
      <c r="OLF1727" s="227"/>
      <c r="OLG1727" s="227"/>
      <c r="OLH1727" s="227"/>
      <c r="OLI1727" s="227"/>
      <c r="OLJ1727" s="227"/>
      <c r="OLK1727" s="227"/>
      <c r="OLL1727" s="227"/>
      <c r="OLM1727" s="227"/>
      <c r="OLN1727" s="227"/>
      <c r="OLO1727" s="227"/>
      <c r="OLP1727" s="227"/>
      <c r="OLQ1727" s="227"/>
      <c r="OLR1727" s="227"/>
      <c r="OLS1727" s="227"/>
      <c r="OLT1727" s="227"/>
      <c r="OLU1727" s="227"/>
      <c r="OLV1727" s="227"/>
      <c r="OLW1727" s="227"/>
      <c r="OLX1727" s="227"/>
      <c r="OLY1727" s="227"/>
      <c r="OLZ1727" s="227"/>
      <c r="OMA1727" s="227"/>
      <c r="OMB1727" s="227"/>
      <c r="OMC1727" s="227"/>
      <c r="OMD1727" s="227"/>
      <c r="OME1727" s="227"/>
      <c r="OMF1727" s="227"/>
      <c r="OMG1727" s="227"/>
      <c r="OMH1727" s="227"/>
      <c r="OMI1727" s="227"/>
      <c r="OMJ1727" s="227"/>
      <c r="OMK1727" s="227"/>
      <c r="OML1727" s="227"/>
      <c r="OMM1727" s="227"/>
      <c r="OMN1727" s="227"/>
      <c r="OMO1727" s="227"/>
      <c r="OMP1727" s="227"/>
      <c r="OMQ1727" s="227"/>
      <c r="OMR1727" s="227"/>
      <c r="OMS1727" s="227"/>
      <c r="OMT1727" s="227"/>
      <c r="OMU1727" s="227"/>
      <c r="OMV1727" s="227"/>
      <c r="OMW1727" s="227"/>
      <c r="OMX1727" s="227"/>
      <c r="OMY1727" s="227"/>
      <c r="OMZ1727" s="227"/>
      <c r="ONA1727" s="227"/>
      <c r="ONB1727" s="227"/>
      <c r="ONC1727" s="227"/>
      <c r="OND1727" s="227"/>
      <c r="ONE1727" s="227"/>
      <c r="ONF1727" s="227"/>
      <c r="ONG1727" s="227"/>
      <c r="ONH1727" s="227"/>
      <c r="ONI1727" s="227"/>
      <c r="ONJ1727" s="227"/>
      <c r="ONK1727" s="227"/>
      <c r="ONL1727" s="227"/>
      <c r="ONM1727" s="227"/>
      <c r="ONN1727" s="227"/>
      <c r="ONO1727" s="227"/>
      <c r="ONP1727" s="227"/>
      <c r="ONQ1727" s="227"/>
      <c r="ONR1727" s="227"/>
      <c r="ONS1727" s="227"/>
      <c r="ONT1727" s="227"/>
      <c r="ONU1727" s="227"/>
      <c r="ONV1727" s="227"/>
      <c r="ONW1727" s="227"/>
      <c r="ONX1727" s="227"/>
      <c r="ONY1727" s="227"/>
      <c r="ONZ1727" s="227"/>
      <c r="OOA1727" s="227"/>
      <c r="OOB1727" s="227"/>
      <c r="OOC1727" s="227"/>
      <c r="OOD1727" s="227"/>
      <c r="OOE1727" s="227"/>
      <c r="OOF1727" s="227"/>
      <c r="OOG1727" s="227"/>
      <c r="OOH1727" s="227"/>
      <c r="OOI1727" s="227"/>
      <c r="OOJ1727" s="227"/>
      <c r="OOK1727" s="227"/>
      <c r="OOL1727" s="227"/>
      <c r="OOM1727" s="227"/>
      <c r="OON1727" s="227"/>
      <c r="OOO1727" s="227"/>
      <c r="OOP1727" s="227"/>
      <c r="OOQ1727" s="227"/>
      <c r="OOR1727" s="227"/>
      <c r="OOS1727" s="227"/>
      <c r="OOT1727" s="227"/>
      <c r="OOU1727" s="227"/>
      <c r="OOV1727" s="227"/>
      <c r="OOW1727" s="227"/>
      <c r="OOX1727" s="227"/>
      <c r="OOY1727" s="227"/>
      <c r="OOZ1727" s="227"/>
      <c r="OPA1727" s="227"/>
      <c r="OPB1727" s="227"/>
      <c r="OPC1727" s="227"/>
      <c r="OPD1727" s="227"/>
      <c r="OPE1727" s="227"/>
      <c r="OPF1727" s="227"/>
      <c r="OPG1727" s="227"/>
      <c r="OPH1727" s="227"/>
      <c r="OPI1727" s="227"/>
      <c r="OPJ1727" s="227"/>
      <c r="OPK1727" s="227"/>
      <c r="OPL1727" s="227"/>
      <c r="OPM1727" s="227"/>
      <c r="OPN1727" s="227"/>
      <c r="OPO1727" s="227"/>
      <c r="OPP1727" s="227"/>
      <c r="OPQ1727" s="227"/>
      <c r="OPR1727" s="227"/>
      <c r="OPS1727" s="227"/>
      <c r="OPT1727" s="227"/>
      <c r="OPU1727" s="227"/>
      <c r="OPV1727" s="227"/>
      <c r="OPW1727" s="227"/>
      <c r="OPX1727" s="227"/>
      <c r="OPY1727" s="227"/>
      <c r="OPZ1727" s="227"/>
      <c r="OQA1727" s="227"/>
      <c r="OQB1727" s="227"/>
      <c r="OQC1727" s="227"/>
      <c r="OQD1727" s="227"/>
      <c r="OQE1727" s="227"/>
      <c r="OQF1727" s="227"/>
      <c r="OQG1727" s="227"/>
      <c r="OQH1727" s="227"/>
      <c r="OQI1727" s="227"/>
      <c r="OQJ1727" s="227"/>
      <c r="OQK1727" s="227"/>
      <c r="OQL1727" s="227"/>
      <c r="OQM1727" s="227"/>
      <c r="OQN1727" s="227"/>
      <c r="OQO1727" s="227"/>
      <c r="OQP1727" s="227"/>
      <c r="OQQ1727" s="227"/>
      <c r="OQR1727" s="227"/>
      <c r="OQS1727" s="227"/>
      <c r="OQT1727" s="227"/>
      <c r="OQU1727" s="227"/>
      <c r="OQV1727" s="227"/>
      <c r="OQW1727" s="227"/>
      <c r="OQX1727" s="227"/>
      <c r="OQY1727" s="227"/>
      <c r="OQZ1727" s="227"/>
      <c r="ORA1727" s="227"/>
      <c r="ORB1727" s="227"/>
      <c r="ORC1727" s="227"/>
      <c r="ORD1727" s="227"/>
      <c r="ORE1727" s="227"/>
      <c r="ORF1727" s="227"/>
      <c r="ORG1727" s="227"/>
      <c r="ORH1727" s="227"/>
      <c r="ORI1727" s="227"/>
      <c r="ORJ1727" s="227"/>
      <c r="ORK1727" s="227"/>
      <c r="ORL1727" s="227"/>
      <c r="ORM1727" s="227"/>
      <c r="ORN1727" s="227"/>
      <c r="ORO1727" s="227"/>
      <c r="ORP1727" s="227"/>
      <c r="ORQ1727" s="227"/>
      <c r="ORR1727" s="227"/>
      <c r="ORS1727" s="227"/>
      <c r="ORT1727" s="227"/>
      <c r="ORU1727" s="227"/>
      <c r="ORV1727" s="227"/>
      <c r="ORW1727" s="227"/>
      <c r="ORX1727" s="227"/>
      <c r="ORY1727" s="227"/>
      <c r="ORZ1727" s="227"/>
      <c r="OSA1727" s="227"/>
      <c r="OSB1727" s="227"/>
      <c r="OSC1727" s="227"/>
      <c r="OSD1727" s="227"/>
      <c r="OSE1727" s="227"/>
      <c r="OSF1727" s="227"/>
      <c r="OSG1727" s="227"/>
      <c r="OSH1727" s="227"/>
      <c r="OSI1727" s="227"/>
      <c r="OSJ1727" s="227"/>
      <c r="OSK1727" s="227"/>
      <c r="OSL1727" s="227"/>
      <c r="OSM1727" s="227"/>
      <c r="OSN1727" s="227"/>
      <c r="OSO1727" s="227"/>
      <c r="OSP1727" s="227"/>
      <c r="OSQ1727" s="227"/>
      <c r="OSR1727" s="227"/>
      <c r="OSS1727" s="227"/>
      <c r="OST1727" s="227"/>
      <c r="OSU1727" s="227"/>
      <c r="OSV1727" s="227"/>
      <c r="OSW1727" s="227"/>
      <c r="OSX1727" s="227"/>
      <c r="OSY1727" s="227"/>
      <c r="OSZ1727" s="227"/>
      <c r="OTA1727" s="227"/>
      <c r="OTB1727" s="227"/>
      <c r="OTC1727" s="227"/>
      <c r="OTD1727" s="227"/>
      <c r="OTE1727" s="227"/>
      <c r="OTF1727" s="227"/>
      <c r="OTG1727" s="227"/>
      <c r="OTH1727" s="227"/>
      <c r="OTI1727" s="227"/>
      <c r="OTJ1727" s="227"/>
      <c r="OTK1727" s="227"/>
      <c r="OTL1727" s="227"/>
      <c r="OTM1727" s="227"/>
      <c r="OTN1727" s="227"/>
      <c r="OTO1727" s="227"/>
      <c r="OTP1727" s="227"/>
      <c r="OTQ1727" s="227"/>
      <c r="OTR1727" s="227"/>
      <c r="OTS1727" s="227"/>
      <c r="OTT1727" s="227"/>
      <c r="OTU1727" s="227"/>
      <c r="OTV1727" s="227"/>
      <c r="OTW1727" s="227"/>
      <c r="OTX1727" s="227"/>
      <c r="OTY1727" s="227"/>
      <c r="OTZ1727" s="227"/>
      <c r="OUA1727" s="227"/>
      <c r="OUB1727" s="227"/>
      <c r="OUC1727" s="227"/>
      <c r="OUD1727" s="227"/>
      <c r="OUE1727" s="227"/>
      <c r="OUF1727" s="227"/>
      <c r="OUG1727" s="227"/>
      <c r="OUH1727" s="227"/>
      <c r="OUI1727" s="227"/>
      <c r="OUJ1727" s="227"/>
      <c r="OUK1727" s="227"/>
      <c r="OUL1727" s="227"/>
      <c r="OUM1727" s="227"/>
      <c r="OUN1727" s="227"/>
      <c r="OUO1727" s="227"/>
      <c r="OUP1727" s="227"/>
      <c r="OUQ1727" s="227"/>
      <c r="OUR1727" s="227"/>
      <c r="OUS1727" s="227"/>
      <c r="OUT1727" s="227"/>
      <c r="OUU1727" s="227"/>
      <c r="OUV1727" s="227"/>
      <c r="OUW1727" s="227"/>
      <c r="OUX1727" s="227"/>
      <c r="OUY1727" s="227"/>
      <c r="OUZ1727" s="227"/>
      <c r="OVA1727" s="227"/>
      <c r="OVB1727" s="227"/>
      <c r="OVC1727" s="227"/>
      <c r="OVD1727" s="227"/>
      <c r="OVE1727" s="227"/>
      <c r="OVF1727" s="227"/>
      <c r="OVG1727" s="227"/>
      <c r="OVH1727" s="227"/>
      <c r="OVI1727" s="227"/>
      <c r="OVJ1727" s="227"/>
      <c r="OVK1727" s="227"/>
      <c r="OVL1727" s="227"/>
      <c r="OVM1727" s="227"/>
      <c r="OVN1727" s="227"/>
      <c r="OVO1727" s="227"/>
      <c r="OVP1727" s="227"/>
      <c r="OVQ1727" s="227"/>
      <c r="OVR1727" s="227"/>
      <c r="OVS1727" s="227"/>
      <c r="OVT1727" s="227"/>
      <c r="OVU1727" s="227"/>
      <c r="OVV1727" s="227"/>
      <c r="OVW1727" s="227"/>
      <c r="OVX1727" s="227"/>
      <c r="OVY1727" s="227"/>
      <c r="OVZ1727" s="227"/>
      <c r="OWA1727" s="227"/>
      <c r="OWB1727" s="227"/>
      <c r="OWC1727" s="227"/>
      <c r="OWD1727" s="227"/>
      <c r="OWE1727" s="227"/>
      <c r="OWF1727" s="227"/>
      <c r="OWG1727" s="227"/>
      <c r="OWH1727" s="227"/>
      <c r="OWI1727" s="227"/>
      <c r="OWJ1727" s="227"/>
      <c r="OWK1727" s="227"/>
      <c r="OWL1727" s="227"/>
      <c r="OWM1727" s="227"/>
      <c r="OWN1727" s="227"/>
      <c r="OWO1727" s="227"/>
      <c r="OWP1727" s="227"/>
      <c r="OWQ1727" s="227"/>
      <c r="OWR1727" s="227"/>
      <c r="OWS1727" s="227"/>
      <c r="OWT1727" s="227"/>
      <c r="OWU1727" s="227"/>
      <c r="OWV1727" s="227"/>
      <c r="OWW1727" s="227"/>
      <c r="OWX1727" s="227"/>
      <c r="OWY1727" s="227"/>
      <c r="OWZ1727" s="227"/>
      <c r="OXA1727" s="227"/>
      <c r="OXB1727" s="227"/>
      <c r="OXC1727" s="227"/>
      <c r="OXD1727" s="227"/>
      <c r="OXE1727" s="227"/>
      <c r="OXF1727" s="227"/>
      <c r="OXG1727" s="227"/>
      <c r="OXH1727" s="227"/>
      <c r="OXI1727" s="227"/>
      <c r="OXJ1727" s="227"/>
      <c r="OXK1727" s="227"/>
      <c r="OXL1727" s="227"/>
      <c r="OXM1727" s="227"/>
      <c r="OXN1727" s="227"/>
      <c r="OXO1727" s="227"/>
      <c r="OXP1727" s="227"/>
      <c r="OXQ1727" s="227"/>
      <c r="OXR1727" s="227"/>
      <c r="OXS1727" s="227"/>
      <c r="OXT1727" s="227"/>
      <c r="OXU1727" s="227"/>
      <c r="OXV1727" s="227"/>
      <c r="OXW1727" s="227"/>
      <c r="OXX1727" s="227"/>
      <c r="OXY1727" s="227"/>
      <c r="OXZ1727" s="227"/>
      <c r="OYA1727" s="227"/>
      <c r="OYB1727" s="227"/>
      <c r="OYC1727" s="227"/>
      <c r="OYD1727" s="227"/>
      <c r="OYE1727" s="227"/>
      <c r="OYF1727" s="227"/>
      <c r="OYG1727" s="227"/>
      <c r="OYH1727" s="227"/>
      <c r="OYI1727" s="227"/>
      <c r="OYJ1727" s="227"/>
      <c r="OYK1727" s="227"/>
      <c r="OYL1727" s="227"/>
      <c r="OYM1727" s="227"/>
      <c r="OYN1727" s="227"/>
      <c r="OYO1727" s="227"/>
      <c r="OYP1727" s="227"/>
      <c r="OYQ1727" s="227"/>
      <c r="OYR1727" s="227"/>
      <c r="OYS1727" s="227"/>
      <c r="OYT1727" s="227"/>
      <c r="OYU1727" s="227"/>
      <c r="OYV1727" s="227"/>
      <c r="OYW1727" s="227"/>
      <c r="OYX1727" s="227"/>
      <c r="OYY1727" s="227"/>
      <c r="OYZ1727" s="227"/>
      <c r="OZA1727" s="227"/>
      <c r="OZB1727" s="227"/>
      <c r="OZC1727" s="227"/>
      <c r="OZD1727" s="227"/>
      <c r="OZE1727" s="227"/>
      <c r="OZF1727" s="227"/>
      <c r="OZG1727" s="227"/>
      <c r="OZH1727" s="227"/>
      <c r="OZI1727" s="227"/>
      <c r="OZJ1727" s="227"/>
      <c r="OZK1727" s="227"/>
      <c r="OZL1727" s="227"/>
      <c r="OZM1727" s="227"/>
      <c r="OZN1727" s="227"/>
      <c r="OZO1727" s="227"/>
      <c r="OZP1727" s="227"/>
      <c r="OZQ1727" s="227"/>
      <c r="OZR1727" s="227"/>
      <c r="OZS1727" s="227"/>
      <c r="OZT1727" s="227"/>
      <c r="OZU1727" s="227"/>
      <c r="OZV1727" s="227"/>
      <c r="OZW1727" s="227"/>
      <c r="OZX1727" s="227"/>
      <c r="OZY1727" s="227"/>
      <c r="OZZ1727" s="227"/>
      <c r="PAA1727" s="227"/>
      <c r="PAB1727" s="227"/>
      <c r="PAC1727" s="227"/>
      <c r="PAD1727" s="227"/>
      <c r="PAE1727" s="227"/>
      <c r="PAF1727" s="227"/>
      <c r="PAG1727" s="227"/>
      <c r="PAH1727" s="227"/>
      <c r="PAI1727" s="227"/>
      <c r="PAJ1727" s="227"/>
      <c r="PAK1727" s="227"/>
      <c r="PAL1727" s="227"/>
      <c r="PAM1727" s="227"/>
      <c r="PAN1727" s="227"/>
      <c r="PAO1727" s="227"/>
      <c r="PAP1727" s="227"/>
      <c r="PAQ1727" s="227"/>
      <c r="PAR1727" s="227"/>
      <c r="PAS1727" s="227"/>
      <c r="PAT1727" s="227"/>
      <c r="PAU1727" s="227"/>
      <c r="PAV1727" s="227"/>
      <c r="PAW1727" s="227"/>
      <c r="PAX1727" s="227"/>
      <c r="PAY1727" s="227"/>
      <c r="PAZ1727" s="227"/>
      <c r="PBA1727" s="227"/>
      <c r="PBB1727" s="227"/>
      <c r="PBC1727" s="227"/>
      <c r="PBD1727" s="227"/>
      <c r="PBE1727" s="227"/>
      <c r="PBF1727" s="227"/>
      <c r="PBG1727" s="227"/>
      <c r="PBH1727" s="227"/>
      <c r="PBI1727" s="227"/>
      <c r="PBJ1727" s="227"/>
      <c r="PBK1727" s="227"/>
      <c r="PBL1727" s="227"/>
      <c r="PBM1727" s="227"/>
      <c r="PBN1727" s="227"/>
      <c r="PBO1727" s="227"/>
      <c r="PBP1727" s="227"/>
      <c r="PBQ1727" s="227"/>
      <c r="PBR1727" s="227"/>
      <c r="PBS1727" s="227"/>
      <c r="PBT1727" s="227"/>
      <c r="PBU1727" s="227"/>
      <c r="PBV1727" s="227"/>
      <c r="PBW1727" s="227"/>
      <c r="PBX1727" s="227"/>
      <c r="PBY1727" s="227"/>
      <c r="PBZ1727" s="227"/>
      <c r="PCA1727" s="227"/>
      <c r="PCB1727" s="227"/>
      <c r="PCC1727" s="227"/>
      <c r="PCD1727" s="227"/>
      <c r="PCE1727" s="227"/>
      <c r="PCF1727" s="227"/>
      <c r="PCG1727" s="227"/>
      <c r="PCH1727" s="227"/>
      <c r="PCI1727" s="227"/>
      <c r="PCJ1727" s="227"/>
      <c r="PCK1727" s="227"/>
      <c r="PCL1727" s="227"/>
      <c r="PCM1727" s="227"/>
      <c r="PCN1727" s="227"/>
      <c r="PCO1727" s="227"/>
      <c r="PCP1727" s="227"/>
      <c r="PCQ1727" s="227"/>
      <c r="PCR1727" s="227"/>
      <c r="PCS1727" s="227"/>
      <c r="PCT1727" s="227"/>
      <c r="PCU1727" s="227"/>
      <c r="PCV1727" s="227"/>
      <c r="PCW1727" s="227"/>
      <c r="PCX1727" s="227"/>
      <c r="PCY1727" s="227"/>
      <c r="PCZ1727" s="227"/>
      <c r="PDA1727" s="227"/>
      <c r="PDB1727" s="227"/>
      <c r="PDC1727" s="227"/>
      <c r="PDD1727" s="227"/>
      <c r="PDE1727" s="227"/>
      <c r="PDF1727" s="227"/>
      <c r="PDG1727" s="227"/>
      <c r="PDH1727" s="227"/>
      <c r="PDI1727" s="227"/>
      <c r="PDJ1727" s="227"/>
      <c r="PDK1727" s="227"/>
      <c r="PDL1727" s="227"/>
      <c r="PDM1727" s="227"/>
      <c r="PDN1727" s="227"/>
      <c r="PDO1727" s="227"/>
      <c r="PDP1727" s="227"/>
      <c r="PDQ1727" s="227"/>
      <c r="PDR1727" s="227"/>
      <c r="PDS1727" s="227"/>
      <c r="PDT1727" s="227"/>
      <c r="PDU1727" s="227"/>
      <c r="PDV1727" s="227"/>
      <c r="PDW1727" s="227"/>
      <c r="PDX1727" s="227"/>
      <c r="PDY1727" s="227"/>
      <c r="PDZ1727" s="227"/>
      <c r="PEA1727" s="227"/>
      <c r="PEB1727" s="227"/>
      <c r="PEC1727" s="227"/>
      <c r="PED1727" s="227"/>
      <c r="PEE1727" s="227"/>
      <c r="PEF1727" s="227"/>
      <c r="PEG1727" s="227"/>
      <c r="PEH1727" s="227"/>
      <c r="PEI1727" s="227"/>
      <c r="PEJ1727" s="227"/>
      <c r="PEK1727" s="227"/>
      <c r="PEL1727" s="227"/>
      <c r="PEM1727" s="227"/>
      <c r="PEN1727" s="227"/>
      <c r="PEO1727" s="227"/>
      <c r="PEP1727" s="227"/>
      <c r="PEQ1727" s="227"/>
      <c r="PER1727" s="227"/>
      <c r="PES1727" s="227"/>
      <c r="PET1727" s="227"/>
      <c r="PEU1727" s="227"/>
      <c r="PEV1727" s="227"/>
      <c r="PEW1727" s="227"/>
      <c r="PEX1727" s="227"/>
      <c r="PEY1727" s="227"/>
      <c r="PEZ1727" s="227"/>
      <c r="PFA1727" s="227"/>
      <c r="PFB1727" s="227"/>
      <c r="PFC1727" s="227"/>
      <c r="PFD1727" s="227"/>
      <c r="PFE1727" s="227"/>
      <c r="PFF1727" s="227"/>
      <c r="PFG1727" s="227"/>
      <c r="PFH1727" s="227"/>
      <c r="PFI1727" s="227"/>
      <c r="PFJ1727" s="227"/>
      <c r="PFK1727" s="227"/>
      <c r="PFL1727" s="227"/>
      <c r="PFM1727" s="227"/>
      <c r="PFN1727" s="227"/>
      <c r="PFO1727" s="227"/>
      <c r="PFP1727" s="227"/>
      <c r="PFQ1727" s="227"/>
      <c r="PFR1727" s="227"/>
      <c r="PFS1727" s="227"/>
      <c r="PFT1727" s="227"/>
      <c r="PFU1727" s="227"/>
      <c r="PFV1727" s="227"/>
      <c r="PFW1727" s="227"/>
      <c r="PFX1727" s="227"/>
      <c r="PFY1727" s="227"/>
      <c r="PFZ1727" s="227"/>
      <c r="PGA1727" s="227"/>
      <c r="PGB1727" s="227"/>
      <c r="PGC1727" s="227"/>
      <c r="PGD1727" s="227"/>
      <c r="PGE1727" s="227"/>
      <c r="PGF1727" s="227"/>
      <c r="PGG1727" s="227"/>
      <c r="PGH1727" s="227"/>
      <c r="PGI1727" s="227"/>
      <c r="PGJ1727" s="227"/>
      <c r="PGK1727" s="227"/>
      <c r="PGL1727" s="227"/>
      <c r="PGM1727" s="227"/>
      <c r="PGN1727" s="227"/>
      <c r="PGO1727" s="227"/>
      <c r="PGP1727" s="227"/>
      <c r="PGQ1727" s="227"/>
      <c r="PGR1727" s="227"/>
      <c r="PGS1727" s="227"/>
      <c r="PGT1727" s="227"/>
      <c r="PGU1727" s="227"/>
      <c r="PGV1727" s="227"/>
      <c r="PGW1727" s="227"/>
      <c r="PGX1727" s="227"/>
      <c r="PGY1727" s="227"/>
      <c r="PGZ1727" s="227"/>
      <c r="PHA1727" s="227"/>
      <c r="PHB1727" s="227"/>
      <c r="PHC1727" s="227"/>
      <c r="PHD1727" s="227"/>
      <c r="PHE1727" s="227"/>
      <c r="PHF1727" s="227"/>
      <c r="PHG1727" s="227"/>
      <c r="PHH1727" s="227"/>
      <c r="PHI1727" s="227"/>
      <c r="PHJ1727" s="227"/>
      <c r="PHK1727" s="227"/>
      <c r="PHL1727" s="227"/>
      <c r="PHM1727" s="227"/>
      <c r="PHN1727" s="227"/>
      <c r="PHO1727" s="227"/>
      <c r="PHP1727" s="227"/>
      <c r="PHQ1727" s="227"/>
      <c r="PHR1727" s="227"/>
      <c r="PHS1727" s="227"/>
      <c r="PHT1727" s="227"/>
      <c r="PHU1727" s="227"/>
      <c r="PHV1727" s="227"/>
      <c r="PHW1727" s="227"/>
      <c r="PHX1727" s="227"/>
      <c r="PHY1727" s="227"/>
      <c r="PHZ1727" s="227"/>
      <c r="PIA1727" s="227"/>
      <c r="PIB1727" s="227"/>
      <c r="PIC1727" s="227"/>
      <c r="PID1727" s="227"/>
      <c r="PIE1727" s="227"/>
      <c r="PIF1727" s="227"/>
      <c r="PIG1727" s="227"/>
      <c r="PIH1727" s="227"/>
      <c r="PII1727" s="227"/>
      <c r="PIJ1727" s="227"/>
      <c r="PIK1727" s="227"/>
      <c r="PIL1727" s="227"/>
      <c r="PIM1727" s="227"/>
      <c r="PIN1727" s="227"/>
      <c r="PIO1727" s="227"/>
      <c r="PIP1727" s="227"/>
      <c r="PIQ1727" s="227"/>
      <c r="PIR1727" s="227"/>
      <c r="PIS1727" s="227"/>
      <c r="PIT1727" s="227"/>
      <c r="PIU1727" s="227"/>
      <c r="PIV1727" s="227"/>
      <c r="PIW1727" s="227"/>
      <c r="PIX1727" s="227"/>
      <c r="PIY1727" s="227"/>
      <c r="PIZ1727" s="227"/>
      <c r="PJA1727" s="227"/>
      <c r="PJB1727" s="227"/>
      <c r="PJC1727" s="227"/>
      <c r="PJD1727" s="227"/>
      <c r="PJE1727" s="227"/>
      <c r="PJF1727" s="227"/>
      <c r="PJG1727" s="227"/>
      <c r="PJH1727" s="227"/>
      <c r="PJI1727" s="227"/>
      <c r="PJJ1727" s="227"/>
      <c r="PJK1727" s="227"/>
      <c r="PJL1727" s="227"/>
      <c r="PJM1727" s="227"/>
      <c r="PJN1727" s="227"/>
      <c r="PJO1727" s="227"/>
      <c r="PJP1727" s="227"/>
      <c r="PJQ1727" s="227"/>
      <c r="PJR1727" s="227"/>
      <c r="PJS1727" s="227"/>
      <c r="PJT1727" s="227"/>
      <c r="PJU1727" s="227"/>
      <c r="PJV1727" s="227"/>
      <c r="PJW1727" s="227"/>
      <c r="PJX1727" s="227"/>
      <c r="PJY1727" s="227"/>
      <c r="PJZ1727" s="227"/>
      <c r="PKA1727" s="227"/>
      <c r="PKB1727" s="227"/>
      <c r="PKC1727" s="227"/>
      <c r="PKD1727" s="227"/>
      <c r="PKE1727" s="227"/>
      <c r="PKF1727" s="227"/>
      <c r="PKG1727" s="227"/>
      <c r="PKH1727" s="227"/>
      <c r="PKI1727" s="227"/>
      <c r="PKJ1727" s="227"/>
      <c r="PKK1727" s="227"/>
      <c r="PKL1727" s="227"/>
      <c r="PKM1727" s="227"/>
      <c r="PKN1727" s="227"/>
      <c r="PKO1727" s="227"/>
      <c r="PKP1727" s="227"/>
      <c r="PKQ1727" s="227"/>
      <c r="PKR1727" s="227"/>
      <c r="PKS1727" s="227"/>
      <c r="PKT1727" s="227"/>
      <c r="PKU1727" s="227"/>
      <c r="PKV1727" s="227"/>
      <c r="PKW1727" s="227"/>
      <c r="PKX1727" s="227"/>
      <c r="PKY1727" s="227"/>
      <c r="PKZ1727" s="227"/>
      <c r="PLA1727" s="227"/>
      <c r="PLB1727" s="227"/>
      <c r="PLC1727" s="227"/>
      <c r="PLD1727" s="227"/>
      <c r="PLE1727" s="227"/>
      <c r="PLF1727" s="227"/>
      <c r="PLG1727" s="227"/>
      <c r="PLH1727" s="227"/>
      <c r="PLI1727" s="227"/>
      <c r="PLJ1727" s="227"/>
      <c r="PLK1727" s="227"/>
      <c r="PLL1727" s="227"/>
      <c r="PLM1727" s="227"/>
      <c r="PLN1727" s="227"/>
      <c r="PLO1727" s="227"/>
      <c r="PLP1727" s="227"/>
      <c r="PLQ1727" s="227"/>
      <c r="PLR1727" s="227"/>
      <c r="PLS1727" s="227"/>
      <c r="PLT1727" s="227"/>
      <c r="PLU1727" s="227"/>
      <c r="PLV1727" s="227"/>
      <c r="PLW1727" s="227"/>
      <c r="PLX1727" s="227"/>
      <c r="PLY1727" s="227"/>
      <c r="PLZ1727" s="227"/>
      <c r="PMA1727" s="227"/>
      <c r="PMB1727" s="227"/>
      <c r="PMC1727" s="227"/>
      <c r="PMD1727" s="227"/>
      <c r="PME1727" s="227"/>
      <c r="PMF1727" s="227"/>
      <c r="PMG1727" s="227"/>
      <c r="PMH1727" s="227"/>
      <c r="PMI1727" s="227"/>
      <c r="PMJ1727" s="227"/>
      <c r="PMK1727" s="227"/>
      <c r="PML1727" s="227"/>
      <c r="PMM1727" s="227"/>
      <c r="PMN1727" s="227"/>
      <c r="PMO1727" s="227"/>
      <c r="PMP1727" s="227"/>
      <c r="PMQ1727" s="227"/>
      <c r="PMR1727" s="227"/>
      <c r="PMS1727" s="227"/>
      <c r="PMT1727" s="227"/>
      <c r="PMU1727" s="227"/>
      <c r="PMV1727" s="227"/>
      <c r="PMW1727" s="227"/>
      <c r="PMX1727" s="227"/>
      <c r="PMY1727" s="227"/>
      <c r="PMZ1727" s="227"/>
      <c r="PNA1727" s="227"/>
      <c r="PNB1727" s="227"/>
      <c r="PNC1727" s="227"/>
      <c r="PND1727" s="227"/>
      <c r="PNE1727" s="227"/>
      <c r="PNF1727" s="227"/>
      <c r="PNG1727" s="227"/>
      <c r="PNH1727" s="227"/>
      <c r="PNI1727" s="227"/>
      <c r="PNJ1727" s="227"/>
      <c r="PNK1727" s="227"/>
      <c r="PNL1727" s="227"/>
      <c r="PNM1727" s="227"/>
      <c r="PNN1727" s="227"/>
      <c r="PNO1727" s="227"/>
      <c r="PNP1727" s="227"/>
      <c r="PNQ1727" s="227"/>
      <c r="PNR1727" s="227"/>
      <c r="PNS1727" s="227"/>
      <c r="PNT1727" s="227"/>
      <c r="PNU1727" s="227"/>
      <c r="PNV1727" s="227"/>
      <c r="PNW1727" s="227"/>
      <c r="PNX1727" s="227"/>
      <c r="PNY1727" s="227"/>
      <c r="PNZ1727" s="227"/>
      <c r="POA1727" s="227"/>
      <c r="POB1727" s="227"/>
      <c r="POC1727" s="227"/>
      <c r="POD1727" s="227"/>
      <c r="POE1727" s="227"/>
      <c r="POF1727" s="227"/>
      <c r="POG1727" s="227"/>
      <c r="POH1727" s="227"/>
      <c r="POI1727" s="227"/>
      <c r="POJ1727" s="227"/>
      <c r="POK1727" s="227"/>
      <c r="POL1727" s="227"/>
      <c r="POM1727" s="227"/>
      <c r="PON1727" s="227"/>
      <c r="POO1727" s="227"/>
      <c r="POP1727" s="227"/>
      <c r="POQ1727" s="227"/>
      <c r="POR1727" s="227"/>
      <c r="POS1727" s="227"/>
      <c r="POT1727" s="227"/>
      <c r="POU1727" s="227"/>
      <c r="POV1727" s="227"/>
      <c r="POW1727" s="227"/>
      <c r="POX1727" s="227"/>
      <c r="POY1727" s="227"/>
      <c r="POZ1727" s="227"/>
      <c r="PPA1727" s="227"/>
      <c r="PPB1727" s="227"/>
      <c r="PPC1727" s="227"/>
      <c r="PPD1727" s="227"/>
      <c r="PPE1727" s="227"/>
      <c r="PPF1727" s="227"/>
      <c r="PPG1727" s="227"/>
      <c r="PPH1727" s="227"/>
      <c r="PPI1727" s="227"/>
      <c r="PPJ1727" s="227"/>
      <c r="PPK1727" s="227"/>
      <c r="PPL1727" s="227"/>
      <c r="PPM1727" s="227"/>
      <c r="PPN1727" s="227"/>
      <c r="PPO1727" s="227"/>
      <c r="PPP1727" s="227"/>
      <c r="PPQ1727" s="227"/>
      <c r="PPR1727" s="227"/>
      <c r="PPS1727" s="227"/>
      <c r="PPT1727" s="227"/>
      <c r="PPU1727" s="227"/>
      <c r="PPV1727" s="227"/>
      <c r="PPW1727" s="227"/>
      <c r="PPX1727" s="227"/>
      <c r="PPY1727" s="227"/>
      <c r="PPZ1727" s="227"/>
      <c r="PQA1727" s="227"/>
      <c r="PQB1727" s="227"/>
      <c r="PQC1727" s="227"/>
      <c r="PQD1727" s="227"/>
      <c r="PQE1727" s="227"/>
      <c r="PQF1727" s="227"/>
      <c r="PQG1727" s="227"/>
      <c r="PQH1727" s="227"/>
      <c r="PQI1727" s="227"/>
      <c r="PQJ1727" s="227"/>
      <c r="PQK1727" s="227"/>
      <c r="PQL1727" s="227"/>
      <c r="PQM1727" s="227"/>
      <c r="PQN1727" s="227"/>
      <c r="PQO1727" s="227"/>
      <c r="PQP1727" s="227"/>
      <c r="PQQ1727" s="227"/>
      <c r="PQR1727" s="227"/>
      <c r="PQS1727" s="227"/>
      <c r="PQT1727" s="227"/>
      <c r="PQU1727" s="227"/>
      <c r="PQV1727" s="227"/>
      <c r="PQW1727" s="227"/>
      <c r="PQX1727" s="227"/>
      <c r="PQY1727" s="227"/>
      <c r="PQZ1727" s="227"/>
      <c r="PRA1727" s="227"/>
      <c r="PRB1727" s="227"/>
      <c r="PRC1727" s="227"/>
      <c r="PRD1727" s="227"/>
      <c r="PRE1727" s="227"/>
      <c r="PRF1727" s="227"/>
      <c r="PRG1727" s="227"/>
      <c r="PRH1727" s="227"/>
      <c r="PRI1727" s="227"/>
      <c r="PRJ1727" s="227"/>
      <c r="PRK1727" s="227"/>
      <c r="PRL1727" s="227"/>
      <c r="PRM1727" s="227"/>
      <c r="PRN1727" s="227"/>
      <c r="PRO1727" s="227"/>
      <c r="PRP1727" s="227"/>
      <c r="PRQ1727" s="227"/>
      <c r="PRR1727" s="227"/>
      <c r="PRS1727" s="227"/>
      <c r="PRT1727" s="227"/>
      <c r="PRU1727" s="227"/>
      <c r="PRV1727" s="227"/>
      <c r="PRW1727" s="227"/>
      <c r="PRX1727" s="227"/>
      <c r="PRY1727" s="227"/>
      <c r="PRZ1727" s="227"/>
      <c r="PSA1727" s="227"/>
      <c r="PSB1727" s="227"/>
      <c r="PSC1727" s="227"/>
      <c r="PSD1727" s="227"/>
      <c r="PSE1727" s="227"/>
      <c r="PSF1727" s="227"/>
      <c r="PSG1727" s="227"/>
      <c r="PSH1727" s="227"/>
      <c r="PSI1727" s="227"/>
      <c r="PSJ1727" s="227"/>
      <c r="PSK1727" s="227"/>
      <c r="PSL1727" s="227"/>
      <c r="PSM1727" s="227"/>
      <c r="PSN1727" s="227"/>
      <c r="PSO1727" s="227"/>
      <c r="PSP1727" s="227"/>
      <c r="PSQ1727" s="227"/>
      <c r="PSR1727" s="227"/>
      <c r="PSS1727" s="227"/>
      <c r="PST1727" s="227"/>
      <c r="PSU1727" s="227"/>
      <c r="PSV1727" s="227"/>
      <c r="PSW1727" s="227"/>
      <c r="PSX1727" s="227"/>
      <c r="PSY1727" s="227"/>
      <c r="PSZ1727" s="227"/>
      <c r="PTA1727" s="227"/>
      <c r="PTB1727" s="227"/>
      <c r="PTC1727" s="227"/>
      <c r="PTD1727" s="227"/>
      <c r="PTE1727" s="227"/>
      <c r="PTF1727" s="227"/>
      <c r="PTG1727" s="227"/>
      <c r="PTH1727" s="227"/>
      <c r="PTI1727" s="227"/>
      <c r="PTJ1727" s="227"/>
      <c r="PTK1727" s="227"/>
      <c r="PTL1727" s="227"/>
      <c r="PTM1727" s="227"/>
      <c r="PTN1727" s="227"/>
      <c r="PTO1727" s="227"/>
      <c r="PTP1727" s="227"/>
      <c r="PTQ1727" s="227"/>
      <c r="PTR1727" s="227"/>
      <c r="PTS1727" s="227"/>
      <c r="PTT1727" s="227"/>
      <c r="PTU1727" s="227"/>
      <c r="PTV1727" s="227"/>
      <c r="PTW1727" s="227"/>
      <c r="PTX1727" s="227"/>
      <c r="PTY1727" s="227"/>
      <c r="PTZ1727" s="227"/>
      <c r="PUA1727" s="227"/>
      <c r="PUB1727" s="227"/>
      <c r="PUC1727" s="227"/>
      <c r="PUD1727" s="227"/>
      <c r="PUE1727" s="227"/>
      <c r="PUF1727" s="227"/>
      <c r="PUG1727" s="227"/>
      <c r="PUH1727" s="227"/>
      <c r="PUI1727" s="227"/>
      <c r="PUJ1727" s="227"/>
      <c r="PUK1727" s="227"/>
      <c r="PUL1727" s="227"/>
      <c r="PUM1727" s="227"/>
      <c r="PUN1727" s="227"/>
      <c r="PUO1727" s="227"/>
      <c r="PUP1727" s="227"/>
      <c r="PUQ1727" s="227"/>
      <c r="PUR1727" s="227"/>
      <c r="PUS1727" s="227"/>
      <c r="PUT1727" s="227"/>
      <c r="PUU1727" s="227"/>
      <c r="PUV1727" s="227"/>
      <c r="PUW1727" s="227"/>
      <c r="PUX1727" s="227"/>
      <c r="PUY1727" s="227"/>
      <c r="PUZ1727" s="227"/>
      <c r="PVA1727" s="227"/>
      <c r="PVB1727" s="227"/>
      <c r="PVC1727" s="227"/>
      <c r="PVD1727" s="227"/>
      <c r="PVE1727" s="227"/>
      <c r="PVF1727" s="227"/>
      <c r="PVG1727" s="227"/>
      <c r="PVH1727" s="227"/>
      <c r="PVI1727" s="227"/>
      <c r="PVJ1727" s="227"/>
      <c r="PVK1727" s="227"/>
      <c r="PVL1727" s="227"/>
      <c r="PVM1727" s="227"/>
      <c r="PVN1727" s="227"/>
      <c r="PVO1727" s="227"/>
      <c r="PVP1727" s="227"/>
      <c r="PVQ1727" s="227"/>
      <c r="PVR1727" s="227"/>
      <c r="PVS1727" s="227"/>
      <c r="PVT1727" s="227"/>
      <c r="PVU1727" s="227"/>
      <c r="PVV1727" s="227"/>
      <c r="PVW1727" s="227"/>
      <c r="PVX1727" s="227"/>
      <c r="PVY1727" s="227"/>
      <c r="PVZ1727" s="227"/>
      <c r="PWA1727" s="227"/>
      <c r="PWB1727" s="227"/>
      <c r="PWC1727" s="227"/>
      <c r="PWD1727" s="227"/>
      <c r="PWE1727" s="227"/>
      <c r="PWF1727" s="227"/>
      <c r="PWG1727" s="227"/>
      <c r="PWH1727" s="227"/>
      <c r="PWI1727" s="227"/>
      <c r="PWJ1727" s="227"/>
      <c r="PWK1727" s="227"/>
      <c r="PWL1727" s="227"/>
      <c r="PWM1727" s="227"/>
      <c r="PWN1727" s="227"/>
      <c r="PWO1727" s="227"/>
      <c r="PWP1727" s="227"/>
      <c r="PWQ1727" s="227"/>
      <c r="PWR1727" s="227"/>
      <c r="PWS1727" s="227"/>
      <c r="PWT1727" s="227"/>
      <c r="PWU1727" s="227"/>
      <c r="PWV1727" s="227"/>
      <c r="PWW1727" s="227"/>
      <c r="PWX1727" s="227"/>
      <c r="PWY1727" s="227"/>
      <c r="PWZ1727" s="227"/>
      <c r="PXA1727" s="227"/>
      <c r="PXB1727" s="227"/>
      <c r="PXC1727" s="227"/>
      <c r="PXD1727" s="227"/>
      <c r="PXE1727" s="227"/>
      <c r="PXF1727" s="227"/>
      <c r="PXG1727" s="227"/>
      <c r="PXH1727" s="227"/>
      <c r="PXI1727" s="227"/>
      <c r="PXJ1727" s="227"/>
      <c r="PXK1727" s="227"/>
      <c r="PXL1727" s="227"/>
      <c r="PXM1727" s="227"/>
      <c r="PXN1727" s="227"/>
      <c r="PXO1727" s="227"/>
      <c r="PXP1727" s="227"/>
      <c r="PXQ1727" s="227"/>
      <c r="PXR1727" s="227"/>
      <c r="PXS1727" s="227"/>
      <c r="PXT1727" s="227"/>
      <c r="PXU1727" s="227"/>
      <c r="PXV1727" s="227"/>
      <c r="PXW1727" s="227"/>
      <c r="PXX1727" s="227"/>
      <c r="PXY1727" s="227"/>
      <c r="PXZ1727" s="227"/>
      <c r="PYA1727" s="227"/>
      <c r="PYB1727" s="227"/>
      <c r="PYC1727" s="227"/>
      <c r="PYD1727" s="227"/>
      <c r="PYE1727" s="227"/>
      <c r="PYF1727" s="227"/>
      <c r="PYG1727" s="227"/>
      <c r="PYH1727" s="227"/>
      <c r="PYI1727" s="227"/>
      <c r="PYJ1727" s="227"/>
      <c r="PYK1727" s="227"/>
      <c r="PYL1727" s="227"/>
      <c r="PYM1727" s="227"/>
      <c r="PYN1727" s="227"/>
      <c r="PYO1727" s="227"/>
      <c r="PYP1727" s="227"/>
      <c r="PYQ1727" s="227"/>
      <c r="PYR1727" s="227"/>
      <c r="PYS1727" s="227"/>
      <c r="PYT1727" s="227"/>
      <c r="PYU1727" s="227"/>
      <c r="PYV1727" s="227"/>
      <c r="PYW1727" s="227"/>
      <c r="PYX1727" s="227"/>
      <c r="PYY1727" s="227"/>
      <c r="PYZ1727" s="227"/>
      <c r="PZA1727" s="227"/>
      <c r="PZB1727" s="227"/>
      <c r="PZC1727" s="227"/>
      <c r="PZD1727" s="227"/>
      <c r="PZE1727" s="227"/>
      <c r="PZF1727" s="227"/>
      <c r="PZG1727" s="227"/>
      <c r="PZH1727" s="227"/>
      <c r="PZI1727" s="227"/>
      <c r="PZJ1727" s="227"/>
      <c r="PZK1727" s="227"/>
      <c r="PZL1727" s="227"/>
      <c r="PZM1727" s="227"/>
      <c r="PZN1727" s="227"/>
      <c r="PZO1727" s="227"/>
      <c r="PZP1727" s="227"/>
      <c r="PZQ1727" s="227"/>
      <c r="PZR1727" s="227"/>
      <c r="PZS1727" s="227"/>
      <c r="PZT1727" s="227"/>
      <c r="PZU1727" s="227"/>
      <c r="PZV1727" s="227"/>
      <c r="PZW1727" s="227"/>
      <c r="PZX1727" s="227"/>
      <c r="PZY1727" s="227"/>
      <c r="PZZ1727" s="227"/>
      <c r="QAA1727" s="227"/>
      <c r="QAB1727" s="227"/>
      <c r="QAC1727" s="227"/>
      <c r="QAD1727" s="227"/>
      <c r="QAE1727" s="227"/>
      <c r="QAF1727" s="227"/>
      <c r="QAG1727" s="227"/>
      <c r="QAH1727" s="227"/>
      <c r="QAI1727" s="227"/>
      <c r="QAJ1727" s="227"/>
      <c r="QAK1727" s="227"/>
      <c r="QAL1727" s="227"/>
      <c r="QAM1727" s="227"/>
      <c r="QAN1727" s="227"/>
      <c r="QAO1727" s="227"/>
      <c r="QAP1727" s="227"/>
      <c r="QAQ1727" s="227"/>
      <c r="QAR1727" s="227"/>
      <c r="QAS1727" s="227"/>
      <c r="QAT1727" s="227"/>
      <c r="QAU1727" s="227"/>
      <c r="QAV1727" s="227"/>
      <c r="QAW1727" s="227"/>
      <c r="QAX1727" s="227"/>
      <c r="QAY1727" s="227"/>
      <c r="QAZ1727" s="227"/>
      <c r="QBA1727" s="227"/>
      <c r="QBB1727" s="227"/>
      <c r="QBC1727" s="227"/>
      <c r="QBD1727" s="227"/>
      <c r="QBE1727" s="227"/>
      <c r="QBF1727" s="227"/>
      <c r="QBG1727" s="227"/>
      <c r="QBH1727" s="227"/>
      <c r="QBI1727" s="227"/>
      <c r="QBJ1727" s="227"/>
      <c r="QBK1727" s="227"/>
      <c r="QBL1727" s="227"/>
      <c r="QBM1727" s="227"/>
      <c r="QBN1727" s="227"/>
      <c r="QBO1727" s="227"/>
      <c r="QBP1727" s="227"/>
      <c r="QBQ1727" s="227"/>
      <c r="QBR1727" s="227"/>
      <c r="QBS1727" s="227"/>
      <c r="QBT1727" s="227"/>
      <c r="QBU1727" s="227"/>
      <c r="QBV1727" s="227"/>
      <c r="QBW1727" s="227"/>
      <c r="QBX1727" s="227"/>
      <c r="QBY1727" s="227"/>
      <c r="QBZ1727" s="227"/>
      <c r="QCA1727" s="227"/>
      <c r="QCB1727" s="227"/>
      <c r="QCC1727" s="227"/>
      <c r="QCD1727" s="227"/>
      <c r="QCE1727" s="227"/>
      <c r="QCF1727" s="227"/>
      <c r="QCG1727" s="227"/>
      <c r="QCH1727" s="227"/>
      <c r="QCI1727" s="227"/>
      <c r="QCJ1727" s="227"/>
      <c r="QCK1727" s="227"/>
      <c r="QCL1727" s="227"/>
      <c r="QCM1727" s="227"/>
      <c r="QCN1727" s="227"/>
      <c r="QCO1727" s="227"/>
      <c r="QCP1727" s="227"/>
      <c r="QCQ1727" s="227"/>
      <c r="QCR1727" s="227"/>
      <c r="QCS1727" s="227"/>
      <c r="QCT1727" s="227"/>
      <c r="QCU1727" s="227"/>
      <c r="QCV1727" s="227"/>
      <c r="QCW1727" s="227"/>
      <c r="QCX1727" s="227"/>
      <c r="QCY1727" s="227"/>
      <c r="QCZ1727" s="227"/>
      <c r="QDA1727" s="227"/>
      <c r="QDB1727" s="227"/>
      <c r="QDC1727" s="227"/>
      <c r="QDD1727" s="227"/>
      <c r="QDE1727" s="227"/>
      <c r="QDF1727" s="227"/>
      <c r="QDG1727" s="227"/>
      <c r="QDH1727" s="227"/>
      <c r="QDI1727" s="227"/>
      <c r="QDJ1727" s="227"/>
      <c r="QDK1727" s="227"/>
      <c r="QDL1727" s="227"/>
      <c r="QDM1727" s="227"/>
      <c r="QDN1727" s="227"/>
      <c r="QDO1727" s="227"/>
      <c r="QDP1727" s="227"/>
      <c r="QDQ1727" s="227"/>
      <c r="QDR1727" s="227"/>
      <c r="QDS1727" s="227"/>
      <c r="QDT1727" s="227"/>
      <c r="QDU1727" s="227"/>
      <c r="QDV1727" s="227"/>
      <c r="QDW1727" s="227"/>
      <c r="QDX1727" s="227"/>
      <c r="QDY1727" s="227"/>
      <c r="QDZ1727" s="227"/>
      <c r="QEA1727" s="227"/>
      <c r="QEB1727" s="227"/>
      <c r="QEC1727" s="227"/>
      <c r="QED1727" s="227"/>
      <c r="QEE1727" s="227"/>
      <c r="QEF1727" s="227"/>
      <c r="QEG1727" s="227"/>
      <c r="QEH1727" s="227"/>
      <c r="QEI1727" s="227"/>
      <c r="QEJ1727" s="227"/>
      <c r="QEK1727" s="227"/>
      <c r="QEL1727" s="227"/>
      <c r="QEM1727" s="227"/>
      <c r="QEN1727" s="227"/>
      <c r="QEO1727" s="227"/>
      <c r="QEP1727" s="227"/>
      <c r="QEQ1727" s="227"/>
      <c r="QER1727" s="227"/>
      <c r="QES1727" s="227"/>
      <c r="QET1727" s="227"/>
      <c r="QEU1727" s="227"/>
      <c r="QEV1727" s="227"/>
      <c r="QEW1727" s="227"/>
      <c r="QEX1727" s="227"/>
      <c r="QEY1727" s="227"/>
      <c r="QEZ1727" s="227"/>
      <c r="QFA1727" s="227"/>
      <c r="QFB1727" s="227"/>
      <c r="QFC1727" s="227"/>
      <c r="QFD1727" s="227"/>
      <c r="QFE1727" s="227"/>
      <c r="QFF1727" s="227"/>
      <c r="QFG1727" s="227"/>
      <c r="QFH1727" s="227"/>
      <c r="QFI1727" s="227"/>
      <c r="QFJ1727" s="227"/>
      <c r="QFK1727" s="227"/>
      <c r="QFL1727" s="227"/>
      <c r="QFM1727" s="227"/>
      <c r="QFN1727" s="227"/>
      <c r="QFO1727" s="227"/>
      <c r="QFP1727" s="227"/>
      <c r="QFQ1727" s="227"/>
      <c r="QFR1727" s="227"/>
      <c r="QFS1727" s="227"/>
      <c r="QFT1727" s="227"/>
      <c r="QFU1727" s="227"/>
      <c r="QFV1727" s="227"/>
      <c r="QFW1727" s="227"/>
      <c r="QFX1727" s="227"/>
      <c r="QFY1727" s="227"/>
      <c r="QFZ1727" s="227"/>
      <c r="QGA1727" s="227"/>
      <c r="QGB1727" s="227"/>
      <c r="QGC1727" s="227"/>
      <c r="QGD1727" s="227"/>
      <c r="QGE1727" s="227"/>
      <c r="QGF1727" s="227"/>
      <c r="QGG1727" s="227"/>
      <c r="QGH1727" s="227"/>
      <c r="QGI1727" s="227"/>
      <c r="QGJ1727" s="227"/>
      <c r="QGK1727" s="227"/>
      <c r="QGL1727" s="227"/>
      <c r="QGM1727" s="227"/>
      <c r="QGN1727" s="227"/>
      <c r="QGO1727" s="227"/>
      <c r="QGP1727" s="227"/>
      <c r="QGQ1727" s="227"/>
      <c r="QGR1727" s="227"/>
      <c r="QGS1727" s="227"/>
      <c r="QGT1727" s="227"/>
      <c r="QGU1727" s="227"/>
      <c r="QGV1727" s="227"/>
      <c r="QGW1727" s="227"/>
      <c r="QGX1727" s="227"/>
      <c r="QGY1727" s="227"/>
      <c r="QGZ1727" s="227"/>
      <c r="QHA1727" s="227"/>
      <c r="QHB1727" s="227"/>
      <c r="QHC1727" s="227"/>
      <c r="QHD1727" s="227"/>
      <c r="QHE1727" s="227"/>
      <c r="QHF1727" s="227"/>
      <c r="QHG1727" s="227"/>
      <c r="QHH1727" s="227"/>
      <c r="QHI1727" s="227"/>
      <c r="QHJ1727" s="227"/>
      <c r="QHK1727" s="227"/>
      <c r="QHL1727" s="227"/>
      <c r="QHM1727" s="227"/>
      <c r="QHN1727" s="227"/>
      <c r="QHO1727" s="227"/>
      <c r="QHP1727" s="227"/>
      <c r="QHQ1727" s="227"/>
      <c r="QHR1727" s="227"/>
      <c r="QHS1727" s="227"/>
      <c r="QHT1727" s="227"/>
      <c r="QHU1727" s="227"/>
      <c r="QHV1727" s="227"/>
      <c r="QHW1727" s="227"/>
      <c r="QHX1727" s="227"/>
      <c r="QHY1727" s="227"/>
      <c r="QHZ1727" s="227"/>
      <c r="QIA1727" s="227"/>
      <c r="QIB1727" s="227"/>
      <c r="QIC1727" s="227"/>
      <c r="QID1727" s="227"/>
      <c r="QIE1727" s="227"/>
      <c r="QIF1727" s="227"/>
      <c r="QIG1727" s="227"/>
      <c r="QIH1727" s="227"/>
      <c r="QII1727" s="227"/>
      <c r="QIJ1727" s="227"/>
      <c r="QIK1727" s="227"/>
      <c r="QIL1727" s="227"/>
      <c r="QIM1727" s="227"/>
      <c r="QIN1727" s="227"/>
      <c r="QIO1727" s="227"/>
      <c r="QIP1727" s="227"/>
      <c r="QIQ1727" s="227"/>
      <c r="QIR1727" s="227"/>
      <c r="QIS1727" s="227"/>
      <c r="QIT1727" s="227"/>
      <c r="QIU1727" s="227"/>
      <c r="QIV1727" s="227"/>
      <c r="QIW1727" s="227"/>
      <c r="QIX1727" s="227"/>
      <c r="QIY1727" s="227"/>
      <c r="QIZ1727" s="227"/>
      <c r="QJA1727" s="227"/>
      <c r="QJB1727" s="227"/>
      <c r="QJC1727" s="227"/>
      <c r="QJD1727" s="227"/>
      <c r="QJE1727" s="227"/>
      <c r="QJF1727" s="227"/>
      <c r="QJG1727" s="227"/>
      <c r="QJH1727" s="227"/>
      <c r="QJI1727" s="227"/>
      <c r="QJJ1727" s="227"/>
      <c r="QJK1727" s="227"/>
      <c r="QJL1727" s="227"/>
      <c r="QJM1727" s="227"/>
      <c r="QJN1727" s="227"/>
      <c r="QJO1727" s="227"/>
      <c r="QJP1727" s="227"/>
      <c r="QJQ1727" s="227"/>
      <c r="QJR1727" s="227"/>
      <c r="QJS1727" s="227"/>
      <c r="QJT1727" s="227"/>
      <c r="QJU1727" s="227"/>
      <c r="QJV1727" s="227"/>
      <c r="QJW1727" s="227"/>
      <c r="QJX1727" s="227"/>
      <c r="QJY1727" s="227"/>
      <c r="QJZ1727" s="227"/>
      <c r="QKA1727" s="227"/>
      <c r="QKB1727" s="227"/>
      <c r="QKC1727" s="227"/>
      <c r="QKD1727" s="227"/>
      <c r="QKE1727" s="227"/>
      <c r="QKF1727" s="227"/>
      <c r="QKG1727" s="227"/>
      <c r="QKH1727" s="227"/>
      <c r="QKI1727" s="227"/>
      <c r="QKJ1727" s="227"/>
      <c r="QKK1727" s="227"/>
      <c r="QKL1727" s="227"/>
      <c r="QKM1727" s="227"/>
      <c r="QKN1727" s="227"/>
      <c r="QKO1727" s="227"/>
      <c r="QKP1727" s="227"/>
      <c r="QKQ1727" s="227"/>
      <c r="QKR1727" s="227"/>
      <c r="QKS1727" s="227"/>
      <c r="QKT1727" s="227"/>
      <c r="QKU1727" s="227"/>
      <c r="QKV1727" s="227"/>
      <c r="QKW1727" s="227"/>
      <c r="QKX1727" s="227"/>
      <c r="QKY1727" s="227"/>
      <c r="QKZ1727" s="227"/>
      <c r="QLA1727" s="227"/>
      <c r="QLB1727" s="227"/>
      <c r="QLC1727" s="227"/>
      <c r="QLD1727" s="227"/>
      <c r="QLE1727" s="227"/>
      <c r="QLF1727" s="227"/>
      <c r="QLG1727" s="227"/>
      <c r="QLH1727" s="227"/>
      <c r="QLI1727" s="227"/>
      <c r="QLJ1727" s="227"/>
      <c r="QLK1727" s="227"/>
      <c r="QLL1727" s="227"/>
      <c r="QLM1727" s="227"/>
      <c r="QLN1727" s="227"/>
      <c r="QLO1727" s="227"/>
      <c r="QLP1727" s="227"/>
      <c r="QLQ1727" s="227"/>
      <c r="QLR1727" s="227"/>
      <c r="QLS1727" s="227"/>
      <c r="QLT1727" s="227"/>
      <c r="QLU1727" s="227"/>
      <c r="QLV1727" s="227"/>
      <c r="QLW1727" s="227"/>
      <c r="QLX1727" s="227"/>
      <c r="QLY1727" s="227"/>
      <c r="QLZ1727" s="227"/>
      <c r="QMA1727" s="227"/>
      <c r="QMB1727" s="227"/>
      <c r="QMC1727" s="227"/>
      <c r="QMD1727" s="227"/>
      <c r="QME1727" s="227"/>
      <c r="QMF1727" s="227"/>
      <c r="QMG1727" s="227"/>
      <c r="QMH1727" s="227"/>
      <c r="QMI1727" s="227"/>
      <c r="QMJ1727" s="227"/>
      <c r="QMK1727" s="227"/>
      <c r="QML1727" s="227"/>
      <c r="QMM1727" s="227"/>
      <c r="QMN1727" s="227"/>
      <c r="QMO1727" s="227"/>
      <c r="QMP1727" s="227"/>
      <c r="QMQ1727" s="227"/>
      <c r="QMR1727" s="227"/>
      <c r="QMS1727" s="227"/>
      <c r="QMT1727" s="227"/>
      <c r="QMU1727" s="227"/>
      <c r="QMV1727" s="227"/>
      <c r="QMW1727" s="227"/>
      <c r="QMX1727" s="227"/>
      <c r="QMY1727" s="227"/>
      <c r="QMZ1727" s="227"/>
      <c r="QNA1727" s="227"/>
      <c r="QNB1727" s="227"/>
      <c r="QNC1727" s="227"/>
      <c r="QND1727" s="227"/>
      <c r="QNE1727" s="227"/>
      <c r="QNF1727" s="227"/>
      <c r="QNG1727" s="227"/>
      <c r="QNH1727" s="227"/>
      <c r="QNI1727" s="227"/>
      <c r="QNJ1727" s="227"/>
      <c r="QNK1727" s="227"/>
      <c r="QNL1727" s="227"/>
      <c r="QNM1727" s="227"/>
      <c r="QNN1727" s="227"/>
      <c r="QNO1727" s="227"/>
      <c r="QNP1727" s="227"/>
      <c r="QNQ1727" s="227"/>
      <c r="QNR1727" s="227"/>
      <c r="QNS1727" s="227"/>
      <c r="QNT1727" s="227"/>
      <c r="QNU1727" s="227"/>
      <c r="QNV1727" s="227"/>
      <c r="QNW1727" s="227"/>
      <c r="QNX1727" s="227"/>
      <c r="QNY1727" s="227"/>
      <c r="QNZ1727" s="227"/>
      <c r="QOA1727" s="227"/>
      <c r="QOB1727" s="227"/>
      <c r="QOC1727" s="227"/>
      <c r="QOD1727" s="227"/>
      <c r="QOE1727" s="227"/>
      <c r="QOF1727" s="227"/>
      <c r="QOG1727" s="227"/>
      <c r="QOH1727" s="227"/>
      <c r="QOI1727" s="227"/>
      <c r="QOJ1727" s="227"/>
      <c r="QOK1727" s="227"/>
      <c r="QOL1727" s="227"/>
      <c r="QOM1727" s="227"/>
      <c r="QON1727" s="227"/>
      <c r="QOO1727" s="227"/>
      <c r="QOP1727" s="227"/>
      <c r="QOQ1727" s="227"/>
      <c r="QOR1727" s="227"/>
      <c r="QOS1727" s="227"/>
      <c r="QOT1727" s="227"/>
      <c r="QOU1727" s="227"/>
      <c r="QOV1727" s="227"/>
      <c r="QOW1727" s="227"/>
      <c r="QOX1727" s="227"/>
      <c r="QOY1727" s="227"/>
      <c r="QOZ1727" s="227"/>
      <c r="QPA1727" s="227"/>
      <c r="QPB1727" s="227"/>
      <c r="QPC1727" s="227"/>
      <c r="QPD1727" s="227"/>
      <c r="QPE1727" s="227"/>
      <c r="QPF1727" s="227"/>
      <c r="QPG1727" s="227"/>
      <c r="QPH1727" s="227"/>
      <c r="QPI1727" s="227"/>
      <c r="QPJ1727" s="227"/>
      <c r="QPK1727" s="227"/>
      <c r="QPL1727" s="227"/>
      <c r="QPM1727" s="227"/>
      <c r="QPN1727" s="227"/>
      <c r="QPO1727" s="227"/>
      <c r="QPP1727" s="227"/>
      <c r="QPQ1727" s="227"/>
      <c r="QPR1727" s="227"/>
      <c r="QPS1727" s="227"/>
      <c r="QPT1727" s="227"/>
      <c r="QPU1727" s="227"/>
      <c r="QPV1727" s="227"/>
      <c r="QPW1727" s="227"/>
      <c r="QPX1727" s="227"/>
      <c r="QPY1727" s="227"/>
      <c r="QPZ1727" s="227"/>
      <c r="QQA1727" s="227"/>
      <c r="QQB1727" s="227"/>
      <c r="QQC1727" s="227"/>
      <c r="QQD1727" s="227"/>
      <c r="QQE1727" s="227"/>
      <c r="QQF1727" s="227"/>
      <c r="QQG1727" s="227"/>
      <c r="QQH1727" s="227"/>
      <c r="QQI1727" s="227"/>
      <c r="QQJ1727" s="227"/>
      <c r="QQK1727" s="227"/>
      <c r="QQL1727" s="227"/>
      <c r="QQM1727" s="227"/>
      <c r="QQN1727" s="227"/>
      <c r="QQO1727" s="227"/>
      <c r="QQP1727" s="227"/>
      <c r="QQQ1727" s="227"/>
      <c r="QQR1727" s="227"/>
      <c r="QQS1727" s="227"/>
      <c r="QQT1727" s="227"/>
      <c r="QQU1727" s="227"/>
      <c r="QQV1727" s="227"/>
      <c r="QQW1727" s="227"/>
      <c r="QQX1727" s="227"/>
      <c r="QQY1727" s="227"/>
      <c r="QQZ1727" s="227"/>
      <c r="QRA1727" s="227"/>
      <c r="QRB1727" s="227"/>
      <c r="QRC1727" s="227"/>
      <c r="QRD1727" s="227"/>
      <c r="QRE1727" s="227"/>
      <c r="QRF1727" s="227"/>
      <c r="QRG1727" s="227"/>
      <c r="QRH1727" s="227"/>
      <c r="QRI1727" s="227"/>
      <c r="QRJ1727" s="227"/>
      <c r="QRK1727" s="227"/>
      <c r="QRL1727" s="227"/>
      <c r="QRM1727" s="227"/>
      <c r="QRN1727" s="227"/>
      <c r="QRO1727" s="227"/>
      <c r="QRP1727" s="227"/>
      <c r="QRQ1727" s="227"/>
      <c r="QRR1727" s="227"/>
      <c r="QRS1727" s="227"/>
      <c r="QRT1727" s="227"/>
      <c r="QRU1727" s="227"/>
      <c r="QRV1727" s="227"/>
      <c r="QRW1727" s="227"/>
      <c r="QRX1727" s="227"/>
      <c r="QRY1727" s="227"/>
      <c r="QRZ1727" s="227"/>
      <c r="QSA1727" s="227"/>
      <c r="QSB1727" s="227"/>
      <c r="QSC1727" s="227"/>
      <c r="QSD1727" s="227"/>
      <c r="QSE1727" s="227"/>
      <c r="QSF1727" s="227"/>
      <c r="QSG1727" s="227"/>
      <c r="QSH1727" s="227"/>
      <c r="QSI1727" s="227"/>
      <c r="QSJ1727" s="227"/>
      <c r="QSK1727" s="227"/>
      <c r="QSL1727" s="227"/>
      <c r="QSM1727" s="227"/>
      <c r="QSN1727" s="227"/>
      <c r="QSO1727" s="227"/>
      <c r="QSP1727" s="227"/>
      <c r="QSQ1727" s="227"/>
      <c r="QSR1727" s="227"/>
      <c r="QSS1727" s="227"/>
      <c r="QST1727" s="227"/>
      <c r="QSU1727" s="227"/>
      <c r="QSV1727" s="227"/>
      <c r="QSW1727" s="227"/>
      <c r="QSX1727" s="227"/>
      <c r="QSY1727" s="227"/>
      <c r="QSZ1727" s="227"/>
      <c r="QTA1727" s="227"/>
      <c r="QTB1727" s="227"/>
      <c r="QTC1727" s="227"/>
      <c r="QTD1727" s="227"/>
      <c r="QTE1727" s="227"/>
      <c r="QTF1727" s="227"/>
      <c r="QTG1727" s="227"/>
      <c r="QTH1727" s="227"/>
      <c r="QTI1727" s="227"/>
      <c r="QTJ1727" s="227"/>
      <c r="QTK1727" s="227"/>
      <c r="QTL1727" s="227"/>
      <c r="QTM1727" s="227"/>
      <c r="QTN1727" s="227"/>
      <c r="QTO1727" s="227"/>
      <c r="QTP1727" s="227"/>
      <c r="QTQ1727" s="227"/>
      <c r="QTR1727" s="227"/>
      <c r="QTS1727" s="227"/>
      <c r="QTT1727" s="227"/>
      <c r="QTU1727" s="227"/>
      <c r="QTV1727" s="227"/>
      <c r="QTW1727" s="227"/>
      <c r="QTX1727" s="227"/>
      <c r="QTY1727" s="227"/>
      <c r="QTZ1727" s="227"/>
      <c r="QUA1727" s="227"/>
      <c r="QUB1727" s="227"/>
      <c r="QUC1727" s="227"/>
      <c r="QUD1727" s="227"/>
      <c r="QUE1727" s="227"/>
      <c r="QUF1727" s="227"/>
      <c r="QUG1727" s="227"/>
      <c r="QUH1727" s="227"/>
      <c r="QUI1727" s="227"/>
      <c r="QUJ1727" s="227"/>
      <c r="QUK1727" s="227"/>
      <c r="QUL1727" s="227"/>
      <c r="QUM1727" s="227"/>
      <c r="QUN1727" s="227"/>
      <c r="QUO1727" s="227"/>
      <c r="QUP1727" s="227"/>
      <c r="QUQ1727" s="227"/>
      <c r="QUR1727" s="227"/>
      <c r="QUS1727" s="227"/>
      <c r="QUT1727" s="227"/>
      <c r="QUU1727" s="227"/>
      <c r="QUV1727" s="227"/>
      <c r="QUW1727" s="227"/>
      <c r="QUX1727" s="227"/>
      <c r="QUY1727" s="227"/>
      <c r="QUZ1727" s="227"/>
      <c r="QVA1727" s="227"/>
      <c r="QVB1727" s="227"/>
      <c r="QVC1727" s="227"/>
      <c r="QVD1727" s="227"/>
      <c r="QVE1727" s="227"/>
      <c r="QVF1727" s="227"/>
      <c r="QVG1727" s="227"/>
      <c r="QVH1727" s="227"/>
      <c r="QVI1727" s="227"/>
      <c r="QVJ1727" s="227"/>
      <c r="QVK1727" s="227"/>
      <c r="QVL1727" s="227"/>
      <c r="QVM1727" s="227"/>
      <c r="QVN1727" s="227"/>
      <c r="QVO1727" s="227"/>
      <c r="QVP1727" s="227"/>
      <c r="QVQ1727" s="227"/>
      <c r="QVR1727" s="227"/>
      <c r="QVS1727" s="227"/>
      <c r="QVT1727" s="227"/>
      <c r="QVU1727" s="227"/>
      <c r="QVV1727" s="227"/>
      <c r="QVW1727" s="227"/>
      <c r="QVX1727" s="227"/>
      <c r="QVY1727" s="227"/>
      <c r="QVZ1727" s="227"/>
      <c r="QWA1727" s="227"/>
      <c r="QWB1727" s="227"/>
      <c r="QWC1727" s="227"/>
      <c r="QWD1727" s="227"/>
      <c r="QWE1727" s="227"/>
      <c r="QWF1727" s="227"/>
      <c r="QWG1727" s="227"/>
      <c r="QWH1727" s="227"/>
      <c r="QWI1727" s="227"/>
      <c r="QWJ1727" s="227"/>
      <c r="QWK1727" s="227"/>
      <c r="QWL1727" s="227"/>
      <c r="QWM1727" s="227"/>
      <c r="QWN1727" s="227"/>
      <c r="QWO1727" s="227"/>
      <c r="QWP1727" s="227"/>
      <c r="QWQ1727" s="227"/>
      <c r="QWR1727" s="227"/>
      <c r="QWS1727" s="227"/>
      <c r="QWT1727" s="227"/>
      <c r="QWU1727" s="227"/>
      <c r="QWV1727" s="227"/>
      <c r="QWW1727" s="227"/>
      <c r="QWX1727" s="227"/>
      <c r="QWY1727" s="227"/>
      <c r="QWZ1727" s="227"/>
      <c r="QXA1727" s="227"/>
      <c r="QXB1727" s="227"/>
      <c r="QXC1727" s="227"/>
      <c r="QXD1727" s="227"/>
      <c r="QXE1727" s="227"/>
      <c r="QXF1727" s="227"/>
      <c r="QXG1727" s="227"/>
      <c r="QXH1727" s="227"/>
      <c r="QXI1727" s="227"/>
      <c r="QXJ1727" s="227"/>
      <c r="QXK1727" s="227"/>
      <c r="QXL1727" s="227"/>
      <c r="QXM1727" s="227"/>
      <c r="QXN1727" s="227"/>
      <c r="QXO1727" s="227"/>
      <c r="QXP1727" s="227"/>
      <c r="QXQ1727" s="227"/>
      <c r="QXR1727" s="227"/>
      <c r="QXS1727" s="227"/>
      <c r="QXT1727" s="227"/>
      <c r="QXU1727" s="227"/>
      <c r="QXV1727" s="227"/>
      <c r="QXW1727" s="227"/>
      <c r="QXX1727" s="227"/>
      <c r="QXY1727" s="227"/>
      <c r="QXZ1727" s="227"/>
      <c r="QYA1727" s="227"/>
      <c r="QYB1727" s="227"/>
      <c r="QYC1727" s="227"/>
      <c r="QYD1727" s="227"/>
      <c r="QYE1727" s="227"/>
      <c r="QYF1727" s="227"/>
      <c r="QYG1727" s="227"/>
      <c r="QYH1727" s="227"/>
      <c r="QYI1727" s="227"/>
      <c r="QYJ1727" s="227"/>
      <c r="QYK1727" s="227"/>
      <c r="QYL1727" s="227"/>
      <c r="QYM1727" s="227"/>
      <c r="QYN1727" s="227"/>
      <c r="QYO1727" s="227"/>
      <c r="QYP1727" s="227"/>
      <c r="QYQ1727" s="227"/>
      <c r="QYR1727" s="227"/>
      <c r="QYS1727" s="227"/>
      <c r="QYT1727" s="227"/>
      <c r="QYU1727" s="227"/>
      <c r="QYV1727" s="227"/>
      <c r="QYW1727" s="227"/>
      <c r="QYX1727" s="227"/>
      <c r="QYY1727" s="227"/>
      <c r="QYZ1727" s="227"/>
      <c r="QZA1727" s="227"/>
      <c r="QZB1727" s="227"/>
      <c r="QZC1727" s="227"/>
      <c r="QZD1727" s="227"/>
      <c r="QZE1727" s="227"/>
      <c r="QZF1727" s="227"/>
      <c r="QZG1727" s="227"/>
      <c r="QZH1727" s="227"/>
      <c r="QZI1727" s="227"/>
      <c r="QZJ1727" s="227"/>
      <c r="QZK1727" s="227"/>
      <c r="QZL1727" s="227"/>
      <c r="QZM1727" s="227"/>
      <c r="QZN1727" s="227"/>
      <c r="QZO1727" s="227"/>
      <c r="QZP1727" s="227"/>
      <c r="QZQ1727" s="227"/>
      <c r="QZR1727" s="227"/>
      <c r="QZS1727" s="227"/>
      <c r="QZT1727" s="227"/>
      <c r="QZU1727" s="227"/>
      <c r="QZV1727" s="227"/>
      <c r="QZW1727" s="227"/>
      <c r="QZX1727" s="227"/>
      <c r="QZY1727" s="227"/>
      <c r="QZZ1727" s="227"/>
      <c r="RAA1727" s="227"/>
      <c r="RAB1727" s="227"/>
      <c r="RAC1727" s="227"/>
      <c r="RAD1727" s="227"/>
      <c r="RAE1727" s="227"/>
      <c r="RAF1727" s="227"/>
      <c r="RAG1727" s="227"/>
      <c r="RAH1727" s="227"/>
      <c r="RAI1727" s="227"/>
      <c r="RAJ1727" s="227"/>
      <c r="RAK1727" s="227"/>
      <c r="RAL1727" s="227"/>
      <c r="RAM1727" s="227"/>
      <c r="RAN1727" s="227"/>
      <c r="RAO1727" s="227"/>
      <c r="RAP1727" s="227"/>
      <c r="RAQ1727" s="227"/>
      <c r="RAR1727" s="227"/>
      <c r="RAS1727" s="227"/>
      <c r="RAT1727" s="227"/>
      <c r="RAU1727" s="227"/>
      <c r="RAV1727" s="227"/>
      <c r="RAW1727" s="227"/>
      <c r="RAX1727" s="227"/>
      <c r="RAY1727" s="227"/>
      <c r="RAZ1727" s="227"/>
      <c r="RBA1727" s="227"/>
      <c r="RBB1727" s="227"/>
      <c r="RBC1727" s="227"/>
      <c r="RBD1727" s="227"/>
      <c r="RBE1727" s="227"/>
      <c r="RBF1727" s="227"/>
      <c r="RBG1727" s="227"/>
      <c r="RBH1727" s="227"/>
      <c r="RBI1727" s="227"/>
      <c r="RBJ1727" s="227"/>
      <c r="RBK1727" s="227"/>
      <c r="RBL1727" s="227"/>
      <c r="RBM1727" s="227"/>
      <c r="RBN1727" s="227"/>
      <c r="RBO1727" s="227"/>
      <c r="RBP1727" s="227"/>
      <c r="RBQ1727" s="227"/>
      <c r="RBR1727" s="227"/>
      <c r="RBS1727" s="227"/>
      <c r="RBT1727" s="227"/>
      <c r="RBU1727" s="227"/>
      <c r="RBV1727" s="227"/>
      <c r="RBW1727" s="227"/>
      <c r="RBX1727" s="227"/>
      <c r="RBY1727" s="227"/>
      <c r="RBZ1727" s="227"/>
      <c r="RCA1727" s="227"/>
      <c r="RCB1727" s="227"/>
      <c r="RCC1727" s="227"/>
      <c r="RCD1727" s="227"/>
      <c r="RCE1727" s="227"/>
      <c r="RCF1727" s="227"/>
      <c r="RCG1727" s="227"/>
      <c r="RCH1727" s="227"/>
      <c r="RCI1727" s="227"/>
      <c r="RCJ1727" s="227"/>
      <c r="RCK1727" s="227"/>
      <c r="RCL1727" s="227"/>
      <c r="RCM1727" s="227"/>
      <c r="RCN1727" s="227"/>
      <c r="RCO1727" s="227"/>
      <c r="RCP1727" s="227"/>
      <c r="RCQ1727" s="227"/>
      <c r="RCR1727" s="227"/>
      <c r="RCS1727" s="227"/>
      <c r="RCT1727" s="227"/>
      <c r="RCU1727" s="227"/>
      <c r="RCV1727" s="227"/>
      <c r="RCW1727" s="227"/>
      <c r="RCX1727" s="227"/>
      <c r="RCY1727" s="227"/>
      <c r="RCZ1727" s="227"/>
      <c r="RDA1727" s="227"/>
      <c r="RDB1727" s="227"/>
      <c r="RDC1727" s="227"/>
      <c r="RDD1727" s="227"/>
      <c r="RDE1727" s="227"/>
      <c r="RDF1727" s="227"/>
      <c r="RDG1727" s="227"/>
      <c r="RDH1727" s="227"/>
      <c r="RDI1727" s="227"/>
      <c r="RDJ1727" s="227"/>
      <c r="RDK1727" s="227"/>
      <c r="RDL1727" s="227"/>
      <c r="RDM1727" s="227"/>
      <c r="RDN1727" s="227"/>
      <c r="RDO1727" s="227"/>
      <c r="RDP1727" s="227"/>
      <c r="RDQ1727" s="227"/>
      <c r="RDR1727" s="227"/>
      <c r="RDS1727" s="227"/>
      <c r="RDT1727" s="227"/>
      <c r="RDU1727" s="227"/>
      <c r="RDV1727" s="227"/>
      <c r="RDW1727" s="227"/>
      <c r="RDX1727" s="227"/>
      <c r="RDY1727" s="227"/>
      <c r="RDZ1727" s="227"/>
      <c r="REA1727" s="227"/>
      <c r="REB1727" s="227"/>
      <c r="REC1727" s="227"/>
      <c r="RED1727" s="227"/>
      <c r="REE1727" s="227"/>
      <c r="REF1727" s="227"/>
      <c r="REG1727" s="227"/>
      <c r="REH1727" s="227"/>
      <c r="REI1727" s="227"/>
      <c r="REJ1727" s="227"/>
      <c r="REK1727" s="227"/>
      <c r="REL1727" s="227"/>
      <c r="REM1727" s="227"/>
      <c r="REN1727" s="227"/>
      <c r="REO1727" s="227"/>
      <c r="REP1727" s="227"/>
      <c r="REQ1727" s="227"/>
      <c r="RER1727" s="227"/>
      <c r="RES1727" s="227"/>
      <c r="RET1727" s="227"/>
      <c r="REU1727" s="227"/>
      <c r="REV1727" s="227"/>
      <c r="REW1727" s="227"/>
      <c r="REX1727" s="227"/>
      <c r="REY1727" s="227"/>
      <c r="REZ1727" s="227"/>
      <c r="RFA1727" s="227"/>
      <c r="RFB1727" s="227"/>
      <c r="RFC1727" s="227"/>
      <c r="RFD1727" s="227"/>
      <c r="RFE1727" s="227"/>
      <c r="RFF1727" s="227"/>
      <c r="RFG1727" s="227"/>
      <c r="RFH1727" s="227"/>
      <c r="RFI1727" s="227"/>
      <c r="RFJ1727" s="227"/>
      <c r="RFK1727" s="227"/>
      <c r="RFL1727" s="227"/>
      <c r="RFM1727" s="227"/>
      <c r="RFN1727" s="227"/>
      <c r="RFO1727" s="227"/>
      <c r="RFP1727" s="227"/>
      <c r="RFQ1727" s="227"/>
      <c r="RFR1727" s="227"/>
      <c r="RFS1727" s="227"/>
      <c r="RFT1727" s="227"/>
      <c r="RFU1727" s="227"/>
      <c r="RFV1727" s="227"/>
      <c r="RFW1727" s="227"/>
      <c r="RFX1727" s="227"/>
      <c r="RFY1727" s="227"/>
      <c r="RFZ1727" s="227"/>
      <c r="RGA1727" s="227"/>
      <c r="RGB1727" s="227"/>
      <c r="RGC1727" s="227"/>
      <c r="RGD1727" s="227"/>
      <c r="RGE1727" s="227"/>
      <c r="RGF1727" s="227"/>
      <c r="RGG1727" s="227"/>
      <c r="RGH1727" s="227"/>
      <c r="RGI1727" s="227"/>
      <c r="RGJ1727" s="227"/>
      <c r="RGK1727" s="227"/>
      <c r="RGL1727" s="227"/>
      <c r="RGM1727" s="227"/>
      <c r="RGN1727" s="227"/>
      <c r="RGO1727" s="227"/>
      <c r="RGP1727" s="227"/>
      <c r="RGQ1727" s="227"/>
      <c r="RGR1727" s="227"/>
      <c r="RGS1727" s="227"/>
      <c r="RGT1727" s="227"/>
      <c r="RGU1727" s="227"/>
      <c r="RGV1727" s="227"/>
      <c r="RGW1727" s="227"/>
      <c r="RGX1727" s="227"/>
      <c r="RGY1727" s="227"/>
      <c r="RGZ1727" s="227"/>
      <c r="RHA1727" s="227"/>
      <c r="RHB1727" s="227"/>
      <c r="RHC1727" s="227"/>
      <c r="RHD1727" s="227"/>
      <c r="RHE1727" s="227"/>
      <c r="RHF1727" s="227"/>
      <c r="RHG1727" s="227"/>
      <c r="RHH1727" s="227"/>
      <c r="RHI1727" s="227"/>
      <c r="RHJ1727" s="227"/>
      <c r="RHK1727" s="227"/>
      <c r="RHL1727" s="227"/>
      <c r="RHM1727" s="227"/>
      <c r="RHN1727" s="227"/>
      <c r="RHO1727" s="227"/>
      <c r="RHP1727" s="227"/>
      <c r="RHQ1727" s="227"/>
      <c r="RHR1727" s="227"/>
      <c r="RHS1727" s="227"/>
      <c r="RHT1727" s="227"/>
      <c r="RHU1727" s="227"/>
      <c r="RHV1727" s="227"/>
      <c r="RHW1727" s="227"/>
      <c r="RHX1727" s="227"/>
      <c r="RHY1727" s="227"/>
      <c r="RHZ1727" s="227"/>
      <c r="RIA1727" s="227"/>
      <c r="RIB1727" s="227"/>
      <c r="RIC1727" s="227"/>
      <c r="RID1727" s="227"/>
      <c r="RIE1727" s="227"/>
      <c r="RIF1727" s="227"/>
      <c r="RIG1727" s="227"/>
      <c r="RIH1727" s="227"/>
      <c r="RII1727" s="227"/>
      <c r="RIJ1727" s="227"/>
      <c r="RIK1727" s="227"/>
      <c r="RIL1727" s="227"/>
      <c r="RIM1727" s="227"/>
      <c r="RIN1727" s="227"/>
      <c r="RIO1727" s="227"/>
      <c r="RIP1727" s="227"/>
      <c r="RIQ1727" s="227"/>
      <c r="RIR1727" s="227"/>
      <c r="RIS1727" s="227"/>
      <c r="RIT1727" s="227"/>
      <c r="RIU1727" s="227"/>
      <c r="RIV1727" s="227"/>
      <c r="RIW1727" s="227"/>
      <c r="RIX1727" s="227"/>
      <c r="RIY1727" s="227"/>
      <c r="RIZ1727" s="227"/>
      <c r="RJA1727" s="227"/>
      <c r="RJB1727" s="227"/>
      <c r="RJC1727" s="227"/>
      <c r="RJD1727" s="227"/>
      <c r="RJE1727" s="227"/>
      <c r="RJF1727" s="227"/>
      <c r="RJG1727" s="227"/>
      <c r="RJH1727" s="227"/>
      <c r="RJI1727" s="227"/>
      <c r="RJJ1727" s="227"/>
      <c r="RJK1727" s="227"/>
      <c r="RJL1727" s="227"/>
      <c r="RJM1727" s="227"/>
      <c r="RJN1727" s="227"/>
      <c r="RJO1727" s="227"/>
      <c r="RJP1727" s="227"/>
      <c r="RJQ1727" s="227"/>
      <c r="RJR1727" s="227"/>
      <c r="RJS1727" s="227"/>
      <c r="RJT1727" s="227"/>
      <c r="RJU1727" s="227"/>
      <c r="RJV1727" s="227"/>
      <c r="RJW1727" s="227"/>
      <c r="RJX1727" s="227"/>
      <c r="RJY1727" s="227"/>
      <c r="RJZ1727" s="227"/>
      <c r="RKA1727" s="227"/>
      <c r="RKB1727" s="227"/>
      <c r="RKC1727" s="227"/>
      <c r="RKD1727" s="227"/>
      <c r="RKE1727" s="227"/>
      <c r="RKF1727" s="227"/>
      <c r="RKG1727" s="227"/>
      <c r="RKH1727" s="227"/>
      <c r="RKI1727" s="227"/>
      <c r="RKJ1727" s="227"/>
      <c r="RKK1727" s="227"/>
      <c r="RKL1727" s="227"/>
      <c r="RKM1727" s="227"/>
      <c r="RKN1727" s="227"/>
      <c r="RKO1727" s="227"/>
      <c r="RKP1727" s="227"/>
      <c r="RKQ1727" s="227"/>
      <c r="RKR1727" s="227"/>
      <c r="RKS1727" s="227"/>
      <c r="RKT1727" s="227"/>
      <c r="RKU1727" s="227"/>
      <c r="RKV1727" s="227"/>
      <c r="RKW1727" s="227"/>
      <c r="RKX1727" s="227"/>
      <c r="RKY1727" s="227"/>
      <c r="RKZ1727" s="227"/>
      <c r="RLA1727" s="227"/>
      <c r="RLB1727" s="227"/>
      <c r="RLC1727" s="227"/>
      <c r="RLD1727" s="227"/>
      <c r="RLE1727" s="227"/>
      <c r="RLF1727" s="227"/>
      <c r="RLG1727" s="227"/>
      <c r="RLH1727" s="227"/>
      <c r="RLI1727" s="227"/>
      <c r="RLJ1727" s="227"/>
      <c r="RLK1727" s="227"/>
      <c r="RLL1727" s="227"/>
      <c r="RLM1727" s="227"/>
      <c r="RLN1727" s="227"/>
      <c r="RLO1727" s="227"/>
      <c r="RLP1727" s="227"/>
      <c r="RLQ1727" s="227"/>
      <c r="RLR1727" s="227"/>
      <c r="RLS1727" s="227"/>
      <c r="RLT1727" s="227"/>
      <c r="RLU1727" s="227"/>
      <c r="RLV1727" s="227"/>
      <c r="RLW1727" s="227"/>
      <c r="RLX1727" s="227"/>
      <c r="RLY1727" s="227"/>
      <c r="RLZ1727" s="227"/>
      <c r="RMA1727" s="227"/>
      <c r="RMB1727" s="227"/>
      <c r="RMC1727" s="227"/>
      <c r="RMD1727" s="227"/>
      <c r="RME1727" s="227"/>
      <c r="RMF1727" s="227"/>
      <c r="RMG1727" s="227"/>
      <c r="RMH1727" s="227"/>
      <c r="RMI1727" s="227"/>
      <c r="RMJ1727" s="227"/>
      <c r="RMK1727" s="227"/>
      <c r="RML1727" s="227"/>
      <c r="RMM1727" s="227"/>
      <c r="RMN1727" s="227"/>
      <c r="RMO1727" s="227"/>
      <c r="RMP1727" s="227"/>
      <c r="RMQ1727" s="227"/>
      <c r="RMR1727" s="227"/>
      <c r="RMS1727" s="227"/>
      <c r="RMT1727" s="227"/>
      <c r="RMU1727" s="227"/>
      <c r="RMV1727" s="227"/>
      <c r="RMW1727" s="227"/>
      <c r="RMX1727" s="227"/>
      <c r="RMY1727" s="227"/>
      <c r="RMZ1727" s="227"/>
      <c r="RNA1727" s="227"/>
      <c r="RNB1727" s="227"/>
      <c r="RNC1727" s="227"/>
      <c r="RND1727" s="227"/>
      <c r="RNE1727" s="227"/>
      <c r="RNF1727" s="227"/>
      <c r="RNG1727" s="227"/>
      <c r="RNH1727" s="227"/>
      <c r="RNI1727" s="227"/>
      <c r="RNJ1727" s="227"/>
      <c r="RNK1727" s="227"/>
      <c r="RNL1727" s="227"/>
      <c r="RNM1727" s="227"/>
      <c r="RNN1727" s="227"/>
      <c r="RNO1727" s="227"/>
      <c r="RNP1727" s="227"/>
      <c r="RNQ1727" s="227"/>
      <c r="RNR1727" s="227"/>
      <c r="RNS1727" s="227"/>
      <c r="RNT1727" s="227"/>
      <c r="RNU1727" s="227"/>
      <c r="RNV1727" s="227"/>
      <c r="RNW1727" s="227"/>
      <c r="RNX1727" s="227"/>
      <c r="RNY1727" s="227"/>
      <c r="RNZ1727" s="227"/>
      <c r="ROA1727" s="227"/>
      <c r="ROB1727" s="227"/>
      <c r="ROC1727" s="227"/>
      <c r="ROD1727" s="227"/>
      <c r="ROE1727" s="227"/>
      <c r="ROF1727" s="227"/>
      <c r="ROG1727" s="227"/>
      <c r="ROH1727" s="227"/>
      <c r="ROI1727" s="227"/>
      <c r="ROJ1727" s="227"/>
      <c r="ROK1727" s="227"/>
      <c r="ROL1727" s="227"/>
      <c r="ROM1727" s="227"/>
      <c r="RON1727" s="227"/>
      <c r="ROO1727" s="227"/>
      <c r="ROP1727" s="227"/>
      <c r="ROQ1727" s="227"/>
      <c r="ROR1727" s="227"/>
      <c r="ROS1727" s="227"/>
      <c r="ROT1727" s="227"/>
      <c r="ROU1727" s="227"/>
      <c r="ROV1727" s="227"/>
      <c r="ROW1727" s="227"/>
      <c r="ROX1727" s="227"/>
      <c r="ROY1727" s="227"/>
      <c r="ROZ1727" s="227"/>
      <c r="RPA1727" s="227"/>
      <c r="RPB1727" s="227"/>
      <c r="RPC1727" s="227"/>
      <c r="RPD1727" s="227"/>
      <c r="RPE1727" s="227"/>
      <c r="RPF1727" s="227"/>
      <c r="RPG1727" s="227"/>
      <c r="RPH1727" s="227"/>
      <c r="RPI1727" s="227"/>
      <c r="RPJ1727" s="227"/>
      <c r="RPK1727" s="227"/>
      <c r="RPL1727" s="227"/>
      <c r="RPM1727" s="227"/>
      <c r="RPN1727" s="227"/>
      <c r="RPO1727" s="227"/>
      <c r="RPP1727" s="227"/>
      <c r="RPQ1727" s="227"/>
      <c r="RPR1727" s="227"/>
      <c r="RPS1727" s="227"/>
      <c r="RPT1727" s="227"/>
      <c r="RPU1727" s="227"/>
      <c r="RPV1727" s="227"/>
      <c r="RPW1727" s="227"/>
      <c r="RPX1727" s="227"/>
      <c r="RPY1727" s="227"/>
      <c r="RPZ1727" s="227"/>
      <c r="RQA1727" s="227"/>
      <c r="RQB1727" s="227"/>
      <c r="RQC1727" s="227"/>
      <c r="RQD1727" s="227"/>
      <c r="RQE1727" s="227"/>
      <c r="RQF1727" s="227"/>
      <c r="RQG1727" s="227"/>
      <c r="RQH1727" s="227"/>
      <c r="RQI1727" s="227"/>
      <c r="RQJ1727" s="227"/>
      <c r="RQK1727" s="227"/>
      <c r="RQL1727" s="227"/>
      <c r="RQM1727" s="227"/>
      <c r="RQN1727" s="227"/>
      <c r="RQO1727" s="227"/>
      <c r="RQP1727" s="227"/>
      <c r="RQQ1727" s="227"/>
      <c r="RQR1727" s="227"/>
      <c r="RQS1727" s="227"/>
      <c r="RQT1727" s="227"/>
      <c r="RQU1727" s="227"/>
      <c r="RQV1727" s="227"/>
      <c r="RQW1727" s="227"/>
      <c r="RQX1727" s="227"/>
      <c r="RQY1727" s="227"/>
      <c r="RQZ1727" s="227"/>
      <c r="RRA1727" s="227"/>
      <c r="RRB1727" s="227"/>
      <c r="RRC1727" s="227"/>
      <c r="RRD1727" s="227"/>
      <c r="RRE1727" s="227"/>
      <c r="RRF1727" s="227"/>
      <c r="RRG1727" s="227"/>
      <c r="RRH1727" s="227"/>
      <c r="RRI1727" s="227"/>
      <c r="RRJ1727" s="227"/>
      <c r="RRK1727" s="227"/>
      <c r="RRL1727" s="227"/>
      <c r="RRM1727" s="227"/>
      <c r="RRN1727" s="227"/>
      <c r="RRO1727" s="227"/>
      <c r="RRP1727" s="227"/>
      <c r="RRQ1727" s="227"/>
      <c r="RRR1727" s="227"/>
      <c r="RRS1727" s="227"/>
      <c r="RRT1727" s="227"/>
      <c r="RRU1727" s="227"/>
      <c r="RRV1727" s="227"/>
      <c r="RRW1727" s="227"/>
      <c r="RRX1727" s="227"/>
      <c r="RRY1727" s="227"/>
      <c r="RRZ1727" s="227"/>
      <c r="RSA1727" s="227"/>
      <c r="RSB1727" s="227"/>
      <c r="RSC1727" s="227"/>
      <c r="RSD1727" s="227"/>
      <c r="RSE1727" s="227"/>
      <c r="RSF1727" s="227"/>
      <c r="RSG1727" s="227"/>
      <c r="RSH1727" s="227"/>
      <c r="RSI1727" s="227"/>
      <c r="RSJ1727" s="227"/>
      <c r="RSK1727" s="227"/>
      <c r="RSL1727" s="227"/>
      <c r="RSM1727" s="227"/>
      <c r="RSN1727" s="227"/>
      <c r="RSO1727" s="227"/>
      <c r="RSP1727" s="227"/>
      <c r="RSQ1727" s="227"/>
      <c r="RSR1727" s="227"/>
      <c r="RSS1727" s="227"/>
      <c r="RST1727" s="227"/>
      <c r="RSU1727" s="227"/>
      <c r="RSV1727" s="227"/>
      <c r="RSW1727" s="227"/>
      <c r="RSX1727" s="227"/>
      <c r="RSY1727" s="227"/>
      <c r="RSZ1727" s="227"/>
      <c r="RTA1727" s="227"/>
      <c r="RTB1727" s="227"/>
      <c r="RTC1727" s="227"/>
      <c r="RTD1727" s="227"/>
      <c r="RTE1727" s="227"/>
      <c r="RTF1727" s="227"/>
      <c r="RTG1727" s="227"/>
      <c r="RTH1727" s="227"/>
      <c r="RTI1727" s="227"/>
      <c r="RTJ1727" s="227"/>
      <c r="RTK1727" s="227"/>
      <c r="RTL1727" s="227"/>
      <c r="RTM1727" s="227"/>
      <c r="RTN1727" s="227"/>
      <c r="RTO1727" s="227"/>
      <c r="RTP1727" s="227"/>
      <c r="RTQ1727" s="227"/>
      <c r="RTR1727" s="227"/>
      <c r="RTS1727" s="227"/>
      <c r="RTT1727" s="227"/>
      <c r="RTU1727" s="227"/>
      <c r="RTV1727" s="227"/>
      <c r="RTW1727" s="227"/>
      <c r="RTX1727" s="227"/>
      <c r="RTY1727" s="227"/>
      <c r="RTZ1727" s="227"/>
      <c r="RUA1727" s="227"/>
      <c r="RUB1727" s="227"/>
      <c r="RUC1727" s="227"/>
      <c r="RUD1727" s="227"/>
      <c r="RUE1727" s="227"/>
      <c r="RUF1727" s="227"/>
      <c r="RUG1727" s="227"/>
      <c r="RUH1727" s="227"/>
      <c r="RUI1727" s="227"/>
      <c r="RUJ1727" s="227"/>
      <c r="RUK1727" s="227"/>
      <c r="RUL1727" s="227"/>
      <c r="RUM1727" s="227"/>
      <c r="RUN1727" s="227"/>
      <c r="RUO1727" s="227"/>
      <c r="RUP1727" s="227"/>
      <c r="RUQ1727" s="227"/>
      <c r="RUR1727" s="227"/>
      <c r="RUS1727" s="227"/>
      <c r="RUT1727" s="227"/>
      <c r="RUU1727" s="227"/>
      <c r="RUV1727" s="227"/>
      <c r="RUW1727" s="227"/>
      <c r="RUX1727" s="227"/>
      <c r="RUY1727" s="227"/>
      <c r="RUZ1727" s="227"/>
      <c r="RVA1727" s="227"/>
      <c r="RVB1727" s="227"/>
      <c r="RVC1727" s="227"/>
      <c r="RVD1727" s="227"/>
      <c r="RVE1727" s="227"/>
      <c r="RVF1727" s="227"/>
      <c r="RVG1727" s="227"/>
      <c r="RVH1727" s="227"/>
      <c r="RVI1727" s="227"/>
      <c r="RVJ1727" s="227"/>
      <c r="RVK1727" s="227"/>
      <c r="RVL1727" s="227"/>
      <c r="RVM1727" s="227"/>
      <c r="RVN1727" s="227"/>
      <c r="RVO1727" s="227"/>
      <c r="RVP1727" s="227"/>
      <c r="RVQ1727" s="227"/>
      <c r="RVR1727" s="227"/>
      <c r="RVS1727" s="227"/>
      <c r="RVT1727" s="227"/>
      <c r="RVU1727" s="227"/>
      <c r="RVV1727" s="227"/>
      <c r="RVW1727" s="227"/>
      <c r="RVX1727" s="227"/>
      <c r="RVY1727" s="227"/>
      <c r="RVZ1727" s="227"/>
      <c r="RWA1727" s="227"/>
      <c r="RWB1727" s="227"/>
      <c r="RWC1727" s="227"/>
      <c r="RWD1727" s="227"/>
      <c r="RWE1727" s="227"/>
      <c r="RWF1727" s="227"/>
      <c r="RWG1727" s="227"/>
      <c r="RWH1727" s="227"/>
      <c r="RWI1727" s="227"/>
      <c r="RWJ1727" s="227"/>
      <c r="RWK1727" s="227"/>
      <c r="RWL1727" s="227"/>
      <c r="RWM1727" s="227"/>
      <c r="RWN1727" s="227"/>
      <c r="RWO1727" s="227"/>
      <c r="RWP1727" s="227"/>
      <c r="RWQ1727" s="227"/>
      <c r="RWR1727" s="227"/>
      <c r="RWS1727" s="227"/>
      <c r="RWT1727" s="227"/>
      <c r="RWU1727" s="227"/>
      <c r="RWV1727" s="227"/>
      <c r="RWW1727" s="227"/>
      <c r="RWX1727" s="227"/>
      <c r="RWY1727" s="227"/>
      <c r="RWZ1727" s="227"/>
      <c r="RXA1727" s="227"/>
      <c r="RXB1727" s="227"/>
      <c r="RXC1727" s="227"/>
      <c r="RXD1727" s="227"/>
      <c r="RXE1727" s="227"/>
      <c r="RXF1727" s="227"/>
      <c r="RXG1727" s="227"/>
      <c r="RXH1727" s="227"/>
      <c r="RXI1727" s="227"/>
      <c r="RXJ1727" s="227"/>
      <c r="RXK1727" s="227"/>
      <c r="RXL1727" s="227"/>
      <c r="RXM1727" s="227"/>
      <c r="RXN1727" s="227"/>
      <c r="RXO1727" s="227"/>
      <c r="RXP1727" s="227"/>
      <c r="RXQ1727" s="227"/>
      <c r="RXR1727" s="227"/>
      <c r="RXS1727" s="227"/>
      <c r="RXT1727" s="227"/>
      <c r="RXU1727" s="227"/>
      <c r="RXV1727" s="227"/>
      <c r="RXW1727" s="227"/>
      <c r="RXX1727" s="227"/>
      <c r="RXY1727" s="227"/>
      <c r="RXZ1727" s="227"/>
      <c r="RYA1727" s="227"/>
      <c r="RYB1727" s="227"/>
      <c r="RYC1727" s="227"/>
      <c r="RYD1727" s="227"/>
      <c r="RYE1727" s="227"/>
      <c r="RYF1727" s="227"/>
      <c r="RYG1727" s="227"/>
      <c r="RYH1727" s="227"/>
      <c r="RYI1727" s="227"/>
      <c r="RYJ1727" s="227"/>
      <c r="RYK1727" s="227"/>
      <c r="RYL1727" s="227"/>
      <c r="RYM1727" s="227"/>
      <c r="RYN1727" s="227"/>
      <c r="RYO1727" s="227"/>
      <c r="RYP1727" s="227"/>
      <c r="RYQ1727" s="227"/>
      <c r="RYR1727" s="227"/>
      <c r="RYS1727" s="227"/>
      <c r="RYT1727" s="227"/>
      <c r="RYU1727" s="227"/>
      <c r="RYV1727" s="227"/>
      <c r="RYW1727" s="227"/>
      <c r="RYX1727" s="227"/>
      <c r="RYY1727" s="227"/>
      <c r="RYZ1727" s="227"/>
      <c r="RZA1727" s="227"/>
      <c r="RZB1727" s="227"/>
      <c r="RZC1727" s="227"/>
      <c r="RZD1727" s="227"/>
      <c r="RZE1727" s="227"/>
      <c r="RZF1727" s="227"/>
      <c r="RZG1727" s="227"/>
      <c r="RZH1727" s="227"/>
      <c r="RZI1727" s="227"/>
      <c r="RZJ1727" s="227"/>
      <c r="RZK1727" s="227"/>
      <c r="RZL1727" s="227"/>
      <c r="RZM1727" s="227"/>
      <c r="RZN1727" s="227"/>
      <c r="RZO1727" s="227"/>
      <c r="RZP1727" s="227"/>
      <c r="RZQ1727" s="227"/>
      <c r="RZR1727" s="227"/>
      <c r="RZS1727" s="227"/>
      <c r="RZT1727" s="227"/>
      <c r="RZU1727" s="227"/>
      <c r="RZV1727" s="227"/>
      <c r="RZW1727" s="227"/>
      <c r="RZX1727" s="227"/>
      <c r="RZY1727" s="227"/>
      <c r="RZZ1727" s="227"/>
      <c r="SAA1727" s="227"/>
      <c r="SAB1727" s="227"/>
      <c r="SAC1727" s="227"/>
      <c r="SAD1727" s="227"/>
      <c r="SAE1727" s="227"/>
      <c r="SAF1727" s="227"/>
      <c r="SAG1727" s="227"/>
      <c r="SAH1727" s="227"/>
      <c r="SAI1727" s="227"/>
      <c r="SAJ1727" s="227"/>
      <c r="SAK1727" s="227"/>
      <c r="SAL1727" s="227"/>
      <c r="SAM1727" s="227"/>
      <c r="SAN1727" s="227"/>
      <c r="SAO1727" s="227"/>
      <c r="SAP1727" s="227"/>
      <c r="SAQ1727" s="227"/>
      <c r="SAR1727" s="227"/>
      <c r="SAS1727" s="227"/>
      <c r="SAT1727" s="227"/>
      <c r="SAU1727" s="227"/>
      <c r="SAV1727" s="227"/>
      <c r="SAW1727" s="227"/>
      <c r="SAX1727" s="227"/>
      <c r="SAY1727" s="227"/>
      <c r="SAZ1727" s="227"/>
      <c r="SBA1727" s="227"/>
      <c r="SBB1727" s="227"/>
      <c r="SBC1727" s="227"/>
      <c r="SBD1727" s="227"/>
      <c r="SBE1727" s="227"/>
      <c r="SBF1727" s="227"/>
      <c r="SBG1727" s="227"/>
      <c r="SBH1727" s="227"/>
      <c r="SBI1727" s="227"/>
      <c r="SBJ1727" s="227"/>
      <c r="SBK1727" s="227"/>
      <c r="SBL1727" s="227"/>
      <c r="SBM1727" s="227"/>
      <c r="SBN1727" s="227"/>
      <c r="SBO1727" s="227"/>
      <c r="SBP1727" s="227"/>
      <c r="SBQ1727" s="227"/>
      <c r="SBR1727" s="227"/>
      <c r="SBS1727" s="227"/>
      <c r="SBT1727" s="227"/>
      <c r="SBU1727" s="227"/>
      <c r="SBV1727" s="227"/>
      <c r="SBW1727" s="227"/>
      <c r="SBX1727" s="227"/>
      <c r="SBY1727" s="227"/>
      <c r="SBZ1727" s="227"/>
      <c r="SCA1727" s="227"/>
      <c r="SCB1727" s="227"/>
      <c r="SCC1727" s="227"/>
      <c r="SCD1727" s="227"/>
      <c r="SCE1727" s="227"/>
      <c r="SCF1727" s="227"/>
      <c r="SCG1727" s="227"/>
      <c r="SCH1727" s="227"/>
      <c r="SCI1727" s="227"/>
      <c r="SCJ1727" s="227"/>
      <c r="SCK1727" s="227"/>
      <c r="SCL1727" s="227"/>
      <c r="SCM1727" s="227"/>
      <c r="SCN1727" s="227"/>
      <c r="SCO1727" s="227"/>
      <c r="SCP1727" s="227"/>
      <c r="SCQ1727" s="227"/>
      <c r="SCR1727" s="227"/>
      <c r="SCS1727" s="227"/>
      <c r="SCT1727" s="227"/>
      <c r="SCU1727" s="227"/>
      <c r="SCV1727" s="227"/>
      <c r="SCW1727" s="227"/>
      <c r="SCX1727" s="227"/>
      <c r="SCY1727" s="227"/>
      <c r="SCZ1727" s="227"/>
      <c r="SDA1727" s="227"/>
      <c r="SDB1727" s="227"/>
      <c r="SDC1727" s="227"/>
      <c r="SDD1727" s="227"/>
      <c r="SDE1727" s="227"/>
      <c r="SDF1727" s="227"/>
      <c r="SDG1727" s="227"/>
      <c r="SDH1727" s="227"/>
      <c r="SDI1727" s="227"/>
      <c r="SDJ1727" s="227"/>
      <c r="SDK1727" s="227"/>
      <c r="SDL1727" s="227"/>
      <c r="SDM1727" s="227"/>
      <c r="SDN1727" s="227"/>
      <c r="SDO1727" s="227"/>
      <c r="SDP1727" s="227"/>
      <c r="SDQ1727" s="227"/>
      <c r="SDR1727" s="227"/>
      <c r="SDS1727" s="227"/>
      <c r="SDT1727" s="227"/>
      <c r="SDU1727" s="227"/>
      <c r="SDV1727" s="227"/>
      <c r="SDW1727" s="227"/>
      <c r="SDX1727" s="227"/>
      <c r="SDY1727" s="227"/>
      <c r="SDZ1727" s="227"/>
      <c r="SEA1727" s="227"/>
      <c r="SEB1727" s="227"/>
      <c r="SEC1727" s="227"/>
      <c r="SED1727" s="227"/>
      <c r="SEE1727" s="227"/>
      <c r="SEF1727" s="227"/>
      <c r="SEG1727" s="227"/>
      <c r="SEH1727" s="227"/>
      <c r="SEI1727" s="227"/>
      <c r="SEJ1727" s="227"/>
      <c r="SEK1727" s="227"/>
      <c r="SEL1727" s="227"/>
      <c r="SEM1727" s="227"/>
      <c r="SEN1727" s="227"/>
      <c r="SEO1727" s="227"/>
      <c r="SEP1727" s="227"/>
      <c r="SEQ1727" s="227"/>
      <c r="SER1727" s="227"/>
      <c r="SES1727" s="227"/>
      <c r="SET1727" s="227"/>
      <c r="SEU1727" s="227"/>
      <c r="SEV1727" s="227"/>
      <c r="SEW1727" s="227"/>
      <c r="SEX1727" s="227"/>
      <c r="SEY1727" s="227"/>
      <c r="SEZ1727" s="227"/>
      <c r="SFA1727" s="227"/>
      <c r="SFB1727" s="227"/>
      <c r="SFC1727" s="227"/>
      <c r="SFD1727" s="227"/>
      <c r="SFE1727" s="227"/>
      <c r="SFF1727" s="227"/>
      <c r="SFG1727" s="227"/>
      <c r="SFH1727" s="227"/>
      <c r="SFI1727" s="227"/>
      <c r="SFJ1727" s="227"/>
      <c r="SFK1727" s="227"/>
      <c r="SFL1727" s="227"/>
      <c r="SFM1727" s="227"/>
      <c r="SFN1727" s="227"/>
      <c r="SFO1727" s="227"/>
      <c r="SFP1727" s="227"/>
      <c r="SFQ1727" s="227"/>
      <c r="SFR1727" s="227"/>
      <c r="SFS1727" s="227"/>
      <c r="SFT1727" s="227"/>
      <c r="SFU1727" s="227"/>
      <c r="SFV1727" s="227"/>
      <c r="SFW1727" s="227"/>
      <c r="SFX1727" s="227"/>
      <c r="SFY1727" s="227"/>
      <c r="SFZ1727" s="227"/>
      <c r="SGA1727" s="227"/>
      <c r="SGB1727" s="227"/>
      <c r="SGC1727" s="227"/>
      <c r="SGD1727" s="227"/>
      <c r="SGE1727" s="227"/>
      <c r="SGF1727" s="227"/>
      <c r="SGG1727" s="227"/>
      <c r="SGH1727" s="227"/>
      <c r="SGI1727" s="227"/>
      <c r="SGJ1727" s="227"/>
      <c r="SGK1727" s="227"/>
      <c r="SGL1727" s="227"/>
      <c r="SGM1727" s="227"/>
      <c r="SGN1727" s="227"/>
      <c r="SGO1727" s="227"/>
      <c r="SGP1727" s="227"/>
      <c r="SGQ1727" s="227"/>
      <c r="SGR1727" s="227"/>
      <c r="SGS1727" s="227"/>
      <c r="SGT1727" s="227"/>
      <c r="SGU1727" s="227"/>
      <c r="SGV1727" s="227"/>
      <c r="SGW1727" s="227"/>
      <c r="SGX1727" s="227"/>
      <c r="SGY1727" s="227"/>
      <c r="SGZ1727" s="227"/>
      <c r="SHA1727" s="227"/>
      <c r="SHB1727" s="227"/>
      <c r="SHC1727" s="227"/>
      <c r="SHD1727" s="227"/>
      <c r="SHE1727" s="227"/>
      <c r="SHF1727" s="227"/>
      <c r="SHG1727" s="227"/>
      <c r="SHH1727" s="227"/>
      <c r="SHI1727" s="227"/>
      <c r="SHJ1727" s="227"/>
      <c r="SHK1727" s="227"/>
      <c r="SHL1727" s="227"/>
      <c r="SHM1727" s="227"/>
      <c r="SHN1727" s="227"/>
      <c r="SHO1727" s="227"/>
      <c r="SHP1727" s="227"/>
      <c r="SHQ1727" s="227"/>
      <c r="SHR1727" s="227"/>
      <c r="SHS1727" s="227"/>
      <c r="SHT1727" s="227"/>
      <c r="SHU1727" s="227"/>
      <c r="SHV1727" s="227"/>
      <c r="SHW1727" s="227"/>
      <c r="SHX1727" s="227"/>
      <c r="SHY1727" s="227"/>
      <c r="SHZ1727" s="227"/>
      <c r="SIA1727" s="227"/>
      <c r="SIB1727" s="227"/>
      <c r="SIC1727" s="227"/>
      <c r="SID1727" s="227"/>
      <c r="SIE1727" s="227"/>
      <c r="SIF1727" s="227"/>
      <c r="SIG1727" s="227"/>
      <c r="SIH1727" s="227"/>
      <c r="SII1727" s="227"/>
      <c r="SIJ1727" s="227"/>
      <c r="SIK1727" s="227"/>
      <c r="SIL1727" s="227"/>
      <c r="SIM1727" s="227"/>
      <c r="SIN1727" s="227"/>
      <c r="SIO1727" s="227"/>
      <c r="SIP1727" s="227"/>
      <c r="SIQ1727" s="227"/>
      <c r="SIR1727" s="227"/>
      <c r="SIS1727" s="227"/>
      <c r="SIT1727" s="227"/>
      <c r="SIU1727" s="227"/>
      <c r="SIV1727" s="227"/>
      <c r="SIW1727" s="227"/>
      <c r="SIX1727" s="227"/>
      <c r="SIY1727" s="227"/>
      <c r="SIZ1727" s="227"/>
      <c r="SJA1727" s="227"/>
      <c r="SJB1727" s="227"/>
      <c r="SJC1727" s="227"/>
      <c r="SJD1727" s="227"/>
      <c r="SJE1727" s="227"/>
      <c r="SJF1727" s="227"/>
      <c r="SJG1727" s="227"/>
      <c r="SJH1727" s="227"/>
      <c r="SJI1727" s="227"/>
      <c r="SJJ1727" s="227"/>
      <c r="SJK1727" s="227"/>
      <c r="SJL1727" s="227"/>
      <c r="SJM1727" s="227"/>
      <c r="SJN1727" s="227"/>
      <c r="SJO1727" s="227"/>
      <c r="SJP1727" s="227"/>
      <c r="SJQ1727" s="227"/>
      <c r="SJR1727" s="227"/>
      <c r="SJS1727" s="227"/>
      <c r="SJT1727" s="227"/>
      <c r="SJU1727" s="227"/>
      <c r="SJV1727" s="227"/>
      <c r="SJW1727" s="227"/>
      <c r="SJX1727" s="227"/>
      <c r="SJY1727" s="227"/>
      <c r="SJZ1727" s="227"/>
      <c r="SKA1727" s="227"/>
      <c r="SKB1727" s="227"/>
      <c r="SKC1727" s="227"/>
      <c r="SKD1727" s="227"/>
      <c r="SKE1727" s="227"/>
      <c r="SKF1727" s="227"/>
      <c r="SKG1727" s="227"/>
      <c r="SKH1727" s="227"/>
      <c r="SKI1727" s="227"/>
      <c r="SKJ1727" s="227"/>
      <c r="SKK1727" s="227"/>
      <c r="SKL1727" s="227"/>
      <c r="SKM1727" s="227"/>
      <c r="SKN1727" s="227"/>
      <c r="SKO1727" s="227"/>
      <c r="SKP1727" s="227"/>
      <c r="SKQ1727" s="227"/>
      <c r="SKR1727" s="227"/>
      <c r="SKS1727" s="227"/>
      <c r="SKT1727" s="227"/>
      <c r="SKU1727" s="227"/>
      <c r="SKV1727" s="227"/>
      <c r="SKW1727" s="227"/>
      <c r="SKX1727" s="227"/>
      <c r="SKY1727" s="227"/>
      <c r="SKZ1727" s="227"/>
      <c r="SLA1727" s="227"/>
      <c r="SLB1727" s="227"/>
      <c r="SLC1727" s="227"/>
      <c r="SLD1727" s="227"/>
      <c r="SLE1727" s="227"/>
      <c r="SLF1727" s="227"/>
      <c r="SLG1727" s="227"/>
      <c r="SLH1727" s="227"/>
      <c r="SLI1727" s="227"/>
      <c r="SLJ1727" s="227"/>
      <c r="SLK1727" s="227"/>
      <c r="SLL1727" s="227"/>
      <c r="SLM1727" s="227"/>
      <c r="SLN1727" s="227"/>
      <c r="SLO1727" s="227"/>
      <c r="SLP1727" s="227"/>
      <c r="SLQ1727" s="227"/>
      <c r="SLR1727" s="227"/>
      <c r="SLS1727" s="227"/>
      <c r="SLT1727" s="227"/>
      <c r="SLU1727" s="227"/>
      <c r="SLV1727" s="227"/>
      <c r="SLW1727" s="227"/>
      <c r="SLX1727" s="227"/>
      <c r="SLY1727" s="227"/>
      <c r="SLZ1727" s="227"/>
      <c r="SMA1727" s="227"/>
      <c r="SMB1727" s="227"/>
      <c r="SMC1727" s="227"/>
      <c r="SMD1727" s="227"/>
      <c r="SME1727" s="227"/>
      <c r="SMF1727" s="227"/>
      <c r="SMG1727" s="227"/>
      <c r="SMH1727" s="227"/>
      <c r="SMI1727" s="227"/>
      <c r="SMJ1727" s="227"/>
      <c r="SMK1727" s="227"/>
      <c r="SML1727" s="227"/>
      <c r="SMM1727" s="227"/>
      <c r="SMN1727" s="227"/>
      <c r="SMO1727" s="227"/>
      <c r="SMP1727" s="227"/>
      <c r="SMQ1727" s="227"/>
      <c r="SMR1727" s="227"/>
      <c r="SMS1727" s="227"/>
      <c r="SMT1727" s="227"/>
      <c r="SMU1727" s="227"/>
      <c r="SMV1727" s="227"/>
      <c r="SMW1727" s="227"/>
      <c r="SMX1727" s="227"/>
      <c r="SMY1727" s="227"/>
      <c r="SMZ1727" s="227"/>
      <c r="SNA1727" s="227"/>
      <c r="SNB1727" s="227"/>
      <c r="SNC1727" s="227"/>
      <c r="SND1727" s="227"/>
      <c r="SNE1727" s="227"/>
      <c r="SNF1727" s="227"/>
      <c r="SNG1727" s="227"/>
      <c r="SNH1727" s="227"/>
      <c r="SNI1727" s="227"/>
      <c r="SNJ1727" s="227"/>
      <c r="SNK1727" s="227"/>
      <c r="SNL1727" s="227"/>
      <c r="SNM1727" s="227"/>
      <c r="SNN1727" s="227"/>
      <c r="SNO1727" s="227"/>
      <c r="SNP1727" s="227"/>
      <c r="SNQ1727" s="227"/>
      <c r="SNR1727" s="227"/>
      <c r="SNS1727" s="227"/>
      <c r="SNT1727" s="227"/>
      <c r="SNU1727" s="227"/>
      <c r="SNV1727" s="227"/>
      <c r="SNW1727" s="227"/>
      <c r="SNX1727" s="227"/>
      <c r="SNY1727" s="227"/>
      <c r="SNZ1727" s="227"/>
      <c r="SOA1727" s="227"/>
      <c r="SOB1727" s="227"/>
      <c r="SOC1727" s="227"/>
      <c r="SOD1727" s="227"/>
      <c r="SOE1727" s="227"/>
      <c r="SOF1727" s="227"/>
      <c r="SOG1727" s="227"/>
      <c r="SOH1727" s="227"/>
      <c r="SOI1727" s="227"/>
      <c r="SOJ1727" s="227"/>
      <c r="SOK1727" s="227"/>
      <c r="SOL1727" s="227"/>
      <c r="SOM1727" s="227"/>
      <c r="SON1727" s="227"/>
      <c r="SOO1727" s="227"/>
      <c r="SOP1727" s="227"/>
      <c r="SOQ1727" s="227"/>
      <c r="SOR1727" s="227"/>
      <c r="SOS1727" s="227"/>
      <c r="SOT1727" s="227"/>
      <c r="SOU1727" s="227"/>
      <c r="SOV1727" s="227"/>
      <c r="SOW1727" s="227"/>
      <c r="SOX1727" s="227"/>
      <c r="SOY1727" s="227"/>
      <c r="SOZ1727" s="227"/>
      <c r="SPA1727" s="227"/>
      <c r="SPB1727" s="227"/>
      <c r="SPC1727" s="227"/>
      <c r="SPD1727" s="227"/>
      <c r="SPE1727" s="227"/>
      <c r="SPF1727" s="227"/>
      <c r="SPG1727" s="227"/>
      <c r="SPH1727" s="227"/>
      <c r="SPI1727" s="227"/>
      <c r="SPJ1727" s="227"/>
      <c r="SPK1727" s="227"/>
      <c r="SPL1727" s="227"/>
      <c r="SPM1727" s="227"/>
      <c r="SPN1727" s="227"/>
      <c r="SPO1727" s="227"/>
      <c r="SPP1727" s="227"/>
      <c r="SPQ1727" s="227"/>
      <c r="SPR1727" s="227"/>
      <c r="SPS1727" s="227"/>
      <c r="SPT1727" s="227"/>
      <c r="SPU1727" s="227"/>
      <c r="SPV1727" s="227"/>
      <c r="SPW1727" s="227"/>
      <c r="SPX1727" s="227"/>
      <c r="SPY1727" s="227"/>
      <c r="SPZ1727" s="227"/>
      <c r="SQA1727" s="227"/>
      <c r="SQB1727" s="227"/>
      <c r="SQC1727" s="227"/>
      <c r="SQD1727" s="227"/>
      <c r="SQE1727" s="227"/>
      <c r="SQF1727" s="227"/>
      <c r="SQG1727" s="227"/>
      <c r="SQH1727" s="227"/>
      <c r="SQI1727" s="227"/>
      <c r="SQJ1727" s="227"/>
      <c r="SQK1727" s="227"/>
      <c r="SQL1727" s="227"/>
      <c r="SQM1727" s="227"/>
      <c r="SQN1727" s="227"/>
      <c r="SQO1727" s="227"/>
      <c r="SQP1727" s="227"/>
      <c r="SQQ1727" s="227"/>
      <c r="SQR1727" s="227"/>
      <c r="SQS1727" s="227"/>
      <c r="SQT1727" s="227"/>
      <c r="SQU1727" s="227"/>
      <c r="SQV1727" s="227"/>
      <c r="SQW1727" s="227"/>
      <c r="SQX1727" s="227"/>
      <c r="SQY1727" s="227"/>
      <c r="SQZ1727" s="227"/>
      <c r="SRA1727" s="227"/>
      <c r="SRB1727" s="227"/>
      <c r="SRC1727" s="227"/>
      <c r="SRD1727" s="227"/>
      <c r="SRE1727" s="227"/>
      <c r="SRF1727" s="227"/>
      <c r="SRG1727" s="227"/>
      <c r="SRH1727" s="227"/>
      <c r="SRI1727" s="227"/>
      <c r="SRJ1727" s="227"/>
      <c r="SRK1727" s="227"/>
      <c r="SRL1727" s="227"/>
      <c r="SRM1727" s="227"/>
      <c r="SRN1727" s="227"/>
      <c r="SRO1727" s="227"/>
      <c r="SRP1727" s="227"/>
      <c r="SRQ1727" s="227"/>
      <c r="SRR1727" s="227"/>
      <c r="SRS1727" s="227"/>
      <c r="SRT1727" s="227"/>
      <c r="SRU1727" s="227"/>
      <c r="SRV1727" s="227"/>
      <c r="SRW1727" s="227"/>
      <c r="SRX1727" s="227"/>
      <c r="SRY1727" s="227"/>
      <c r="SRZ1727" s="227"/>
      <c r="SSA1727" s="227"/>
      <c r="SSB1727" s="227"/>
      <c r="SSC1727" s="227"/>
      <c r="SSD1727" s="227"/>
      <c r="SSE1727" s="227"/>
      <c r="SSF1727" s="227"/>
      <c r="SSG1727" s="227"/>
      <c r="SSH1727" s="227"/>
      <c r="SSI1727" s="227"/>
      <c r="SSJ1727" s="227"/>
      <c r="SSK1727" s="227"/>
      <c r="SSL1727" s="227"/>
      <c r="SSM1727" s="227"/>
      <c r="SSN1727" s="227"/>
      <c r="SSO1727" s="227"/>
      <c r="SSP1727" s="227"/>
      <c r="SSQ1727" s="227"/>
      <c r="SSR1727" s="227"/>
      <c r="SSS1727" s="227"/>
      <c r="SST1727" s="227"/>
      <c r="SSU1727" s="227"/>
      <c r="SSV1727" s="227"/>
      <c r="SSW1727" s="227"/>
      <c r="SSX1727" s="227"/>
      <c r="SSY1727" s="227"/>
      <c r="SSZ1727" s="227"/>
      <c r="STA1727" s="227"/>
      <c r="STB1727" s="227"/>
      <c r="STC1727" s="227"/>
      <c r="STD1727" s="227"/>
      <c r="STE1727" s="227"/>
      <c r="STF1727" s="227"/>
      <c r="STG1727" s="227"/>
      <c r="STH1727" s="227"/>
      <c r="STI1727" s="227"/>
      <c r="STJ1727" s="227"/>
      <c r="STK1727" s="227"/>
      <c r="STL1727" s="227"/>
      <c r="STM1727" s="227"/>
      <c r="STN1727" s="227"/>
      <c r="STO1727" s="227"/>
      <c r="STP1727" s="227"/>
      <c r="STQ1727" s="227"/>
      <c r="STR1727" s="227"/>
      <c r="STS1727" s="227"/>
      <c r="STT1727" s="227"/>
      <c r="STU1727" s="227"/>
      <c r="STV1727" s="227"/>
      <c r="STW1727" s="227"/>
      <c r="STX1727" s="227"/>
      <c r="STY1727" s="227"/>
      <c r="STZ1727" s="227"/>
      <c r="SUA1727" s="227"/>
      <c r="SUB1727" s="227"/>
      <c r="SUC1727" s="227"/>
      <c r="SUD1727" s="227"/>
      <c r="SUE1727" s="227"/>
      <c r="SUF1727" s="227"/>
      <c r="SUG1727" s="227"/>
      <c r="SUH1727" s="227"/>
      <c r="SUI1727" s="227"/>
      <c r="SUJ1727" s="227"/>
      <c r="SUK1727" s="227"/>
      <c r="SUL1727" s="227"/>
      <c r="SUM1727" s="227"/>
      <c r="SUN1727" s="227"/>
      <c r="SUO1727" s="227"/>
      <c r="SUP1727" s="227"/>
      <c r="SUQ1727" s="227"/>
      <c r="SUR1727" s="227"/>
      <c r="SUS1727" s="227"/>
      <c r="SUT1727" s="227"/>
      <c r="SUU1727" s="227"/>
      <c r="SUV1727" s="227"/>
      <c r="SUW1727" s="227"/>
      <c r="SUX1727" s="227"/>
      <c r="SUY1727" s="227"/>
      <c r="SUZ1727" s="227"/>
      <c r="SVA1727" s="227"/>
      <c r="SVB1727" s="227"/>
      <c r="SVC1727" s="227"/>
      <c r="SVD1727" s="227"/>
      <c r="SVE1727" s="227"/>
      <c r="SVF1727" s="227"/>
      <c r="SVG1727" s="227"/>
      <c r="SVH1727" s="227"/>
      <c r="SVI1727" s="227"/>
      <c r="SVJ1727" s="227"/>
      <c r="SVK1727" s="227"/>
      <c r="SVL1727" s="227"/>
      <c r="SVM1727" s="227"/>
      <c r="SVN1727" s="227"/>
      <c r="SVO1727" s="227"/>
      <c r="SVP1727" s="227"/>
      <c r="SVQ1727" s="227"/>
      <c r="SVR1727" s="227"/>
      <c r="SVS1727" s="227"/>
      <c r="SVT1727" s="227"/>
      <c r="SVU1727" s="227"/>
      <c r="SVV1727" s="227"/>
      <c r="SVW1727" s="227"/>
      <c r="SVX1727" s="227"/>
      <c r="SVY1727" s="227"/>
      <c r="SVZ1727" s="227"/>
      <c r="SWA1727" s="227"/>
      <c r="SWB1727" s="227"/>
      <c r="SWC1727" s="227"/>
      <c r="SWD1727" s="227"/>
      <c r="SWE1727" s="227"/>
      <c r="SWF1727" s="227"/>
      <c r="SWG1727" s="227"/>
      <c r="SWH1727" s="227"/>
      <c r="SWI1727" s="227"/>
      <c r="SWJ1727" s="227"/>
      <c r="SWK1727" s="227"/>
      <c r="SWL1727" s="227"/>
      <c r="SWM1727" s="227"/>
      <c r="SWN1727" s="227"/>
      <c r="SWO1727" s="227"/>
      <c r="SWP1727" s="227"/>
      <c r="SWQ1727" s="227"/>
      <c r="SWR1727" s="227"/>
      <c r="SWS1727" s="227"/>
      <c r="SWT1727" s="227"/>
      <c r="SWU1727" s="227"/>
      <c r="SWV1727" s="227"/>
      <c r="SWW1727" s="227"/>
      <c r="SWX1727" s="227"/>
      <c r="SWY1727" s="227"/>
      <c r="SWZ1727" s="227"/>
      <c r="SXA1727" s="227"/>
      <c r="SXB1727" s="227"/>
      <c r="SXC1727" s="227"/>
      <c r="SXD1727" s="227"/>
      <c r="SXE1727" s="227"/>
      <c r="SXF1727" s="227"/>
      <c r="SXG1727" s="227"/>
      <c r="SXH1727" s="227"/>
      <c r="SXI1727" s="227"/>
      <c r="SXJ1727" s="227"/>
      <c r="SXK1727" s="227"/>
      <c r="SXL1727" s="227"/>
      <c r="SXM1727" s="227"/>
      <c r="SXN1727" s="227"/>
      <c r="SXO1727" s="227"/>
      <c r="SXP1727" s="227"/>
      <c r="SXQ1727" s="227"/>
      <c r="SXR1727" s="227"/>
      <c r="SXS1727" s="227"/>
      <c r="SXT1727" s="227"/>
      <c r="SXU1727" s="227"/>
      <c r="SXV1727" s="227"/>
      <c r="SXW1727" s="227"/>
      <c r="SXX1727" s="227"/>
      <c r="SXY1727" s="227"/>
      <c r="SXZ1727" s="227"/>
      <c r="SYA1727" s="227"/>
      <c r="SYB1727" s="227"/>
      <c r="SYC1727" s="227"/>
      <c r="SYD1727" s="227"/>
      <c r="SYE1727" s="227"/>
      <c r="SYF1727" s="227"/>
      <c r="SYG1727" s="227"/>
      <c r="SYH1727" s="227"/>
      <c r="SYI1727" s="227"/>
      <c r="SYJ1727" s="227"/>
      <c r="SYK1727" s="227"/>
      <c r="SYL1727" s="227"/>
      <c r="SYM1727" s="227"/>
      <c r="SYN1727" s="227"/>
      <c r="SYO1727" s="227"/>
      <c r="SYP1727" s="227"/>
      <c r="SYQ1727" s="227"/>
      <c r="SYR1727" s="227"/>
      <c r="SYS1727" s="227"/>
      <c r="SYT1727" s="227"/>
      <c r="SYU1727" s="227"/>
      <c r="SYV1727" s="227"/>
      <c r="SYW1727" s="227"/>
      <c r="SYX1727" s="227"/>
      <c r="SYY1727" s="227"/>
      <c r="SYZ1727" s="227"/>
      <c r="SZA1727" s="227"/>
      <c r="SZB1727" s="227"/>
      <c r="SZC1727" s="227"/>
      <c r="SZD1727" s="227"/>
      <c r="SZE1727" s="227"/>
      <c r="SZF1727" s="227"/>
      <c r="SZG1727" s="227"/>
      <c r="SZH1727" s="227"/>
      <c r="SZI1727" s="227"/>
      <c r="SZJ1727" s="227"/>
      <c r="SZK1727" s="227"/>
      <c r="SZL1727" s="227"/>
      <c r="SZM1727" s="227"/>
      <c r="SZN1727" s="227"/>
      <c r="SZO1727" s="227"/>
      <c r="SZP1727" s="227"/>
      <c r="SZQ1727" s="227"/>
      <c r="SZR1727" s="227"/>
      <c r="SZS1727" s="227"/>
      <c r="SZT1727" s="227"/>
      <c r="SZU1727" s="227"/>
      <c r="SZV1727" s="227"/>
      <c r="SZW1727" s="227"/>
      <c r="SZX1727" s="227"/>
      <c r="SZY1727" s="227"/>
      <c r="SZZ1727" s="227"/>
      <c r="TAA1727" s="227"/>
      <c r="TAB1727" s="227"/>
      <c r="TAC1727" s="227"/>
      <c r="TAD1727" s="227"/>
      <c r="TAE1727" s="227"/>
      <c r="TAF1727" s="227"/>
      <c r="TAG1727" s="227"/>
      <c r="TAH1727" s="227"/>
      <c r="TAI1727" s="227"/>
      <c r="TAJ1727" s="227"/>
      <c r="TAK1727" s="227"/>
      <c r="TAL1727" s="227"/>
      <c r="TAM1727" s="227"/>
      <c r="TAN1727" s="227"/>
      <c r="TAO1727" s="227"/>
      <c r="TAP1727" s="227"/>
      <c r="TAQ1727" s="227"/>
      <c r="TAR1727" s="227"/>
      <c r="TAS1727" s="227"/>
      <c r="TAT1727" s="227"/>
      <c r="TAU1727" s="227"/>
      <c r="TAV1727" s="227"/>
      <c r="TAW1727" s="227"/>
      <c r="TAX1727" s="227"/>
      <c r="TAY1727" s="227"/>
      <c r="TAZ1727" s="227"/>
      <c r="TBA1727" s="227"/>
      <c r="TBB1727" s="227"/>
      <c r="TBC1727" s="227"/>
      <c r="TBD1727" s="227"/>
      <c r="TBE1727" s="227"/>
      <c r="TBF1727" s="227"/>
      <c r="TBG1727" s="227"/>
      <c r="TBH1727" s="227"/>
      <c r="TBI1727" s="227"/>
      <c r="TBJ1727" s="227"/>
      <c r="TBK1727" s="227"/>
      <c r="TBL1727" s="227"/>
      <c r="TBM1727" s="227"/>
      <c r="TBN1727" s="227"/>
      <c r="TBO1727" s="227"/>
      <c r="TBP1727" s="227"/>
      <c r="TBQ1727" s="227"/>
      <c r="TBR1727" s="227"/>
      <c r="TBS1727" s="227"/>
      <c r="TBT1727" s="227"/>
      <c r="TBU1727" s="227"/>
      <c r="TBV1727" s="227"/>
      <c r="TBW1727" s="227"/>
      <c r="TBX1727" s="227"/>
      <c r="TBY1727" s="227"/>
      <c r="TBZ1727" s="227"/>
      <c r="TCA1727" s="227"/>
      <c r="TCB1727" s="227"/>
      <c r="TCC1727" s="227"/>
      <c r="TCD1727" s="227"/>
      <c r="TCE1727" s="227"/>
      <c r="TCF1727" s="227"/>
      <c r="TCG1727" s="227"/>
      <c r="TCH1727" s="227"/>
      <c r="TCI1727" s="227"/>
      <c r="TCJ1727" s="227"/>
      <c r="TCK1727" s="227"/>
      <c r="TCL1727" s="227"/>
      <c r="TCM1727" s="227"/>
      <c r="TCN1727" s="227"/>
      <c r="TCO1727" s="227"/>
      <c r="TCP1727" s="227"/>
      <c r="TCQ1727" s="227"/>
      <c r="TCR1727" s="227"/>
      <c r="TCS1727" s="227"/>
      <c r="TCT1727" s="227"/>
      <c r="TCU1727" s="227"/>
      <c r="TCV1727" s="227"/>
      <c r="TCW1727" s="227"/>
      <c r="TCX1727" s="227"/>
      <c r="TCY1727" s="227"/>
      <c r="TCZ1727" s="227"/>
      <c r="TDA1727" s="227"/>
      <c r="TDB1727" s="227"/>
      <c r="TDC1727" s="227"/>
      <c r="TDD1727" s="227"/>
      <c r="TDE1727" s="227"/>
      <c r="TDF1727" s="227"/>
      <c r="TDG1727" s="227"/>
      <c r="TDH1727" s="227"/>
      <c r="TDI1727" s="227"/>
      <c r="TDJ1727" s="227"/>
      <c r="TDK1727" s="227"/>
      <c r="TDL1727" s="227"/>
      <c r="TDM1727" s="227"/>
      <c r="TDN1727" s="227"/>
      <c r="TDO1727" s="227"/>
      <c r="TDP1727" s="227"/>
      <c r="TDQ1727" s="227"/>
      <c r="TDR1727" s="227"/>
      <c r="TDS1727" s="227"/>
      <c r="TDT1727" s="227"/>
      <c r="TDU1727" s="227"/>
      <c r="TDV1727" s="227"/>
      <c r="TDW1727" s="227"/>
      <c r="TDX1727" s="227"/>
      <c r="TDY1727" s="227"/>
      <c r="TDZ1727" s="227"/>
      <c r="TEA1727" s="227"/>
      <c r="TEB1727" s="227"/>
      <c r="TEC1727" s="227"/>
      <c r="TED1727" s="227"/>
      <c r="TEE1727" s="227"/>
      <c r="TEF1727" s="227"/>
      <c r="TEG1727" s="227"/>
      <c r="TEH1727" s="227"/>
      <c r="TEI1727" s="227"/>
      <c r="TEJ1727" s="227"/>
      <c r="TEK1727" s="227"/>
      <c r="TEL1727" s="227"/>
      <c r="TEM1727" s="227"/>
      <c r="TEN1727" s="227"/>
      <c r="TEO1727" s="227"/>
      <c r="TEP1727" s="227"/>
      <c r="TEQ1727" s="227"/>
      <c r="TER1727" s="227"/>
      <c r="TES1727" s="227"/>
      <c r="TET1727" s="227"/>
      <c r="TEU1727" s="227"/>
      <c r="TEV1727" s="227"/>
      <c r="TEW1727" s="227"/>
      <c r="TEX1727" s="227"/>
      <c r="TEY1727" s="227"/>
      <c r="TEZ1727" s="227"/>
      <c r="TFA1727" s="227"/>
      <c r="TFB1727" s="227"/>
      <c r="TFC1727" s="227"/>
      <c r="TFD1727" s="227"/>
      <c r="TFE1727" s="227"/>
      <c r="TFF1727" s="227"/>
      <c r="TFG1727" s="227"/>
      <c r="TFH1727" s="227"/>
      <c r="TFI1727" s="227"/>
      <c r="TFJ1727" s="227"/>
      <c r="TFK1727" s="227"/>
      <c r="TFL1727" s="227"/>
      <c r="TFM1727" s="227"/>
      <c r="TFN1727" s="227"/>
      <c r="TFO1727" s="227"/>
      <c r="TFP1727" s="227"/>
      <c r="TFQ1727" s="227"/>
      <c r="TFR1727" s="227"/>
      <c r="TFS1727" s="227"/>
      <c r="TFT1727" s="227"/>
      <c r="TFU1727" s="227"/>
      <c r="TFV1727" s="227"/>
      <c r="TFW1727" s="227"/>
      <c r="TFX1727" s="227"/>
      <c r="TFY1727" s="227"/>
      <c r="TFZ1727" s="227"/>
      <c r="TGA1727" s="227"/>
      <c r="TGB1727" s="227"/>
      <c r="TGC1727" s="227"/>
      <c r="TGD1727" s="227"/>
      <c r="TGE1727" s="227"/>
      <c r="TGF1727" s="227"/>
      <c r="TGG1727" s="227"/>
      <c r="TGH1727" s="227"/>
      <c r="TGI1727" s="227"/>
      <c r="TGJ1727" s="227"/>
      <c r="TGK1727" s="227"/>
      <c r="TGL1727" s="227"/>
      <c r="TGM1727" s="227"/>
      <c r="TGN1727" s="227"/>
      <c r="TGO1727" s="227"/>
      <c r="TGP1727" s="227"/>
      <c r="TGQ1727" s="227"/>
      <c r="TGR1727" s="227"/>
      <c r="TGS1727" s="227"/>
      <c r="TGT1727" s="227"/>
      <c r="TGU1727" s="227"/>
      <c r="TGV1727" s="227"/>
      <c r="TGW1727" s="227"/>
      <c r="TGX1727" s="227"/>
      <c r="TGY1727" s="227"/>
      <c r="TGZ1727" s="227"/>
      <c r="THA1727" s="227"/>
      <c r="THB1727" s="227"/>
      <c r="THC1727" s="227"/>
      <c r="THD1727" s="227"/>
      <c r="THE1727" s="227"/>
      <c r="THF1727" s="227"/>
      <c r="THG1727" s="227"/>
      <c r="THH1727" s="227"/>
      <c r="THI1727" s="227"/>
      <c r="THJ1727" s="227"/>
      <c r="THK1727" s="227"/>
      <c r="THL1727" s="227"/>
      <c r="THM1727" s="227"/>
      <c r="THN1727" s="227"/>
      <c r="THO1727" s="227"/>
      <c r="THP1727" s="227"/>
      <c r="THQ1727" s="227"/>
      <c r="THR1727" s="227"/>
      <c r="THS1727" s="227"/>
      <c r="THT1727" s="227"/>
      <c r="THU1727" s="227"/>
      <c r="THV1727" s="227"/>
      <c r="THW1727" s="227"/>
      <c r="THX1727" s="227"/>
      <c r="THY1727" s="227"/>
      <c r="THZ1727" s="227"/>
      <c r="TIA1727" s="227"/>
      <c r="TIB1727" s="227"/>
      <c r="TIC1727" s="227"/>
      <c r="TID1727" s="227"/>
      <c r="TIE1727" s="227"/>
      <c r="TIF1727" s="227"/>
      <c r="TIG1727" s="227"/>
      <c r="TIH1727" s="227"/>
      <c r="TII1727" s="227"/>
      <c r="TIJ1727" s="227"/>
      <c r="TIK1727" s="227"/>
      <c r="TIL1727" s="227"/>
      <c r="TIM1727" s="227"/>
      <c r="TIN1727" s="227"/>
      <c r="TIO1727" s="227"/>
      <c r="TIP1727" s="227"/>
      <c r="TIQ1727" s="227"/>
      <c r="TIR1727" s="227"/>
      <c r="TIS1727" s="227"/>
      <c r="TIT1727" s="227"/>
      <c r="TIU1727" s="227"/>
      <c r="TIV1727" s="227"/>
      <c r="TIW1727" s="227"/>
      <c r="TIX1727" s="227"/>
      <c r="TIY1727" s="227"/>
      <c r="TIZ1727" s="227"/>
      <c r="TJA1727" s="227"/>
      <c r="TJB1727" s="227"/>
      <c r="TJC1727" s="227"/>
      <c r="TJD1727" s="227"/>
      <c r="TJE1727" s="227"/>
      <c r="TJF1727" s="227"/>
      <c r="TJG1727" s="227"/>
      <c r="TJH1727" s="227"/>
      <c r="TJI1727" s="227"/>
      <c r="TJJ1727" s="227"/>
      <c r="TJK1727" s="227"/>
      <c r="TJL1727" s="227"/>
      <c r="TJM1727" s="227"/>
      <c r="TJN1727" s="227"/>
      <c r="TJO1727" s="227"/>
      <c r="TJP1727" s="227"/>
      <c r="TJQ1727" s="227"/>
      <c r="TJR1727" s="227"/>
      <c r="TJS1727" s="227"/>
      <c r="TJT1727" s="227"/>
      <c r="TJU1727" s="227"/>
      <c r="TJV1727" s="227"/>
      <c r="TJW1727" s="227"/>
      <c r="TJX1727" s="227"/>
      <c r="TJY1727" s="227"/>
      <c r="TJZ1727" s="227"/>
      <c r="TKA1727" s="227"/>
      <c r="TKB1727" s="227"/>
      <c r="TKC1727" s="227"/>
      <c r="TKD1727" s="227"/>
      <c r="TKE1727" s="227"/>
      <c r="TKF1727" s="227"/>
      <c r="TKG1727" s="227"/>
      <c r="TKH1727" s="227"/>
      <c r="TKI1727" s="227"/>
      <c r="TKJ1727" s="227"/>
      <c r="TKK1727" s="227"/>
      <c r="TKL1727" s="227"/>
      <c r="TKM1727" s="227"/>
      <c r="TKN1727" s="227"/>
      <c r="TKO1727" s="227"/>
      <c r="TKP1727" s="227"/>
      <c r="TKQ1727" s="227"/>
      <c r="TKR1727" s="227"/>
      <c r="TKS1727" s="227"/>
      <c r="TKT1727" s="227"/>
      <c r="TKU1727" s="227"/>
      <c r="TKV1727" s="227"/>
      <c r="TKW1727" s="227"/>
      <c r="TKX1727" s="227"/>
      <c r="TKY1727" s="227"/>
      <c r="TKZ1727" s="227"/>
      <c r="TLA1727" s="227"/>
      <c r="TLB1727" s="227"/>
      <c r="TLC1727" s="227"/>
      <c r="TLD1727" s="227"/>
      <c r="TLE1727" s="227"/>
      <c r="TLF1727" s="227"/>
      <c r="TLG1727" s="227"/>
      <c r="TLH1727" s="227"/>
      <c r="TLI1727" s="227"/>
      <c r="TLJ1727" s="227"/>
      <c r="TLK1727" s="227"/>
      <c r="TLL1727" s="227"/>
      <c r="TLM1727" s="227"/>
      <c r="TLN1727" s="227"/>
      <c r="TLO1727" s="227"/>
      <c r="TLP1727" s="227"/>
      <c r="TLQ1727" s="227"/>
      <c r="TLR1727" s="227"/>
      <c r="TLS1727" s="227"/>
      <c r="TLT1727" s="227"/>
      <c r="TLU1727" s="227"/>
      <c r="TLV1727" s="227"/>
      <c r="TLW1727" s="227"/>
      <c r="TLX1727" s="227"/>
      <c r="TLY1727" s="227"/>
      <c r="TLZ1727" s="227"/>
      <c r="TMA1727" s="227"/>
      <c r="TMB1727" s="227"/>
      <c r="TMC1727" s="227"/>
      <c r="TMD1727" s="227"/>
      <c r="TME1727" s="227"/>
      <c r="TMF1727" s="227"/>
      <c r="TMG1727" s="227"/>
      <c r="TMH1727" s="227"/>
      <c r="TMI1727" s="227"/>
      <c r="TMJ1727" s="227"/>
      <c r="TMK1727" s="227"/>
      <c r="TML1727" s="227"/>
      <c r="TMM1727" s="227"/>
      <c r="TMN1727" s="227"/>
      <c r="TMO1727" s="227"/>
      <c r="TMP1727" s="227"/>
      <c r="TMQ1727" s="227"/>
      <c r="TMR1727" s="227"/>
      <c r="TMS1727" s="227"/>
      <c r="TMT1727" s="227"/>
      <c r="TMU1727" s="227"/>
      <c r="TMV1727" s="227"/>
      <c r="TMW1727" s="227"/>
      <c r="TMX1727" s="227"/>
      <c r="TMY1727" s="227"/>
      <c r="TMZ1727" s="227"/>
      <c r="TNA1727" s="227"/>
      <c r="TNB1727" s="227"/>
      <c r="TNC1727" s="227"/>
      <c r="TND1727" s="227"/>
      <c r="TNE1727" s="227"/>
      <c r="TNF1727" s="227"/>
      <c r="TNG1727" s="227"/>
      <c r="TNH1727" s="227"/>
      <c r="TNI1727" s="227"/>
      <c r="TNJ1727" s="227"/>
      <c r="TNK1727" s="227"/>
      <c r="TNL1727" s="227"/>
      <c r="TNM1727" s="227"/>
      <c r="TNN1727" s="227"/>
      <c r="TNO1727" s="227"/>
      <c r="TNP1727" s="227"/>
      <c r="TNQ1727" s="227"/>
      <c r="TNR1727" s="227"/>
      <c r="TNS1727" s="227"/>
      <c r="TNT1727" s="227"/>
      <c r="TNU1727" s="227"/>
      <c r="TNV1727" s="227"/>
      <c r="TNW1727" s="227"/>
      <c r="TNX1727" s="227"/>
      <c r="TNY1727" s="227"/>
      <c r="TNZ1727" s="227"/>
      <c r="TOA1727" s="227"/>
      <c r="TOB1727" s="227"/>
      <c r="TOC1727" s="227"/>
      <c r="TOD1727" s="227"/>
      <c r="TOE1727" s="227"/>
      <c r="TOF1727" s="227"/>
      <c r="TOG1727" s="227"/>
      <c r="TOH1727" s="227"/>
      <c r="TOI1727" s="227"/>
      <c r="TOJ1727" s="227"/>
      <c r="TOK1727" s="227"/>
      <c r="TOL1727" s="227"/>
      <c r="TOM1727" s="227"/>
      <c r="TON1727" s="227"/>
      <c r="TOO1727" s="227"/>
      <c r="TOP1727" s="227"/>
      <c r="TOQ1727" s="227"/>
      <c r="TOR1727" s="227"/>
      <c r="TOS1727" s="227"/>
      <c r="TOT1727" s="227"/>
      <c r="TOU1727" s="227"/>
      <c r="TOV1727" s="227"/>
      <c r="TOW1727" s="227"/>
      <c r="TOX1727" s="227"/>
      <c r="TOY1727" s="227"/>
      <c r="TOZ1727" s="227"/>
      <c r="TPA1727" s="227"/>
      <c r="TPB1727" s="227"/>
      <c r="TPC1727" s="227"/>
      <c r="TPD1727" s="227"/>
      <c r="TPE1727" s="227"/>
      <c r="TPF1727" s="227"/>
      <c r="TPG1727" s="227"/>
      <c r="TPH1727" s="227"/>
      <c r="TPI1727" s="227"/>
      <c r="TPJ1727" s="227"/>
      <c r="TPK1727" s="227"/>
      <c r="TPL1727" s="227"/>
      <c r="TPM1727" s="227"/>
      <c r="TPN1727" s="227"/>
      <c r="TPO1727" s="227"/>
      <c r="TPP1727" s="227"/>
      <c r="TPQ1727" s="227"/>
      <c r="TPR1727" s="227"/>
      <c r="TPS1727" s="227"/>
      <c r="TPT1727" s="227"/>
      <c r="TPU1727" s="227"/>
      <c r="TPV1727" s="227"/>
      <c r="TPW1727" s="227"/>
      <c r="TPX1727" s="227"/>
      <c r="TPY1727" s="227"/>
      <c r="TPZ1727" s="227"/>
      <c r="TQA1727" s="227"/>
      <c r="TQB1727" s="227"/>
      <c r="TQC1727" s="227"/>
      <c r="TQD1727" s="227"/>
      <c r="TQE1727" s="227"/>
      <c r="TQF1727" s="227"/>
      <c r="TQG1727" s="227"/>
      <c r="TQH1727" s="227"/>
      <c r="TQI1727" s="227"/>
      <c r="TQJ1727" s="227"/>
      <c r="TQK1727" s="227"/>
      <c r="TQL1727" s="227"/>
      <c r="TQM1727" s="227"/>
      <c r="TQN1727" s="227"/>
      <c r="TQO1727" s="227"/>
      <c r="TQP1727" s="227"/>
      <c r="TQQ1727" s="227"/>
      <c r="TQR1727" s="227"/>
      <c r="TQS1727" s="227"/>
      <c r="TQT1727" s="227"/>
      <c r="TQU1727" s="227"/>
      <c r="TQV1727" s="227"/>
      <c r="TQW1727" s="227"/>
      <c r="TQX1727" s="227"/>
      <c r="TQY1727" s="227"/>
      <c r="TQZ1727" s="227"/>
      <c r="TRA1727" s="227"/>
      <c r="TRB1727" s="227"/>
      <c r="TRC1727" s="227"/>
      <c r="TRD1727" s="227"/>
      <c r="TRE1727" s="227"/>
      <c r="TRF1727" s="227"/>
      <c r="TRG1727" s="227"/>
      <c r="TRH1727" s="227"/>
      <c r="TRI1727" s="227"/>
      <c r="TRJ1727" s="227"/>
      <c r="TRK1727" s="227"/>
      <c r="TRL1727" s="227"/>
      <c r="TRM1727" s="227"/>
      <c r="TRN1727" s="227"/>
      <c r="TRO1727" s="227"/>
      <c r="TRP1727" s="227"/>
      <c r="TRQ1727" s="227"/>
      <c r="TRR1727" s="227"/>
      <c r="TRS1727" s="227"/>
      <c r="TRT1727" s="227"/>
      <c r="TRU1727" s="227"/>
      <c r="TRV1727" s="227"/>
      <c r="TRW1727" s="227"/>
      <c r="TRX1727" s="227"/>
      <c r="TRY1727" s="227"/>
      <c r="TRZ1727" s="227"/>
      <c r="TSA1727" s="227"/>
      <c r="TSB1727" s="227"/>
      <c r="TSC1727" s="227"/>
      <c r="TSD1727" s="227"/>
      <c r="TSE1727" s="227"/>
      <c r="TSF1727" s="227"/>
      <c r="TSG1727" s="227"/>
      <c r="TSH1727" s="227"/>
      <c r="TSI1727" s="227"/>
      <c r="TSJ1727" s="227"/>
      <c r="TSK1727" s="227"/>
      <c r="TSL1727" s="227"/>
      <c r="TSM1727" s="227"/>
      <c r="TSN1727" s="227"/>
      <c r="TSO1727" s="227"/>
      <c r="TSP1727" s="227"/>
      <c r="TSQ1727" s="227"/>
      <c r="TSR1727" s="227"/>
      <c r="TSS1727" s="227"/>
      <c r="TST1727" s="227"/>
      <c r="TSU1727" s="227"/>
      <c r="TSV1727" s="227"/>
      <c r="TSW1727" s="227"/>
      <c r="TSX1727" s="227"/>
      <c r="TSY1727" s="227"/>
      <c r="TSZ1727" s="227"/>
      <c r="TTA1727" s="227"/>
      <c r="TTB1727" s="227"/>
      <c r="TTC1727" s="227"/>
      <c r="TTD1727" s="227"/>
      <c r="TTE1727" s="227"/>
      <c r="TTF1727" s="227"/>
      <c r="TTG1727" s="227"/>
      <c r="TTH1727" s="227"/>
      <c r="TTI1727" s="227"/>
      <c r="TTJ1727" s="227"/>
      <c r="TTK1727" s="227"/>
      <c r="TTL1727" s="227"/>
      <c r="TTM1727" s="227"/>
      <c r="TTN1727" s="227"/>
      <c r="TTO1727" s="227"/>
      <c r="TTP1727" s="227"/>
      <c r="TTQ1727" s="227"/>
      <c r="TTR1727" s="227"/>
      <c r="TTS1727" s="227"/>
      <c r="TTT1727" s="227"/>
      <c r="TTU1727" s="227"/>
      <c r="TTV1727" s="227"/>
      <c r="TTW1727" s="227"/>
      <c r="TTX1727" s="227"/>
      <c r="TTY1727" s="227"/>
      <c r="TTZ1727" s="227"/>
      <c r="TUA1727" s="227"/>
      <c r="TUB1727" s="227"/>
      <c r="TUC1727" s="227"/>
      <c r="TUD1727" s="227"/>
      <c r="TUE1727" s="227"/>
      <c r="TUF1727" s="227"/>
      <c r="TUG1727" s="227"/>
      <c r="TUH1727" s="227"/>
      <c r="TUI1727" s="227"/>
      <c r="TUJ1727" s="227"/>
      <c r="TUK1727" s="227"/>
      <c r="TUL1727" s="227"/>
      <c r="TUM1727" s="227"/>
      <c r="TUN1727" s="227"/>
      <c r="TUO1727" s="227"/>
      <c r="TUP1727" s="227"/>
      <c r="TUQ1727" s="227"/>
      <c r="TUR1727" s="227"/>
      <c r="TUS1727" s="227"/>
      <c r="TUT1727" s="227"/>
      <c r="TUU1727" s="227"/>
      <c r="TUV1727" s="227"/>
      <c r="TUW1727" s="227"/>
      <c r="TUX1727" s="227"/>
      <c r="TUY1727" s="227"/>
      <c r="TUZ1727" s="227"/>
      <c r="TVA1727" s="227"/>
      <c r="TVB1727" s="227"/>
      <c r="TVC1727" s="227"/>
      <c r="TVD1727" s="227"/>
      <c r="TVE1727" s="227"/>
      <c r="TVF1727" s="227"/>
      <c r="TVG1727" s="227"/>
      <c r="TVH1727" s="227"/>
      <c r="TVI1727" s="227"/>
      <c r="TVJ1727" s="227"/>
      <c r="TVK1727" s="227"/>
      <c r="TVL1727" s="227"/>
      <c r="TVM1727" s="227"/>
      <c r="TVN1727" s="227"/>
      <c r="TVO1727" s="227"/>
      <c r="TVP1727" s="227"/>
      <c r="TVQ1727" s="227"/>
      <c r="TVR1727" s="227"/>
      <c r="TVS1727" s="227"/>
      <c r="TVT1727" s="227"/>
      <c r="TVU1727" s="227"/>
      <c r="TVV1727" s="227"/>
      <c r="TVW1727" s="227"/>
      <c r="TVX1727" s="227"/>
      <c r="TVY1727" s="227"/>
      <c r="TVZ1727" s="227"/>
      <c r="TWA1727" s="227"/>
      <c r="TWB1727" s="227"/>
      <c r="TWC1727" s="227"/>
      <c r="TWD1727" s="227"/>
      <c r="TWE1727" s="227"/>
      <c r="TWF1727" s="227"/>
      <c r="TWG1727" s="227"/>
      <c r="TWH1727" s="227"/>
      <c r="TWI1727" s="227"/>
      <c r="TWJ1727" s="227"/>
      <c r="TWK1727" s="227"/>
      <c r="TWL1727" s="227"/>
      <c r="TWM1727" s="227"/>
      <c r="TWN1727" s="227"/>
      <c r="TWO1727" s="227"/>
      <c r="TWP1727" s="227"/>
      <c r="TWQ1727" s="227"/>
      <c r="TWR1727" s="227"/>
      <c r="TWS1727" s="227"/>
      <c r="TWT1727" s="227"/>
      <c r="TWU1727" s="227"/>
      <c r="TWV1727" s="227"/>
      <c r="TWW1727" s="227"/>
      <c r="TWX1727" s="227"/>
      <c r="TWY1727" s="227"/>
      <c r="TWZ1727" s="227"/>
      <c r="TXA1727" s="227"/>
      <c r="TXB1727" s="227"/>
      <c r="TXC1727" s="227"/>
      <c r="TXD1727" s="227"/>
      <c r="TXE1727" s="227"/>
      <c r="TXF1727" s="227"/>
      <c r="TXG1727" s="227"/>
      <c r="TXH1727" s="227"/>
      <c r="TXI1727" s="227"/>
      <c r="TXJ1727" s="227"/>
      <c r="TXK1727" s="227"/>
      <c r="TXL1727" s="227"/>
      <c r="TXM1727" s="227"/>
      <c r="TXN1727" s="227"/>
      <c r="TXO1727" s="227"/>
      <c r="TXP1727" s="227"/>
      <c r="TXQ1727" s="227"/>
      <c r="TXR1727" s="227"/>
      <c r="TXS1727" s="227"/>
      <c r="TXT1727" s="227"/>
      <c r="TXU1727" s="227"/>
      <c r="TXV1727" s="227"/>
      <c r="TXW1727" s="227"/>
      <c r="TXX1727" s="227"/>
      <c r="TXY1727" s="227"/>
      <c r="TXZ1727" s="227"/>
      <c r="TYA1727" s="227"/>
      <c r="TYB1727" s="227"/>
      <c r="TYC1727" s="227"/>
      <c r="TYD1727" s="227"/>
      <c r="TYE1727" s="227"/>
      <c r="TYF1727" s="227"/>
      <c r="TYG1727" s="227"/>
      <c r="TYH1727" s="227"/>
      <c r="TYI1727" s="227"/>
      <c r="TYJ1727" s="227"/>
      <c r="TYK1727" s="227"/>
      <c r="TYL1727" s="227"/>
      <c r="TYM1727" s="227"/>
      <c r="TYN1727" s="227"/>
      <c r="TYO1727" s="227"/>
      <c r="TYP1727" s="227"/>
      <c r="TYQ1727" s="227"/>
      <c r="TYR1727" s="227"/>
      <c r="TYS1727" s="227"/>
      <c r="TYT1727" s="227"/>
      <c r="TYU1727" s="227"/>
      <c r="TYV1727" s="227"/>
      <c r="TYW1727" s="227"/>
      <c r="TYX1727" s="227"/>
      <c r="TYY1727" s="227"/>
      <c r="TYZ1727" s="227"/>
      <c r="TZA1727" s="227"/>
      <c r="TZB1727" s="227"/>
      <c r="TZC1727" s="227"/>
      <c r="TZD1727" s="227"/>
      <c r="TZE1727" s="227"/>
      <c r="TZF1727" s="227"/>
      <c r="TZG1727" s="227"/>
      <c r="TZH1727" s="227"/>
      <c r="TZI1727" s="227"/>
      <c r="TZJ1727" s="227"/>
      <c r="TZK1727" s="227"/>
      <c r="TZL1727" s="227"/>
      <c r="TZM1727" s="227"/>
      <c r="TZN1727" s="227"/>
      <c r="TZO1727" s="227"/>
      <c r="TZP1727" s="227"/>
      <c r="TZQ1727" s="227"/>
      <c r="TZR1727" s="227"/>
      <c r="TZS1727" s="227"/>
      <c r="TZT1727" s="227"/>
      <c r="TZU1727" s="227"/>
      <c r="TZV1727" s="227"/>
      <c r="TZW1727" s="227"/>
      <c r="TZX1727" s="227"/>
      <c r="TZY1727" s="227"/>
      <c r="TZZ1727" s="227"/>
      <c r="UAA1727" s="227"/>
      <c r="UAB1727" s="227"/>
      <c r="UAC1727" s="227"/>
      <c r="UAD1727" s="227"/>
      <c r="UAE1727" s="227"/>
      <c r="UAF1727" s="227"/>
      <c r="UAG1727" s="227"/>
      <c r="UAH1727" s="227"/>
      <c r="UAI1727" s="227"/>
      <c r="UAJ1727" s="227"/>
      <c r="UAK1727" s="227"/>
      <c r="UAL1727" s="227"/>
      <c r="UAM1727" s="227"/>
      <c r="UAN1727" s="227"/>
      <c r="UAO1727" s="227"/>
      <c r="UAP1727" s="227"/>
      <c r="UAQ1727" s="227"/>
      <c r="UAR1727" s="227"/>
      <c r="UAS1727" s="227"/>
      <c r="UAT1727" s="227"/>
      <c r="UAU1727" s="227"/>
      <c r="UAV1727" s="227"/>
      <c r="UAW1727" s="227"/>
      <c r="UAX1727" s="227"/>
      <c r="UAY1727" s="227"/>
      <c r="UAZ1727" s="227"/>
      <c r="UBA1727" s="227"/>
      <c r="UBB1727" s="227"/>
      <c r="UBC1727" s="227"/>
      <c r="UBD1727" s="227"/>
      <c r="UBE1727" s="227"/>
      <c r="UBF1727" s="227"/>
      <c r="UBG1727" s="227"/>
      <c r="UBH1727" s="227"/>
      <c r="UBI1727" s="227"/>
      <c r="UBJ1727" s="227"/>
      <c r="UBK1727" s="227"/>
      <c r="UBL1727" s="227"/>
      <c r="UBM1727" s="227"/>
      <c r="UBN1727" s="227"/>
      <c r="UBO1727" s="227"/>
      <c r="UBP1727" s="227"/>
      <c r="UBQ1727" s="227"/>
      <c r="UBR1727" s="227"/>
      <c r="UBS1727" s="227"/>
      <c r="UBT1727" s="227"/>
      <c r="UBU1727" s="227"/>
      <c r="UBV1727" s="227"/>
      <c r="UBW1727" s="227"/>
      <c r="UBX1727" s="227"/>
      <c r="UBY1727" s="227"/>
      <c r="UBZ1727" s="227"/>
      <c r="UCA1727" s="227"/>
      <c r="UCB1727" s="227"/>
      <c r="UCC1727" s="227"/>
      <c r="UCD1727" s="227"/>
      <c r="UCE1727" s="227"/>
      <c r="UCF1727" s="227"/>
      <c r="UCG1727" s="227"/>
      <c r="UCH1727" s="227"/>
      <c r="UCI1727" s="227"/>
      <c r="UCJ1727" s="227"/>
      <c r="UCK1727" s="227"/>
      <c r="UCL1727" s="227"/>
      <c r="UCM1727" s="227"/>
      <c r="UCN1727" s="227"/>
      <c r="UCO1727" s="227"/>
      <c r="UCP1727" s="227"/>
      <c r="UCQ1727" s="227"/>
      <c r="UCR1727" s="227"/>
      <c r="UCS1727" s="227"/>
      <c r="UCT1727" s="227"/>
      <c r="UCU1727" s="227"/>
      <c r="UCV1727" s="227"/>
      <c r="UCW1727" s="227"/>
      <c r="UCX1727" s="227"/>
      <c r="UCY1727" s="227"/>
      <c r="UCZ1727" s="227"/>
      <c r="UDA1727" s="227"/>
      <c r="UDB1727" s="227"/>
      <c r="UDC1727" s="227"/>
      <c r="UDD1727" s="227"/>
      <c r="UDE1727" s="227"/>
      <c r="UDF1727" s="227"/>
      <c r="UDG1727" s="227"/>
      <c r="UDH1727" s="227"/>
      <c r="UDI1727" s="227"/>
      <c r="UDJ1727" s="227"/>
      <c r="UDK1727" s="227"/>
      <c r="UDL1727" s="227"/>
      <c r="UDM1727" s="227"/>
      <c r="UDN1727" s="227"/>
      <c r="UDO1727" s="227"/>
      <c r="UDP1727" s="227"/>
      <c r="UDQ1727" s="227"/>
      <c r="UDR1727" s="227"/>
      <c r="UDS1727" s="227"/>
      <c r="UDT1727" s="227"/>
      <c r="UDU1727" s="227"/>
      <c r="UDV1727" s="227"/>
      <c r="UDW1727" s="227"/>
      <c r="UDX1727" s="227"/>
      <c r="UDY1727" s="227"/>
      <c r="UDZ1727" s="227"/>
      <c r="UEA1727" s="227"/>
      <c r="UEB1727" s="227"/>
      <c r="UEC1727" s="227"/>
      <c r="UED1727" s="227"/>
      <c r="UEE1727" s="227"/>
      <c r="UEF1727" s="227"/>
      <c r="UEG1727" s="227"/>
      <c r="UEH1727" s="227"/>
      <c r="UEI1727" s="227"/>
      <c r="UEJ1727" s="227"/>
      <c r="UEK1727" s="227"/>
      <c r="UEL1727" s="227"/>
      <c r="UEM1727" s="227"/>
      <c r="UEN1727" s="227"/>
      <c r="UEO1727" s="227"/>
      <c r="UEP1727" s="227"/>
      <c r="UEQ1727" s="227"/>
      <c r="UER1727" s="227"/>
      <c r="UES1727" s="227"/>
      <c r="UET1727" s="227"/>
      <c r="UEU1727" s="227"/>
      <c r="UEV1727" s="227"/>
      <c r="UEW1727" s="227"/>
      <c r="UEX1727" s="227"/>
      <c r="UEY1727" s="227"/>
      <c r="UEZ1727" s="227"/>
      <c r="UFA1727" s="227"/>
      <c r="UFB1727" s="227"/>
      <c r="UFC1727" s="227"/>
      <c r="UFD1727" s="227"/>
      <c r="UFE1727" s="227"/>
      <c r="UFF1727" s="227"/>
      <c r="UFG1727" s="227"/>
      <c r="UFH1727" s="227"/>
      <c r="UFI1727" s="227"/>
      <c r="UFJ1727" s="227"/>
      <c r="UFK1727" s="227"/>
      <c r="UFL1727" s="227"/>
      <c r="UFM1727" s="227"/>
      <c r="UFN1727" s="227"/>
      <c r="UFO1727" s="227"/>
      <c r="UFP1727" s="227"/>
      <c r="UFQ1727" s="227"/>
      <c r="UFR1727" s="227"/>
      <c r="UFS1727" s="227"/>
      <c r="UFT1727" s="227"/>
      <c r="UFU1727" s="227"/>
      <c r="UFV1727" s="227"/>
      <c r="UFW1727" s="227"/>
      <c r="UFX1727" s="227"/>
      <c r="UFY1727" s="227"/>
      <c r="UFZ1727" s="227"/>
      <c r="UGA1727" s="227"/>
      <c r="UGB1727" s="227"/>
      <c r="UGC1727" s="227"/>
      <c r="UGD1727" s="227"/>
      <c r="UGE1727" s="227"/>
      <c r="UGF1727" s="227"/>
      <c r="UGG1727" s="227"/>
      <c r="UGH1727" s="227"/>
      <c r="UGI1727" s="227"/>
      <c r="UGJ1727" s="227"/>
      <c r="UGK1727" s="227"/>
      <c r="UGL1727" s="227"/>
      <c r="UGM1727" s="227"/>
      <c r="UGN1727" s="227"/>
      <c r="UGO1727" s="227"/>
      <c r="UGP1727" s="227"/>
      <c r="UGQ1727" s="227"/>
      <c r="UGR1727" s="227"/>
      <c r="UGS1727" s="227"/>
      <c r="UGT1727" s="227"/>
      <c r="UGU1727" s="227"/>
      <c r="UGV1727" s="227"/>
      <c r="UGW1727" s="227"/>
      <c r="UGX1727" s="227"/>
      <c r="UGY1727" s="227"/>
      <c r="UGZ1727" s="227"/>
      <c r="UHA1727" s="227"/>
      <c r="UHB1727" s="227"/>
      <c r="UHC1727" s="227"/>
      <c r="UHD1727" s="227"/>
      <c r="UHE1727" s="227"/>
      <c r="UHF1727" s="227"/>
      <c r="UHG1727" s="227"/>
      <c r="UHH1727" s="227"/>
      <c r="UHI1727" s="227"/>
      <c r="UHJ1727" s="227"/>
      <c r="UHK1727" s="227"/>
      <c r="UHL1727" s="227"/>
      <c r="UHM1727" s="227"/>
      <c r="UHN1727" s="227"/>
      <c r="UHO1727" s="227"/>
      <c r="UHP1727" s="227"/>
      <c r="UHQ1727" s="227"/>
      <c r="UHR1727" s="227"/>
      <c r="UHS1727" s="227"/>
      <c r="UHT1727" s="227"/>
      <c r="UHU1727" s="227"/>
      <c r="UHV1727" s="227"/>
      <c r="UHW1727" s="227"/>
      <c r="UHX1727" s="227"/>
      <c r="UHY1727" s="227"/>
      <c r="UHZ1727" s="227"/>
      <c r="UIA1727" s="227"/>
      <c r="UIB1727" s="227"/>
      <c r="UIC1727" s="227"/>
      <c r="UID1727" s="227"/>
      <c r="UIE1727" s="227"/>
      <c r="UIF1727" s="227"/>
      <c r="UIG1727" s="227"/>
      <c r="UIH1727" s="227"/>
      <c r="UII1727" s="227"/>
      <c r="UIJ1727" s="227"/>
      <c r="UIK1727" s="227"/>
      <c r="UIL1727" s="227"/>
      <c r="UIM1727" s="227"/>
      <c r="UIN1727" s="227"/>
      <c r="UIO1727" s="227"/>
      <c r="UIP1727" s="227"/>
      <c r="UIQ1727" s="227"/>
      <c r="UIR1727" s="227"/>
      <c r="UIS1727" s="227"/>
      <c r="UIT1727" s="227"/>
      <c r="UIU1727" s="227"/>
      <c r="UIV1727" s="227"/>
      <c r="UIW1727" s="227"/>
      <c r="UIX1727" s="227"/>
      <c r="UIY1727" s="227"/>
      <c r="UIZ1727" s="227"/>
      <c r="UJA1727" s="227"/>
      <c r="UJB1727" s="227"/>
      <c r="UJC1727" s="227"/>
      <c r="UJD1727" s="227"/>
      <c r="UJE1727" s="227"/>
      <c r="UJF1727" s="227"/>
      <c r="UJG1727" s="227"/>
      <c r="UJH1727" s="227"/>
      <c r="UJI1727" s="227"/>
      <c r="UJJ1727" s="227"/>
      <c r="UJK1727" s="227"/>
      <c r="UJL1727" s="227"/>
      <c r="UJM1727" s="227"/>
      <c r="UJN1727" s="227"/>
      <c r="UJO1727" s="227"/>
      <c r="UJP1727" s="227"/>
      <c r="UJQ1727" s="227"/>
      <c r="UJR1727" s="227"/>
      <c r="UJS1727" s="227"/>
      <c r="UJT1727" s="227"/>
      <c r="UJU1727" s="227"/>
      <c r="UJV1727" s="227"/>
      <c r="UJW1727" s="227"/>
      <c r="UJX1727" s="227"/>
      <c r="UJY1727" s="227"/>
      <c r="UJZ1727" s="227"/>
      <c r="UKA1727" s="227"/>
      <c r="UKB1727" s="227"/>
      <c r="UKC1727" s="227"/>
      <c r="UKD1727" s="227"/>
      <c r="UKE1727" s="227"/>
      <c r="UKF1727" s="227"/>
      <c r="UKG1727" s="227"/>
      <c r="UKH1727" s="227"/>
      <c r="UKI1727" s="227"/>
      <c r="UKJ1727" s="227"/>
      <c r="UKK1727" s="227"/>
      <c r="UKL1727" s="227"/>
      <c r="UKM1727" s="227"/>
      <c r="UKN1727" s="227"/>
      <c r="UKO1727" s="227"/>
      <c r="UKP1727" s="227"/>
      <c r="UKQ1727" s="227"/>
      <c r="UKR1727" s="227"/>
      <c r="UKS1727" s="227"/>
      <c r="UKT1727" s="227"/>
      <c r="UKU1727" s="227"/>
      <c r="UKV1727" s="227"/>
      <c r="UKW1727" s="227"/>
      <c r="UKX1727" s="227"/>
      <c r="UKY1727" s="227"/>
      <c r="UKZ1727" s="227"/>
      <c r="ULA1727" s="227"/>
      <c r="ULB1727" s="227"/>
      <c r="ULC1727" s="227"/>
      <c r="ULD1727" s="227"/>
      <c r="ULE1727" s="227"/>
      <c r="ULF1727" s="227"/>
      <c r="ULG1727" s="227"/>
      <c r="ULH1727" s="227"/>
      <c r="ULI1727" s="227"/>
      <c r="ULJ1727" s="227"/>
      <c r="ULK1727" s="227"/>
      <c r="ULL1727" s="227"/>
      <c r="ULM1727" s="227"/>
      <c r="ULN1727" s="227"/>
      <c r="ULO1727" s="227"/>
      <c r="ULP1727" s="227"/>
      <c r="ULQ1727" s="227"/>
      <c r="ULR1727" s="227"/>
      <c r="ULS1727" s="227"/>
      <c r="ULT1727" s="227"/>
      <c r="ULU1727" s="227"/>
      <c r="ULV1727" s="227"/>
      <c r="ULW1727" s="227"/>
      <c r="ULX1727" s="227"/>
      <c r="ULY1727" s="227"/>
      <c r="ULZ1727" s="227"/>
      <c r="UMA1727" s="227"/>
      <c r="UMB1727" s="227"/>
      <c r="UMC1727" s="227"/>
      <c r="UMD1727" s="227"/>
      <c r="UME1727" s="227"/>
      <c r="UMF1727" s="227"/>
      <c r="UMG1727" s="227"/>
      <c r="UMH1727" s="227"/>
      <c r="UMI1727" s="227"/>
      <c r="UMJ1727" s="227"/>
      <c r="UMK1727" s="227"/>
      <c r="UML1727" s="227"/>
      <c r="UMM1727" s="227"/>
      <c r="UMN1727" s="227"/>
      <c r="UMO1727" s="227"/>
      <c r="UMP1727" s="227"/>
      <c r="UMQ1727" s="227"/>
      <c r="UMR1727" s="227"/>
      <c r="UMS1727" s="227"/>
      <c r="UMT1727" s="227"/>
      <c r="UMU1727" s="227"/>
      <c r="UMV1727" s="227"/>
      <c r="UMW1727" s="227"/>
      <c r="UMX1727" s="227"/>
      <c r="UMY1727" s="227"/>
      <c r="UMZ1727" s="227"/>
      <c r="UNA1727" s="227"/>
      <c r="UNB1727" s="227"/>
      <c r="UNC1727" s="227"/>
      <c r="UND1727" s="227"/>
      <c r="UNE1727" s="227"/>
      <c r="UNF1727" s="227"/>
      <c r="UNG1727" s="227"/>
      <c r="UNH1727" s="227"/>
      <c r="UNI1727" s="227"/>
      <c r="UNJ1727" s="227"/>
      <c r="UNK1727" s="227"/>
      <c r="UNL1727" s="227"/>
      <c r="UNM1727" s="227"/>
      <c r="UNN1727" s="227"/>
      <c r="UNO1727" s="227"/>
      <c r="UNP1727" s="227"/>
      <c r="UNQ1727" s="227"/>
      <c r="UNR1727" s="227"/>
      <c r="UNS1727" s="227"/>
      <c r="UNT1727" s="227"/>
      <c r="UNU1727" s="227"/>
      <c r="UNV1727" s="227"/>
      <c r="UNW1727" s="227"/>
      <c r="UNX1727" s="227"/>
      <c r="UNY1727" s="227"/>
      <c r="UNZ1727" s="227"/>
      <c r="UOA1727" s="227"/>
      <c r="UOB1727" s="227"/>
      <c r="UOC1727" s="227"/>
      <c r="UOD1727" s="227"/>
      <c r="UOE1727" s="227"/>
      <c r="UOF1727" s="227"/>
      <c r="UOG1727" s="227"/>
      <c r="UOH1727" s="227"/>
      <c r="UOI1727" s="227"/>
      <c r="UOJ1727" s="227"/>
      <c r="UOK1727" s="227"/>
      <c r="UOL1727" s="227"/>
      <c r="UOM1727" s="227"/>
      <c r="UON1727" s="227"/>
      <c r="UOO1727" s="227"/>
      <c r="UOP1727" s="227"/>
      <c r="UOQ1727" s="227"/>
      <c r="UOR1727" s="227"/>
      <c r="UOS1727" s="227"/>
      <c r="UOT1727" s="227"/>
      <c r="UOU1727" s="227"/>
      <c r="UOV1727" s="227"/>
      <c r="UOW1727" s="227"/>
      <c r="UOX1727" s="227"/>
      <c r="UOY1727" s="227"/>
      <c r="UOZ1727" s="227"/>
      <c r="UPA1727" s="227"/>
      <c r="UPB1727" s="227"/>
      <c r="UPC1727" s="227"/>
      <c r="UPD1727" s="227"/>
      <c r="UPE1727" s="227"/>
      <c r="UPF1727" s="227"/>
      <c r="UPG1727" s="227"/>
      <c r="UPH1727" s="227"/>
      <c r="UPI1727" s="227"/>
      <c r="UPJ1727" s="227"/>
      <c r="UPK1727" s="227"/>
      <c r="UPL1727" s="227"/>
      <c r="UPM1727" s="227"/>
      <c r="UPN1727" s="227"/>
      <c r="UPO1727" s="227"/>
      <c r="UPP1727" s="227"/>
      <c r="UPQ1727" s="227"/>
      <c r="UPR1727" s="227"/>
      <c r="UPS1727" s="227"/>
      <c r="UPT1727" s="227"/>
      <c r="UPU1727" s="227"/>
      <c r="UPV1727" s="227"/>
      <c r="UPW1727" s="227"/>
      <c r="UPX1727" s="227"/>
      <c r="UPY1727" s="227"/>
      <c r="UPZ1727" s="227"/>
      <c r="UQA1727" s="227"/>
      <c r="UQB1727" s="227"/>
      <c r="UQC1727" s="227"/>
      <c r="UQD1727" s="227"/>
      <c r="UQE1727" s="227"/>
      <c r="UQF1727" s="227"/>
      <c r="UQG1727" s="227"/>
      <c r="UQH1727" s="227"/>
      <c r="UQI1727" s="227"/>
      <c r="UQJ1727" s="227"/>
      <c r="UQK1727" s="227"/>
      <c r="UQL1727" s="227"/>
      <c r="UQM1727" s="227"/>
      <c r="UQN1727" s="227"/>
      <c r="UQO1727" s="227"/>
      <c r="UQP1727" s="227"/>
      <c r="UQQ1727" s="227"/>
      <c r="UQR1727" s="227"/>
      <c r="UQS1727" s="227"/>
      <c r="UQT1727" s="227"/>
      <c r="UQU1727" s="227"/>
      <c r="UQV1727" s="227"/>
      <c r="UQW1727" s="227"/>
      <c r="UQX1727" s="227"/>
      <c r="UQY1727" s="227"/>
      <c r="UQZ1727" s="227"/>
      <c r="URA1727" s="227"/>
      <c r="URB1727" s="227"/>
      <c r="URC1727" s="227"/>
      <c r="URD1727" s="227"/>
      <c r="URE1727" s="227"/>
      <c r="URF1727" s="227"/>
      <c r="URG1727" s="227"/>
      <c r="URH1727" s="227"/>
      <c r="URI1727" s="227"/>
      <c r="URJ1727" s="227"/>
      <c r="URK1727" s="227"/>
      <c r="URL1727" s="227"/>
      <c r="URM1727" s="227"/>
      <c r="URN1727" s="227"/>
      <c r="URO1727" s="227"/>
      <c r="URP1727" s="227"/>
      <c r="URQ1727" s="227"/>
      <c r="URR1727" s="227"/>
      <c r="URS1727" s="227"/>
      <c r="URT1727" s="227"/>
      <c r="URU1727" s="227"/>
      <c r="URV1727" s="227"/>
      <c r="URW1727" s="227"/>
      <c r="URX1727" s="227"/>
      <c r="URY1727" s="227"/>
      <c r="URZ1727" s="227"/>
      <c r="USA1727" s="227"/>
      <c r="USB1727" s="227"/>
      <c r="USC1727" s="227"/>
      <c r="USD1727" s="227"/>
      <c r="USE1727" s="227"/>
      <c r="USF1727" s="227"/>
      <c r="USG1727" s="227"/>
      <c r="USH1727" s="227"/>
      <c r="USI1727" s="227"/>
      <c r="USJ1727" s="227"/>
      <c r="USK1727" s="227"/>
      <c r="USL1727" s="227"/>
      <c r="USM1727" s="227"/>
      <c r="USN1727" s="227"/>
      <c r="USO1727" s="227"/>
      <c r="USP1727" s="227"/>
      <c r="USQ1727" s="227"/>
      <c r="USR1727" s="227"/>
      <c r="USS1727" s="227"/>
      <c r="UST1727" s="227"/>
      <c r="USU1727" s="227"/>
      <c r="USV1727" s="227"/>
      <c r="USW1727" s="227"/>
      <c r="USX1727" s="227"/>
      <c r="USY1727" s="227"/>
      <c r="USZ1727" s="227"/>
      <c r="UTA1727" s="227"/>
      <c r="UTB1727" s="227"/>
      <c r="UTC1727" s="227"/>
      <c r="UTD1727" s="227"/>
      <c r="UTE1727" s="227"/>
      <c r="UTF1727" s="227"/>
      <c r="UTG1727" s="227"/>
      <c r="UTH1727" s="227"/>
      <c r="UTI1727" s="227"/>
      <c r="UTJ1727" s="227"/>
      <c r="UTK1727" s="227"/>
      <c r="UTL1727" s="227"/>
      <c r="UTM1727" s="227"/>
      <c r="UTN1727" s="227"/>
      <c r="UTO1727" s="227"/>
      <c r="UTP1727" s="227"/>
      <c r="UTQ1727" s="227"/>
      <c r="UTR1727" s="227"/>
      <c r="UTS1727" s="227"/>
      <c r="UTT1727" s="227"/>
      <c r="UTU1727" s="227"/>
      <c r="UTV1727" s="227"/>
      <c r="UTW1727" s="227"/>
      <c r="UTX1727" s="227"/>
      <c r="UTY1727" s="227"/>
      <c r="UTZ1727" s="227"/>
      <c r="UUA1727" s="227"/>
      <c r="UUB1727" s="227"/>
      <c r="UUC1727" s="227"/>
      <c r="UUD1727" s="227"/>
      <c r="UUE1727" s="227"/>
      <c r="UUF1727" s="227"/>
      <c r="UUG1727" s="227"/>
      <c r="UUH1727" s="227"/>
      <c r="UUI1727" s="227"/>
      <c r="UUJ1727" s="227"/>
      <c r="UUK1727" s="227"/>
      <c r="UUL1727" s="227"/>
      <c r="UUM1727" s="227"/>
      <c r="UUN1727" s="227"/>
      <c r="UUO1727" s="227"/>
      <c r="UUP1727" s="227"/>
      <c r="UUQ1727" s="227"/>
      <c r="UUR1727" s="227"/>
      <c r="UUS1727" s="227"/>
      <c r="UUT1727" s="227"/>
      <c r="UUU1727" s="227"/>
      <c r="UUV1727" s="227"/>
      <c r="UUW1727" s="227"/>
      <c r="UUX1727" s="227"/>
      <c r="UUY1727" s="227"/>
      <c r="UUZ1727" s="227"/>
      <c r="UVA1727" s="227"/>
      <c r="UVB1727" s="227"/>
      <c r="UVC1727" s="227"/>
      <c r="UVD1727" s="227"/>
      <c r="UVE1727" s="227"/>
      <c r="UVF1727" s="227"/>
      <c r="UVG1727" s="227"/>
      <c r="UVH1727" s="227"/>
      <c r="UVI1727" s="227"/>
      <c r="UVJ1727" s="227"/>
      <c r="UVK1727" s="227"/>
      <c r="UVL1727" s="227"/>
      <c r="UVM1727" s="227"/>
      <c r="UVN1727" s="227"/>
      <c r="UVO1727" s="227"/>
      <c r="UVP1727" s="227"/>
      <c r="UVQ1727" s="227"/>
      <c r="UVR1727" s="227"/>
      <c r="UVS1727" s="227"/>
      <c r="UVT1727" s="227"/>
      <c r="UVU1727" s="227"/>
      <c r="UVV1727" s="227"/>
      <c r="UVW1727" s="227"/>
      <c r="UVX1727" s="227"/>
      <c r="UVY1727" s="227"/>
      <c r="UVZ1727" s="227"/>
      <c r="UWA1727" s="227"/>
      <c r="UWB1727" s="227"/>
      <c r="UWC1727" s="227"/>
      <c r="UWD1727" s="227"/>
      <c r="UWE1727" s="227"/>
      <c r="UWF1727" s="227"/>
      <c r="UWG1727" s="227"/>
      <c r="UWH1727" s="227"/>
      <c r="UWI1727" s="227"/>
      <c r="UWJ1727" s="227"/>
      <c r="UWK1727" s="227"/>
      <c r="UWL1727" s="227"/>
      <c r="UWM1727" s="227"/>
      <c r="UWN1727" s="227"/>
      <c r="UWO1727" s="227"/>
      <c r="UWP1727" s="227"/>
      <c r="UWQ1727" s="227"/>
      <c r="UWR1727" s="227"/>
      <c r="UWS1727" s="227"/>
      <c r="UWT1727" s="227"/>
      <c r="UWU1727" s="227"/>
      <c r="UWV1727" s="227"/>
      <c r="UWW1727" s="227"/>
      <c r="UWX1727" s="227"/>
      <c r="UWY1727" s="227"/>
      <c r="UWZ1727" s="227"/>
      <c r="UXA1727" s="227"/>
      <c r="UXB1727" s="227"/>
      <c r="UXC1727" s="227"/>
      <c r="UXD1727" s="227"/>
      <c r="UXE1727" s="227"/>
      <c r="UXF1727" s="227"/>
      <c r="UXG1727" s="227"/>
      <c r="UXH1727" s="227"/>
      <c r="UXI1727" s="227"/>
      <c r="UXJ1727" s="227"/>
      <c r="UXK1727" s="227"/>
      <c r="UXL1727" s="227"/>
      <c r="UXM1727" s="227"/>
      <c r="UXN1727" s="227"/>
      <c r="UXO1727" s="227"/>
      <c r="UXP1727" s="227"/>
      <c r="UXQ1727" s="227"/>
      <c r="UXR1727" s="227"/>
      <c r="UXS1727" s="227"/>
      <c r="UXT1727" s="227"/>
      <c r="UXU1727" s="227"/>
      <c r="UXV1727" s="227"/>
      <c r="UXW1727" s="227"/>
      <c r="UXX1727" s="227"/>
      <c r="UXY1727" s="227"/>
      <c r="UXZ1727" s="227"/>
      <c r="UYA1727" s="227"/>
      <c r="UYB1727" s="227"/>
      <c r="UYC1727" s="227"/>
      <c r="UYD1727" s="227"/>
      <c r="UYE1727" s="227"/>
      <c r="UYF1727" s="227"/>
      <c r="UYG1727" s="227"/>
      <c r="UYH1727" s="227"/>
      <c r="UYI1727" s="227"/>
      <c r="UYJ1727" s="227"/>
      <c r="UYK1727" s="227"/>
      <c r="UYL1727" s="227"/>
      <c r="UYM1727" s="227"/>
      <c r="UYN1727" s="227"/>
      <c r="UYO1727" s="227"/>
      <c r="UYP1727" s="227"/>
      <c r="UYQ1727" s="227"/>
      <c r="UYR1727" s="227"/>
      <c r="UYS1727" s="227"/>
      <c r="UYT1727" s="227"/>
      <c r="UYU1727" s="227"/>
      <c r="UYV1727" s="227"/>
      <c r="UYW1727" s="227"/>
      <c r="UYX1727" s="227"/>
      <c r="UYY1727" s="227"/>
      <c r="UYZ1727" s="227"/>
      <c r="UZA1727" s="227"/>
      <c r="UZB1727" s="227"/>
      <c r="UZC1727" s="227"/>
      <c r="UZD1727" s="227"/>
      <c r="UZE1727" s="227"/>
      <c r="UZF1727" s="227"/>
      <c r="UZG1727" s="227"/>
      <c r="UZH1727" s="227"/>
      <c r="UZI1727" s="227"/>
      <c r="UZJ1727" s="227"/>
      <c r="UZK1727" s="227"/>
      <c r="UZL1727" s="227"/>
      <c r="UZM1727" s="227"/>
      <c r="UZN1727" s="227"/>
      <c r="UZO1727" s="227"/>
      <c r="UZP1727" s="227"/>
      <c r="UZQ1727" s="227"/>
      <c r="UZR1727" s="227"/>
      <c r="UZS1727" s="227"/>
      <c r="UZT1727" s="227"/>
      <c r="UZU1727" s="227"/>
      <c r="UZV1727" s="227"/>
      <c r="UZW1727" s="227"/>
      <c r="UZX1727" s="227"/>
      <c r="UZY1727" s="227"/>
      <c r="UZZ1727" s="227"/>
      <c r="VAA1727" s="227"/>
      <c r="VAB1727" s="227"/>
      <c r="VAC1727" s="227"/>
      <c r="VAD1727" s="227"/>
      <c r="VAE1727" s="227"/>
      <c r="VAF1727" s="227"/>
      <c r="VAG1727" s="227"/>
      <c r="VAH1727" s="227"/>
      <c r="VAI1727" s="227"/>
      <c r="VAJ1727" s="227"/>
      <c r="VAK1727" s="227"/>
      <c r="VAL1727" s="227"/>
      <c r="VAM1727" s="227"/>
      <c r="VAN1727" s="227"/>
      <c r="VAO1727" s="227"/>
      <c r="VAP1727" s="227"/>
      <c r="VAQ1727" s="227"/>
      <c r="VAR1727" s="227"/>
      <c r="VAS1727" s="227"/>
      <c r="VAT1727" s="227"/>
      <c r="VAU1727" s="227"/>
      <c r="VAV1727" s="227"/>
      <c r="VAW1727" s="227"/>
      <c r="VAX1727" s="227"/>
      <c r="VAY1727" s="227"/>
      <c r="VAZ1727" s="227"/>
      <c r="VBA1727" s="227"/>
      <c r="VBB1727" s="227"/>
      <c r="VBC1727" s="227"/>
      <c r="VBD1727" s="227"/>
      <c r="VBE1727" s="227"/>
      <c r="VBF1727" s="227"/>
      <c r="VBG1727" s="227"/>
      <c r="VBH1727" s="227"/>
      <c r="VBI1727" s="227"/>
      <c r="VBJ1727" s="227"/>
      <c r="VBK1727" s="227"/>
      <c r="VBL1727" s="227"/>
      <c r="VBM1727" s="227"/>
      <c r="VBN1727" s="227"/>
      <c r="VBO1727" s="227"/>
      <c r="VBP1727" s="227"/>
      <c r="VBQ1727" s="227"/>
      <c r="VBR1727" s="227"/>
      <c r="VBS1727" s="227"/>
      <c r="VBT1727" s="227"/>
      <c r="VBU1727" s="227"/>
      <c r="VBV1727" s="227"/>
      <c r="VBW1727" s="227"/>
      <c r="VBX1727" s="227"/>
      <c r="VBY1727" s="227"/>
      <c r="VBZ1727" s="227"/>
      <c r="VCA1727" s="227"/>
      <c r="VCB1727" s="227"/>
      <c r="VCC1727" s="227"/>
      <c r="VCD1727" s="227"/>
      <c r="VCE1727" s="227"/>
      <c r="VCF1727" s="227"/>
      <c r="VCG1727" s="227"/>
      <c r="VCH1727" s="227"/>
      <c r="VCI1727" s="227"/>
      <c r="VCJ1727" s="227"/>
      <c r="VCK1727" s="227"/>
      <c r="VCL1727" s="227"/>
      <c r="VCM1727" s="227"/>
      <c r="VCN1727" s="227"/>
      <c r="VCO1727" s="227"/>
      <c r="VCP1727" s="227"/>
      <c r="VCQ1727" s="227"/>
      <c r="VCR1727" s="227"/>
      <c r="VCS1727" s="227"/>
      <c r="VCT1727" s="227"/>
      <c r="VCU1727" s="227"/>
      <c r="VCV1727" s="227"/>
      <c r="VCW1727" s="227"/>
      <c r="VCX1727" s="227"/>
      <c r="VCY1727" s="227"/>
      <c r="VCZ1727" s="227"/>
      <c r="VDA1727" s="227"/>
      <c r="VDB1727" s="227"/>
      <c r="VDC1727" s="227"/>
      <c r="VDD1727" s="227"/>
      <c r="VDE1727" s="227"/>
      <c r="VDF1727" s="227"/>
      <c r="VDG1727" s="227"/>
      <c r="VDH1727" s="227"/>
      <c r="VDI1727" s="227"/>
      <c r="VDJ1727" s="227"/>
      <c r="VDK1727" s="227"/>
      <c r="VDL1727" s="227"/>
      <c r="VDM1727" s="227"/>
      <c r="VDN1727" s="227"/>
      <c r="VDO1727" s="227"/>
      <c r="VDP1727" s="227"/>
      <c r="VDQ1727" s="227"/>
      <c r="VDR1727" s="227"/>
      <c r="VDS1727" s="227"/>
      <c r="VDT1727" s="227"/>
      <c r="VDU1727" s="227"/>
      <c r="VDV1727" s="227"/>
      <c r="VDW1727" s="227"/>
      <c r="VDX1727" s="227"/>
      <c r="VDY1727" s="227"/>
      <c r="VDZ1727" s="227"/>
      <c r="VEA1727" s="227"/>
      <c r="VEB1727" s="227"/>
      <c r="VEC1727" s="227"/>
      <c r="VED1727" s="227"/>
      <c r="VEE1727" s="227"/>
      <c r="VEF1727" s="227"/>
      <c r="VEG1727" s="227"/>
      <c r="VEH1727" s="227"/>
      <c r="VEI1727" s="227"/>
      <c r="VEJ1727" s="227"/>
      <c r="VEK1727" s="227"/>
      <c r="VEL1727" s="227"/>
      <c r="VEM1727" s="227"/>
      <c r="VEN1727" s="227"/>
      <c r="VEO1727" s="227"/>
      <c r="VEP1727" s="227"/>
      <c r="VEQ1727" s="227"/>
      <c r="VER1727" s="227"/>
      <c r="VES1727" s="227"/>
      <c r="VET1727" s="227"/>
      <c r="VEU1727" s="227"/>
      <c r="VEV1727" s="227"/>
      <c r="VEW1727" s="227"/>
      <c r="VEX1727" s="227"/>
      <c r="VEY1727" s="227"/>
      <c r="VEZ1727" s="227"/>
      <c r="VFA1727" s="227"/>
      <c r="VFB1727" s="227"/>
      <c r="VFC1727" s="227"/>
      <c r="VFD1727" s="227"/>
      <c r="VFE1727" s="227"/>
      <c r="VFF1727" s="227"/>
      <c r="VFG1727" s="227"/>
      <c r="VFH1727" s="227"/>
      <c r="VFI1727" s="227"/>
      <c r="VFJ1727" s="227"/>
      <c r="VFK1727" s="227"/>
      <c r="VFL1727" s="227"/>
      <c r="VFM1727" s="227"/>
      <c r="VFN1727" s="227"/>
      <c r="VFO1727" s="227"/>
      <c r="VFP1727" s="227"/>
      <c r="VFQ1727" s="227"/>
      <c r="VFR1727" s="227"/>
      <c r="VFS1727" s="227"/>
      <c r="VFT1727" s="227"/>
      <c r="VFU1727" s="227"/>
      <c r="VFV1727" s="227"/>
      <c r="VFW1727" s="227"/>
      <c r="VFX1727" s="227"/>
      <c r="VFY1727" s="227"/>
      <c r="VFZ1727" s="227"/>
      <c r="VGA1727" s="227"/>
      <c r="VGB1727" s="227"/>
      <c r="VGC1727" s="227"/>
      <c r="VGD1727" s="227"/>
      <c r="VGE1727" s="227"/>
      <c r="VGF1727" s="227"/>
      <c r="VGG1727" s="227"/>
      <c r="VGH1727" s="227"/>
      <c r="VGI1727" s="227"/>
      <c r="VGJ1727" s="227"/>
      <c r="VGK1727" s="227"/>
      <c r="VGL1727" s="227"/>
      <c r="VGM1727" s="227"/>
      <c r="VGN1727" s="227"/>
      <c r="VGO1727" s="227"/>
      <c r="VGP1727" s="227"/>
      <c r="VGQ1727" s="227"/>
      <c r="VGR1727" s="227"/>
      <c r="VGS1727" s="227"/>
      <c r="VGT1727" s="227"/>
      <c r="VGU1727" s="227"/>
      <c r="VGV1727" s="227"/>
      <c r="VGW1727" s="227"/>
      <c r="VGX1727" s="227"/>
      <c r="VGY1727" s="227"/>
      <c r="VGZ1727" s="227"/>
      <c r="VHA1727" s="227"/>
      <c r="VHB1727" s="227"/>
      <c r="VHC1727" s="227"/>
      <c r="VHD1727" s="227"/>
      <c r="VHE1727" s="227"/>
      <c r="VHF1727" s="227"/>
      <c r="VHG1727" s="227"/>
      <c r="VHH1727" s="227"/>
      <c r="VHI1727" s="227"/>
      <c r="VHJ1727" s="227"/>
      <c r="VHK1727" s="227"/>
      <c r="VHL1727" s="227"/>
      <c r="VHM1727" s="227"/>
      <c r="VHN1727" s="227"/>
      <c r="VHO1727" s="227"/>
      <c r="VHP1727" s="227"/>
      <c r="VHQ1727" s="227"/>
      <c r="VHR1727" s="227"/>
      <c r="VHS1727" s="227"/>
      <c r="VHT1727" s="227"/>
      <c r="VHU1727" s="227"/>
      <c r="VHV1727" s="227"/>
      <c r="VHW1727" s="227"/>
      <c r="VHX1727" s="227"/>
      <c r="VHY1727" s="227"/>
      <c r="VHZ1727" s="227"/>
      <c r="VIA1727" s="227"/>
      <c r="VIB1727" s="227"/>
      <c r="VIC1727" s="227"/>
      <c r="VID1727" s="227"/>
      <c r="VIE1727" s="227"/>
      <c r="VIF1727" s="227"/>
      <c r="VIG1727" s="227"/>
      <c r="VIH1727" s="227"/>
      <c r="VII1727" s="227"/>
      <c r="VIJ1727" s="227"/>
      <c r="VIK1727" s="227"/>
      <c r="VIL1727" s="227"/>
      <c r="VIM1727" s="227"/>
      <c r="VIN1727" s="227"/>
      <c r="VIO1727" s="227"/>
      <c r="VIP1727" s="227"/>
      <c r="VIQ1727" s="227"/>
      <c r="VIR1727" s="227"/>
      <c r="VIS1727" s="227"/>
      <c r="VIT1727" s="227"/>
      <c r="VIU1727" s="227"/>
      <c r="VIV1727" s="227"/>
      <c r="VIW1727" s="227"/>
      <c r="VIX1727" s="227"/>
      <c r="VIY1727" s="227"/>
      <c r="VIZ1727" s="227"/>
      <c r="VJA1727" s="227"/>
      <c r="VJB1727" s="227"/>
      <c r="VJC1727" s="227"/>
      <c r="VJD1727" s="227"/>
      <c r="VJE1727" s="227"/>
      <c r="VJF1727" s="227"/>
      <c r="VJG1727" s="227"/>
      <c r="VJH1727" s="227"/>
      <c r="VJI1727" s="227"/>
      <c r="VJJ1727" s="227"/>
      <c r="VJK1727" s="227"/>
      <c r="VJL1727" s="227"/>
      <c r="VJM1727" s="227"/>
      <c r="VJN1727" s="227"/>
      <c r="VJO1727" s="227"/>
      <c r="VJP1727" s="227"/>
      <c r="VJQ1727" s="227"/>
      <c r="VJR1727" s="227"/>
      <c r="VJS1727" s="227"/>
      <c r="VJT1727" s="227"/>
      <c r="VJU1727" s="227"/>
      <c r="VJV1727" s="227"/>
      <c r="VJW1727" s="227"/>
      <c r="VJX1727" s="227"/>
      <c r="VJY1727" s="227"/>
      <c r="VJZ1727" s="227"/>
      <c r="VKA1727" s="227"/>
      <c r="VKB1727" s="227"/>
      <c r="VKC1727" s="227"/>
      <c r="VKD1727" s="227"/>
      <c r="VKE1727" s="227"/>
      <c r="VKF1727" s="227"/>
      <c r="VKG1727" s="227"/>
      <c r="VKH1727" s="227"/>
      <c r="VKI1727" s="227"/>
      <c r="VKJ1727" s="227"/>
      <c r="VKK1727" s="227"/>
      <c r="VKL1727" s="227"/>
      <c r="VKM1727" s="227"/>
      <c r="VKN1727" s="227"/>
      <c r="VKO1727" s="227"/>
      <c r="VKP1727" s="227"/>
      <c r="VKQ1727" s="227"/>
      <c r="VKR1727" s="227"/>
      <c r="VKS1727" s="227"/>
      <c r="VKT1727" s="227"/>
      <c r="VKU1727" s="227"/>
      <c r="VKV1727" s="227"/>
      <c r="VKW1727" s="227"/>
      <c r="VKX1727" s="227"/>
      <c r="VKY1727" s="227"/>
      <c r="VKZ1727" s="227"/>
      <c r="VLA1727" s="227"/>
      <c r="VLB1727" s="227"/>
      <c r="VLC1727" s="227"/>
      <c r="VLD1727" s="227"/>
      <c r="VLE1727" s="227"/>
      <c r="VLF1727" s="227"/>
      <c r="VLG1727" s="227"/>
      <c r="VLH1727" s="227"/>
      <c r="VLI1727" s="227"/>
      <c r="VLJ1727" s="227"/>
      <c r="VLK1727" s="227"/>
      <c r="VLL1727" s="227"/>
      <c r="VLM1727" s="227"/>
      <c r="VLN1727" s="227"/>
      <c r="VLO1727" s="227"/>
      <c r="VLP1727" s="227"/>
      <c r="VLQ1727" s="227"/>
      <c r="VLR1727" s="227"/>
      <c r="VLS1727" s="227"/>
      <c r="VLT1727" s="227"/>
      <c r="VLU1727" s="227"/>
      <c r="VLV1727" s="227"/>
      <c r="VLW1727" s="227"/>
      <c r="VLX1727" s="227"/>
      <c r="VLY1727" s="227"/>
      <c r="VLZ1727" s="227"/>
      <c r="VMA1727" s="227"/>
      <c r="VMB1727" s="227"/>
      <c r="VMC1727" s="227"/>
      <c r="VMD1727" s="227"/>
      <c r="VME1727" s="227"/>
      <c r="VMF1727" s="227"/>
      <c r="VMG1727" s="227"/>
      <c r="VMH1727" s="227"/>
      <c r="VMI1727" s="227"/>
      <c r="VMJ1727" s="227"/>
      <c r="VMK1727" s="227"/>
      <c r="VML1727" s="227"/>
      <c r="VMM1727" s="227"/>
      <c r="VMN1727" s="227"/>
      <c r="VMO1727" s="227"/>
      <c r="VMP1727" s="227"/>
      <c r="VMQ1727" s="227"/>
      <c r="VMR1727" s="227"/>
      <c r="VMS1727" s="227"/>
      <c r="VMT1727" s="227"/>
      <c r="VMU1727" s="227"/>
      <c r="VMV1727" s="227"/>
      <c r="VMW1727" s="227"/>
      <c r="VMX1727" s="227"/>
      <c r="VMY1727" s="227"/>
      <c r="VMZ1727" s="227"/>
      <c r="VNA1727" s="227"/>
      <c r="VNB1727" s="227"/>
      <c r="VNC1727" s="227"/>
      <c r="VND1727" s="227"/>
      <c r="VNE1727" s="227"/>
      <c r="VNF1727" s="227"/>
      <c r="VNG1727" s="227"/>
      <c r="VNH1727" s="227"/>
      <c r="VNI1727" s="227"/>
      <c r="VNJ1727" s="227"/>
      <c r="VNK1727" s="227"/>
      <c r="VNL1727" s="227"/>
      <c r="VNM1727" s="227"/>
      <c r="VNN1727" s="227"/>
      <c r="VNO1727" s="227"/>
      <c r="VNP1727" s="227"/>
      <c r="VNQ1727" s="227"/>
      <c r="VNR1727" s="227"/>
      <c r="VNS1727" s="227"/>
      <c r="VNT1727" s="227"/>
      <c r="VNU1727" s="227"/>
      <c r="VNV1727" s="227"/>
      <c r="VNW1727" s="227"/>
      <c r="VNX1727" s="227"/>
      <c r="VNY1727" s="227"/>
      <c r="VNZ1727" s="227"/>
      <c r="VOA1727" s="227"/>
      <c r="VOB1727" s="227"/>
      <c r="VOC1727" s="227"/>
      <c r="VOD1727" s="227"/>
      <c r="VOE1727" s="227"/>
      <c r="VOF1727" s="227"/>
      <c r="VOG1727" s="227"/>
      <c r="VOH1727" s="227"/>
      <c r="VOI1727" s="227"/>
      <c r="VOJ1727" s="227"/>
      <c r="VOK1727" s="227"/>
      <c r="VOL1727" s="227"/>
      <c r="VOM1727" s="227"/>
      <c r="VON1727" s="227"/>
      <c r="VOO1727" s="227"/>
      <c r="VOP1727" s="227"/>
      <c r="VOQ1727" s="227"/>
      <c r="VOR1727" s="227"/>
      <c r="VOS1727" s="227"/>
      <c r="VOT1727" s="227"/>
      <c r="VOU1727" s="227"/>
      <c r="VOV1727" s="227"/>
      <c r="VOW1727" s="227"/>
      <c r="VOX1727" s="227"/>
      <c r="VOY1727" s="227"/>
      <c r="VOZ1727" s="227"/>
      <c r="VPA1727" s="227"/>
      <c r="VPB1727" s="227"/>
      <c r="VPC1727" s="227"/>
      <c r="VPD1727" s="227"/>
      <c r="VPE1727" s="227"/>
      <c r="VPF1727" s="227"/>
      <c r="VPG1727" s="227"/>
      <c r="VPH1727" s="227"/>
      <c r="VPI1727" s="227"/>
      <c r="VPJ1727" s="227"/>
      <c r="VPK1727" s="227"/>
      <c r="VPL1727" s="227"/>
      <c r="VPM1727" s="227"/>
      <c r="VPN1727" s="227"/>
      <c r="VPO1727" s="227"/>
      <c r="VPP1727" s="227"/>
      <c r="VPQ1727" s="227"/>
      <c r="VPR1727" s="227"/>
      <c r="VPS1727" s="227"/>
      <c r="VPT1727" s="227"/>
      <c r="VPU1727" s="227"/>
      <c r="VPV1727" s="227"/>
      <c r="VPW1727" s="227"/>
      <c r="VPX1727" s="227"/>
      <c r="VPY1727" s="227"/>
      <c r="VPZ1727" s="227"/>
      <c r="VQA1727" s="227"/>
      <c r="VQB1727" s="227"/>
      <c r="VQC1727" s="227"/>
      <c r="VQD1727" s="227"/>
      <c r="VQE1727" s="227"/>
      <c r="VQF1727" s="227"/>
      <c r="VQG1727" s="227"/>
      <c r="VQH1727" s="227"/>
      <c r="VQI1727" s="227"/>
      <c r="VQJ1727" s="227"/>
      <c r="VQK1727" s="227"/>
      <c r="VQL1727" s="227"/>
      <c r="VQM1727" s="227"/>
      <c r="VQN1727" s="227"/>
      <c r="VQO1727" s="227"/>
      <c r="VQP1727" s="227"/>
      <c r="VQQ1727" s="227"/>
      <c r="VQR1727" s="227"/>
      <c r="VQS1727" s="227"/>
      <c r="VQT1727" s="227"/>
      <c r="VQU1727" s="227"/>
      <c r="VQV1727" s="227"/>
      <c r="VQW1727" s="227"/>
      <c r="VQX1727" s="227"/>
      <c r="VQY1727" s="227"/>
      <c r="VQZ1727" s="227"/>
      <c r="VRA1727" s="227"/>
      <c r="VRB1727" s="227"/>
      <c r="VRC1727" s="227"/>
      <c r="VRD1727" s="227"/>
      <c r="VRE1727" s="227"/>
      <c r="VRF1727" s="227"/>
      <c r="VRG1727" s="227"/>
      <c r="VRH1727" s="227"/>
      <c r="VRI1727" s="227"/>
      <c r="VRJ1727" s="227"/>
      <c r="VRK1727" s="227"/>
      <c r="VRL1727" s="227"/>
      <c r="VRM1727" s="227"/>
      <c r="VRN1727" s="227"/>
      <c r="VRO1727" s="227"/>
      <c r="VRP1727" s="227"/>
      <c r="VRQ1727" s="227"/>
      <c r="VRR1727" s="227"/>
      <c r="VRS1727" s="227"/>
      <c r="VRT1727" s="227"/>
      <c r="VRU1727" s="227"/>
      <c r="VRV1727" s="227"/>
      <c r="VRW1727" s="227"/>
      <c r="VRX1727" s="227"/>
      <c r="VRY1727" s="227"/>
      <c r="VRZ1727" s="227"/>
      <c r="VSA1727" s="227"/>
      <c r="VSB1727" s="227"/>
      <c r="VSC1727" s="227"/>
      <c r="VSD1727" s="227"/>
      <c r="VSE1727" s="227"/>
      <c r="VSF1727" s="227"/>
      <c r="VSG1727" s="227"/>
      <c r="VSH1727" s="227"/>
      <c r="VSI1727" s="227"/>
      <c r="VSJ1727" s="227"/>
      <c r="VSK1727" s="227"/>
      <c r="VSL1727" s="227"/>
      <c r="VSM1727" s="227"/>
      <c r="VSN1727" s="227"/>
      <c r="VSO1727" s="227"/>
      <c r="VSP1727" s="227"/>
      <c r="VSQ1727" s="227"/>
      <c r="VSR1727" s="227"/>
      <c r="VSS1727" s="227"/>
      <c r="VST1727" s="227"/>
      <c r="VSU1727" s="227"/>
      <c r="VSV1727" s="227"/>
      <c r="VSW1727" s="227"/>
      <c r="VSX1727" s="227"/>
      <c r="VSY1727" s="227"/>
      <c r="VSZ1727" s="227"/>
      <c r="VTA1727" s="227"/>
      <c r="VTB1727" s="227"/>
      <c r="VTC1727" s="227"/>
      <c r="VTD1727" s="227"/>
      <c r="VTE1727" s="227"/>
      <c r="VTF1727" s="227"/>
      <c r="VTG1727" s="227"/>
      <c r="VTH1727" s="227"/>
      <c r="VTI1727" s="227"/>
      <c r="VTJ1727" s="227"/>
      <c r="VTK1727" s="227"/>
      <c r="VTL1727" s="227"/>
      <c r="VTM1727" s="227"/>
      <c r="VTN1727" s="227"/>
      <c r="VTO1727" s="227"/>
      <c r="VTP1727" s="227"/>
      <c r="VTQ1727" s="227"/>
      <c r="VTR1727" s="227"/>
      <c r="VTS1727" s="227"/>
      <c r="VTT1727" s="227"/>
      <c r="VTU1727" s="227"/>
      <c r="VTV1727" s="227"/>
      <c r="VTW1727" s="227"/>
      <c r="VTX1727" s="227"/>
      <c r="VTY1727" s="227"/>
      <c r="VTZ1727" s="227"/>
      <c r="VUA1727" s="227"/>
      <c r="VUB1727" s="227"/>
      <c r="VUC1727" s="227"/>
      <c r="VUD1727" s="227"/>
      <c r="VUE1727" s="227"/>
      <c r="VUF1727" s="227"/>
      <c r="VUG1727" s="227"/>
      <c r="VUH1727" s="227"/>
      <c r="VUI1727" s="227"/>
      <c r="VUJ1727" s="227"/>
      <c r="VUK1727" s="227"/>
      <c r="VUL1727" s="227"/>
      <c r="VUM1727" s="227"/>
      <c r="VUN1727" s="227"/>
      <c r="VUO1727" s="227"/>
      <c r="VUP1727" s="227"/>
      <c r="VUQ1727" s="227"/>
      <c r="VUR1727" s="227"/>
      <c r="VUS1727" s="227"/>
      <c r="VUT1727" s="227"/>
      <c r="VUU1727" s="227"/>
      <c r="VUV1727" s="227"/>
      <c r="VUW1727" s="227"/>
      <c r="VUX1727" s="227"/>
      <c r="VUY1727" s="227"/>
      <c r="VUZ1727" s="227"/>
      <c r="VVA1727" s="227"/>
      <c r="VVB1727" s="227"/>
      <c r="VVC1727" s="227"/>
      <c r="VVD1727" s="227"/>
      <c r="VVE1727" s="227"/>
      <c r="VVF1727" s="227"/>
      <c r="VVG1727" s="227"/>
      <c r="VVH1727" s="227"/>
      <c r="VVI1727" s="227"/>
      <c r="VVJ1727" s="227"/>
      <c r="VVK1727" s="227"/>
      <c r="VVL1727" s="227"/>
      <c r="VVM1727" s="227"/>
      <c r="VVN1727" s="227"/>
      <c r="VVO1727" s="227"/>
      <c r="VVP1727" s="227"/>
      <c r="VVQ1727" s="227"/>
      <c r="VVR1727" s="227"/>
      <c r="VVS1727" s="227"/>
      <c r="VVT1727" s="227"/>
      <c r="VVU1727" s="227"/>
      <c r="VVV1727" s="227"/>
      <c r="VVW1727" s="227"/>
      <c r="VVX1727" s="227"/>
      <c r="VVY1727" s="227"/>
      <c r="VVZ1727" s="227"/>
      <c r="VWA1727" s="227"/>
      <c r="VWB1727" s="227"/>
      <c r="VWC1727" s="227"/>
      <c r="VWD1727" s="227"/>
      <c r="VWE1727" s="227"/>
      <c r="VWF1727" s="227"/>
      <c r="VWG1727" s="227"/>
      <c r="VWH1727" s="227"/>
      <c r="VWI1727" s="227"/>
      <c r="VWJ1727" s="227"/>
      <c r="VWK1727" s="227"/>
      <c r="VWL1727" s="227"/>
      <c r="VWM1727" s="227"/>
      <c r="VWN1727" s="227"/>
      <c r="VWO1727" s="227"/>
      <c r="VWP1727" s="227"/>
      <c r="VWQ1727" s="227"/>
      <c r="VWR1727" s="227"/>
      <c r="VWS1727" s="227"/>
      <c r="VWT1727" s="227"/>
      <c r="VWU1727" s="227"/>
      <c r="VWV1727" s="227"/>
      <c r="VWW1727" s="227"/>
      <c r="VWX1727" s="227"/>
      <c r="VWY1727" s="227"/>
      <c r="VWZ1727" s="227"/>
      <c r="VXA1727" s="227"/>
      <c r="VXB1727" s="227"/>
      <c r="VXC1727" s="227"/>
      <c r="VXD1727" s="227"/>
      <c r="VXE1727" s="227"/>
      <c r="VXF1727" s="227"/>
      <c r="VXG1727" s="227"/>
      <c r="VXH1727" s="227"/>
      <c r="VXI1727" s="227"/>
      <c r="VXJ1727" s="227"/>
      <c r="VXK1727" s="227"/>
      <c r="VXL1727" s="227"/>
      <c r="VXM1727" s="227"/>
      <c r="VXN1727" s="227"/>
      <c r="VXO1727" s="227"/>
      <c r="VXP1727" s="227"/>
      <c r="VXQ1727" s="227"/>
      <c r="VXR1727" s="227"/>
      <c r="VXS1727" s="227"/>
      <c r="VXT1727" s="227"/>
      <c r="VXU1727" s="227"/>
      <c r="VXV1727" s="227"/>
      <c r="VXW1727" s="227"/>
      <c r="VXX1727" s="227"/>
      <c r="VXY1727" s="227"/>
      <c r="VXZ1727" s="227"/>
      <c r="VYA1727" s="227"/>
      <c r="VYB1727" s="227"/>
      <c r="VYC1727" s="227"/>
      <c r="VYD1727" s="227"/>
      <c r="VYE1727" s="227"/>
      <c r="VYF1727" s="227"/>
      <c r="VYG1727" s="227"/>
      <c r="VYH1727" s="227"/>
      <c r="VYI1727" s="227"/>
      <c r="VYJ1727" s="227"/>
      <c r="VYK1727" s="227"/>
      <c r="VYL1727" s="227"/>
      <c r="VYM1727" s="227"/>
      <c r="VYN1727" s="227"/>
      <c r="VYO1727" s="227"/>
      <c r="VYP1727" s="227"/>
      <c r="VYQ1727" s="227"/>
      <c r="VYR1727" s="227"/>
      <c r="VYS1727" s="227"/>
      <c r="VYT1727" s="227"/>
      <c r="VYU1727" s="227"/>
      <c r="VYV1727" s="227"/>
      <c r="VYW1727" s="227"/>
      <c r="VYX1727" s="227"/>
      <c r="VYY1727" s="227"/>
      <c r="VYZ1727" s="227"/>
      <c r="VZA1727" s="227"/>
      <c r="VZB1727" s="227"/>
      <c r="VZC1727" s="227"/>
      <c r="VZD1727" s="227"/>
      <c r="VZE1727" s="227"/>
      <c r="VZF1727" s="227"/>
      <c r="VZG1727" s="227"/>
      <c r="VZH1727" s="227"/>
      <c r="VZI1727" s="227"/>
      <c r="VZJ1727" s="227"/>
      <c r="VZK1727" s="227"/>
      <c r="VZL1727" s="227"/>
      <c r="VZM1727" s="227"/>
      <c r="VZN1727" s="227"/>
      <c r="VZO1727" s="227"/>
      <c r="VZP1727" s="227"/>
      <c r="VZQ1727" s="227"/>
      <c r="VZR1727" s="227"/>
      <c r="VZS1727" s="227"/>
      <c r="VZT1727" s="227"/>
      <c r="VZU1727" s="227"/>
      <c r="VZV1727" s="227"/>
      <c r="VZW1727" s="227"/>
      <c r="VZX1727" s="227"/>
      <c r="VZY1727" s="227"/>
      <c r="VZZ1727" s="227"/>
      <c r="WAA1727" s="227"/>
      <c r="WAB1727" s="227"/>
      <c r="WAC1727" s="227"/>
      <c r="WAD1727" s="227"/>
      <c r="WAE1727" s="227"/>
      <c r="WAF1727" s="227"/>
      <c r="WAG1727" s="227"/>
      <c r="WAH1727" s="227"/>
      <c r="WAI1727" s="227"/>
      <c r="WAJ1727" s="227"/>
      <c r="WAK1727" s="227"/>
      <c r="WAL1727" s="227"/>
      <c r="WAM1727" s="227"/>
      <c r="WAN1727" s="227"/>
      <c r="WAO1727" s="227"/>
      <c r="WAP1727" s="227"/>
      <c r="WAQ1727" s="227"/>
      <c r="WAR1727" s="227"/>
      <c r="WAS1727" s="227"/>
      <c r="WAT1727" s="227"/>
      <c r="WAU1727" s="227"/>
      <c r="WAV1727" s="227"/>
      <c r="WAW1727" s="227"/>
      <c r="WAX1727" s="227"/>
      <c r="WAY1727" s="227"/>
      <c r="WAZ1727" s="227"/>
      <c r="WBA1727" s="227"/>
      <c r="WBB1727" s="227"/>
      <c r="WBC1727" s="227"/>
      <c r="WBD1727" s="227"/>
      <c r="WBE1727" s="227"/>
      <c r="WBF1727" s="227"/>
      <c r="WBG1727" s="227"/>
      <c r="WBH1727" s="227"/>
      <c r="WBI1727" s="227"/>
      <c r="WBJ1727" s="227"/>
      <c r="WBK1727" s="227"/>
      <c r="WBL1727" s="227"/>
      <c r="WBM1727" s="227"/>
      <c r="WBN1727" s="227"/>
      <c r="WBO1727" s="227"/>
      <c r="WBP1727" s="227"/>
      <c r="WBQ1727" s="227"/>
      <c r="WBR1727" s="227"/>
      <c r="WBS1727" s="227"/>
      <c r="WBT1727" s="227"/>
      <c r="WBU1727" s="227"/>
      <c r="WBV1727" s="227"/>
      <c r="WBW1727" s="227"/>
      <c r="WBX1727" s="227"/>
      <c r="WBY1727" s="227"/>
      <c r="WBZ1727" s="227"/>
      <c r="WCA1727" s="227"/>
      <c r="WCB1727" s="227"/>
      <c r="WCC1727" s="227"/>
      <c r="WCD1727" s="227"/>
      <c r="WCE1727" s="227"/>
      <c r="WCF1727" s="227"/>
      <c r="WCG1727" s="227"/>
      <c r="WCH1727" s="227"/>
      <c r="WCI1727" s="227"/>
      <c r="WCJ1727" s="227"/>
      <c r="WCK1727" s="227"/>
      <c r="WCL1727" s="227"/>
      <c r="WCM1727" s="227"/>
      <c r="WCN1727" s="227"/>
      <c r="WCO1727" s="227"/>
      <c r="WCP1727" s="227"/>
      <c r="WCQ1727" s="227"/>
      <c r="WCR1727" s="227"/>
      <c r="WCS1727" s="227"/>
      <c r="WCT1727" s="227"/>
      <c r="WCU1727" s="227"/>
      <c r="WCV1727" s="227"/>
      <c r="WCW1727" s="227"/>
      <c r="WCX1727" s="227"/>
      <c r="WCY1727" s="227"/>
      <c r="WCZ1727" s="227"/>
      <c r="WDA1727" s="227"/>
      <c r="WDB1727" s="227"/>
      <c r="WDC1727" s="227"/>
      <c r="WDD1727" s="227"/>
      <c r="WDE1727" s="227"/>
      <c r="WDF1727" s="227"/>
      <c r="WDG1727" s="227"/>
      <c r="WDH1727" s="227"/>
      <c r="WDI1727" s="227"/>
      <c r="WDJ1727" s="227"/>
      <c r="WDK1727" s="227"/>
      <c r="WDL1727" s="227"/>
      <c r="WDM1727" s="227"/>
      <c r="WDN1727" s="227"/>
      <c r="WDO1727" s="227"/>
      <c r="WDP1727" s="227"/>
      <c r="WDQ1727" s="227"/>
      <c r="WDR1727" s="227"/>
      <c r="WDS1727" s="227"/>
      <c r="WDT1727" s="227"/>
      <c r="WDU1727" s="227"/>
      <c r="WDV1727" s="227"/>
      <c r="WDW1727" s="227"/>
      <c r="WDX1727" s="227"/>
      <c r="WDY1727" s="227"/>
      <c r="WDZ1727" s="227"/>
      <c r="WEA1727" s="227"/>
      <c r="WEB1727" s="227"/>
      <c r="WEC1727" s="227"/>
      <c r="WED1727" s="227"/>
      <c r="WEE1727" s="227"/>
      <c r="WEF1727" s="227"/>
      <c r="WEG1727" s="227"/>
      <c r="WEH1727" s="227"/>
      <c r="WEI1727" s="227"/>
      <c r="WEJ1727" s="227"/>
      <c r="WEK1727" s="227"/>
      <c r="WEL1727" s="227"/>
      <c r="WEM1727" s="227"/>
      <c r="WEN1727" s="227"/>
      <c r="WEO1727" s="227"/>
      <c r="WEP1727" s="227"/>
      <c r="WEQ1727" s="227"/>
      <c r="WER1727" s="227"/>
      <c r="WES1727" s="227"/>
      <c r="WET1727" s="227"/>
      <c r="WEU1727" s="227"/>
      <c r="WEV1727" s="227"/>
      <c r="WEW1727" s="227"/>
      <c r="WEX1727" s="227"/>
      <c r="WEY1727" s="227"/>
      <c r="WEZ1727" s="227"/>
      <c r="WFA1727" s="227"/>
      <c r="WFB1727" s="227"/>
      <c r="WFC1727" s="227"/>
      <c r="WFD1727" s="227"/>
      <c r="WFE1727" s="227"/>
      <c r="WFF1727" s="227"/>
      <c r="WFG1727" s="227"/>
      <c r="WFH1727" s="227"/>
      <c r="WFI1727" s="227"/>
      <c r="WFJ1727" s="227"/>
      <c r="WFK1727" s="227"/>
      <c r="WFL1727" s="227"/>
      <c r="WFM1727" s="227"/>
      <c r="WFN1727" s="227"/>
      <c r="WFO1727" s="227"/>
      <c r="WFP1727" s="227"/>
      <c r="WFQ1727" s="227"/>
      <c r="WFR1727" s="227"/>
      <c r="WFS1727" s="227"/>
      <c r="WFT1727" s="227"/>
      <c r="WFU1727" s="227"/>
      <c r="WFV1727" s="227"/>
      <c r="WFW1727" s="227"/>
      <c r="WFX1727" s="227"/>
      <c r="WFY1727" s="227"/>
      <c r="WFZ1727" s="227"/>
      <c r="WGA1727" s="227"/>
      <c r="WGB1727" s="227"/>
      <c r="WGC1727" s="227"/>
      <c r="WGD1727" s="227"/>
      <c r="WGE1727" s="227"/>
      <c r="WGF1727" s="227"/>
      <c r="WGG1727" s="227"/>
      <c r="WGH1727" s="227"/>
      <c r="WGI1727" s="227"/>
      <c r="WGJ1727" s="227"/>
      <c r="WGK1727" s="227"/>
      <c r="WGL1727" s="227"/>
      <c r="WGM1727" s="227"/>
      <c r="WGN1727" s="227"/>
      <c r="WGO1727" s="227"/>
      <c r="WGP1727" s="227"/>
      <c r="WGQ1727" s="227"/>
      <c r="WGR1727" s="227"/>
      <c r="WGS1727" s="227"/>
      <c r="WGT1727" s="227"/>
      <c r="WGU1727" s="227"/>
      <c r="WGV1727" s="227"/>
      <c r="WGW1727" s="227"/>
      <c r="WGX1727" s="227"/>
      <c r="WGY1727" s="227"/>
      <c r="WGZ1727" s="227"/>
      <c r="WHA1727" s="227"/>
      <c r="WHB1727" s="227"/>
      <c r="WHC1727" s="227"/>
      <c r="WHD1727" s="227"/>
      <c r="WHE1727" s="227"/>
      <c r="WHF1727" s="227"/>
      <c r="WHG1727" s="227"/>
      <c r="WHH1727" s="227"/>
      <c r="WHI1727" s="227"/>
      <c r="WHJ1727" s="227"/>
      <c r="WHK1727" s="227"/>
      <c r="WHL1727" s="227"/>
      <c r="WHM1727" s="227"/>
      <c r="WHN1727" s="227"/>
      <c r="WHO1727" s="227"/>
      <c r="WHP1727" s="227"/>
      <c r="WHQ1727" s="227"/>
      <c r="WHR1727" s="227"/>
      <c r="WHS1727" s="227"/>
      <c r="WHT1727" s="227"/>
      <c r="WHU1727" s="227"/>
      <c r="WHV1727" s="227"/>
      <c r="WHW1727" s="227"/>
      <c r="WHX1727" s="227"/>
      <c r="WHY1727" s="227"/>
      <c r="WHZ1727" s="227"/>
      <c r="WIA1727" s="227"/>
      <c r="WIB1727" s="227"/>
      <c r="WIC1727" s="227"/>
      <c r="WID1727" s="227"/>
      <c r="WIE1727" s="227"/>
      <c r="WIF1727" s="227"/>
      <c r="WIG1727" s="227"/>
      <c r="WIH1727" s="227"/>
      <c r="WII1727" s="227"/>
      <c r="WIJ1727" s="227"/>
      <c r="WIK1727" s="227"/>
      <c r="WIL1727" s="227"/>
      <c r="WIM1727" s="227"/>
      <c r="WIN1727" s="227"/>
      <c r="WIO1727" s="227"/>
      <c r="WIP1727" s="227"/>
      <c r="WIQ1727" s="227"/>
      <c r="WIR1727" s="227"/>
      <c r="WIS1727" s="227"/>
      <c r="WIT1727" s="227"/>
      <c r="WIU1727" s="227"/>
      <c r="WIV1727" s="227"/>
      <c r="WIW1727" s="227"/>
      <c r="WIX1727" s="227"/>
      <c r="WIY1727" s="227"/>
      <c r="WIZ1727" s="227"/>
      <c r="WJA1727" s="227"/>
      <c r="WJB1727" s="227"/>
      <c r="WJC1727" s="227"/>
      <c r="WJD1727" s="227"/>
      <c r="WJE1727" s="227"/>
      <c r="WJF1727" s="227"/>
      <c r="WJG1727" s="227"/>
      <c r="WJH1727" s="227"/>
      <c r="WJI1727" s="227"/>
      <c r="WJJ1727" s="227"/>
      <c r="WJK1727" s="227"/>
      <c r="WJL1727" s="227"/>
      <c r="WJM1727" s="227"/>
      <c r="WJN1727" s="227"/>
      <c r="WJO1727" s="227"/>
      <c r="WJP1727" s="227"/>
      <c r="WJQ1727" s="227"/>
      <c r="WJR1727" s="227"/>
      <c r="WJS1727" s="227"/>
      <c r="WJT1727" s="227"/>
      <c r="WJU1727" s="227"/>
      <c r="WJV1727" s="227"/>
      <c r="WJW1727" s="227"/>
      <c r="WJX1727" s="227"/>
      <c r="WJY1727" s="227"/>
      <c r="WJZ1727" s="227"/>
      <c r="WKA1727" s="227"/>
      <c r="WKB1727" s="227"/>
      <c r="WKC1727" s="227"/>
      <c r="WKD1727" s="227"/>
      <c r="WKE1727" s="227"/>
      <c r="WKF1727" s="227"/>
      <c r="WKG1727" s="227"/>
      <c r="WKH1727" s="227"/>
      <c r="WKI1727" s="227"/>
      <c r="WKJ1727" s="227"/>
      <c r="WKK1727" s="227"/>
      <c r="WKL1727" s="227"/>
      <c r="WKM1727" s="227"/>
      <c r="WKN1727" s="227"/>
      <c r="WKO1727" s="227"/>
      <c r="WKP1727" s="227"/>
      <c r="WKQ1727" s="227"/>
      <c r="WKR1727" s="227"/>
      <c r="WKS1727" s="227"/>
      <c r="WKT1727" s="227"/>
      <c r="WKU1727" s="227"/>
      <c r="WKV1727" s="227"/>
      <c r="WKW1727" s="227"/>
      <c r="WKX1727" s="227"/>
      <c r="WKY1727" s="227"/>
      <c r="WKZ1727" s="227"/>
      <c r="WLA1727" s="227"/>
      <c r="WLB1727" s="227"/>
      <c r="WLC1727" s="227"/>
      <c r="WLD1727" s="227"/>
      <c r="WLE1727" s="227"/>
      <c r="WLF1727" s="227"/>
      <c r="WLG1727" s="227"/>
      <c r="WLH1727" s="227"/>
      <c r="WLI1727" s="227"/>
      <c r="WLJ1727" s="227"/>
      <c r="WLK1727" s="227"/>
      <c r="WLL1727" s="227"/>
      <c r="WLM1727" s="227"/>
      <c r="WLN1727" s="227"/>
      <c r="WLO1727" s="227"/>
      <c r="WLP1727" s="227"/>
      <c r="WLQ1727" s="227"/>
      <c r="WLR1727" s="227"/>
      <c r="WLS1727" s="227"/>
      <c r="WLT1727" s="227"/>
      <c r="WLU1727" s="227"/>
      <c r="WLV1727" s="227"/>
      <c r="WLW1727" s="227"/>
      <c r="WLX1727" s="227"/>
      <c r="WLY1727" s="227"/>
      <c r="WLZ1727" s="227"/>
      <c r="WMA1727" s="227"/>
      <c r="WMB1727" s="227"/>
      <c r="WMC1727" s="227"/>
      <c r="WMD1727" s="227"/>
      <c r="WME1727" s="227"/>
      <c r="WMF1727" s="227"/>
      <c r="WMG1727" s="227"/>
      <c r="WMH1727" s="227"/>
      <c r="WMI1727" s="227"/>
      <c r="WMJ1727" s="227"/>
      <c r="WMK1727" s="227"/>
      <c r="WML1727" s="227"/>
      <c r="WMM1727" s="227"/>
      <c r="WMN1727" s="227"/>
      <c r="WMO1727" s="227"/>
      <c r="WMP1727" s="227"/>
      <c r="WMQ1727" s="227"/>
      <c r="WMR1727" s="227"/>
      <c r="WMS1727" s="227"/>
      <c r="WMT1727" s="227"/>
      <c r="WMU1727" s="227"/>
      <c r="WMV1727" s="227"/>
      <c r="WMW1727" s="227"/>
      <c r="WMX1727" s="227"/>
      <c r="WMY1727" s="227"/>
      <c r="WMZ1727" s="227"/>
      <c r="WNA1727" s="227"/>
      <c r="WNB1727" s="227"/>
      <c r="WNC1727" s="227"/>
      <c r="WND1727" s="227"/>
      <c r="WNE1727" s="227"/>
      <c r="WNF1727" s="227"/>
      <c r="WNG1727" s="227"/>
      <c r="WNH1727" s="227"/>
      <c r="WNI1727" s="227"/>
      <c r="WNJ1727" s="227"/>
      <c r="WNK1727" s="227"/>
      <c r="WNL1727" s="227"/>
      <c r="WNM1727" s="227"/>
      <c r="WNN1727" s="227"/>
      <c r="WNO1727" s="227"/>
      <c r="WNP1727" s="227"/>
      <c r="WNQ1727" s="227"/>
      <c r="WNR1727" s="227"/>
      <c r="WNS1727" s="227"/>
      <c r="WNT1727" s="227"/>
      <c r="WNU1727" s="227"/>
      <c r="WNV1727" s="227"/>
      <c r="WNW1727" s="227"/>
      <c r="WNX1727" s="227"/>
      <c r="WNY1727" s="227"/>
      <c r="WNZ1727" s="227"/>
      <c r="WOA1727" s="227"/>
      <c r="WOB1727" s="227"/>
      <c r="WOC1727" s="227"/>
      <c r="WOD1727" s="227"/>
      <c r="WOE1727" s="227"/>
      <c r="WOF1727" s="227"/>
      <c r="WOG1727" s="227"/>
      <c r="WOH1727" s="227"/>
      <c r="WOI1727" s="227"/>
      <c r="WOJ1727" s="227"/>
      <c r="WOK1727" s="227"/>
      <c r="WOL1727" s="227"/>
      <c r="WOM1727" s="227"/>
      <c r="WON1727" s="227"/>
      <c r="WOO1727" s="227"/>
      <c r="WOP1727" s="227"/>
      <c r="WOQ1727" s="227"/>
      <c r="WOR1727" s="227"/>
      <c r="WOS1727" s="227"/>
      <c r="WOT1727" s="227"/>
      <c r="WOU1727" s="227"/>
      <c r="WOV1727" s="227"/>
      <c r="WOW1727" s="227"/>
      <c r="WOX1727" s="227"/>
      <c r="WOY1727" s="227"/>
      <c r="WOZ1727" s="227"/>
      <c r="WPA1727" s="227"/>
      <c r="WPB1727" s="227"/>
      <c r="WPC1727" s="227"/>
      <c r="WPD1727" s="227"/>
      <c r="WPE1727" s="227"/>
      <c r="WPF1727" s="227"/>
      <c r="WPG1727" s="227"/>
      <c r="WPH1727" s="227"/>
      <c r="WPI1727" s="227"/>
      <c r="WPJ1727" s="227"/>
      <c r="WPK1727" s="227"/>
      <c r="WPL1727" s="227"/>
      <c r="WPM1727" s="227"/>
      <c r="WPN1727" s="227"/>
      <c r="WPO1727" s="227"/>
      <c r="WPP1727" s="227"/>
      <c r="WPQ1727" s="227"/>
      <c r="WPR1727" s="227"/>
      <c r="WPS1727" s="227"/>
      <c r="WPT1727" s="227"/>
      <c r="WPU1727" s="227"/>
      <c r="WPV1727" s="227"/>
      <c r="WPW1727" s="227"/>
      <c r="WPX1727" s="227"/>
      <c r="WPY1727" s="227"/>
      <c r="WPZ1727" s="227"/>
      <c r="WQA1727" s="227"/>
      <c r="WQB1727" s="227"/>
      <c r="WQC1727" s="227"/>
      <c r="WQD1727" s="227"/>
      <c r="WQE1727" s="227"/>
      <c r="WQF1727" s="227"/>
      <c r="WQG1727" s="227"/>
      <c r="WQH1727" s="227"/>
      <c r="WQI1727" s="227"/>
      <c r="WQJ1727" s="227"/>
      <c r="WQK1727" s="227"/>
      <c r="WQL1727" s="227"/>
      <c r="WQM1727" s="227"/>
      <c r="WQN1727" s="227"/>
      <c r="WQO1727" s="227"/>
      <c r="WQP1727" s="227"/>
      <c r="WQQ1727" s="227"/>
      <c r="WQR1727" s="227"/>
      <c r="WQS1727" s="227"/>
      <c r="WQT1727" s="227"/>
      <c r="WQU1727" s="227"/>
      <c r="WQV1727" s="227"/>
      <c r="WQW1727" s="227"/>
      <c r="WQX1727" s="227"/>
      <c r="WQY1727" s="227"/>
      <c r="WQZ1727" s="227"/>
      <c r="WRA1727" s="227"/>
      <c r="WRB1727" s="227"/>
      <c r="WRC1727" s="227"/>
      <c r="WRD1727" s="227"/>
      <c r="WRE1727" s="227"/>
      <c r="WRF1727" s="227"/>
      <c r="WRG1727" s="227"/>
      <c r="WRH1727" s="227"/>
      <c r="WRI1727" s="227"/>
      <c r="WRJ1727" s="227"/>
      <c r="WRK1727" s="227"/>
      <c r="WRL1727" s="227"/>
      <c r="WRM1727" s="227"/>
      <c r="WRN1727" s="227"/>
      <c r="WRO1727" s="227"/>
      <c r="WRP1727" s="227"/>
      <c r="WRQ1727" s="227"/>
      <c r="WRR1727" s="227"/>
      <c r="WRS1727" s="227"/>
      <c r="WRT1727" s="227"/>
      <c r="WRU1727" s="227"/>
      <c r="WRV1727" s="227"/>
      <c r="WRW1727" s="227"/>
      <c r="WRX1727" s="227"/>
      <c r="WRY1727" s="227"/>
      <c r="WRZ1727" s="227"/>
      <c r="WSA1727" s="227"/>
      <c r="WSB1727" s="227"/>
      <c r="WSC1727" s="227"/>
      <c r="WSD1727" s="227"/>
      <c r="WSE1727" s="227"/>
      <c r="WSF1727" s="227"/>
      <c r="WSG1727" s="227"/>
      <c r="WSH1727" s="227"/>
      <c r="WSI1727" s="227"/>
      <c r="WSJ1727" s="227"/>
      <c r="WSK1727" s="227"/>
      <c r="WSL1727" s="227"/>
      <c r="WSM1727" s="227"/>
      <c r="WSN1727" s="227"/>
      <c r="WSO1727" s="227"/>
      <c r="WSP1727" s="227"/>
      <c r="WSQ1727" s="227"/>
      <c r="WSR1727" s="227"/>
      <c r="WSS1727" s="227"/>
      <c r="WST1727" s="227"/>
      <c r="WSU1727" s="227"/>
      <c r="WSV1727" s="227"/>
      <c r="WSW1727" s="227"/>
      <c r="WSX1727" s="227"/>
      <c r="WSY1727" s="227"/>
      <c r="WSZ1727" s="227"/>
      <c r="WTA1727" s="227"/>
      <c r="WTB1727" s="227"/>
      <c r="WTC1727" s="227"/>
      <c r="WTD1727" s="227"/>
      <c r="WTE1727" s="227"/>
      <c r="WTF1727" s="227"/>
      <c r="WTG1727" s="227"/>
      <c r="WTH1727" s="227"/>
      <c r="WTI1727" s="227"/>
      <c r="WTJ1727" s="227"/>
      <c r="WTK1727" s="227"/>
      <c r="WTL1727" s="227"/>
      <c r="WTM1727" s="227"/>
      <c r="WTN1727" s="227"/>
      <c r="WTO1727" s="227"/>
      <c r="WTP1727" s="227"/>
      <c r="WTQ1727" s="227"/>
      <c r="WTR1727" s="227"/>
      <c r="WTS1727" s="227"/>
      <c r="WTT1727" s="227"/>
      <c r="WTU1727" s="227"/>
      <c r="WTV1727" s="227"/>
      <c r="WTW1727" s="227"/>
      <c r="WTX1727" s="227"/>
      <c r="WTY1727" s="227"/>
      <c r="WTZ1727" s="227"/>
      <c r="WUA1727" s="227"/>
      <c r="WUB1727" s="227"/>
      <c r="WUC1727" s="227"/>
      <c r="WUD1727" s="227"/>
      <c r="WUE1727" s="227"/>
      <c r="WUF1727" s="227"/>
      <c r="WUG1727" s="227"/>
      <c r="WUH1727" s="227"/>
      <c r="WUI1727" s="227"/>
      <c r="WUJ1727" s="227"/>
      <c r="WUK1727" s="227"/>
      <c r="WUL1727" s="227"/>
      <c r="WUM1727" s="227"/>
      <c r="WUN1727" s="227"/>
      <c r="WUO1727" s="227"/>
      <c r="WUP1727" s="227"/>
      <c r="WUQ1727" s="227"/>
      <c r="WUR1727" s="227"/>
      <c r="WUS1727" s="227"/>
      <c r="WUT1727" s="227"/>
      <c r="WUU1727" s="227"/>
      <c r="WUV1727" s="227"/>
      <c r="WUW1727" s="227"/>
      <c r="WUX1727" s="227"/>
      <c r="WUY1727" s="227"/>
      <c r="WUZ1727" s="227"/>
      <c r="WVA1727" s="227"/>
      <c r="WVB1727" s="227"/>
      <c r="WVC1727" s="227"/>
      <c r="WVD1727" s="227"/>
      <c r="WVE1727" s="227"/>
      <c r="WVF1727" s="227"/>
      <c r="WVG1727" s="227"/>
      <c r="WVH1727" s="227"/>
      <c r="WVI1727" s="227"/>
      <c r="WVJ1727" s="227"/>
      <c r="WVK1727" s="227"/>
      <c r="WVL1727" s="227"/>
      <c r="WVM1727" s="227"/>
      <c r="WVN1727" s="227"/>
      <c r="WVO1727" s="227"/>
      <c r="WVP1727" s="227"/>
      <c r="WVQ1727" s="227"/>
      <c r="WVR1727" s="227"/>
      <c r="WVS1727" s="227"/>
      <c r="WVT1727" s="227"/>
      <c r="WVU1727" s="227"/>
      <c r="WVV1727" s="227"/>
      <c r="WVW1727" s="227"/>
      <c r="WVX1727" s="227"/>
      <c r="WVY1727" s="227"/>
      <c r="WVZ1727" s="227"/>
      <c r="WWA1727" s="227"/>
      <c r="WWB1727" s="227"/>
      <c r="WWC1727" s="227"/>
      <c r="WWD1727" s="227"/>
      <c r="WWE1727" s="227"/>
      <c r="WWF1727" s="227"/>
      <c r="WWG1727" s="227"/>
      <c r="WWH1727" s="227"/>
      <c r="WWI1727" s="227"/>
      <c r="WWJ1727" s="227"/>
      <c r="WWK1727" s="227"/>
      <c r="WWL1727" s="227"/>
      <c r="WWM1727" s="227"/>
      <c r="WWN1727" s="227"/>
      <c r="WWO1727" s="227"/>
      <c r="WWP1727" s="227"/>
      <c r="WWQ1727" s="227"/>
      <c r="WWR1727" s="227"/>
      <c r="WWS1727" s="227"/>
      <c r="WWT1727" s="227"/>
      <c r="WWU1727" s="227"/>
      <c r="WWV1727" s="227"/>
      <c r="WWW1727" s="227"/>
      <c r="WWX1727" s="227"/>
      <c r="WWY1727" s="227"/>
      <c r="WWZ1727" s="227"/>
      <c r="WXA1727" s="227"/>
      <c r="WXB1727" s="227"/>
      <c r="WXC1727" s="227"/>
      <c r="WXD1727" s="227"/>
      <c r="WXE1727" s="227"/>
      <c r="WXF1727" s="227"/>
      <c r="WXG1727" s="227"/>
      <c r="WXH1727" s="227"/>
      <c r="WXI1727" s="227"/>
      <c r="WXJ1727" s="227"/>
      <c r="WXK1727" s="227"/>
      <c r="WXL1727" s="227"/>
      <c r="WXM1727" s="227"/>
      <c r="WXN1727" s="227"/>
      <c r="WXO1727" s="227"/>
      <c r="WXP1727" s="227"/>
      <c r="WXQ1727" s="227"/>
      <c r="WXR1727" s="227"/>
      <c r="WXS1727" s="227"/>
      <c r="WXT1727" s="227"/>
      <c r="WXU1727" s="227"/>
      <c r="WXV1727" s="227"/>
      <c r="WXW1727" s="227"/>
      <c r="WXX1727" s="227"/>
      <c r="WXY1727" s="227"/>
      <c r="WXZ1727" s="227"/>
      <c r="WYA1727" s="227"/>
      <c r="WYB1727" s="227"/>
      <c r="WYC1727" s="227"/>
      <c r="WYD1727" s="227"/>
      <c r="WYE1727" s="227"/>
      <c r="WYF1727" s="227"/>
      <c r="WYG1727" s="227"/>
      <c r="WYH1727" s="227"/>
      <c r="WYI1727" s="227"/>
      <c r="WYJ1727" s="227"/>
      <c r="WYK1727" s="227"/>
      <c r="WYL1727" s="227"/>
      <c r="WYM1727" s="227"/>
      <c r="WYN1727" s="227"/>
      <c r="WYO1727" s="227"/>
      <c r="WYP1727" s="227"/>
      <c r="WYQ1727" s="227"/>
      <c r="WYR1727" s="227"/>
      <c r="WYS1727" s="227"/>
      <c r="WYT1727" s="227"/>
      <c r="WYU1727" s="227"/>
      <c r="WYV1727" s="227"/>
      <c r="WYW1727" s="227"/>
      <c r="WYX1727" s="227"/>
      <c r="WYY1727" s="227"/>
      <c r="WYZ1727" s="227"/>
      <c r="WZA1727" s="227"/>
      <c r="WZB1727" s="227"/>
      <c r="WZC1727" s="227"/>
      <c r="WZD1727" s="227"/>
      <c r="WZE1727" s="227"/>
      <c r="WZF1727" s="227"/>
      <c r="WZG1727" s="227"/>
      <c r="WZH1727" s="227"/>
      <c r="WZI1727" s="227"/>
      <c r="WZJ1727" s="227"/>
      <c r="WZK1727" s="227"/>
      <c r="WZL1727" s="227"/>
      <c r="WZM1727" s="227"/>
      <c r="WZN1727" s="227"/>
      <c r="WZO1727" s="227"/>
      <c r="WZP1727" s="227"/>
      <c r="WZQ1727" s="227"/>
      <c r="WZR1727" s="227"/>
      <c r="WZS1727" s="227"/>
      <c r="WZT1727" s="227"/>
      <c r="WZU1727" s="227"/>
      <c r="WZV1727" s="227"/>
      <c r="WZW1727" s="227"/>
      <c r="WZX1727" s="227"/>
      <c r="WZY1727" s="227"/>
      <c r="WZZ1727" s="227"/>
      <c r="XAA1727" s="227"/>
      <c r="XAB1727" s="227"/>
      <c r="XAC1727" s="227"/>
      <c r="XAD1727" s="227"/>
      <c r="XAE1727" s="227"/>
      <c r="XAF1727" s="227"/>
      <c r="XAG1727" s="227"/>
      <c r="XAH1727" s="227"/>
      <c r="XAI1727" s="227"/>
      <c r="XAJ1727" s="227"/>
      <c r="XAK1727" s="227"/>
      <c r="XAL1727" s="227"/>
      <c r="XAM1727" s="227"/>
      <c r="XAN1727" s="227"/>
      <c r="XAO1727" s="227"/>
      <c r="XAP1727" s="227"/>
      <c r="XAQ1727" s="227"/>
      <c r="XAR1727" s="227"/>
      <c r="XAS1727" s="227"/>
      <c r="XAT1727" s="227"/>
      <c r="XAU1727" s="227"/>
      <c r="XAV1727" s="227"/>
      <c r="XAW1727" s="227"/>
      <c r="XAX1727" s="227"/>
      <c r="XAY1727" s="227"/>
      <c r="XAZ1727" s="227"/>
      <c r="XBA1727" s="227"/>
      <c r="XBB1727" s="227"/>
      <c r="XBC1727" s="227"/>
      <c r="XBD1727" s="227"/>
      <c r="XBE1727" s="227"/>
      <c r="XBF1727" s="227"/>
      <c r="XBG1727" s="227"/>
      <c r="XBH1727" s="227"/>
      <c r="XBI1727" s="227"/>
      <c r="XBJ1727" s="227"/>
      <c r="XBK1727" s="227"/>
      <c r="XBL1727" s="227"/>
      <c r="XBM1727" s="227"/>
      <c r="XBN1727" s="227"/>
      <c r="XBO1727" s="227"/>
      <c r="XBP1727" s="227"/>
      <c r="XBQ1727" s="227"/>
      <c r="XBR1727" s="227"/>
      <c r="XBS1727" s="227"/>
      <c r="XBT1727" s="227"/>
      <c r="XBU1727" s="227"/>
      <c r="XBV1727" s="227"/>
      <c r="XBW1727" s="227"/>
      <c r="XBX1727" s="227"/>
      <c r="XBY1727" s="227"/>
      <c r="XBZ1727" s="227"/>
      <c r="XCA1727" s="227"/>
      <c r="XCB1727" s="227"/>
      <c r="XCC1727" s="227"/>
      <c r="XCD1727" s="227"/>
      <c r="XCE1727" s="227"/>
      <c r="XCF1727" s="227"/>
      <c r="XCG1727" s="227"/>
      <c r="XCH1727" s="227"/>
      <c r="XCI1727" s="227"/>
      <c r="XCJ1727" s="227"/>
      <c r="XCK1727" s="227"/>
      <c r="XCL1727" s="227"/>
      <c r="XCM1727" s="227"/>
      <c r="XCN1727" s="227"/>
      <c r="XCO1727" s="227"/>
      <c r="XCP1727" s="227"/>
      <c r="XCQ1727" s="227"/>
      <c r="XCR1727" s="227"/>
      <c r="XCS1727" s="227"/>
      <c r="XCT1727" s="227"/>
      <c r="XCU1727" s="227"/>
      <c r="XCV1727" s="227"/>
      <c r="XCW1727" s="227"/>
      <c r="XCX1727" s="227"/>
      <c r="XCY1727" s="227"/>
      <c r="XCZ1727" s="227"/>
      <c r="XDA1727" s="227"/>
      <c r="XDB1727" s="227"/>
      <c r="XDC1727" s="227"/>
      <c r="XDD1727" s="227"/>
      <c r="XDE1727" s="227"/>
      <c r="XDF1727" s="227"/>
      <c r="XDG1727" s="227"/>
      <c r="XDH1727" s="227"/>
      <c r="XDI1727" s="227"/>
      <c r="XDJ1727" s="227"/>
      <c r="XDK1727" s="227"/>
      <c r="XDL1727" s="227"/>
      <c r="XDM1727" s="227"/>
      <c r="XDN1727" s="227"/>
      <c r="XDO1727" s="227"/>
      <c r="XDP1727" s="227"/>
      <c r="XDQ1727" s="227"/>
      <c r="XDR1727" s="227"/>
      <c r="XDS1727" s="227"/>
      <c r="XDT1727" s="227"/>
      <c r="XDU1727" s="227"/>
      <c r="XDV1727" s="227"/>
      <c r="XDW1727" s="227"/>
      <c r="XDX1727" s="227"/>
      <c r="XDY1727" s="227"/>
      <c r="XDZ1727" s="227"/>
      <c r="XEA1727" s="227"/>
      <c r="XEB1727" s="227"/>
      <c r="XEC1727" s="227"/>
      <c r="XED1727" s="227"/>
      <c r="XEE1727" s="227"/>
      <c r="XEF1727" s="227"/>
      <c r="XEG1727" s="227"/>
      <c r="XEH1727" s="227"/>
      <c r="XEI1727" s="227"/>
      <c r="XEJ1727" s="227"/>
      <c r="XEK1727" s="227"/>
      <c r="XEL1727" s="227"/>
      <c r="XEM1727" s="227"/>
      <c r="XEN1727" s="227"/>
      <c r="XEO1727" s="227"/>
      <c r="XEP1727" s="227"/>
      <c r="XEQ1727" s="227"/>
      <c r="XER1727" s="227"/>
      <c r="XES1727" s="227"/>
      <c r="XET1727" s="227"/>
      <c r="XEU1727" s="227"/>
      <c r="XEV1727" s="227"/>
      <c r="XEW1727" s="227"/>
      <c r="XEX1727" s="227"/>
      <c r="XEY1727" s="227"/>
      <c r="XEZ1727" s="227"/>
      <c r="XFA1727" s="227"/>
      <c r="XFB1727" s="227"/>
      <c r="XFC1727" s="227"/>
      <c r="XFD1727" s="227"/>
    </row>
    <row r="1728" spans="1:16384" x14ac:dyDescent="0.25">
      <c r="A1728" s="258">
        <v>491</v>
      </c>
      <c r="B1728" s="257">
        <v>44922.510416666664</v>
      </c>
      <c r="C1728" s="255">
        <v>0.51388888888888895</v>
      </c>
      <c r="D1728" s="255">
        <v>0.51736111111111105</v>
      </c>
      <c r="E1728" s="255">
        <v>0.52083333333333337</v>
      </c>
      <c r="F1728" s="256" t="s">
        <v>170</v>
      </c>
      <c r="G1728" s="256" t="s">
        <v>276</v>
      </c>
      <c r="H1728" s="256" t="s">
        <v>187</v>
      </c>
      <c r="I1728" s="256" t="s">
        <v>73</v>
      </c>
      <c r="J1728" s="256" t="s">
        <v>37</v>
      </c>
      <c r="K1728" s="256" t="s">
        <v>63</v>
      </c>
      <c r="L1728" s="256" t="s">
        <v>212</v>
      </c>
      <c r="M1728" s="256" t="s">
        <v>4396</v>
      </c>
      <c r="N1728" s="256" t="s">
        <v>59</v>
      </c>
      <c r="O1728" s="256">
        <v>21222232756</v>
      </c>
      <c r="P1728" s="256">
        <v>5052010931</v>
      </c>
      <c r="Q1728" s="303">
        <f t="shared" si="151"/>
        <v>1</v>
      </c>
      <c r="R1728" s="303">
        <f t="shared" si="152"/>
        <v>24</v>
      </c>
      <c r="S1728" s="256">
        <v>0</v>
      </c>
      <c r="T1728" s="256">
        <v>0</v>
      </c>
      <c r="U1728" s="256">
        <v>1</v>
      </c>
      <c r="V1728" s="256">
        <v>24</v>
      </c>
      <c r="W1728" s="256">
        <v>22.95</v>
      </c>
      <c r="X1728" s="256">
        <v>80</v>
      </c>
      <c r="Y1728" s="256">
        <v>62</v>
      </c>
      <c r="Z1728" s="256">
        <v>44</v>
      </c>
      <c r="AA1728" s="256">
        <v>1</v>
      </c>
      <c r="AB1728" s="300">
        <f t="shared" si="153"/>
        <v>36.373333333333335</v>
      </c>
      <c r="AC1728" s="300">
        <f t="shared" si="154"/>
        <v>0.21911646586345382</v>
      </c>
      <c r="AD1728" s="256">
        <v>885.43</v>
      </c>
      <c r="AE1728" s="256" t="s">
        <v>109</v>
      </c>
      <c r="AF1728" s="256" t="s">
        <v>317</v>
      </c>
      <c r="AG1728" s="256" t="s">
        <v>317</v>
      </c>
      <c r="AH1728" s="256" t="s">
        <v>4397</v>
      </c>
      <c r="AI1728" s="309"/>
      <c r="AJ1728" s="309"/>
      <c r="AK1728" s="256" t="s">
        <v>41</v>
      </c>
      <c r="AL1728" s="256" t="s">
        <v>39</v>
      </c>
      <c r="AM1728" s="299">
        <f t="shared" ca="1" si="150"/>
        <v>2.0729166666715173</v>
      </c>
      <c r="AN1728" s="259"/>
      <c r="AO1728" s="288" t="s">
        <v>70</v>
      </c>
      <c r="AP1728" s="275" t="s">
        <v>4396</v>
      </c>
      <c r="AQ1728" s="288" t="s">
        <v>4571</v>
      </c>
      <c r="AR1728" s="277">
        <v>44924.583333333336</v>
      </c>
      <c r="AS1728" s="288" t="s">
        <v>136</v>
      </c>
      <c r="AT1728" s="288" t="s">
        <v>225</v>
      </c>
      <c r="AU1728" s="276">
        <v>0.58333333333333337</v>
      </c>
      <c r="AV1728" s="288">
        <v>1</v>
      </c>
      <c r="AW1728" s="288" t="s">
        <v>66</v>
      </c>
      <c r="AX1728" s="260"/>
      <c r="AY1728" s="260"/>
      <c r="AZ1728" s="260"/>
      <c r="BA1728" s="260"/>
    </row>
    <row r="1729" spans="1:53" x14ac:dyDescent="0.25">
      <c r="A1729" s="258">
        <v>492</v>
      </c>
      <c r="B1729" s="257">
        <v>44922.510416666664</v>
      </c>
      <c r="C1729" s="255">
        <v>0.51388888888888895</v>
      </c>
      <c r="D1729" s="255">
        <v>0.51736111111111105</v>
      </c>
      <c r="E1729" s="255">
        <v>0.52083333333333337</v>
      </c>
      <c r="F1729" s="256" t="s">
        <v>170</v>
      </c>
      <c r="G1729" s="256" t="s">
        <v>276</v>
      </c>
      <c r="H1729" s="256" t="s">
        <v>187</v>
      </c>
      <c r="I1729" s="256" t="s">
        <v>73</v>
      </c>
      <c r="J1729" s="256" t="s">
        <v>37</v>
      </c>
      <c r="K1729" s="256" t="s">
        <v>63</v>
      </c>
      <c r="L1729" s="256" t="s">
        <v>212</v>
      </c>
      <c r="M1729" s="256" t="s">
        <v>4396</v>
      </c>
      <c r="N1729" s="256" t="s">
        <v>59</v>
      </c>
      <c r="O1729" s="256">
        <v>21222231744</v>
      </c>
      <c r="P1729" s="256">
        <v>5052020377</v>
      </c>
      <c r="Q1729" s="303">
        <f t="shared" si="151"/>
        <v>1</v>
      </c>
      <c r="R1729" s="303">
        <f t="shared" si="152"/>
        <v>40</v>
      </c>
      <c r="S1729" s="256">
        <v>0</v>
      </c>
      <c r="T1729" s="256">
        <v>0</v>
      </c>
      <c r="U1729" s="256">
        <v>1</v>
      </c>
      <c r="V1729" s="256">
        <v>40</v>
      </c>
      <c r="W1729" s="256">
        <v>39.395000000000003</v>
      </c>
      <c r="X1729" s="256">
        <v>80</v>
      </c>
      <c r="Y1729" s="256">
        <v>62</v>
      </c>
      <c r="Z1729" s="256">
        <v>44</v>
      </c>
      <c r="AA1729" s="256">
        <v>1</v>
      </c>
      <c r="AB1729" s="300">
        <f t="shared" si="153"/>
        <v>36.373333333333335</v>
      </c>
      <c r="AC1729" s="300">
        <f t="shared" si="154"/>
        <v>0.21911646586345382</v>
      </c>
      <c r="AD1729" s="256">
        <v>368.31</v>
      </c>
      <c r="AE1729" s="256" t="s">
        <v>109</v>
      </c>
      <c r="AF1729" s="256" t="s">
        <v>317</v>
      </c>
      <c r="AG1729" s="256" t="s">
        <v>317</v>
      </c>
      <c r="AH1729" s="256" t="s">
        <v>4398</v>
      </c>
      <c r="AI1729" s="309"/>
      <c r="AJ1729" s="309"/>
      <c r="AK1729" s="256" t="s">
        <v>41</v>
      </c>
      <c r="AL1729" s="256" t="s">
        <v>39</v>
      </c>
      <c r="AM1729" s="299">
        <f t="shared" ca="1" si="150"/>
        <v>2.0729166666715173</v>
      </c>
      <c r="AN1729" s="259"/>
      <c r="AO1729" s="288" t="s">
        <v>70</v>
      </c>
      <c r="AP1729" s="275" t="s">
        <v>4396</v>
      </c>
      <c r="AQ1729" s="288" t="s">
        <v>4571</v>
      </c>
      <c r="AR1729" s="277">
        <v>44924.583333333336</v>
      </c>
      <c r="AS1729" s="288" t="s">
        <v>136</v>
      </c>
      <c r="AT1729" s="288" t="s">
        <v>225</v>
      </c>
      <c r="AU1729" s="276">
        <v>0.58333333333333337</v>
      </c>
      <c r="AV1729" s="288">
        <v>1</v>
      </c>
      <c r="AW1729" s="288" t="s">
        <v>66</v>
      </c>
      <c r="AX1729" s="260"/>
      <c r="AY1729" s="260"/>
      <c r="AZ1729" s="260"/>
      <c r="BA1729" s="260"/>
    </row>
    <row r="1730" spans="1:53" x14ac:dyDescent="0.25">
      <c r="A1730" s="258">
        <v>493</v>
      </c>
      <c r="B1730" s="257">
        <v>44922.510416666664</v>
      </c>
      <c r="C1730" s="255">
        <v>0.51388888888888895</v>
      </c>
      <c r="D1730" s="255">
        <v>0.51736111111111105</v>
      </c>
      <c r="E1730" s="255">
        <v>0.52083333333333337</v>
      </c>
      <c r="F1730" s="256" t="s">
        <v>170</v>
      </c>
      <c r="G1730" s="256" t="s">
        <v>276</v>
      </c>
      <c r="H1730" s="256" t="s">
        <v>187</v>
      </c>
      <c r="I1730" s="256" t="s">
        <v>73</v>
      </c>
      <c r="J1730" s="256" t="s">
        <v>37</v>
      </c>
      <c r="K1730" s="256" t="s">
        <v>63</v>
      </c>
      <c r="L1730" s="256" t="s">
        <v>212</v>
      </c>
      <c r="M1730" s="256" t="s">
        <v>4396</v>
      </c>
      <c r="N1730" s="256" t="s">
        <v>59</v>
      </c>
      <c r="O1730" s="256">
        <v>21222231723</v>
      </c>
      <c r="P1730" s="256">
        <v>5052017537</v>
      </c>
      <c r="Q1730" s="303">
        <f t="shared" si="151"/>
        <v>1</v>
      </c>
      <c r="R1730" s="303">
        <f t="shared" si="152"/>
        <v>51</v>
      </c>
      <c r="S1730" s="256">
        <v>0</v>
      </c>
      <c r="T1730" s="256">
        <v>0</v>
      </c>
      <c r="U1730" s="256">
        <v>1</v>
      </c>
      <c r="V1730" s="256">
        <v>51</v>
      </c>
      <c r="W1730" s="256">
        <v>49.65</v>
      </c>
      <c r="X1730" s="256">
        <v>80</v>
      </c>
      <c r="Y1730" s="256">
        <v>62</v>
      </c>
      <c r="Z1730" s="256">
        <v>44</v>
      </c>
      <c r="AA1730" s="256">
        <v>1</v>
      </c>
      <c r="AB1730" s="300">
        <f t="shared" si="153"/>
        <v>36.373333333333335</v>
      </c>
      <c r="AC1730" s="300">
        <f t="shared" si="154"/>
        <v>0.21911646586345382</v>
      </c>
      <c r="AD1730" s="256">
        <v>1786.9</v>
      </c>
      <c r="AE1730" s="256" t="s">
        <v>109</v>
      </c>
      <c r="AF1730" s="254" t="s">
        <v>317</v>
      </c>
      <c r="AG1730" s="256" t="s">
        <v>317</v>
      </c>
      <c r="AH1730" s="256" t="s">
        <v>4399</v>
      </c>
      <c r="AI1730" s="309"/>
      <c r="AJ1730" s="309"/>
      <c r="AK1730" s="256" t="s">
        <v>41</v>
      </c>
      <c r="AL1730" s="256" t="s">
        <v>39</v>
      </c>
      <c r="AM1730" s="299">
        <f t="shared" ca="1" si="150"/>
        <v>2.0729166666715173</v>
      </c>
      <c r="AN1730" s="259"/>
      <c r="AO1730" s="288" t="s">
        <v>70</v>
      </c>
      <c r="AP1730" s="275" t="s">
        <v>4396</v>
      </c>
      <c r="AQ1730" s="288" t="s">
        <v>4571</v>
      </c>
      <c r="AR1730" s="277">
        <v>44924.583333333336</v>
      </c>
      <c r="AS1730" s="288" t="s">
        <v>136</v>
      </c>
      <c r="AT1730" s="288" t="s">
        <v>225</v>
      </c>
      <c r="AU1730" s="276">
        <v>0.58333333333333337</v>
      </c>
      <c r="AV1730" s="288">
        <v>1</v>
      </c>
      <c r="AW1730" s="288" t="s">
        <v>66</v>
      </c>
      <c r="AX1730" s="260"/>
      <c r="AY1730" s="260"/>
      <c r="AZ1730" s="260"/>
      <c r="BA1730" s="260"/>
    </row>
    <row r="1731" spans="1:53" x14ac:dyDescent="0.25">
      <c r="A1731" s="258">
        <v>494</v>
      </c>
      <c r="B1731" s="257">
        <v>44922.541666666664</v>
      </c>
      <c r="C1731" s="255">
        <v>0.54513888888888895</v>
      </c>
      <c r="D1731" s="255">
        <v>0.54861111111111105</v>
      </c>
      <c r="E1731" s="255">
        <v>0.55208333333333337</v>
      </c>
      <c r="F1731" s="256" t="s">
        <v>169</v>
      </c>
      <c r="G1731" s="256" t="s">
        <v>4400</v>
      </c>
      <c r="H1731" s="249" t="s">
        <v>184</v>
      </c>
      <c r="I1731" s="249" t="s">
        <v>2905</v>
      </c>
      <c r="J1731" s="249" t="s">
        <v>41</v>
      </c>
      <c r="K1731" s="254" t="s">
        <v>82</v>
      </c>
      <c r="L1731" s="254" t="s">
        <v>220</v>
      </c>
      <c r="M1731" s="256" t="s">
        <v>4401</v>
      </c>
      <c r="N1731" s="256" t="s">
        <v>340</v>
      </c>
      <c r="O1731" s="256" t="s">
        <v>4402</v>
      </c>
      <c r="P1731" s="256">
        <v>4400141929</v>
      </c>
      <c r="Q1731" s="303">
        <f t="shared" si="151"/>
        <v>22</v>
      </c>
      <c r="R1731" s="303">
        <f t="shared" si="152"/>
        <v>178</v>
      </c>
      <c r="S1731" s="256">
        <v>22</v>
      </c>
      <c r="T1731" s="256">
        <v>178</v>
      </c>
      <c r="U1731" s="256">
        <v>0</v>
      </c>
      <c r="V1731" s="256">
        <v>0</v>
      </c>
      <c r="W1731" s="256">
        <v>177.8</v>
      </c>
      <c r="X1731" s="256">
        <v>61</v>
      </c>
      <c r="Y1731" s="256">
        <v>42</v>
      </c>
      <c r="Z1731" s="256">
        <v>42</v>
      </c>
      <c r="AA1731" s="256">
        <v>22</v>
      </c>
      <c r="AB1731" s="300">
        <f t="shared" si="153"/>
        <v>394.548</v>
      </c>
      <c r="AC1731" s="300">
        <f t="shared" si="154"/>
        <v>2.3767951807228918</v>
      </c>
      <c r="AD1731" s="256">
        <v>5819.1</v>
      </c>
      <c r="AE1731" s="256" t="s">
        <v>109</v>
      </c>
      <c r="AF1731" s="254">
        <v>6462392</v>
      </c>
      <c r="AG1731" s="256" t="s">
        <v>4403</v>
      </c>
      <c r="AH1731" s="256" t="s">
        <v>4404</v>
      </c>
      <c r="AI1731" s="309"/>
      <c r="AJ1731" s="309"/>
      <c r="AK1731" s="256" t="s">
        <v>48</v>
      </c>
      <c r="AL1731" s="256" t="s">
        <v>50</v>
      </c>
      <c r="AM1731" s="299">
        <f t="shared" ca="1" si="150"/>
        <v>1.0902777777810115</v>
      </c>
      <c r="AN1731" s="259"/>
      <c r="AO1731" s="274" t="s">
        <v>81</v>
      </c>
      <c r="AP1731" s="274" t="s">
        <v>4401</v>
      </c>
      <c r="AQ1731" s="274" t="s">
        <v>4480</v>
      </c>
      <c r="AR1731" s="277">
        <v>44923.631944444445</v>
      </c>
      <c r="AS1731" s="272" t="s">
        <v>483</v>
      </c>
      <c r="AT1731" s="274" t="s">
        <v>225</v>
      </c>
      <c r="AU1731" s="276">
        <v>0.63194444444444442</v>
      </c>
      <c r="AV1731" s="274">
        <v>2</v>
      </c>
      <c r="AW1731" s="274" t="s">
        <v>66</v>
      </c>
      <c r="AX1731" s="260"/>
      <c r="AY1731" s="260"/>
      <c r="AZ1731" s="260"/>
      <c r="BA1731" s="260"/>
    </row>
    <row r="1732" spans="1:53" x14ac:dyDescent="0.25">
      <c r="A1732" s="258">
        <v>495</v>
      </c>
      <c r="B1732" s="257">
        <v>44922.614583333336</v>
      </c>
      <c r="C1732" s="255">
        <v>0.61805555555555558</v>
      </c>
      <c r="D1732" s="255">
        <v>0.625</v>
      </c>
      <c r="E1732" s="255">
        <v>0.63888888888888895</v>
      </c>
      <c r="F1732" s="256" t="s">
        <v>169</v>
      </c>
      <c r="G1732" s="256" t="s">
        <v>381</v>
      </c>
      <c r="H1732" s="249" t="s">
        <v>257</v>
      </c>
      <c r="I1732" s="249" t="s">
        <v>258</v>
      </c>
      <c r="J1732" s="249" t="s">
        <v>41</v>
      </c>
      <c r="K1732" s="254" t="s">
        <v>241</v>
      </c>
      <c r="L1732" s="254" t="s">
        <v>284</v>
      </c>
      <c r="M1732" s="256" t="s">
        <v>4405</v>
      </c>
      <c r="N1732" s="256" t="s">
        <v>42</v>
      </c>
      <c r="O1732" s="256" t="s">
        <v>4406</v>
      </c>
      <c r="P1732" s="256" t="s">
        <v>4407</v>
      </c>
      <c r="Q1732" s="303">
        <f t="shared" si="151"/>
        <v>16</v>
      </c>
      <c r="R1732" s="303">
        <f t="shared" si="152"/>
        <v>210</v>
      </c>
      <c r="S1732" s="256">
        <v>16</v>
      </c>
      <c r="T1732" s="256">
        <v>210</v>
      </c>
      <c r="U1732" s="256">
        <v>0</v>
      </c>
      <c r="V1732" s="256">
        <v>0</v>
      </c>
      <c r="W1732" s="256">
        <v>210.7</v>
      </c>
      <c r="X1732" s="256">
        <v>65</v>
      </c>
      <c r="Y1732" s="256">
        <v>50</v>
      </c>
      <c r="Z1732" s="256">
        <v>30</v>
      </c>
      <c r="AA1732" s="256">
        <v>16</v>
      </c>
      <c r="AB1732" s="300">
        <f t="shared" si="153"/>
        <v>260</v>
      </c>
      <c r="AC1732" s="300">
        <f t="shared" si="154"/>
        <v>1.5662650602409638</v>
      </c>
      <c r="AD1732" s="256">
        <v>8852.1200000000008</v>
      </c>
      <c r="AE1732" s="256" t="s">
        <v>109</v>
      </c>
      <c r="AF1732" s="254" t="s">
        <v>4408</v>
      </c>
      <c r="AG1732" s="256" t="s">
        <v>4403</v>
      </c>
      <c r="AH1732" s="256" t="s">
        <v>4409</v>
      </c>
      <c r="AI1732" s="309"/>
      <c r="AJ1732" s="309"/>
      <c r="AK1732" s="256" t="s">
        <v>48</v>
      </c>
      <c r="AL1732" s="256" t="s">
        <v>56</v>
      </c>
      <c r="AM1732" s="299">
        <f t="shared" ca="1" si="150"/>
        <v>8.0381944444452529</v>
      </c>
      <c r="AN1732" s="259"/>
      <c r="AO1732" s="288" t="s">
        <v>127</v>
      </c>
      <c r="AP1732" s="275" t="s">
        <v>4405</v>
      </c>
      <c r="AQ1732" s="288" t="s">
        <v>4894</v>
      </c>
      <c r="AR1732" s="277">
        <v>44930.652777777781</v>
      </c>
      <c r="AS1732" s="276" t="s">
        <v>3968</v>
      </c>
      <c r="AT1732" s="288" t="s">
        <v>225</v>
      </c>
      <c r="AU1732" s="276">
        <v>0.65277777777777779</v>
      </c>
      <c r="AV1732" s="288">
        <v>1</v>
      </c>
      <c r="AW1732" s="288" t="s">
        <v>66</v>
      </c>
      <c r="AX1732" s="260"/>
      <c r="AY1732" s="260"/>
      <c r="AZ1732" s="260"/>
      <c r="BA1732" s="260"/>
    </row>
    <row r="1733" spans="1:53" x14ac:dyDescent="0.25">
      <c r="A1733" s="258">
        <v>496</v>
      </c>
      <c r="B1733" s="257">
        <v>44922.614583333336</v>
      </c>
      <c r="C1733" s="255">
        <v>0.61805555555555558</v>
      </c>
      <c r="D1733" s="255">
        <v>0.625</v>
      </c>
      <c r="E1733" s="255">
        <v>0.63888888888888895</v>
      </c>
      <c r="F1733" s="256" t="s">
        <v>169</v>
      </c>
      <c r="G1733" s="256" t="s">
        <v>381</v>
      </c>
      <c r="H1733" s="249" t="s">
        <v>257</v>
      </c>
      <c r="I1733" s="249" t="s">
        <v>258</v>
      </c>
      <c r="J1733" s="249" t="s">
        <v>41</v>
      </c>
      <c r="K1733" s="254" t="s">
        <v>241</v>
      </c>
      <c r="L1733" s="254" t="s">
        <v>284</v>
      </c>
      <c r="M1733" s="256" t="s">
        <v>4410</v>
      </c>
      <c r="N1733" s="256" t="s">
        <v>42</v>
      </c>
      <c r="O1733" s="256" t="s">
        <v>4411</v>
      </c>
      <c r="P1733" s="256">
        <v>4500119678</v>
      </c>
      <c r="Q1733" s="303">
        <f t="shared" si="151"/>
        <v>17</v>
      </c>
      <c r="R1733" s="303">
        <f t="shared" si="152"/>
        <v>298</v>
      </c>
      <c r="S1733" s="256">
        <v>17</v>
      </c>
      <c r="T1733" s="256">
        <v>298</v>
      </c>
      <c r="U1733" s="256">
        <v>0</v>
      </c>
      <c r="V1733" s="256">
        <v>0</v>
      </c>
      <c r="W1733" s="256">
        <v>300.64999999999998</v>
      </c>
      <c r="X1733" s="256">
        <v>60</v>
      </c>
      <c r="Y1733" s="256">
        <v>40</v>
      </c>
      <c r="Z1733" s="256">
        <v>29</v>
      </c>
      <c r="AA1733" s="256">
        <v>17</v>
      </c>
      <c r="AB1733" s="300">
        <f t="shared" si="153"/>
        <v>197.2</v>
      </c>
      <c r="AC1733" s="300">
        <f t="shared" si="154"/>
        <v>1.1879518072289157</v>
      </c>
      <c r="AD1733" s="256">
        <v>8776.25</v>
      </c>
      <c r="AE1733" s="256" t="s">
        <v>109</v>
      </c>
      <c r="AF1733" s="254" t="s">
        <v>4412</v>
      </c>
      <c r="AG1733" s="256" t="s">
        <v>4403</v>
      </c>
      <c r="AH1733" s="256" t="s">
        <v>4413</v>
      </c>
      <c r="AI1733" s="309"/>
      <c r="AJ1733" s="309"/>
      <c r="AK1733" s="256" t="s">
        <v>48</v>
      </c>
      <c r="AL1733" s="256" t="s">
        <v>56</v>
      </c>
      <c r="AM1733" s="299">
        <f t="shared" ca="1" si="150"/>
        <v>7.0138888888832298</v>
      </c>
      <c r="AN1733" s="259"/>
      <c r="AO1733" s="288" t="s">
        <v>137</v>
      </c>
      <c r="AP1733" s="275" t="s">
        <v>4410</v>
      </c>
      <c r="AQ1733" s="288" t="s">
        <v>4821</v>
      </c>
      <c r="AR1733" s="277">
        <v>44929.628472222219</v>
      </c>
      <c r="AS1733" s="276" t="s">
        <v>95</v>
      </c>
      <c r="AT1733" s="288" t="s">
        <v>225</v>
      </c>
      <c r="AU1733" s="276">
        <v>0.62847222222222221</v>
      </c>
      <c r="AV1733" s="288">
        <v>1</v>
      </c>
      <c r="AW1733" s="288" t="s">
        <v>66</v>
      </c>
      <c r="AX1733" s="260"/>
      <c r="AY1733" s="260"/>
      <c r="AZ1733" s="260"/>
      <c r="BA1733" s="260"/>
    </row>
    <row r="1734" spans="1:53" x14ac:dyDescent="0.25">
      <c r="A1734" s="268">
        <v>497</v>
      </c>
      <c r="B1734" s="267">
        <v>44922.625</v>
      </c>
      <c r="C1734" s="264">
        <v>0.63194444444444442</v>
      </c>
      <c r="D1734" s="264">
        <v>0.63888888888888895</v>
      </c>
      <c r="E1734" s="264">
        <v>0.65625</v>
      </c>
      <c r="F1734" s="265" t="s">
        <v>169</v>
      </c>
      <c r="G1734" s="265" t="s">
        <v>4416</v>
      </c>
      <c r="H1734" s="261" t="s">
        <v>197</v>
      </c>
      <c r="I1734" s="261" t="s">
        <v>418</v>
      </c>
      <c r="J1734" s="261" t="s">
        <v>37</v>
      </c>
      <c r="K1734" s="261" t="s">
        <v>233</v>
      </c>
      <c r="L1734" s="261" t="s">
        <v>419</v>
      </c>
      <c r="M1734" s="265" t="s">
        <v>4417</v>
      </c>
      <c r="N1734" s="265" t="s">
        <v>264</v>
      </c>
      <c r="O1734" s="265" t="s">
        <v>4418</v>
      </c>
      <c r="P1734" s="265" t="s">
        <v>4419</v>
      </c>
      <c r="Q1734" s="303">
        <f t="shared" si="151"/>
        <v>4</v>
      </c>
      <c r="R1734" s="303">
        <f t="shared" si="152"/>
        <v>91</v>
      </c>
      <c r="S1734" s="265">
        <v>2</v>
      </c>
      <c r="T1734" s="265">
        <v>50</v>
      </c>
      <c r="U1734" s="265">
        <v>2</v>
      </c>
      <c r="V1734" s="265">
        <v>41</v>
      </c>
      <c r="W1734" s="265">
        <v>93</v>
      </c>
      <c r="X1734" s="265">
        <v>76</v>
      </c>
      <c r="Y1734" s="265">
        <v>61</v>
      </c>
      <c r="Z1734" s="265">
        <v>61</v>
      </c>
      <c r="AA1734" s="265">
        <v>1</v>
      </c>
      <c r="AB1734" s="300">
        <f t="shared" si="153"/>
        <v>47.132666666666665</v>
      </c>
      <c r="AC1734" s="300">
        <f t="shared" si="154"/>
        <v>0.28393172690763052</v>
      </c>
      <c r="AD1734" s="265" t="s">
        <v>48</v>
      </c>
      <c r="AE1734" s="265" t="s">
        <v>48</v>
      </c>
      <c r="AF1734" s="265">
        <v>6456134</v>
      </c>
      <c r="AG1734" s="265" t="s">
        <v>4336</v>
      </c>
      <c r="AH1734" s="265" t="s">
        <v>4420</v>
      </c>
      <c r="AI1734" s="309"/>
      <c r="AJ1734" s="309"/>
      <c r="AK1734" s="265" t="s">
        <v>48</v>
      </c>
      <c r="AL1734" s="265" t="s">
        <v>58</v>
      </c>
      <c r="AM1734" s="299">
        <f t="shared" ca="1" si="150"/>
        <v>4.0625</v>
      </c>
      <c r="AN1734" s="269"/>
      <c r="AO1734" s="288" t="s">
        <v>347</v>
      </c>
      <c r="AP1734" s="275" t="s">
        <v>4417</v>
      </c>
      <c r="AQ1734" s="288" t="s">
        <v>4730</v>
      </c>
      <c r="AR1734" s="277">
        <v>44926.6875</v>
      </c>
      <c r="AS1734" s="288" t="s">
        <v>95</v>
      </c>
      <c r="AT1734" s="288" t="s">
        <v>225</v>
      </c>
      <c r="AU1734" s="59">
        <v>0.6875</v>
      </c>
      <c r="AV1734" s="288">
        <v>2</v>
      </c>
      <c r="AW1734" s="288" t="s">
        <v>66</v>
      </c>
      <c r="AX1734" s="270"/>
      <c r="AY1734" s="270"/>
      <c r="AZ1734" s="270"/>
      <c r="BA1734" s="270"/>
    </row>
    <row r="1735" spans="1:53" x14ac:dyDescent="0.25">
      <c r="A1735" s="312">
        <v>497</v>
      </c>
      <c r="B1735" s="267">
        <v>44922.625</v>
      </c>
      <c r="C1735" s="264">
        <v>0.63194444444444442</v>
      </c>
      <c r="D1735" s="264">
        <v>0.63888888888888895</v>
      </c>
      <c r="E1735" s="264">
        <v>0.65625</v>
      </c>
      <c r="F1735" s="265" t="s">
        <v>169</v>
      </c>
      <c r="G1735" s="265" t="s">
        <v>4416</v>
      </c>
      <c r="H1735" s="261" t="s">
        <v>197</v>
      </c>
      <c r="I1735" s="261" t="s">
        <v>418</v>
      </c>
      <c r="J1735" s="261" t="s">
        <v>37</v>
      </c>
      <c r="K1735" s="261" t="s">
        <v>233</v>
      </c>
      <c r="L1735" s="261" t="s">
        <v>419</v>
      </c>
      <c r="M1735" s="265" t="s">
        <v>4417</v>
      </c>
      <c r="N1735" s="265" t="s">
        <v>264</v>
      </c>
      <c r="O1735" s="265" t="s">
        <v>4418</v>
      </c>
      <c r="P1735" s="265" t="s">
        <v>4419</v>
      </c>
      <c r="Q1735" s="303">
        <f t="shared" si="151"/>
        <v>0</v>
      </c>
      <c r="R1735" s="303">
        <f t="shared" si="152"/>
        <v>0</v>
      </c>
      <c r="S1735" s="265">
        <v>0</v>
      </c>
      <c r="T1735" s="265">
        <v>0</v>
      </c>
      <c r="U1735" s="265">
        <v>0</v>
      </c>
      <c r="V1735" s="265">
        <v>0</v>
      </c>
      <c r="W1735" s="265">
        <v>0</v>
      </c>
      <c r="X1735" s="265">
        <v>91</v>
      </c>
      <c r="Y1735" s="265">
        <v>32</v>
      </c>
      <c r="Z1735" s="265">
        <v>33</v>
      </c>
      <c r="AA1735" s="265">
        <v>1</v>
      </c>
      <c r="AB1735" s="300">
        <f t="shared" si="153"/>
        <v>16.015999999999998</v>
      </c>
      <c r="AC1735" s="300">
        <f t="shared" si="154"/>
        <v>9.6481927710843365E-2</v>
      </c>
      <c r="AD1735" s="265">
        <v>0</v>
      </c>
      <c r="AE1735" s="265">
        <v>0</v>
      </c>
      <c r="AF1735" s="265">
        <v>6456134</v>
      </c>
      <c r="AG1735" s="265" t="s">
        <v>4336</v>
      </c>
      <c r="AH1735" s="265" t="s">
        <v>4420</v>
      </c>
      <c r="AI1735" s="309"/>
      <c r="AJ1735" s="309"/>
      <c r="AK1735" s="265" t="s">
        <v>48</v>
      </c>
      <c r="AL1735" s="265" t="s">
        <v>58</v>
      </c>
      <c r="AM1735" s="299">
        <f t="shared" ca="1" si="150"/>
        <v>4.0625</v>
      </c>
      <c r="AN1735" s="269"/>
      <c r="AO1735" s="288" t="s">
        <v>347</v>
      </c>
      <c r="AP1735" s="275" t="s">
        <v>4417</v>
      </c>
      <c r="AQ1735" s="288" t="s">
        <v>4730</v>
      </c>
      <c r="AR1735" s="277">
        <v>44926.6875</v>
      </c>
      <c r="AS1735" s="288" t="s">
        <v>95</v>
      </c>
      <c r="AT1735" s="288" t="s">
        <v>225</v>
      </c>
      <c r="AU1735" s="59">
        <v>0.6875</v>
      </c>
      <c r="AV1735" s="288">
        <v>2</v>
      </c>
      <c r="AW1735" s="288" t="s">
        <v>66</v>
      </c>
      <c r="AX1735" s="270"/>
      <c r="AY1735" s="270"/>
      <c r="AZ1735" s="270"/>
      <c r="BA1735" s="270"/>
    </row>
    <row r="1736" spans="1:53" x14ac:dyDescent="0.25">
      <c r="A1736" s="312">
        <v>497</v>
      </c>
      <c r="B1736" s="267">
        <v>44922.625</v>
      </c>
      <c r="C1736" s="264">
        <v>0.63194444444444442</v>
      </c>
      <c r="D1736" s="264">
        <v>0.63888888888888895</v>
      </c>
      <c r="E1736" s="264">
        <v>0.65625</v>
      </c>
      <c r="F1736" s="265" t="s">
        <v>169</v>
      </c>
      <c r="G1736" s="265" t="s">
        <v>4416</v>
      </c>
      <c r="H1736" s="261" t="s">
        <v>197</v>
      </c>
      <c r="I1736" s="261" t="s">
        <v>418</v>
      </c>
      <c r="J1736" s="261" t="s">
        <v>37</v>
      </c>
      <c r="K1736" s="261" t="s">
        <v>233</v>
      </c>
      <c r="L1736" s="261" t="s">
        <v>419</v>
      </c>
      <c r="M1736" s="265" t="s">
        <v>4417</v>
      </c>
      <c r="N1736" s="265" t="s">
        <v>264</v>
      </c>
      <c r="O1736" s="265" t="s">
        <v>4418</v>
      </c>
      <c r="P1736" s="265" t="s">
        <v>4419</v>
      </c>
      <c r="Q1736" s="303">
        <f t="shared" si="151"/>
        <v>0</v>
      </c>
      <c r="R1736" s="303">
        <f t="shared" si="152"/>
        <v>0</v>
      </c>
      <c r="S1736" s="265">
        <v>0</v>
      </c>
      <c r="T1736" s="265">
        <v>0</v>
      </c>
      <c r="U1736" s="265">
        <v>0</v>
      </c>
      <c r="V1736" s="265">
        <v>0</v>
      </c>
      <c r="W1736" s="265">
        <v>0</v>
      </c>
      <c r="X1736" s="265">
        <v>62</v>
      </c>
      <c r="Y1736" s="265">
        <v>67</v>
      </c>
      <c r="Z1736" s="265">
        <v>50</v>
      </c>
      <c r="AA1736" s="265">
        <v>1</v>
      </c>
      <c r="AB1736" s="300">
        <f t="shared" si="153"/>
        <v>34.616666666666667</v>
      </c>
      <c r="AC1736" s="300">
        <f t="shared" si="154"/>
        <v>0.20853413654618475</v>
      </c>
      <c r="AD1736" s="265">
        <v>0</v>
      </c>
      <c r="AE1736" s="265">
        <v>0</v>
      </c>
      <c r="AF1736" s="265">
        <v>6456134</v>
      </c>
      <c r="AG1736" s="265" t="s">
        <v>4336</v>
      </c>
      <c r="AH1736" s="265" t="s">
        <v>4420</v>
      </c>
      <c r="AI1736" s="309"/>
      <c r="AJ1736" s="309"/>
      <c r="AK1736" s="265" t="s">
        <v>41</v>
      </c>
      <c r="AL1736" s="265" t="s">
        <v>58</v>
      </c>
      <c r="AM1736" s="299">
        <f t="shared" ca="1" si="150"/>
        <v>4.0625</v>
      </c>
      <c r="AN1736" s="269"/>
      <c r="AO1736" s="288" t="s">
        <v>347</v>
      </c>
      <c r="AP1736" s="275" t="s">
        <v>4417</v>
      </c>
      <c r="AQ1736" s="288" t="s">
        <v>4730</v>
      </c>
      <c r="AR1736" s="277">
        <v>44926.6875</v>
      </c>
      <c r="AS1736" s="288" t="s">
        <v>95</v>
      </c>
      <c r="AT1736" s="288" t="s">
        <v>225</v>
      </c>
      <c r="AU1736" s="59">
        <v>0.6875</v>
      </c>
      <c r="AV1736" s="288">
        <v>2</v>
      </c>
      <c r="AW1736" s="288" t="s">
        <v>66</v>
      </c>
      <c r="AX1736" s="270"/>
      <c r="AY1736" s="270"/>
      <c r="AZ1736" s="270"/>
      <c r="BA1736" s="270"/>
    </row>
    <row r="1737" spans="1:53" x14ac:dyDescent="0.25">
      <c r="A1737" s="312">
        <v>497</v>
      </c>
      <c r="B1737" s="267">
        <v>44922.625</v>
      </c>
      <c r="C1737" s="264">
        <v>0.63194444444444442</v>
      </c>
      <c r="D1737" s="264">
        <v>0.63888888888888895</v>
      </c>
      <c r="E1737" s="264">
        <v>0.65625</v>
      </c>
      <c r="F1737" s="265" t="s">
        <v>169</v>
      </c>
      <c r="G1737" s="265" t="s">
        <v>4416</v>
      </c>
      <c r="H1737" s="261" t="s">
        <v>197</v>
      </c>
      <c r="I1737" s="261" t="s">
        <v>418</v>
      </c>
      <c r="J1737" s="261" t="s">
        <v>37</v>
      </c>
      <c r="K1737" s="261" t="s">
        <v>233</v>
      </c>
      <c r="L1737" s="261" t="s">
        <v>419</v>
      </c>
      <c r="M1737" s="265" t="s">
        <v>4417</v>
      </c>
      <c r="N1737" s="265" t="s">
        <v>264</v>
      </c>
      <c r="O1737" s="265" t="s">
        <v>4418</v>
      </c>
      <c r="P1737" s="265" t="s">
        <v>4419</v>
      </c>
      <c r="Q1737" s="303">
        <f t="shared" si="151"/>
        <v>0</v>
      </c>
      <c r="R1737" s="303">
        <f t="shared" si="152"/>
        <v>0</v>
      </c>
      <c r="S1737" s="265">
        <v>0</v>
      </c>
      <c r="T1737" s="265">
        <v>0</v>
      </c>
      <c r="U1737" s="265">
        <v>0</v>
      </c>
      <c r="V1737" s="265">
        <v>0</v>
      </c>
      <c r="W1737" s="265">
        <v>0</v>
      </c>
      <c r="X1737" s="265">
        <v>94</v>
      </c>
      <c r="Y1737" s="265">
        <v>72</v>
      </c>
      <c r="Z1737" s="265">
        <v>79</v>
      </c>
      <c r="AA1737" s="265">
        <v>1</v>
      </c>
      <c r="AB1737" s="300">
        <f t="shared" si="153"/>
        <v>89.111999999999995</v>
      </c>
      <c r="AC1737" s="300">
        <f t="shared" si="154"/>
        <v>0.53681927710843369</v>
      </c>
      <c r="AD1737" s="265">
        <v>0</v>
      </c>
      <c r="AE1737" s="265">
        <v>0</v>
      </c>
      <c r="AF1737" s="265">
        <v>6456134</v>
      </c>
      <c r="AG1737" s="265" t="s">
        <v>4336</v>
      </c>
      <c r="AH1737" s="265" t="s">
        <v>4420</v>
      </c>
      <c r="AI1737" s="309"/>
      <c r="AJ1737" s="309"/>
      <c r="AK1737" s="265" t="s">
        <v>37</v>
      </c>
      <c r="AL1737" s="265" t="s">
        <v>58</v>
      </c>
      <c r="AM1737" s="299">
        <f t="shared" ca="1" si="150"/>
        <v>4.0625</v>
      </c>
      <c r="AN1737" s="269"/>
      <c r="AO1737" s="288" t="s">
        <v>347</v>
      </c>
      <c r="AP1737" s="275" t="s">
        <v>4417</v>
      </c>
      <c r="AQ1737" s="288" t="s">
        <v>4730</v>
      </c>
      <c r="AR1737" s="277">
        <v>44926.6875</v>
      </c>
      <c r="AS1737" s="288" t="s">
        <v>95</v>
      </c>
      <c r="AT1737" s="288" t="s">
        <v>225</v>
      </c>
      <c r="AU1737" s="59">
        <v>0.6875</v>
      </c>
      <c r="AV1737" s="288">
        <v>2</v>
      </c>
      <c r="AW1737" s="288" t="s">
        <v>66</v>
      </c>
      <c r="AX1737" s="270"/>
      <c r="AY1737" s="270"/>
      <c r="AZ1737" s="270"/>
      <c r="BA1737" s="270"/>
    </row>
    <row r="1738" spans="1:53" x14ac:dyDescent="0.25">
      <c r="A1738" s="268">
        <v>498</v>
      </c>
      <c r="B1738" s="267">
        <v>44922.625</v>
      </c>
      <c r="C1738" s="264">
        <v>0.63194444444444442</v>
      </c>
      <c r="D1738" s="264">
        <v>0.63888888888888895</v>
      </c>
      <c r="E1738" s="264">
        <v>0.65625</v>
      </c>
      <c r="F1738" s="265" t="s">
        <v>169</v>
      </c>
      <c r="G1738" s="265" t="s">
        <v>4416</v>
      </c>
      <c r="H1738" s="261" t="s">
        <v>197</v>
      </c>
      <c r="I1738" s="261" t="s">
        <v>418</v>
      </c>
      <c r="J1738" s="261" t="s">
        <v>37</v>
      </c>
      <c r="K1738" s="261" t="s">
        <v>233</v>
      </c>
      <c r="L1738" s="261" t="s">
        <v>419</v>
      </c>
      <c r="M1738" s="265" t="s">
        <v>4417</v>
      </c>
      <c r="N1738" s="265" t="s">
        <v>264</v>
      </c>
      <c r="O1738" s="265" t="s">
        <v>4421</v>
      </c>
      <c r="P1738" s="265" t="s">
        <v>4422</v>
      </c>
      <c r="Q1738" s="303">
        <f t="shared" si="151"/>
        <v>5</v>
      </c>
      <c r="R1738" s="303">
        <f t="shared" si="152"/>
        <v>96</v>
      </c>
      <c r="S1738" s="265">
        <v>5</v>
      </c>
      <c r="T1738" s="265">
        <v>96</v>
      </c>
      <c r="U1738" s="265">
        <v>0</v>
      </c>
      <c r="V1738" s="265">
        <v>0</v>
      </c>
      <c r="W1738" s="265">
        <v>105</v>
      </c>
      <c r="X1738" s="265">
        <v>75</v>
      </c>
      <c r="Y1738" s="265">
        <v>61</v>
      </c>
      <c r="Z1738" s="265">
        <v>61</v>
      </c>
      <c r="AA1738" s="265">
        <v>2</v>
      </c>
      <c r="AB1738" s="300">
        <f t="shared" si="153"/>
        <v>93.025000000000006</v>
      </c>
      <c r="AC1738" s="300">
        <f t="shared" si="154"/>
        <v>0.56039156626506026</v>
      </c>
      <c r="AD1738" s="265" t="s">
        <v>48</v>
      </c>
      <c r="AE1738" s="265" t="s">
        <v>48</v>
      </c>
      <c r="AF1738" s="265">
        <v>6456145</v>
      </c>
      <c r="AG1738" s="265" t="s">
        <v>4336</v>
      </c>
      <c r="AH1738" s="265" t="s">
        <v>4423</v>
      </c>
      <c r="AI1738" s="309"/>
      <c r="AJ1738" s="309"/>
      <c r="AK1738" s="265" t="s">
        <v>48</v>
      </c>
      <c r="AL1738" s="265" t="s">
        <v>58</v>
      </c>
      <c r="AM1738" s="299">
        <f t="shared" ca="1" si="150"/>
        <v>4.0625</v>
      </c>
      <c r="AN1738" s="269"/>
      <c r="AO1738" s="288" t="s">
        <v>347</v>
      </c>
      <c r="AP1738" s="275" t="s">
        <v>4417</v>
      </c>
      <c r="AQ1738" s="288" t="s">
        <v>4730</v>
      </c>
      <c r="AR1738" s="277">
        <v>44926.6875</v>
      </c>
      <c r="AS1738" s="288" t="s">
        <v>95</v>
      </c>
      <c r="AT1738" s="288" t="s">
        <v>225</v>
      </c>
      <c r="AU1738" s="59">
        <v>0.6875</v>
      </c>
      <c r="AV1738" s="288">
        <v>2</v>
      </c>
      <c r="AW1738" s="288" t="s">
        <v>66</v>
      </c>
      <c r="AX1738" s="270"/>
      <c r="AY1738" s="270"/>
      <c r="AZ1738" s="270"/>
      <c r="BA1738" s="270"/>
    </row>
    <row r="1739" spans="1:53" x14ac:dyDescent="0.25">
      <c r="A1739" s="312">
        <v>498</v>
      </c>
      <c r="B1739" s="267">
        <v>44922.625</v>
      </c>
      <c r="C1739" s="264">
        <v>0.63194444444444442</v>
      </c>
      <c r="D1739" s="264">
        <v>0.63888888888888895</v>
      </c>
      <c r="E1739" s="264">
        <v>0.65625</v>
      </c>
      <c r="F1739" s="265" t="s">
        <v>169</v>
      </c>
      <c r="G1739" s="265" t="s">
        <v>4416</v>
      </c>
      <c r="H1739" s="261" t="s">
        <v>197</v>
      </c>
      <c r="I1739" s="261" t="s">
        <v>418</v>
      </c>
      <c r="J1739" s="261" t="s">
        <v>37</v>
      </c>
      <c r="K1739" s="261" t="s">
        <v>233</v>
      </c>
      <c r="L1739" s="261" t="s">
        <v>419</v>
      </c>
      <c r="M1739" s="265" t="s">
        <v>4417</v>
      </c>
      <c r="N1739" s="265" t="s">
        <v>264</v>
      </c>
      <c r="O1739" s="265" t="s">
        <v>4421</v>
      </c>
      <c r="P1739" s="265" t="s">
        <v>4422</v>
      </c>
      <c r="Q1739" s="303">
        <f t="shared" si="151"/>
        <v>0</v>
      </c>
      <c r="R1739" s="303">
        <f t="shared" si="152"/>
        <v>0</v>
      </c>
      <c r="S1739" s="265">
        <v>0</v>
      </c>
      <c r="T1739" s="265">
        <v>0</v>
      </c>
      <c r="U1739" s="265">
        <v>0</v>
      </c>
      <c r="V1739" s="265">
        <v>0</v>
      </c>
      <c r="W1739" s="265">
        <v>0</v>
      </c>
      <c r="X1739" s="265">
        <v>94</v>
      </c>
      <c r="Y1739" s="265">
        <v>28</v>
      </c>
      <c r="Z1739" s="265">
        <v>21</v>
      </c>
      <c r="AA1739" s="265">
        <v>1</v>
      </c>
      <c r="AB1739" s="300">
        <f t="shared" si="153"/>
        <v>9.2119999999999997</v>
      </c>
      <c r="AC1739" s="300">
        <f t="shared" si="154"/>
        <v>5.5493975903614455E-2</v>
      </c>
      <c r="AD1739" s="265">
        <v>0</v>
      </c>
      <c r="AE1739" s="265">
        <v>0</v>
      </c>
      <c r="AF1739" s="265">
        <v>6456145</v>
      </c>
      <c r="AG1739" s="265" t="s">
        <v>4336</v>
      </c>
      <c r="AH1739" s="265" t="s">
        <v>4423</v>
      </c>
      <c r="AI1739" s="309"/>
      <c r="AJ1739" s="309"/>
      <c r="AK1739" s="265" t="s">
        <v>48</v>
      </c>
      <c r="AL1739" s="265" t="s">
        <v>58</v>
      </c>
      <c r="AM1739" s="299">
        <f t="shared" ca="1" si="150"/>
        <v>4.0625</v>
      </c>
      <c r="AN1739" s="269"/>
      <c r="AO1739" s="288" t="s">
        <v>347</v>
      </c>
      <c r="AP1739" s="275" t="s">
        <v>4417</v>
      </c>
      <c r="AQ1739" s="288" t="s">
        <v>4730</v>
      </c>
      <c r="AR1739" s="277">
        <v>44926.6875</v>
      </c>
      <c r="AS1739" s="288" t="s">
        <v>95</v>
      </c>
      <c r="AT1739" s="288" t="s">
        <v>225</v>
      </c>
      <c r="AU1739" s="59">
        <v>0.6875</v>
      </c>
      <c r="AV1739" s="288">
        <v>2</v>
      </c>
      <c r="AW1739" s="288" t="s">
        <v>66</v>
      </c>
      <c r="AX1739" s="270"/>
      <c r="AY1739" s="270"/>
      <c r="AZ1739" s="270"/>
      <c r="BA1739" s="270"/>
    </row>
    <row r="1740" spans="1:53" x14ac:dyDescent="0.25">
      <c r="A1740" s="312">
        <v>498</v>
      </c>
      <c r="B1740" s="267">
        <v>44922.625</v>
      </c>
      <c r="C1740" s="264">
        <v>0.63194444444444442</v>
      </c>
      <c r="D1740" s="264">
        <v>0.63888888888888895</v>
      </c>
      <c r="E1740" s="264">
        <v>0.65625</v>
      </c>
      <c r="F1740" s="265" t="s">
        <v>169</v>
      </c>
      <c r="G1740" s="265" t="s">
        <v>4416</v>
      </c>
      <c r="H1740" s="261" t="s">
        <v>197</v>
      </c>
      <c r="I1740" s="261" t="s">
        <v>418</v>
      </c>
      <c r="J1740" s="261" t="s">
        <v>37</v>
      </c>
      <c r="K1740" s="261" t="s">
        <v>233</v>
      </c>
      <c r="L1740" s="261" t="s">
        <v>419</v>
      </c>
      <c r="M1740" s="265" t="s">
        <v>4417</v>
      </c>
      <c r="N1740" s="265" t="s">
        <v>264</v>
      </c>
      <c r="O1740" s="265" t="s">
        <v>4421</v>
      </c>
      <c r="P1740" s="265" t="s">
        <v>4422</v>
      </c>
      <c r="Q1740" s="303">
        <f t="shared" si="151"/>
        <v>0</v>
      </c>
      <c r="R1740" s="303">
        <f t="shared" si="152"/>
        <v>0</v>
      </c>
      <c r="S1740" s="265">
        <v>0</v>
      </c>
      <c r="T1740" s="265">
        <v>0</v>
      </c>
      <c r="U1740" s="265">
        <v>0</v>
      </c>
      <c r="V1740" s="265">
        <v>0</v>
      </c>
      <c r="W1740" s="265">
        <v>0</v>
      </c>
      <c r="X1740" s="265">
        <v>77</v>
      </c>
      <c r="Y1740" s="265">
        <v>54</v>
      </c>
      <c r="Z1740" s="265">
        <v>43</v>
      </c>
      <c r="AA1740" s="265">
        <v>1</v>
      </c>
      <c r="AB1740" s="300">
        <f t="shared" si="153"/>
        <v>29.798999999999999</v>
      </c>
      <c r="AC1740" s="300">
        <f t="shared" si="154"/>
        <v>0.17951204819277108</v>
      </c>
      <c r="AD1740" s="265">
        <v>0</v>
      </c>
      <c r="AE1740" s="265">
        <v>0</v>
      </c>
      <c r="AF1740" s="265">
        <v>6456145</v>
      </c>
      <c r="AG1740" s="265" t="s">
        <v>4336</v>
      </c>
      <c r="AH1740" s="265" t="s">
        <v>4423</v>
      </c>
      <c r="AI1740" s="309"/>
      <c r="AJ1740" s="309"/>
      <c r="AK1740" s="265" t="s">
        <v>48</v>
      </c>
      <c r="AL1740" s="265" t="s">
        <v>58</v>
      </c>
      <c r="AM1740" s="299">
        <f t="shared" ca="1" si="150"/>
        <v>4.0625</v>
      </c>
      <c r="AN1740" s="269"/>
      <c r="AO1740" s="288" t="s">
        <v>347</v>
      </c>
      <c r="AP1740" s="275" t="s">
        <v>4417</v>
      </c>
      <c r="AQ1740" s="288" t="s">
        <v>4730</v>
      </c>
      <c r="AR1740" s="277">
        <v>44926.6875</v>
      </c>
      <c r="AS1740" s="288" t="s">
        <v>95</v>
      </c>
      <c r="AT1740" s="288" t="s">
        <v>225</v>
      </c>
      <c r="AU1740" s="59">
        <v>0.6875</v>
      </c>
      <c r="AV1740" s="288">
        <v>2</v>
      </c>
      <c r="AW1740" s="288" t="s">
        <v>66</v>
      </c>
      <c r="AX1740" s="270"/>
      <c r="AY1740" s="270"/>
      <c r="AZ1740" s="270"/>
      <c r="BA1740" s="270"/>
    </row>
    <row r="1741" spans="1:53" x14ac:dyDescent="0.25">
      <c r="A1741" s="312">
        <v>498</v>
      </c>
      <c r="B1741" s="267">
        <v>44922.625</v>
      </c>
      <c r="C1741" s="264">
        <v>0.63194444444444442</v>
      </c>
      <c r="D1741" s="264">
        <v>0.63888888888888895</v>
      </c>
      <c r="E1741" s="264">
        <v>0.65625</v>
      </c>
      <c r="F1741" s="265" t="s">
        <v>169</v>
      </c>
      <c r="G1741" s="265" t="s">
        <v>4416</v>
      </c>
      <c r="H1741" s="261" t="s">
        <v>197</v>
      </c>
      <c r="I1741" s="261" t="s">
        <v>418</v>
      </c>
      <c r="J1741" s="261" t="s">
        <v>37</v>
      </c>
      <c r="K1741" s="261" t="s">
        <v>233</v>
      </c>
      <c r="L1741" s="261" t="s">
        <v>419</v>
      </c>
      <c r="M1741" s="265" t="s">
        <v>4417</v>
      </c>
      <c r="N1741" s="265" t="s">
        <v>264</v>
      </c>
      <c r="O1741" s="265" t="s">
        <v>4421</v>
      </c>
      <c r="P1741" s="265" t="s">
        <v>4422</v>
      </c>
      <c r="Q1741" s="303">
        <f t="shared" si="151"/>
        <v>0</v>
      </c>
      <c r="R1741" s="303">
        <f t="shared" si="152"/>
        <v>0</v>
      </c>
      <c r="S1741" s="265">
        <v>0</v>
      </c>
      <c r="T1741" s="265">
        <v>0</v>
      </c>
      <c r="U1741" s="265">
        <v>0</v>
      </c>
      <c r="V1741" s="265">
        <v>0</v>
      </c>
      <c r="W1741" s="265">
        <v>0</v>
      </c>
      <c r="X1741" s="265">
        <v>73</v>
      </c>
      <c r="Y1741" s="265">
        <v>63</v>
      </c>
      <c r="Z1741" s="265">
        <v>34</v>
      </c>
      <c r="AA1741" s="265">
        <v>1</v>
      </c>
      <c r="AB1741" s="300">
        <f t="shared" si="153"/>
        <v>26.061</v>
      </c>
      <c r="AC1741" s="300">
        <f t="shared" si="154"/>
        <v>0.15699397590361447</v>
      </c>
      <c r="AD1741" s="265">
        <v>0</v>
      </c>
      <c r="AE1741" s="265">
        <v>0</v>
      </c>
      <c r="AF1741" s="265">
        <v>6456145</v>
      </c>
      <c r="AG1741" s="265" t="s">
        <v>4336</v>
      </c>
      <c r="AH1741" s="265" t="s">
        <v>4423</v>
      </c>
      <c r="AI1741" s="309"/>
      <c r="AJ1741" s="309"/>
      <c r="AK1741" s="265" t="s">
        <v>48</v>
      </c>
      <c r="AL1741" s="265" t="s">
        <v>58</v>
      </c>
      <c r="AM1741" s="299">
        <f t="shared" ca="1" si="150"/>
        <v>4.0625</v>
      </c>
      <c r="AN1741" s="269"/>
      <c r="AO1741" s="288" t="s">
        <v>347</v>
      </c>
      <c r="AP1741" s="275" t="s">
        <v>4417</v>
      </c>
      <c r="AQ1741" s="288" t="s">
        <v>4730</v>
      </c>
      <c r="AR1741" s="277">
        <v>44926.6875</v>
      </c>
      <c r="AS1741" s="288" t="s">
        <v>95</v>
      </c>
      <c r="AT1741" s="288" t="s">
        <v>225</v>
      </c>
      <c r="AU1741" s="59">
        <v>0.6875</v>
      </c>
      <c r="AV1741" s="288">
        <v>2</v>
      </c>
      <c r="AW1741" s="288" t="s">
        <v>66</v>
      </c>
      <c r="AX1741" s="270"/>
      <c r="AY1741" s="270"/>
      <c r="AZ1741" s="270"/>
      <c r="BA1741" s="270"/>
    </row>
    <row r="1742" spans="1:53" x14ac:dyDescent="0.25">
      <c r="A1742" s="268">
        <v>499</v>
      </c>
      <c r="B1742" s="267">
        <v>44922.649305555555</v>
      </c>
      <c r="C1742" s="264">
        <v>0.65277777777777779</v>
      </c>
      <c r="D1742" s="264">
        <v>0.65972222222222221</v>
      </c>
      <c r="E1742" s="264">
        <v>0.67708333333333337</v>
      </c>
      <c r="F1742" s="265" t="s">
        <v>171</v>
      </c>
      <c r="G1742" s="265" t="s">
        <v>2748</v>
      </c>
      <c r="H1742" s="261" t="s">
        <v>199</v>
      </c>
      <c r="I1742" s="261" t="s">
        <v>174</v>
      </c>
      <c r="J1742" s="261" t="s">
        <v>37</v>
      </c>
      <c r="K1742" s="263" t="s">
        <v>180</v>
      </c>
      <c r="L1742" s="266" t="s">
        <v>206</v>
      </c>
      <c r="M1742" s="265" t="s">
        <v>4424</v>
      </c>
      <c r="N1742" s="265" t="s">
        <v>42</v>
      </c>
      <c r="O1742" s="265">
        <v>274010882</v>
      </c>
      <c r="P1742" s="265" t="s">
        <v>4425</v>
      </c>
      <c r="Q1742" s="303">
        <f t="shared" si="151"/>
        <v>7</v>
      </c>
      <c r="R1742" s="303">
        <f t="shared" si="152"/>
        <v>1126</v>
      </c>
      <c r="S1742" s="265">
        <v>0</v>
      </c>
      <c r="T1742" s="265">
        <v>0</v>
      </c>
      <c r="U1742" s="265">
        <v>7</v>
      </c>
      <c r="V1742" s="265">
        <v>1126</v>
      </c>
      <c r="W1742" s="265">
        <v>1144.1500000000001</v>
      </c>
      <c r="X1742" s="265">
        <v>123</v>
      </c>
      <c r="Y1742" s="265">
        <v>83</v>
      </c>
      <c r="Z1742" s="265">
        <v>75</v>
      </c>
      <c r="AA1742" s="265">
        <v>7</v>
      </c>
      <c r="AB1742" s="300">
        <f t="shared" si="153"/>
        <v>893.28750000000002</v>
      </c>
      <c r="AC1742" s="300">
        <f t="shared" si="154"/>
        <v>5.3812500000000005</v>
      </c>
      <c r="AD1742" s="265">
        <v>29582.400000000001</v>
      </c>
      <c r="AE1742" s="265" t="s">
        <v>109</v>
      </c>
      <c r="AF1742" s="265" t="s">
        <v>4426</v>
      </c>
      <c r="AG1742" s="265" t="s">
        <v>4427</v>
      </c>
      <c r="AH1742" s="265" t="s">
        <v>4428</v>
      </c>
      <c r="AI1742" s="309"/>
      <c r="AJ1742" s="309"/>
      <c r="AK1742" s="265" t="s">
        <v>37</v>
      </c>
      <c r="AL1742" s="265" t="s">
        <v>54</v>
      </c>
      <c r="AM1742" s="299">
        <f t="shared" ca="1" si="150"/>
        <v>0.80555555555474712</v>
      </c>
      <c r="AN1742" s="269"/>
      <c r="AO1742" s="262" t="s">
        <v>232</v>
      </c>
      <c r="AP1742" s="251" t="s">
        <v>4424</v>
      </c>
      <c r="AQ1742" s="262" t="s">
        <v>4439</v>
      </c>
      <c r="AR1742" s="253">
        <v>44923.454861111109</v>
      </c>
      <c r="AS1742" s="262" t="s">
        <v>488</v>
      </c>
      <c r="AT1742" s="262" t="s">
        <v>225</v>
      </c>
      <c r="AU1742" s="252">
        <v>0.4548611111111111</v>
      </c>
      <c r="AV1742" s="262">
        <v>1</v>
      </c>
      <c r="AW1742" s="262" t="s">
        <v>66</v>
      </c>
      <c r="AX1742" s="270"/>
      <c r="AY1742" s="270"/>
      <c r="AZ1742" s="270"/>
      <c r="BA1742" s="270"/>
    </row>
    <row r="1743" spans="1:53" x14ac:dyDescent="0.25">
      <c r="A1743" s="268">
        <v>500</v>
      </c>
      <c r="B1743" s="267">
        <v>44922.649305555555</v>
      </c>
      <c r="C1743" s="264">
        <v>0.65277777777777779</v>
      </c>
      <c r="D1743" s="264">
        <v>0.66319444444444442</v>
      </c>
      <c r="E1743" s="264">
        <v>0.67708333333333337</v>
      </c>
      <c r="F1743" s="265" t="s">
        <v>171</v>
      </c>
      <c r="G1743" s="265" t="s">
        <v>552</v>
      </c>
      <c r="H1743" s="261" t="s">
        <v>199</v>
      </c>
      <c r="I1743" s="261" t="s">
        <v>174</v>
      </c>
      <c r="J1743" s="261" t="s">
        <v>37</v>
      </c>
      <c r="K1743" s="263" t="s">
        <v>180</v>
      </c>
      <c r="L1743" s="266" t="s">
        <v>206</v>
      </c>
      <c r="M1743" s="265" t="s">
        <v>4424</v>
      </c>
      <c r="N1743" s="265" t="s">
        <v>42</v>
      </c>
      <c r="O1743" s="265">
        <v>274010883</v>
      </c>
      <c r="P1743" s="265" t="s">
        <v>4429</v>
      </c>
      <c r="Q1743" s="303">
        <f t="shared" si="151"/>
        <v>17</v>
      </c>
      <c r="R1743" s="303">
        <f t="shared" si="152"/>
        <v>1057</v>
      </c>
      <c r="S1743" s="265">
        <v>12</v>
      </c>
      <c r="T1743" s="265">
        <v>190</v>
      </c>
      <c r="U1743" s="265">
        <v>5</v>
      </c>
      <c r="V1743" s="265">
        <v>867</v>
      </c>
      <c r="W1743" s="265">
        <v>1070.8</v>
      </c>
      <c r="X1743" s="265">
        <v>71</v>
      </c>
      <c r="Y1743" s="265">
        <v>37</v>
      </c>
      <c r="Z1743" s="265">
        <v>33</v>
      </c>
      <c r="AA1743" s="265">
        <v>7</v>
      </c>
      <c r="AB1743" s="300">
        <f t="shared" si="153"/>
        <v>101.1395</v>
      </c>
      <c r="AC1743" s="300">
        <f t="shared" si="154"/>
        <v>0.6092740963855422</v>
      </c>
      <c r="AD1743" s="265">
        <v>29716.84</v>
      </c>
      <c r="AE1743" s="265" t="s">
        <v>109</v>
      </c>
      <c r="AF1743" s="265" t="s">
        <v>4430</v>
      </c>
      <c r="AG1743" s="265" t="s">
        <v>4427</v>
      </c>
      <c r="AH1743" s="265" t="s">
        <v>4431</v>
      </c>
      <c r="AI1743" s="309"/>
      <c r="AJ1743" s="309"/>
      <c r="AK1743" s="265" t="s">
        <v>48</v>
      </c>
      <c r="AL1743" s="265" t="s">
        <v>50</v>
      </c>
      <c r="AM1743" s="299">
        <f t="shared" ca="1" si="150"/>
        <v>0.80555555555474712</v>
      </c>
      <c r="AN1743" s="269"/>
      <c r="AO1743" s="262" t="s">
        <v>232</v>
      </c>
      <c r="AP1743" s="251" t="s">
        <v>4424</v>
      </c>
      <c r="AQ1743" s="262" t="s">
        <v>4439</v>
      </c>
      <c r="AR1743" s="253">
        <v>44923.454861111109</v>
      </c>
      <c r="AS1743" s="262" t="s">
        <v>488</v>
      </c>
      <c r="AT1743" s="262" t="s">
        <v>225</v>
      </c>
      <c r="AU1743" s="252">
        <v>0.4548611111111111</v>
      </c>
      <c r="AV1743" s="262">
        <v>1</v>
      </c>
      <c r="AW1743" s="262" t="s">
        <v>66</v>
      </c>
      <c r="AX1743" s="270"/>
      <c r="AY1743" s="270"/>
      <c r="AZ1743" s="270"/>
      <c r="BA1743" s="270"/>
    </row>
    <row r="1744" spans="1:53" x14ac:dyDescent="0.25">
      <c r="A1744" s="312">
        <v>500</v>
      </c>
      <c r="B1744" s="267">
        <v>44922.649305555555</v>
      </c>
      <c r="C1744" s="264">
        <v>0.65277777777777779</v>
      </c>
      <c r="D1744" s="264">
        <v>0.66319444444444442</v>
      </c>
      <c r="E1744" s="264">
        <v>0.67708333333333337</v>
      </c>
      <c r="F1744" s="265" t="s">
        <v>171</v>
      </c>
      <c r="G1744" s="265" t="s">
        <v>552</v>
      </c>
      <c r="H1744" s="261" t="s">
        <v>199</v>
      </c>
      <c r="I1744" s="261" t="s">
        <v>174</v>
      </c>
      <c r="J1744" s="261" t="s">
        <v>37</v>
      </c>
      <c r="K1744" s="263" t="s">
        <v>180</v>
      </c>
      <c r="L1744" s="266" t="s">
        <v>206</v>
      </c>
      <c r="M1744" s="265" t="s">
        <v>4424</v>
      </c>
      <c r="N1744" s="265" t="s">
        <v>42</v>
      </c>
      <c r="O1744" s="265">
        <v>274010883</v>
      </c>
      <c r="P1744" s="265" t="s">
        <v>4429</v>
      </c>
      <c r="Q1744" s="303">
        <f t="shared" si="151"/>
        <v>0</v>
      </c>
      <c r="R1744" s="303">
        <f t="shared" si="152"/>
        <v>0</v>
      </c>
      <c r="S1744" s="265">
        <v>0</v>
      </c>
      <c r="T1744" s="265">
        <v>0</v>
      </c>
      <c r="U1744" s="265">
        <v>0</v>
      </c>
      <c r="V1744" s="265">
        <v>0</v>
      </c>
      <c r="W1744" s="265">
        <v>0</v>
      </c>
      <c r="X1744" s="265">
        <v>60</v>
      </c>
      <c r="Y1744" s="265">
        <v>40</v>
      </c>
      <c r="Z1744" s="265">
        <v>30</v>
      </c>
      <c r="AA1744" s="265">
        <v>5</v>
      </c>
      <c r="AB1744" s="300">
        <f t="shared" si="153"/>
        <v>60</v>
      </c>
      <c r="AC1744" s="300">
        <f t="shared" si="154"/>
        <v>0.36144578313253012</v>
      </c>
      <c r="AD1744" s="265">
        <v>0</v>
      </c>
      <c r="AE1744" s="265">
        <v>0</v>
      </c>
      <c r="AF1744" s="265" t="s">
        <v>4430</v>
      </c>
      <c r="AG1744" s="265" t="s">
        <v>4427</v>
      </c>
      <c r="AH1744" s="265" t="s">
        <v>4431</v>
      </c>
      <c r="AI1744" s="309"/>
      <c r="AJ1744" s="309"/>
      <c r="AK1744" s="265" t="s">
        <v>48</v>
      </c>
      <c r="AL1744" s="265" t="s">
        <v>50</v>
      </c>
      <c r="AM1744" s="299">
        <f t="shared" ca="1" si="150"/>
        <v>0.80555555555474712</v>
      </c>
      <c r="AN1744" s="269"/>
      <c r="AO1744" s="262" t="s">
        <v>232</v>
      </c>
      <c r="AP1744" s="251" t="s">
        <v>4424</v>
      </c>
      <c r="AQ1744" s="262" t="s">
        <v>4439</v>
      </c>
      <c r="AR1744" s="253">
        <v>44923.454861111109</v>
      </c>
      <c r="AS1744" s="262" t="s">
        <v>488</v>
      </c>
      <c r="AT1744" s="262" t="s">
        <v>225</v>
      </c>
      <c r="AU1744" s="252">
        <v>0.4548611111111111</v>
      </c>
      <c r="AV1744" s="262">
        <v>1</v>
      </c>
      <c r="AW1744" s="262" t="s">
        <v>66</v>
      </c>
      <c r="AX1744" s="270"/>
      <c r="AY1744" s="270"/>
      <c r="AZ1744" s="270"/>
      <c r="BA1744" s="270"/>
    </row>
    <row r="1745" spans="1:53" x14ac:dyDescent="0.25">
      <c r="A1745" s="312">
        <v>500</v>
      </c>
      <c r="B1745" s="267">
        <v>44922.649305555555</v>
      </c>
      <c r="C1745" s="264">
        <v>0.65277777777777779</v>
      </c>
      <c r="D1745" s="264">
        <v>0.66319444444444442</v>
      </c>
      <c r="E1745" s="264">
        <v>0.67708333333333337</v>
      </c>
      <c r="F1745" s="265" t="s">
        <v>171</v>
      </c>
      <c r="G1745" s="265" t="s">
        <v>552</v>
      </c>
      <c r="H1745" s="261" t="s">
        <v>199</v>
      </c>
      <c r="I1745" s="261" t="s">
        <v>174</v>
      </c>
      <c r="J1745" s="261" t="s">
        <v>37</v>
      </c>
      <c r="K1745" s="263" t="s">
        <v>180</v>
      </c>
      <c r="L1745" s="266" t="s">
        <v>206</v>
      </c>
      <c r="M1745" s="265" t="s">
        <v>4424</v>
      </c>
      <c r="N1745" s="265" t="s">
        <v>42</v>
      </c>
      <c r="O1745" s="265">
        <v>274010883</v>
      </c>
      <c r="P1745" s="265" t="s">
        <v>4429</v>
      </c>
      <c r="Q1745" s="303">
        <f t="shared" si="151"/>
        <v>0</v>
      </c>
      <c r="R1745" s="303">
        <f t="shared" si="152"/>
        <v>0</v>
      </c>
      <c r="S1745" s="265">
        <v>0</v>
      </c>
      <c r="T1745" s="265">
        <v>0</v>
      </c>
      <c r="U1745" s="265">
        <v>0</v>
      </c>
      <c r="V1745" s="265">
        <v>0</v>
      </c>
      <c r="W1745" s="265">
        <v>0</v>
      </c>
      <c r="X1745" s="265">
        <v>123</v>
      </c>
      <c r="Y1745" s="265">
        <v>83</v>
      </c>
      <c r="Z1745" s="265">
        <v>75</v>
      </c>
      <c r="AA1745" s="265">
        <v>5</v>
      </c>
      <c r="AB1745" s="300">
        <f t="shared" si="153"/>
        <v>638.0625</v>
      </c>
      <c r="AC1745" s="300">
        <f t="shared" si="154"/>
        <v>3.84375</v>
      </c>
      <c r="AD1745" s="265">
        <v>0</v>
      </c>
      <c r="AE1745" s="265">
        <v>0</v>
      </c>
      <c r="AF1745" s="265" t="s">
        <v>4430</v>
      </c>
      <c r="AG1745" s="265" t="s">
        <v>4427</v>
      </c>
      <c r="AH1745" s="265" t="s">
        <v>4431</v>
      </c>
      <c r="AI1745" s="309"/>
      <c r="AJ1745" s="309"/>
      <c r="AK1745" s="265" t="s">
        <v>37</v>
      </c>
      <c r="AL1745" s="265" t="s">
        <v>54</v>
      </c>
      <c r="AM1745" s="299">
        <f t="shared" ca="1" si="150"/>
        <v>0.80555555555474712</v>
      </c>
      <c r="AN1745" s="269"/>
      <c r="AO1745" s="262" t="s">
        <v>232</v>
      </c>
      <c r="AP1745" s="251" t="s">
        <v>4424</v>
      </c>
      <c r="AQ1745" s="262" t="s">
        <v>4439</v>
      </c>
      <c r="AR1745" s="253">
        <v>44923.454861111109</v>
      </c>
      <c r="AS1745" s="262" t="s">
        <v>488</v>
      </c>
      <c r="AT1745" s="262" t="s">
        <v>225</v>
      </c>
      <c r="AU1745" s="252">
        <v>0.4548611111111111</v>
      </c>
      <c r="AV1745" s="262">
        <v>1</v>
      </c>
      <c r="AW1745" s="262" t="s">
        <v>66</v>
      </c>
      <c r="AX1745" s="270"/>
      <c r="AY1745" s="270"/>
      <c r="AZ1745" s="270"/>
      <c r="BA1745" s="270"/>
    </row>
    <row r="1746" spans="1:53" x14ac:dyDescent="0.25">
      <c r="A1746" s="268">
        <v>501</v>
      </c>
      <c r="B1746" s="267">
        <v>44922.791666666664</v>
      </c>
      <c r="C1746" s="264">
        <v>0.79861111111111116</v>
      </c>
      <c r="D1746" s="264">
        <v>0.80208333333333337</v>
      </c>
      <c r="E1746" s="264">
        <v>0.80555555555555547</v>
      </c>
      <c r="F1746" s="265" t="s">
        <v>169</v>
      </c>
      <c r="G1746" s="265" t="s">
        <v>4432</v>
      </c>
      <c r="H1746" s="261" t="s">
        <v>312</v>
      </c>
      <c r="I1746" s="261" t="s">
        <v>312</v>
      </c>
      <c r="J1746" s="261" t="s">
        <v>37</v>
      </c>
      <c r="K1746" s="263" t="s">
        <v>233</v>
      </c>
      <c r="L1746" s="263" t="s">
        <v>306</v>
      </c>
      <c r="M1746" s="265" t="s">
        <v>4433</v>
      </c>
      <c r="N1746" s="265" t="s">
        <v>76</v>
      </c>
      <c r="O1746" s="265" t="s">
        <v>4434</v>
      </c>
      <c r="P1746" s="265" t="s">
        <v>1557</v>
      </c>
      <c r="Q1746" s="303">
        <f t="shared" si="151"/>
        <v>1</v>
      </c>
      <c r="R1746" s="303">
        <f t="shared" si="152"/>
        <v>8</v>
      </c>
      <c r="S1746" s="265">
        <v>1</v>
      </c>
      <c r="T1746" s="265">
        <v>8</v>
      </c>
      <c r="U1746" s="265">
        <v>0</v>
      </c>
      <c r="V1746" s="265">
        <v>0</v>
      </c>
      <c r="W1746" s="265">
        <v>7.4</v>
      </c>
      <c r="X1746" s="265">
        <v>64</v>
      </c>
      <c r="Y1746" s="265">
        <v>52</v>
      </c>
      <c r="Z1746" s="265">
        <v>18</v>
      </c>
      <c r="AA1746" s="265">
        <v>1</v>
      </c>
      <c r="AB1746" s="300">
        <f t="shared" si="153"/>
        <v>9.984</v>
      </c>
      <c r="AC1746" s="300">
        <f t="shared" si="154"/>
        <v>6.0144578313253011E-2</v>
      </c>
      <c r="AD1746" s="265">
        <v>73</v>
      </c>
      <c r="AE1746" s="265" t="s">
        <v>109</v>
      </c>
      <c r="AF1746" s="265">
        <v>6474263</v>
      </c>
      <c r="AG1746" s="265" t="s">
        <v>4403</v>
      </c>
      <c r="AH1746" s="265" t="s">
        <v>4435</v>
      </c>
      <c r="AI1746" s="309"/>
      <c r="AJ1746" s="309"/>
      <c r="AK1746" s="265" t="s">
        <v>48</v>
      </c>
      <c r="AL1746" s="265" t="s">
        <v>50</v>
      </c>
      <c r="AM1746" s="299">
        <f t="shared" ca="1" si="150"/>
        <v>6.8958333333357587</v>
      </c>
      <c r="AN1746" s="269"/>
      <c r="AO1746" s="288" t="s">
        <v>123</v>
      </c>
      <c r="AP1746" s="275" t="s">
        <v>4433</v>
      </c>
      <c r="AQ1746" s="288" t="s">
        <v>4823</v>
      </c>
      <c r="AR1746" s="277">
        <v>44929.6875</v>
      </c>
      <c r="AS1746" s="272" t="s">
        <v>811</v>
      </c>
      <c r="AT1746" s="288" t="s">
        <v>310</v>
      </c>
      <c r="AU1746" s="276">
        <v>0.6875</v>
      </c>
      <c r="AV1746" s="288">
        <v>1</v>
      </c>
      <c r="AW1746" s="288" t="s">
        <v>66</v>
      </c>
      <c r="AX1746" s="270"/>
      <c r="AY1746" s="270"/>
      <c r="AZ1746" s="270"/>
      <c r="BA1746" s="270"/>
    </row>
    <row r="1747" spans="1:53" x14ac:dyDescent="0.25">
      <c r="A1747" s="48">
        <v>502</v>
      </c>
      <c r="B1747" s="267">
        <v>44922.791666666664</v>
      </c>
      <c r="C1747" s="264">
        <v>0.79861111111111116</v>
      </c>
      <c r="D1747" s="264">
        <v>0.80208333333333337</v>
      </c>
      <c r="E1747" s="264">
        <v>0.80555555555555547</v>
      </c>
      <c r="F1747" s="265" t="s">
        <v>169</v>
      </c>
      <c r="G1747" s="265" t="s">
        <v>4432</v>
      </c>
      <c r="H1747" s="261" t="s">
        <v>312</v>
      </c>
      <c r="I1747" s="261" t="s">
        <v>312</v>
      </c>
      <c r="J1747" s="261" t="s">
        <v>37</v>
      </c>
      <c r="K1747" s="263" t="s">
        <v>233</v>
      </c>
      <c r="L1747" s="263" t="s">
        <v>306</v>
      </c>
      <c r="M1747" s="265" t="s">
        <v>4433</v>
      </c>
      <c r="N1747" s="265" t="s">
        <v>76</v>
      </c>
      <c r="O1747" s="37" t="s">
        <v>4436</v>
      </c>
      <c r="P1747" s="37" t="s">
        <v>4437</v>
      </c>
      <c r="Q1747" s="303">
        <f t="shared" si="151"/>
        <v>22</v>
      </c>
      <c r="R1747" s="303">
        <f t="shared" si="152"/>
        <v>169</v>
      </c>
      <c r="S1747" s="37">
        <v>22</v>
      </c>
      <c r="T1747" s="37">
        <v>169</v>
      </c>
      <c r="U1747" s="37">
        <v>0</v>
      </c>
      <c r="V1747" s="37">
        <v>0</v>
      </c>
      <c r="W1747" s="37">
        <v>162.80000000000001</v>
      </c>
      <c r="X1747" s="265">
        <v>64</v>
      </c>
      <c r="Y1747" s="265">
        <v>52</v>
      </c>
      <c r="Z1747" s="265">
        <v>18</v>
      </c>
      <c r="AA1747" s="37">
        <v>22</v>
      </c>
      <c r="AB1747" s="300">
        <f t="shared" si="153"/>
        <v>219.648</v>
      </c>
      <c r="AC1747" s="300">
        <f t="shared" si="154"/>
        <v>1.3231807228915662</v>
      </c>
      <c r="AD1747" s="37" t="s">
        <v>48</v>
      </c>
      <c r="AE1747" s="265" t="s">
        <v>48</v>
      </c>
      <c r="AF1747" s="37">
        <v>6484263</v>
      </c>
      <c r="AG1747" s="265" t="s">
        <v>4403</v>
      </c>
      <c r="AH1747" s="37" t="s">
        <v>4438</v>
      </c>
      <c r="AI1747" s="309"/>
      <c r="AJ1747" s="309"/>
      <c r="AK1747" s="265" t="s">
        <v>48</v>
      </c>
      <c r="AL1747" s="265" t="s">
        <v>50</v>
      </c>
      <c r="AM1747" s="299">
        <f t="shared" ca="1" si="150"/>
        <v>6.8958333333357587</v>
      </c>
      <c r="AN1747" s="51"/>
      <c r="AO1747" s="288" t="s">
        <v>123</v>
      </c>
      <c r="AP1747" s="275" t="s">
        <v>4433</v>
      </c>
      <c r="AQ1747" s="288" t="s">
        <v>4823</v>
      </c>
      <c r="AR1747" s="277">
        <v>44929.6875</v>
      </c>
      <c r="AS1747" s="272" t="s">
        <v>811</v>
      </c>
      <c r="AT1747" s="288" t="s">
        <v>310</v>
      </c>
      <c r="AU1747" s="276">
        <v>0.6875</v>
      </c>
      <c r="AV1747" s="288">
        <v>1</v>
      </c>
      <c r="AW1747" s="288" t="s">
        <v>66</v>
      </c>
      <c r="AX1747" s="52"/>
      <c r="AY1747" s="52"/>
      <c r="AZ1747" s="52"/>
      <c r="BA1747" s="52"/>
    </row>
    <row r="1748" spans="1:53" x14ac:dyDescent="0.25">
      <c r="A1748" s="284">
        <v>503</v>
      </c>
      <c r="B1748" s="283">
        <v>44923.381944444445</v>
      </c>
      <c r="C1748" s="279">
        <v>0.3888888888888889</v>
      </c>
      <c r="D1748" s="279">
        <v>0.39583333333333331</v>
      </c>
      <c r="E1748" s="279">
        <v>0.40277777777777773</v>
      </c>
      <c r="F1748" s="280" t="s">
        <v>171</v>
      </c>
      <c r="G1748" s="280" t="s">
        <v>136</v>
      </c>
      <c r="H1748" s="273" t="s">
        <v>342</v>
      </c>
      <c r="I1748" s="273" t="s">
        <v>342</v>
      </c>
      <c r="J1748" s="273" t="s">
        <v>37</v>
      </c>
      <c r="K1748" s="280" t="s">
        <v>180</v>
      </c>
      <c r="L1748" s="280">
        <v>0</v>
      </c>
      <c r="M1748" s="280" t="s">
        <v>4440</v>
      </c>
      <c r="N1748" s="280" t="s">
        <v>42</v>
      </c>
      <c r="O1748" s="280" t="s">
        <v>4441</v>
      </c>
      <c r="P1748" s="280" t="s">
        <v>3708</v>
      </c>
      <c r="Q1748" s="303">
        <f t="shared" si="151"/>
        <v>6</v>
      </c>
      <c r="R1748" s="303">
        <f t="shared" si="152"/>
        <v>3067</v>
      </c>
      <c r="S1748" s="280">
        <v>0</v>
      </c>
      <c r="T1748" s="280">
        <v>0</v>
      </c>
      <c r="U1748" s="280">
        <v>6</v>
      </c>
      <c r="V1748" s="280">
        <v>3067</v>
      </c>
      <c r="W1748" s="280">
        <v>3200</v>
      </c>
      <c r="X1748" s="280">
        <v>122</v>
      </c>
      <c r="Y1748" s="280">
        <v>64</v>
      </c>
      <c r="Z1748" s="280">
        <v>101</v>
      </c>
      <c r="AA1748" s="280">
        <v>2</v>
      </c>
      <c r="AB1748" s="300">
        <f t="shared" si="153"/>
        <v>262.86933333333332</v>
      </c>
      <c r="AC1748" s="300">
        <f t="shared" si="154"/>
        <v>1.5835502008032127</v>
      </c>
      <c r="AD1748" s="280">
        <v>22685.72</v>
      </c>
      <c r="AE1748" s="280" t="s">
        <v>109</v>
      </c>
      <c r="AF1748" s="280" t="s">
        <v>4442</v>
      </c>
      <c r="AG1748" s="280" t="s">
        <v>4403</v>
      </c>
      <c r="AH1748" s="280" t="s">
        <v>4443</v>
      </c>
      <c r="AI1748" s="309"/>
      <c r="AJ1748" s="309"/>
      <c r="AK1748" s="280" t="s">
        <v>37</v>
      </c>
      <c r="AL1748" s="280" t="s">
        <v>49</v>
      </c>
      <c r="AM1748" s="299">
        <f t="shared" ca="1" si="150"/>
        <v>7.2916666664241347E-2</v>
      </c>
      <c r="AN1748" s="285"/>
      <c r="AO1748" s="274" t="s">
        <v>107</v>
      </c>
      <c r="AP1748" s="275" t="s">
        <v>4440</v>
      </c>
      <c r="AQ1748" s="274" t="s">
        <v>4477</v>
      </c>
      <c r="AR1748" s="277">
        <v>44923.454861111109</v>
      </c>
      <c r="AS1748" s="272" t="s">
        <v>173</v>
      </c>
      <c r="AT1748" s="274" t="s">
        <v>225</v>
      </c>
      <c r="AU1748" s="276">
        <v>0.4548611111111111</v>
      </c>
      <c r="AV1748" s="274">
        <v>1</v>
      </c>
      <c r="AW1748" s="274" t="s">
        <v>66</v>
      </c>
      <c r="AX1748" s="286"/>
      <c r="AY1748" s="286"/>
      <c r="AZ1748" s="286"/>
      <c r="BA1748" s="286"/>
    </row>
    <row r="1749" spans="1:53" x14ac:dyDescent="0.25">
      <c r="A1749" s="312">
        <v>503</v>
      </c>
      <c r="B1749" s="283">
        <v>44923.381944444445</v>
      </c>
      <c r="C1749" s="279">
        <v>0.3888888888888889</v>
      </c>
      <c r="D1749" s="279">
        <v>0.39583333333333331</v>
      </c>
      <c r="E1749" s="279">
        <v>0.40277777777777773</v>
      </c>
      <c r="F1749" s="280" t="s">
        <v>171</v>
      </c>
      <c r="G1749" s="280" t="s">
        <v>136</v>
      </c>
      <c r="H1749" s="273" t="s">
        <v>342</v>
      </c>
      <c r="I1749" s="273" t="s">
        <v>342</v>
      </c>
      <c r="J1749" s="273" t="s">
        <v>37</v>
      </c>
      <c r="K1749" s="280" t="s">
        <v>180</v>
      </c>
      <c r="L1749" s="280">
        <v>0</v>
      </c>
      <c r="M1749" s="280" t="s">
        <v>4440</v>
      </c>
      <c r="N1749" s="280" t="s">
        <v>42</v>
      </c>
      <c r="O1749" s="280" t="s">
        <v>4441</v>
      </c>
      <c r="P1749" s="280" t="s">
        <v>3708</v>
      </c>
      <c r="Q1749" s="303">
        <f t="shared" si="151"/>
        <v>0</v>
      </c>
      <c r="R1749" s="303">
        <f t="shared" si="152"/>
        <v>0</v>
      </c>
      <c r="S1749" s="280">
        <v>0</v>
      </c>
      <c r="T1749" s="280">
        <v>0</v>
      </c>
      <c r="U1749" s="280">
        <v>0</v>
      </c>
      <c r="V1749" s="280">
        <v>0</v>
      </c>
      <c r="W1749" s="280">
        <v>0</v>
      </c>
      <c r="X1749" s="280">
        <v>99</v>
      </c>
      <c r="Y1749" s="280">
        <v>99</v>
      </c>
      <c r="Z1749" s="280">
        <v>75</v>
      </c>
      <c r="AA1749" s="280">
        <v>4</v>
      </c>
      <c r="AB1749" s="300">
        <f t="shared" si="153"/>
        <v>490.05</v>
      </c>
      <c r="AC1749" s="300">
        <f t="shared" si="154"/>
        <v>2.9521084337349399</v>
      </c>
      <c r="AD1749" s="280">
        <v>0</v>
      </c>
      <c r="AE1749" s="280">
        <v>0</v>
      </c>
      <c r="AF1749" s="280" t="s">
        <v>4442</v>
      </c>
      <c r="AG1749" s="280" t="s">
        <v>4403</v>
      </c>
      <c r="AH1749" s="280" t="s">
        <v>4443</v>
      </c>
      <c r="AI1749" s="309"/>
      <c r="AJ1749" s="309"/>
      <c r="AK1749" s="280" t="s">
        <v>37</v>
      </c>
      <c r="AL1749" s="280" t="s">
        <v>49</v>
      </c>
      <c r="AM1749" s="299">
        <f t="shared" ca="1" si="150"/>
        <v>7.2916666664241347E-2</v>
      </c>
      <c r="AN1749" s="285"/>
      <c r="AO1749" s="274" t="s">
        <v>107</v>
      </c>
      <c r="AP1749" s="275" t="s">
        <v>4440</v>
      </c>
      <c r="AQ1749" s="274" t="s">
        <v>4477</v>
      </c>
      <c r="AR1749" s="277">
        <v>44923.454861111109</v>
      </c>
      <c r="AS1749" s="272" t="s">
        <v>173</v>
      </c>
      <c r="AT1749" s="274" t="s">
        <v>225</v>
      </c>
      <c r="AU1749" s="276">
        <v>0.4548611111111111</v>
      </c>
      <c r="AV1749" s="274">
        <v>1</v>
      </c>
      <c r="AW1749" s="274" t="s">
        <v>66</v>
      </c>
      <c r="AX1749" s="286"/>
      <c r="AY1749" s="286"/>
      <c r="AZ1749" s="286"/>
      <c r="BA1749" s="286"/>
    </row>
    <row r="1750" spans="1:53" x14ac:dyDescent="0.25">
      <c r="A1750" s="284">
        <v>504</v>
      </c>
      <c r="B1750" s="283">
        <v>44923.381944444445</v>
      </c>
      <c r="C1750" s="279">
        <v>0.3888888888888889</v>
      </c>
      <c r="D1750" s="279">
        <v>0.39583333333333331</v>
      </c>
      <c r="E1750" s="279">
        <v>0.4201388888888889</v>
      </c>
      <c r="F1750" s="280" t="s">
        <v>171</v>
      </c>
      <c r="G1750" s="280" t="s">
        <v>136</v>
      </c>
      <c r="H1750" s="273" t="s">
        <v>342</v>
      </c>
      <c r="I1750" s="273" t="s">
        <v>342</v>
      </c>
      <c r="J1750" s="273" t="s">
        <v>37</v>
      </c>
      <c r="K1750" s="280" t="s">
        <v>180</v>
      </c>
      <c r="L1750" s="280">
        <v>0</v>
      </c>
      <c r="M1750" s="280" t="s">
        <v>4444</v>
      </c>
      <c r="N1750" s="280" t="s">
        <v>175</v>
      </c>
      <c r="O1750" s="280" t="s">
        <v>4445</v>
      </c>
      <c r="P1750" s="280">
        <v>29545469</v>
      </c>
      <c r="Q1750" s="303">
        <f t="shared" si="151"/>
        <v>6</v>
      </c>
      <c r="R1750" s="303">
        <f t="shared" si="152"/>
        <v>3409</v>
      </c>
      <c r="S1750" s="280">
        <v>0</v>
      </c>
      <c r="T1750" s="280">
        <v>0</v>
      </c>
      <c r="U1750" s="280">
        <v>6</v>
      </c>
      <c r="V1750" s="280">
        <v>3409</v>
      </c>
      <c r="W1750" s="280">
        <v>3600</v>
      </c>
      <c r="X1750" s="280">
        <v>99</v>
      </c>
      <c r="Y1750" s="280">
        <v>99</v>
      </c>
      <c r="Z1750" s="280">
        <v>75</v>
      </c>
      <c r="AA1750" s="280">
        <v>6</v>
      </c>
      <c r="AB1750" s="300">
        <f t="shared" si="153"/>
        <v>735.07500000000005</v>
      </c>
      <c r="AC1750" s="300">
        <f t="shared" si="154"/>
        <v>4.4281626506024097</v>
      </c>
      <c r="AD1750" s="280">
        <v>39749.760000000002</v>
      </c>
      <c r="AE1750" s="280" t="s">
        <v>109</v>
      </c>
      <c r="AF1750" s="280" t="s">
        <v>4446</v>
      </c>
      <c r="AG1750" s="280" t="s">
        <v>4403</v>
      </c>
      <c r="AH1750" s="280" t="s">
        <v>4447</v>
      </c>
      <c r="AI1750" s="309"/>
      <c r="AJ1750" s="309"/>
      <c r="AK1750" s="280" t="s">
        <v>37</v>
      </c>
      <c r="AL1750" s="280" t="s">
        <v>58</v>
      </c>
      <c r="AM1750" s="299">
        <f t="shared" ca="1" si="150"/>
        <v>0.13194444444525288</v>
      </c>
      <c r="AN1750" s="285" t="s">
        <v>4448</v>
      </c>
      <c r="AO1750" s="274" t="s">
        <v>181</v>
      </c>
      <c r="AP1750" s="275" t="s">
        <v>4444</v>
      </c>
      <c r="AQ1750" s="274" t="s">
        <v>4478</v>
      </c>
      <c r="AR1750" s="277">
        <v>44923.513888888891</v>
      </c>
      <c r="AS1750" s="272" t="s">
        <v>483</v>
      </c>
      <c r="AT1750" s="274" t="s">
        <v>225</v>
      </c>
      <c r="AU1750" s="276">
        <v>0.51388888888888895</v>
      </c>
      <c r="AV1750" s="274">
        <v>1</v>
      </c>
      <c r="AW1750" s="274" t="s">
        <v>66</v>
      </c>
      <c r="AX1750" s="286"/>
      <c r="AY1750" s="286"/>
      <c r="AZ1750" s="286"/>
      <c r="BA1750" s="286"/>
    </row>
    <row r="1751" spans="1:53" x14ac:dyDescent="0.25">
      <c r="A1751" s="284">
        <v>505</v>
      </c>
      <c r="B1751" s="283">
        <v>44923.5</v>
      </c>
      <c r="C1751" s="279">
        <v>0.50347222222222221</v>
      </c>
      <c r="D1751" s="279">
        <v>0.51388888888888895</v>
      </c>
      <c r="E1751" s="279">
        <v>0.53472222222222221</v>
      </c>
      <c r="F1751" s="280" t="s">
        <v>170</v>
      </c>
      <c r="G1751" s="280" t="s">
        <v>252</v>
      </c>
      <c r="H1751" s="273" t="s">
        <v>227</v>
      </c>
      <c r="I1751" s="273" t="s">
        <v>189</v>
      </c>
      <c r="J1751" s="273" t="s">
        <v>37</v>
      </c>
      <c r="K1751" s="278" t="s">
        <v>63</v>
      </c>
      <c r="L1751" s="282" t="s">
        <v>206</v>
      </c>
      <c r="M1751" s="280" t="s">
        <v>4449</v>
      </c>
      <c r="N1751" s="280" t="s">
        <v>43</v>
      </c>
      <c r="O1751" s="280" t="s">
        <v>4450</v>
      </c>
      <c r="P1751" s="280">
        <v>31785</v>
      </c>
      <c r="Q1751" s="303">
        <f t="shared" si="151"/>
        <v>2</v>
      </c>
      <c r="R1751" s="303">
        <f t="shared" si="152"/>
        <v>642</v>
      </c>
      <c r="S1751" s="280">
        <v>0</v>
      </c>
      <c r="T1751" s="280">
        <v>0</v>
      </c>
      <c r="U1751" s="280">
        <v>2</v>
      </c>
      <c r="V1751" s="281">
        <v>642</v>
      </c>
      <c r="W1751" s="281">
        <v>970</v>
      </c>
      <c r="X1751" s="280">
        <v>160</v>
      </c>
      <c r="Y1751" s="280">
        <v>138</v>
      </c>
      <c r="Z1751" s="280">
        <v>78</v>
      </c>
      <c r="AA1751" s="280">
        <v>1</v>
      </c>
      <c r="AB1751" s="300">
        <f t="shared" si="153"/>
        <v>287.04000000000002</v>
      </c>
      <c r="AC1751" s="300">
        <f t="shared" si="154"/>
        <v>1.7291566265060243</v>
      </c>
      <c r="AD1751" s="280" t="s">
        <v>48</v>
      </c>
      <c r="AE1751" s="280" t="s">
        <v>48</v>
      </c>
      <c r="AF1751" s="280" t="s">
        <v>317</v>
      </c>
      <c r="AG1751" s="280" t="s">
        <v>317</v>
      </c>
      <c r="AH1751" s="280" t="s">
        <v>4451</v>
      </c>
      <c r="AI1751" s="309"/>
      <c r="AJ1751" s="309"/>
      <c r="AK1751" s="280" t="s">
        <v>37</v>
      </c>
      <c r="AL1751" s="280" t="s">
        <v>49</v>
      </c>
      <c r="AM1751" s="299">
        <f t="shared" ca="1" si="150"/>
        <v>1.0694444444452529</v>
      </c>
      <c r="AN1751" s="285"/>
      <c r="AO1751" s="288" t="s">
        <v>179</v>
      </c>
      <c r="AP1751" s="275" t="s">
        <v>4449</v>
      </c>
      <c r="AQ1751" s="288" t="s">
        <v>4569</v>
      </c>
      <c r="AR1751" s="277">
        <v>44924.569444444445</v>
      </c>
      <c r="AS1751" s="272" t="s">
        <v>173</v>
      </c>
      <c r="AT1751" s="288" t="s">
        <v>225</v>
      </c>
      <c r="AU1751" s="276">
        <v>0.56944444444444442</v>
      </c>
      <c r="AV1751" s="288">
        <v>1</v>
      </c>
      <c r="AW1751" s="288" t="s">
        <v>66</v>
      </c>
      <c r="AX1751" s="286"/>
      <c r="AY1751" s="286"/>
      <c r="AZ1751" s="286"/>
      <c r="BA1751" s="286"/>
    </row>
    <row r="1752" spans="1:53" x14ac:dyDescent="0.25">
      <c r="A1752" s="312">
        <v>505</v>
      </c>
      <c r="B1752" s="283">
        <v>44923.5</v>
      </c>
      <c r="C1752" s="279">
        <v>0.50347222222222221</v>
      </c>
      <c r="D1752" s="279">
        <v>0.51388888888888895</v>
      </c>
      <c r="E1752" s="279">
        <v>0.53472222222222221</v>
      </c>
      <c r="F1752" s="280" t="s">
        <v>170</v>
      </c>
      <c r="G1752" s="280" t="s">
        <v>252</v>
      </c>
      <c r="H1752" s="273" t="s">
        <v>227</v>
      </c>
      <c r="I1752" s="273" t="s">
        <v>189</v>
      </c>
      <c r="J1752" s="273" t="s">
        <v>37</v>
      </c>
      <c r="K1752" s="278" t="s">
        <v>63</v>
      </c>
      <c r="L1752" s="282" t="s">
        <v>206</v>
      </c>
      <c r="M1752" s="280" t="s">
        <v>4449</v>
      </c>
      <c r="N1752" s="280" t="s">
        <v>43</v>
      </c>
      <c r="O1752" s="280" t="s">
        <v>4450</v>
      </c>
      <c r="P1752" s="280">
        <v>31785</v>
      </c>
      <c r="Q1752" s="303">
        <f t="shared" si="151"/>
        <v>0</v>
      </c>
      <c r="R1752" s="303">
        <f t="shared" si="152"/>
        <v>0</v>
      </c>
      <c r="S1752" s="280">
        <v>0</v>
      </c>
      <c r="T1752" s="280">
        <v>0</v>
      </c>
      <c r="U1752" s="280">
        <v>0</v>
      </c>
      <c r="V1752" s="280">
        <v>0</v>
      </c>
      <c r="W1752" s="280">
        <v>0</v>
      </c>
      <c r="X1752" s="280">
        <v>163</v>
      </c>
      <c r="Y1752" s="280">
        <v>74</v>
      </c>
      <c r="Z1752" s="280">
        <v>80</v>
      </c>
      <c r="AA1752" s="280">
        <v>1</v>
      </c>
      <c r="AB1752" s="300">
        <f t="shared" si="153"/>
        <v>160.82666666666665</v>
      </c>
      <c r="AC1752" s="300">
        <f t="shared" si="154"/>
        <v>0.96883534136546179</v>
      </c>
      <c r="AD1752" s="280">
        <v>0</v>
      </c>
      <c r="AE1752" s="280">
        <v>0</v>
      </c>
      <c r="AF1752" s="280" t="s">
        <v>317</v>
      </c>
      <c r="AG1752" s="280" t="s">
        <v>317</v>
      </c>
      <c r="AH1752" s="280" t="s">
        <v>4451</v>
      </c>
      <c r="AI1752" s="309"/>
      <c r="AJ1752" s="309"/>
      <c r="AK1752" s="280" t="s">
        <v>37</v>
      </c>
      <c r="AL1752" s="280" t="s">
        <v>49</v>
      </c>
      <c r="AM1752" s="299">
        <f t="shared" ca="1" si="150"/>
        <v>1.0694444444452529</v>
      </c>
      <c r="AN1752" s="285"/>
      <c r="AO1752" s="288" t="s">
        <v>179</v>
      </c>
      <c r="AP1752" s="275" t="s">
        <v>4449</v>
      </c>
      <c r="AQ1752" s="288" t="s">
        <v>4569</v>
      </c>
      <c r="AR1752" s="277">
        <v>44924.569444444445</v>
      </c>
      <c r="AS1752" s="272" t="s">
        <v>173</v>
      </c>
      <c r="AT1752" s="288" t="s">
        <v>225</v>
      </c>
      <c r="AU1752" s="276">
        <v>0.56944444444444442</v>
      </c>
      <c r="AV1752" s="288">
        <v>1</v>
      </c>
      <c r="AW1752" s="288" t="s">
        <v>66</v>
      </c>
      <c r="AX1752" s="286"/>
      <c r="AY1752" s="286"/>
      <c r="AZ1752" s="286"/>
      <c r="BA1752" s="286"/>
    </row>
    <row r="1753" spans="1:53" x14ac:dyDescent="0.25">
      <c r="A1753" s="284">
        <v>506</v>
      </c>
      <c r="B1753" s="283">
        <v>44923.5</v>
      </c>
      <c r="C1753" s="279">
        <v>0.50347222222222221</v>
      </c>
      <c r="D1753" s="279">
        <v>0.51388888888888895</v>
      </c>
      <c r="E1753" s="279">
        <v>0.53472222222222221</v>
      </c>
      <c r="F1753" s="280" t="s">
        <v>170</v>
      </c>
      <c r="G1753" s="280" t="s">
        <v>252</v>
      </c>
      <c r="H1753" s="273" t="s">
        <v>227</v>
      </c>
      <c r="I1753" s="273" t="s">
        <v>189</v>
      </c>
      <c r="J1753" s="273" t="s">
        <v>37</v>
      </c>
      <c r="K1753" s="278" t="s">
        <v>63</v>
      </c>
      <c r="L1753" s="282" t="s">
        <v>206</v>
      </c>
      <c r="M1753" s="280" t="s">
        <v>4452</v>
      </c>
      <c r="N1753" s="280" t="s">
        <v>42</v>
      </c>
      <c r="O1753" s="280">
        <v>1166</v>
      </c>
      <c r="P1753" s="280">
        <v>4793</v>
      </c>
      <c r="Q1753" s="303">
        <f t="shared" si="151"/>
        <v>2</v>
      </c>
      <c r="R1753" s="303">
        <f t="shared" si="152"/>
        <v>29</v>
      </c>
      <c r="S1753" s="280">
        <v>2</v>
      </c>
      <c r="T1753" s="280">
        <v>29</v>
      </c>
      <c r="U1753" s="280">
        <v>0</v>
      </c>
      <c r="V1753" s="280">
        <v>0</v>
      </c>
      <c r="W1753" s="280">
        <v>12</v>
      </c>
      <c r="X1753" s="280">
        <v>40</v>
      </c>
      <c r="Y1753" s="280">
        <v>32</v>
      </c>
      <c r="Z1753" s="280">
        <v>11</v>
      </c>
      <c r="AA1753" s="280">
        <v>2</v>
      </c>
      <c r="AB1753" s="300">
        <f t="shared" si="153"/>
        <v>4.6933333333333334</v>
      </c>
      <c r="AC1753" s="300">
        <f t="shared" si="154"/>
        <v>2.8273092369477913E-2</v>
      </c>
      <c r="AD1753" s="280">
        <v>660.8</v>
      </c>
      <c r="AE1753" s="280" t="s">
        <v>109</v>
      </c>
      <c r="AF1753" s="280" t="s">
        <v>317</v>
      </c>
      <c r="AG1753" s="280" t="s">
        <v>317</v>
      </c>
      <c r="AH1753" s="280" t="s">
        <v>4453</v>
      </c>
      <c r="AI1753" s="309"/>
      <c r="AJ1753" s="309"/>
      <c r="AK1753" s="280" t="s">
        <v>48</v>
      </c>
      <c r="AL1753" s="280" t="s">
        <v>50</v>
      </c>
      <c r="AM1753" s="299">
        <f t="shared" ca="1" si="150"/>
        <v>1.0833333333357587</v>
      </c>
      <c r="AN1753" s="285"/>
      <c r="AO1753" s="288" t="s">
        <v>89</v>
      </c>
      <c r="AP1753" s="275" t="s">
        <v>4573</v>
      </c>
      <c r="AQ1753" s="288" t="s">
        <v>4574</v>
      </c>
      <c r="AR1753" s="277">
        <v>44924.583333333336</v>
      </c>
      <c r="AS1753" s="288" t="s">
        <v>136</v>
      </c>
      <c r="AT1753" s="288" t="s">
        <v>225</v>
      </c>
      <c r="AU1753" s="276">
        <v>0.58333333333333337</v>
      </c>
      <c r="AV1753" s="288">
        <v>1</v>
      </c>
      <c r="AW1753" s="288" t="s">
        <v>66</v>
      </c>
      <c r="AX1753" s="286"/>
      <c r="AY1753" s="286"/>
      <c r="AZ1753" s="286"/>
      <c r="BA1753" s="286"/>
    </row>
    <row r="1754" spans="1:53" x14ac:dyDescent="0.25">
      <c r="A1754" s="284">
        <v>507</v>
      </c>
      <c r="B1754" s="283">
        <v>44923.5</v>
      </c>
      <c r="C1754" s="279">
        <v>0.50347222222222221</v>
      </c>
      <c r="D1754" s="279">
        <v>0.51388888888888895</v>
      </c>
      <c r="E1754" s="279">
        <v>0.53472222222222221</v>
      </c>
      <c r="F1754" s="280" t="s">
        <v>170</v>
      </c>
      <c r="G1754" s="280" t="s">
        <v>252</v>
      </c>
      <c r="H1754" s="273" t="s">
        <v>227</v>
      </c>
      <c r="I1754" s="273" t="s">
        <v>189</v>
      </c>
      <c r="J1754" s="273" t="s">
        <v>37</v>
      </c>
      <c r="K1754" s="278" t="s">
        <v>63</v>
      </c>
      <c r="L1754" s="282" t="s">
        <v>206</v>
      </c>
      <c r="M1754" s="280" t="s">
        <v>4452</v>
      </c>
      <c r="N1754" s="280" t="s">
        <v>42</v>
      </c>
      <c r="O1754" s="280">
        <v>1165</v>
      </c>
      <c r="P1754" s="280">
        <v>3719</v>
      </c>
      <c r="Q1754" s="303">
        <f t="shared" si="151"/>
        <v>21</v>
      </c>
      <c r="R1754" s="303">
        <f t="shared" si="152"/>
        <v>375</v>
      </c>
      <c r="S1754" s="280">
        <v>21</v>
      </c>
      <c r="T1754" s="281">
        <v>375</v>
      </c>
      <c r="U1754" s="280">
        <v>0</v>
      </c>
      <c r="V1754" s="280">
        <v>0</v>
      </c>
      <c r="W1754" s="281">
        <v>213.03</v>
      </c>
      <c r="X1754" s="280">
        <v>83</v>
      </c>
      <c r="Y1754" s="280">
        <v>52</v>
      </c>
      <c r="Z1754" s="280">
        <v>63</v>
      </c>
      <c r="AA1754" s="280">
        <v>18</v>
      </c>
      <c r="AB1754" s="300">
        <f t="shared" si="153"/>
        <v>815.72400000000005</v>
      </c>
      <c r="AC1754" s="300">
        <f t="shared" si="154"/>
        <v>4.9140000000000006</v>
      </c>
      <c r="AD1754" s="280">
        <v>14954.14</v>
      </c>
      <c r="AE1754" s="280" t="s">
        <v>109</v>
      </c>
      <c r="AF1754" s="280" t="s">
        <v>317</v>
      </c>
      <c r="AG1754" s="280" t="s">
        <v>317</v>
      </c>
      <c r="AH1754" s="280" t="s">
        <v>4454</v>
      </c>
      <c r="AI1754" s="309"/>
      <c r="AJ1754" s="309"/>
      <c r="AK1754" s="280" t="s">
        <v>48</v>
      </c>
      <c r="AL1754" s="280" t="s">
        <v>50</v>
      </c>
      <c r="AM1754" s="299">
        <f t="shared" ca="1" si="150"/>
        <v>1.0833333333357587</v>
      </c>
      <c r="AN1754" s="285"/>
      <c r="AO1754" s="288" t="s">
        <v>89</v>
      </c>
      <c r="AP1754" s="275" t="s">
        <v>4573</v>
      </c>
      <c r="AQ1754" s="288" t="s">
        <v>4574</v>
      </c>
      <c r="AR1754" s="277">
        <v>44924.583333333336</v>
      </c>
      <c r="AS1754" s="288" t="s">
        <v>136</v>
      </c>
      <c r="AT1754" s="288" t="s">
        <v>225</v>
      </c>
      <c r="AU1754" s="276">
        <v>0.58333333333333337</v>
      </c>
      <c r="AV1754" s="288">
        <v>1</v>
      </c>
      <c r="AW1754" s="288" t="s">
        <v>66</v>
      </c>
      <c r="AX1754" s="286"/>
      <c r="AY1754" s="286"/>
      <c r="AZ1754" s="286"/>
      <c r="BA1754" s="286"/>
    </row>
    <row r="1755" spans="1:53" x14ac:dyDescent="0.25">
      <c r="A1755" s="312">
        <v>507</v>
      </c>
      <c r="B1755" s="283">
        <v>44923.5</v>
      </c>
      <c r="C1755" s="279">
        <v>0.50347222222222221</v>
      </c>
      <c r="D1755" s="279">
        <v>0.51388888888888895</v>
      </c>
      <c r="E1755" s="279">
        <v>0.53472222222222221</v>
      </c>
      <c r="F1755" s="280" t="s">
        <v>170</v>
      </c>
      <c r="G1755" s="280" t="s">
        <v>252</v>
      </c>
      <c r="H1755" s="273" t="s">
        <v>227</v>
      </c>
      <c r="I1755" s="273" t="s">
        <v>189</v>
      </c>
      <c r="J1755" s="273" t="s">
        <v>37</v>
      </c>
      <c r="K1755" s="278" t="s">
        <v>63</v>
      </c>
      <c r="L1755" s="282" t="s">
        <v>206</v>
      </c>
      <c r="M1755" s="280" t="s">
        <v>4452</v>
      </c>
      <c r="N1755" s="280" t="s">
        <v>42</v>
      </c>
      <c r="O1755" s="280">
        <v>1165</v>
      </c>
      <c r="P1755" s="280">
        <v>3719</v>
      </c>
      <c r="Q1755" s="303">
        <f t="shared" si="151"/>
        <v>0</v>
      </c>
      <c r="R1755" s="303">
        <f t="shared" si="152"/>
        <v>0</v>
      </c>
      <c r="S1755" s="280">
        <v>0</v>
      </c>
      <c r="T1755" s="280">
        <v>0</v>
      </c>
      <c r="U1755" s="280">
        <v>0</v>
      </c>
      <c r="V1755" s="280">
        <v>0</v>
      </c>
      <c r="W1755" s="280">
        <v>0</v>
      </c>
      <c r="X1755" s="280">
        <v>90</v>
      </c>
      <c r="Y1755" s="280">
        <v>35</v>
      </c>
      <c r="Z1755" s="280">
        <v>50</v>
      </c>
      <c r="AA1755" s="280">
        <v>3</v>
      </c>
      <c r="AB1755" s="300">
        <f t="shared" si="153"/>
        <v>78.75</v>
      </c>
      <c r="AC1755" s="300">
        <f t="shared" si="154"/>
        <v>0.4743975903614458</v>
      </c>
      <c r="AD1755" s="280">
        <v>0</v>
      </c>
      <c r="AE1755" s="280">
        <v>0</v>
      </c>
      <c r="AF1755" s="280" t="s">
        <v>317</v>
      </c>
      <c r="AG1755" s="280" t="s">
        <v>317</v>
      </c>
      <c r="AH1755" s="280" t="s">
        <v>4454</v>
      </c>
      <c r="AI1755" s="309"/>
      <c r="AJ1755" s="309"/>
      <c r="AK1755" s="280" t="s">
        <v>48</v>
      </c>
      <c r="AL1755" s="280" t="s">
        <v>50</v>
      </c>
      <c r="AM1755" s="299">
        <f t="shared" ca="1" si="150"/>
        <v>1.0833333333357587</v>
      </c>
      <c r="AN1755" s="285"/>
      <c r="AO1755" s="288" t="s">
        <v>89</v>
      </c>
      <c r="AP1755" s="275" t="s">
        <v>4573</v>
      </c>
      <c r="AQ1755" s="288" t="s">
        <v>4574</v>
      </c>
      <c r="AR1755" s="277">
        <v>44924.583333333336</v>
      </c>
      <c r="AS1755" s="288" t="s">
        <v>136</v>
      </c>
      <c r="AT1755" s="288" t="s">
        <v>225</v>
      </c>
      <c r="AU1755" s="276">
        <v>0.58333333333333337</v>
      </c>
      <c r="AV1755" s="288">
        <v>1</v>
      </c>
      <c r="AW1755" s="288" t="s">
        <v>66</v>
      </c>
      <c r="AX1755" s="286"/>
      <c r="AY1755" s="286"/>
      <c r="AZ1755" s="286"/>
      <c r="BA1755" s="286"/>
    </row>
    <row r="1756" spans="1:53" x14ac:dyDescent="0.25">
      <c r="A1756" s="284">
        <v>508</v>
      </c>
      <c r="B1756" s="283">
        <v>44923.506944444445</v>
      </c>
      <c r="C1756" s="279">
        <v>0.51388888888888895</v>
      </c>
      <c r="D1756" s="279">
        <v>0.52083333333333337</v>
      </c>
      <c r="E1756" s="279">
        <v>0.55208333333333337</v>
      </c>
      <c r="F1756" s="280" t="s">
        <v>170</v>
      </c>
      <c r="G1756" s="280" t="s">
        <v>2600</v>
      </c>
      <c r="H1756" s="273" t="s">
        <v>57</v>
      </c>
      <c r="I1756" s="273" t="s">
        <v>162</v>
      </c>
      <c r="J1756" s="273" t="s">
        <v>37</v>
      </c>
      <c r="K1756" s="278" t="s">
        <v>63</v>
      </c>
      <c r="L1756" s="273" t="s">
        <v>209</v>
      </c>
      <c r="M1756" s="280" t="s">
        <v>4455</v>
      </c>
      <c r="N1756" s="280" t="s">
        <v>158</v>
      </c>
      <c r="O1756" s="280" t="s">
        <v>4456</v>
      </c>
      <c r="P1756" s="280">
        <v>81986286</v>
      </c>
      <c r="Q1756" s="303">
        <f t="shared" si="151"/>
        <v>1</v>
      </c>
      <c r="R1756" s="303">
        <f t="shared" si="152"/>
        <v>427</v>
      </c>
      <c r="S1756" s="280">
        <v>0</v>
      </c>
      <c r="T1756" s="280">
        <v>0</v>
      </c>
      <c r="U1756" s="280">
        <v>1</v>
      </c>
      <c r="V1756" s="280">
        <v>427</v>
      </c>
      <c r="W1756" s="280">
        <v>423</v>
      </c>
      <c r="X1756" s="280">
        <v>148</v>
      </c>
      <c r="Y1756" s="280">
        <v>84</v>
      </c>
      <c r="Z1756" s="280">
        <v>77</v>
      </c>
      <c r="AA1756" s="280">
        <v>1</v>
      </c>
      <c r="AB1756" s="300">
        <f t="shared" si="153"/>
        <v>159.54400000000001</v>
      </c>
      <c r="AC1756" s="300">
        <f t="shared" si="154"/>
        <v>0.96110843373493982</v>
      </c>
      <c r="AD1756" s="280">
        <v>2546.79</v>
      </c>
      <c r="AE1756" s="280" t="s">
        <v>109</v>
      </c>
      <c r="AF1756" s="280" t="s">
        <v>317</v>
      </c>
      <c r="AG1756" s="280" t="s">
        <v>317</v>
      </c>
      <c r="AH1756" s="280" t="s">
        <v>4457</v>
      </c>
      <c r="AI1756" s="309"/>
      <c r="AJ1756" s="309"/>
      <c r="AK1756" s="280" t="s">
        <v>37</v>
      </c>
      <c r="AL1756" s="280" t="s">
        <v>39</v>
      </c>
      <c r="AM1756" s="299">
        <f t="shared" ca="1" si="150"/>
        <v>1.9895833333357587</v>
      </c>
      <c r="AN1756" s="285"/>
      <c r="AO1756" s="288" t="s">
        <v>159</v>
      </c>
      <c r="AP1756" s="275" t="s">
        <v>4455</v>
      </c>
      <c r="AQ1756" s="288" t="s">
        <v>4635</v>
      </c>
      <c r="AR1756" s="277">
        <v>44925.496527777781</v>
      </c>
      <c r="AS1756" s="288" t="s">
        <v>136</v>
      </c>
      <c r="AT1756" s="288" t="s">
        <v>225</v>
      </c>
      <c r="AU1756" s="276">
        <v>0.49652777777777773</v>
      </c>
      <c r="AV1756" s="288">
        <v>1</v>
      </c>
      <c r="AW1756" s="288" t="s">
        <v>66</v>
      </c>
      <c r="AX1756" s="286"/>
      <c r="AY1756" s="286"/>
      <c r="AZ1756" s="286"/>
      <c r="BA1756" s="286"/>
    </row>
    <row r="1757" spans="1:53" x14ac:dyDescent="0.25">
      <c r="A1757" s="284">
        <v>509</v>
      </c>
      <c r="B1757" s="283">
        <v>44923.506944444445</v>
      </c>
      <c r="C1757" s="279">
        <v>0.51388888888888895</v>
      </c>
      <c r="D1757" s="279">
        <v>0.52083333333333337</v>
      </c>
      <c r="E1757" s="279">
        <v>0.55208333333333337</v>
      </c>
      <c r="F1757" s="280" t="s">
        <v>170</v>
      </c>
      <c r="G1757" s="280" t="s">
        <v>2600</v>
      </c>
      <c r="H1757" s="273" t="s">
        <v>57</v>
      </c>
      <c r="I1757" s="273" t="s">
        <v>110</v>
      </c>
      <c r="J1757" s="273" t="s">
        <v>37</v>
      </c>
      <c r="K1757" s="278" t="s">
        <v>63</v>
      </c>
      <c r="L1757" s="273" t="s">
        <v>209</v>
      </c>
      <c r="M1757" s="280" t="s">
        <v>4458</v>
      </c>
      <c r="N1757" s="280" t="s">
        <v>4322</v>
      </c>
      <c r="O1757" s="280" t="s">
        <v>4459</v>
      </c>
      <c r="P1757" s="280">
        <v>81986299</v>
      </c>
      <c r="Q1757" s="303">
        <f t="shared" si="151"/>
        <v>1</v>
      </c>
      <c r="R1757" s="303">
        <f t="shared" si="152"/>
        <v>175</v>
      </c>
      <c r="S1757" s="280">
        <v>0</v>
      </c>
      <c r="T1757" s="280">
        <v>0</v>
      </c>
      <c r="U1757" s="280">
        <v>1</v>
      </c>
      <c r="V1757" s="280">
        <v>175</v>
      </c>
      <c r="W1757" s="280">
        <v>172</v>
      </c>
      <c r="X1757" s="280">
        <v>96</v>
      </c>
      <c r="Y1757" s="280">
        <v>68</v>
      </c>
      <c r="Z1757" s="280">
        <v>65</v>
      </c>
      <c r="AA1757" s="280">
        <v>1</v>
      </c>
      <c r="AB1757" s="300">
        <f t="shared" si="153"/>
        <v>70.72</v>
      </c>
      <c r="AC1757" s="300">
        <f t="shared" si="154"/>
        <v>0.42602409638554217</v>
      </c>
      <c r="AD1757" s="280">
        <v>2667.9</v>
      </c>
      <c r="AE1757" s="280" t="s">
        <v>109</v>
      </c>
      <c r="AF1757" s="280" t="s">
        <v>317</v>
      </c>
      <c r="AG1757" s="280" t="s">
        <v>317</v>
      </c>
      <c r="AH1757" s="280" t="s">
        <v>4460</v>
      </c>
      <c r="AI1757" s="309"/>
      <c r="AJ1757" s="309"/>
      <c r="AK1757" s="280" t="s">
        <v>37</v>
      </c>
      <c r="AL1757" s="280" t="s">
        <v>39</v>
      </c>
      <c r="AM1757" s="299">
        <f t="shared" ca="1" si="150"/>
        <v>1.0763888888905058</v>
      </c>
      <c r="AN1757" s="285"/>
      <c r="AO1757" s="288" t="s">
        <v>4372</v>
      </c>
      <c r="AP1757" s="275" t="s">
        <v>4458</v>
      </c>
      <c r="AQ1757" s="288" t="s">
        <v>4572</v>
      </c>
      <c r="AR1757" s="277">
        <v>44924.583333333336</v>
      </c>
      <c r="AS1757" s="288" t="s">
        <v>136</v>
      </c>
      <c r="AT1757" s="288" t="s">
        <v>225</v>
      </c>
      <c r="AU1757" s="276">
        <v>0.58333333333333337</v>
      </c>
      <c r="AV1757" s="288">
        <v>1</v>
      </c>
      <c r="AW1757" s="288" t="s">
        <v>66</v>
      </c>
      <c r="AX1757" s="286"/>
      <c r="AY1757" s="286"/>
      <c r="AZ1757" s="286"/>
      <c r="BA1757" s="286"/>
    </row>
    <row r="1758" spans="1:53" x14ac:dyDescent="0.25">
      <c r="A1758" s="284">
        <v>510</v>
      </c>
      <c r="B1758" s="283">
        <v>44923.506944444445</v>
      </c>
      <c r="C1758" s="279">
        <v>0.51388888888888895</v>
      </c>
      <c r="D1758" s="279">
        <v>0.52083333333333337</v>
      </c>
      <c r="E1758" s="279">
        <v>0.55208333333333337</v>
      </c>
      <c r="F1758" s="280" t="s">
        <v>170</v>
      </c>
      <c r="G1758" s="280" t="s">
        <v>2600</v>
      </c>
      <c r="H1758" s="273" t="s">
        <v>57</v>
      </c>
      <c r="I1758" s="273" t="s">
        <v>110</v>
      </c>
      <c r="J1758" s="273" t="s">
        <v>37</v>
      </c>
      <c r="K1758" s="278" t="s">
        <v>63</v>
      </c>
      <c r="L1758" s="273" t="s">
        <v>209</v>
      </c>
      <c r="M1758" s="280" t="s">
        <v>4461</v>
      </c>
      <c r="N1758" s="280" t="s">
        <v>59</v>
      </c>
      <c r="O1758" s="280" t="s">
        <v>4462</v>
      </c>
      <c r="P1758" s="280">
        <v>81976944</v>
      </c>
      <c r="Q1758" s="303">
        <f t="shared" si="151"/>
        <v>1</v>
      </c>
      <c r="R1758" s="303">
        <f t="shared" si="152"/>
        <v>60</v>
      </c>
      <c r="S1758" s="280">
        <v>0</v>
      </c>
      <c r="T1758" s="280">
        <v>0</v>
      </c>
      <c r="U1758" s="280">
        <v>1</v>
      </c>
      <c r="V1758" s="280">
        <v>60</v>
      </c>
      <c r="W1758" s="280">
        <v>60</v>
      </c>
      <c r="X1758" s="280">
        <v>326</v>
      </c>
      <c r="Y1758" s="280">
        <v>33</v>
      </c>
      <c r="Z1758" s="280">
        <v>41</v>
      </c>
      <c r="AA1758" s="280">
        <v>1</v>
      </c>
      <c r="AB1758" s="300">
        <f t="shared" si="153"/>
        <v>73.513000000000005</v>
      </c>
      <c r="AC1758" s="300">
        <f t="shared" si="154"/>
        <v>0.44284939759036146</v>
      </c>
      <c r="AD1758" s="280">
        <v>199.2</v>
      </c>
      <c r="AE1758" s="280" t="s">
        <v>109</v>
      </c>
      <c r="AF1758" s="280" t="s">
        <v>317</v>
      </c>
      <c r="AG1758" s="280" t="s">
        <v>317</v>
      </c>
      <c r="AH1758" s="280" t="s">
        <v>4463</v>
      </c>
      <c r="AI1758" s="309"/>
      <c r="AJ1758" s="309"/>
      <c r="AK1758" s="280" t="s">
        <v>37</v>
      </c>
      <c r="AL1758" s="280" t="s">
        <v>39</v>
      </c>
      <c r="AM1758" s="299">
        <f t="shared" ca="1" si="150"/>
        <v>1.0763888888905058</v>
      </c>
      <c r="AN1758" s="285"/>
      <c r="AO1758" s="288" t="s">
        <v>70</v>
      </c>
      <c r="AP1758" s="275" t="s">
        <v>4461</v>
      </c>
      <c r="AQ1758" s="288" t="s">
        <v>4571</v>
      </c>
      <c r="AR1758" s="277">
        <v>44924.583333333336</v>
      </c>
      <c r="AS1758" s="288" t="s">
        <v>136</v>
      </c>
      <c r="AT1758" s="288" t="s">
        <v>225</v>
      </c>
      <c r="AU1758" s="276">
        <v>0.58333333333333337</v>
      </c>
      <c r="AV1758" s="288">
        <v>1</v>
      </c>
      <c r="AW1758" s="288" t="s">
        <v>66</v>
      </c>
      <c r="AX1758" s="286"/>
      <c r="AY1758" s="286"/>
      <c r="AZ1758" s="286"/>
      <c r="BA1758" s="286"/>
    </row>
    <row r="1759" spans="1:53" x14ac:dyDescent="0.25">
      <c r="A1759" s="284">
        <v>511</v>
      </c>
      <c r="B1759" s="283">
        <v>44923.506944444445</v>
      </c>
      <c r="C1759" s="279">
        <v>0.51388888888888895</v>
      </c>
      <c r="D1759" s="279">
        <v>0.52083333333333337</v>
      </c>
      <c r="E1759" s="279">
        <v>0.55208333333333337</v>
      </c>
      <c r="F1759" s="280" t="s">
        <v>170</v>
      </c>
      <c r="G1759" s="280" t="s">
        <v>2600</v>
      </c>
      <c r="H1759" s="273" t="s">
        <v>57</v>
      </c>
      <c r="I1759" s="273" t="s">
        <v>92</v>
      </c>
      <c r="J1759" s="273" t="s">
        <v>37</v>
      </c>
      <c r="K1759" s="278" t="s">
        <v>63</v>
      </c>
      <c r="L1759" s="273" t="s">
        <v>209</v>
      </c>
      <c r="M1759" s="280" t="s">
        <v>4464</v>
      </c>
      <c r="N1759" s="280" t="s">
        <v>42</v>
      </c>
      <c r="O1759" s="280" t="s">
        <v>4465</v>
      </c>
      <c r="P1759" s="280">
        <v>81981899</v>
      </c>
      <c r="Q1759" s="303">
        <f t="shared" si="151"/>
        <v>2</v>
      </c>
      <c r="R1759" s="303">
        <f t="shared" si="152"/>
        <v>165</v>
      </c>
      <c r="S1759" s="280">
        <v>0</v>
      </c>
      <c r="T1759" s="280">
        <v>0</v>
      </c>
      <c r="U1759" s="280">
        <v>2</v>
      </c>
      <c r="V1759" s="280">
        <v>165</v>
      </c>
      <c r="W1759" s="280">
        <v>167</v>
      </c>
      <c r="X1759" s="280">
        <v>60</v>
      </c>
      <c r="Y1759" s="280">
        <v>45</v>
      </c>
      <c r="Z1759" s="280">
        <v>40</v>
      </c>
      <c r="AA1759" s="280">
        <v>1</v>
      </c>
      <c r="AB1759" s="300">
        <f t="shared" si="153"/>
        <v>18</v>
      </c>
      <c r="AC1759" s="300">
        <f t="shared" si="154"/>
        <v>0.10843373493975904</v>
      </c>
      <c r="AD1759" s="278">
        <v>1109.94</v>
      </c>
      <c r="AE1759" s="280" t="s">
        <v>109</v>
      </c>
      <c r="AF1759" s="280" t="s">
        <v>317</v>
      </c>
      <c r="AG1759" s="280" t="s">
        <v>317</v>
      </c>
      <c r="AH1759" s="280" t="s">
        <v>4466</v>
      </c>
      <c r="AI1759" s="309"/>
      <c r="AJ1759" s="309"/>
      <c r="AK1759" s="280" t="s">
        <v>37</v>
      </c>
      <c r="AL1759" s="280" t="s">
        <v>39</v>
      </c>
      <c r="AM1759" s="299">
        <f t="shared" ca="1" si="150"/>
        <v>2.1423611111094942</v>
      </c>
      <c r="AN1759" s="285"/>
      <c r="AO1759" s="288" t="s">
        <v>120</v>
      </c>
      <c r="AP1759" s="275" t="s">
        <v>4464</v>
      </c>
      <c r="AQ1759" s="288" t="s">
        <v>4637</v>
      </c>
      <c r="AR1759" s="277">
        <v>44925.649305555555</v>
      </c>
      <c r="AS1759" s="288" t="s">
        <v>136</v>
      </c>
      <c r="AT1759" s="288" t="s">
        <v>225</v>
      </c>
      <c r="AU1759" s="276">
        <v>0.64930555555555558</v>
      </c>
      <c r="AV1759" s="288">
        <v>2</v>
      </c>
      <c r="AW1759" s="288" t="s">
        <v>66</v>
      </c>
      <c r="AX1759" s="286"/>
      <c r="AY1759" s="286"/>
      <c r="AZ1759" s="286"/>
      <c r="BA1759" s="286"/>
    </row>
    <row r="1760" spans="1:53" x14ac:dyDescent="0.25">
      <c r="A1760" s="312">
        <v>511</v>
      </c>
      <c r="B1760" s="283">
        <v>44923.506944444445</v>
      </c>
      <c r="C1760" s="279">
        <v>0.51388888888888895</v>
      </c>
      <c r="D1760" s="279">
        <v>0.52083333333333337</v>
      </c>
      <c r="E1760" s="279">
        <v>0.55208333333333337</v>
      </c>
      <c r="F1760" s="280" t="s">
        <v>170</v>
      </c>
      <c r="G1760" s="280" t="s">
        <v>2600</v>
      </c>
      <c r="H1760" s="273" t="s">
        <v>57</v>
      </c>
      <c r="I1760" s="273" t="s">
        <v>92</v>
      </c>
      <c r="J1760" s="273" t="s">
        <v>37</v>
      </c>
      <c r="K1760" s="278" t="s">
        <v>63</v>
      </c>
      <c r="L1760" s="273" t="s">
        <v>209</v>
      </c>
      <c r="M1760" s="280" t="s">
        <v>4464</v>
      </c>
      <c r="N1760" s="280" t="s">
        <v>42</v>
      </c>
      <c r="O1760" s="280" t="s">
        <v>4465</v>
      </c>
      <c r="P1760" s="280">
        <v>81981899</v>
      </c>
      <c r="Q1760" s="303">
        <f t="shared" si="151"/>
        <v>0</v>
      </c>
      <c r="R1760" s="303">
        <f t="shared" si="152"/>
        <v>0</v>
      </c>
      <c r="S1760" s="280">
        <v>0</v>
      </c>
      <c r="T1760" s="280">
        <v>0</v>
      </c>
      <c r="U1760" s="280">
        <v>0</v>
      </c>
      <c r="V1760" s="280">
        <v>0</v>
      </c>
      <c r="W1760" s="280">
        <v>0</v>
      </c>
      <c r="X1760" s="280">
        <v>80</v>
      </c>
      <c r="Y1760" s="280">
        <v>59</v>
      </c>
      <c r="Z1760" s="280">
        <v>69</v>
      </c>
      <c r="AA1760" s="280">
        <v>1</v>
      </c>
      <c r="AB1760" s="300">
        <f t="shared" si="153"/>
        <v>54.28</v>
      </c>
      <c r="AC1760" s="300">
        <f t="shared" si="154"/>
        <v>0.32698795180722895</v>
      </c>
      <c r="AD1760" s="280">
        <v>0</v>
      </c>
      <c r="AE1760" s="280">
        <v>0</v>
      </c>
      <c r="AF1760" s="280" t="s">
        <v>317</v>
      </c>
      <c r="AG1760" s="280" t="s">
        <v>317</v>
      </c>
      <c r="AH1760" s="280" t="s">
        <v>4466</v>
      </c>
      <c r="AI1760" s="309"/>
      <c r="AJ1760" s="309"/>
      <c r="AK1760" s="280" t="s">
        <v>37</v>
      </c>
      <c r="AL1760" s="280" t="s">
        <v>39</v>
      </c>
      <c r="AM1760" s="299">
        <f t="shared" ca="1" si="150"/>
        <v>2.1423611111094942</v>
      </c>
      <c r="AN1760" s="285"/>
      <c r="AO1760" s="288" t="s">
        <v>120</v>
      </c>
      <c r="AP1760" s="275" t="s">
        <v>4464</v>
      </c>
      <c r="AQ1760" s="288" t="s">
        <v>4637</v>
      </c>
      <c r="AR1760" s="277">
        <v>44925.649305555555</v>
      </c>
      <c r="AS1760" s="288" t="s">
        <v>136</v>
      </c>
      <c r="AT1760" s="288" t="s">
        <v>225</v>
      </c>
      <c r="AU1760" s="276">
        <v>0.64930555555555558</v>
      </c>
      <c r="AV1760" s="288">
        <v>2</v>
      </c>
      <c r="AW1760" s="288" t="s">
        <v>66</v>
      </c>
      <c r="AX1760" s="286"/>
      <c r="AY1760" s="286"/>
      <c r="AZ1760" s="286"/>
      <c r="BA1760" s="286"/>
    </row>
    <row r="1761" spans="1:53" x14ac:dyDescent="0.25">
      <c r="A1761" s="284">
        <v>512</v>
      </c>
      <c r="B1761" s="283">
        <v>44923.506944444445</v>
      </c>
      <c r="C1761" s="279">
        <v>0.51388888888888895</v>
      </c>
      <c r="D1761" s="279">
        <v>0.52083333333333337</v>
      </c>
      <c r="E1761" s="279">
        <v>0.55208333333333337</v>
      </c>
      <c r="F1761" s="280" t="s">
        <v>170</v>
      </c>
      <c r="G1761" s="280" t="s">
        <v>2600</v>
      </c>
      <c r="H1761" s="273" t="s">
        <v>129</v>
      </c>
      <c r="I1761" s="273" t="s">
        <v>92</v>
      </c>
      <c r="J1761" s="273" t="s">
        <v>37</v>
      </c>
      <c r="K1761" s="278" t="s">
        <v>63</v>
      </c>
      <c r="L1761" s="278" t="s">
        <v>221</v>
      </c>
      <c r="M1761" s="280" t="s">
        <v>4467</v>
      </c>
      <c r="N1761" s="280" t="s">
        <v>42</v>
      </c>
      <c r="O1761" s="280" t="s">
        <v>4468</v>
      </c>
      <c r="P1761" s="280">
        <v>400136539</v>
      </c>
      <c r="Q1761" s="303">
        <f t="shared" si="151"/>
        <v>1</v>
      </c>
      <c r="R1761" s="303">
        <f t="shared" si="152"/>
        <v>35</v>
      </c>
      <c r="S1761" s="280">
        <v>0</v>
      </c>
      <c r="T1761" s="280">
        <v>0</v>
      </c>
      <c r="U1761" s="280">
        <v>1</v>
      </c>
      <c r="V1761" s="280">
        <v>35</v>
      </c>
      <c r="W1761" s="280">
        <v>37</v>
      </c>
      <c r="X1761" s="280">
        <v>46</v>
      </c>
      <c r="Y1761" s="280">
        <v>45</v>
      </c>
      <c r="Z1761" s="280">
        <v>40</v>
      </c>
      <c r="AA1761" s="280">
        <v>1</v>
      </c>
      <c r="AB1761" s="300">
        <f t="shared" si="153"/>
        <v>13.8</v>
      </c>
      <c r="AC1761" s="300">
        <f t="shared" si="154"/>
        <v>8.3132530120481926E-2</v>
      </c>
      <c r="AD1761" s="280" t="s">
        <v>48</v>
      </c>
      <c r="AE1761" s="280" t="s">
        <v>48</v>
      </c>
      <c r="AF1761" s="280" t="s">
        <v>317</v>
      </c>
      <c r="AG1761" s="280" t="s">
        <v>317</v>
      </c>
      <c r="AH1761" s="280" t="s">
        <v>48</v>
      </c>
      <c r="AI1761" s="309"/>
      <c r="AJ1761" s="309"/>
      <c r="AK1761" s="280" t="s">
        <v>37</v>
      </c>
      <c r="AL1761" s="280" t="s">
        <v>39</v>
      </c>
      <c r="AM1761" s="299">
        <f t="shared" ca="1" si="150"/>
        <v>2.1423611111094942</v>
      </c>
      <c r="AN1761" s="285"/>
      <c r="AO1761" s="288" t="s">
        <v>120</v>
      </c>
      <c r="AP1761" s="275" t="s">
        <v>4467</v>
      </c>
      <c r="AQ1761" s="288" t="s">
        <v>4637</v>
      </c>
      <c r="AR1761" s="277">
        <v>44925.649305555555</v>
      </c>
      <c r="AS1761" s="288" t="s">
        <v>136</v>
      </c>
      <c r="AT1761" s="288" t="s">
        <v>225</v>
      </c>
      <c r="AU1761" s="276">
        <v>0.64930555555555558</v>
      </c>
      <c r="AV1761" s="288">
        <v>2</v>
      </c>
      <c r="AW1761" s="288" t="s">
        <v>66</v>
      </c>
      <c r="AX1761" s="286"/>
      <c r="AY1761" s="286"/>
      <c r="AZ1761" s="286"/>
      <c r="BA1761" s="286"/>
    </row>
    <row r="1762" spans="1:53" x14ac:dyDescent="0.25">
      <c r="A1762" s="284">
        <v>513</v>
      </c>
      <c r="B1762" s="283">
        <v>44923.583333333336</v>
      </c>
      <c r="C1762" s="279">
        <v>0.58333333333333337</v>
      </c>
      <c r="D1762" s="279">
        <v>0.59027777777777779</v>
      </c>
      <c r="E1762" s="279">
        <v>0.61805555555555558</v>
      </c>
      <c r="F1762" s="280" t="s">
        <v>171</v>
      </c>
      <c r="G1762" s="280" t="s">
        <v>279</v>
      </c>
      <c r="H1762" s="273" t="s">
        <v>4469</v>
      </c>
      <c r="I1762" s="273" t="s">
        <v>377</v>
      </c>
      <c r="J1762" s="273" t="s">
        <v>37</v>
      </c>
      <c r="K1762" s="273" t="s">
        <v>233</v>
      </c>
      <c r="L1762" s="273">
        <v>0</v>
      </c>
      <c r="M1762" s="280" t="s">
        <v>4470</v>
      </c>
      <c r="N1762" s="280" t="s">
        <v>76</v>
      </c>
      <c r="O1762" s="280">
        <v>2223200312</v>
      </c>
      <c r="P1762" s="280" t="s">
        <v>4471</v>
      </c>
      <c r="Q1762" s="303">
        <f t="shared" si="151"/>
        <v>6</v>
      </c>
      <c r="R1762" s="303">
        <f t="shared" si="152"/>
        <v>1275</v>
      </c>
      <c r="S1762" s="280">
        <v>0</v>
      </c>
      <c r="T1762" s="280">
        <v>0</v>
      </c>
      <c r="U1762" s="280">
        <v>6</v>
      </c>
      <c r="V1762" s="280">
        <v>1275</v>
      </c>
      <c r="W1762" s="280">
        <v>1303</v>
      </c>
      <c r="X1762" s="280">
        <v>120</v>
      </c>
      <c r="Y1762" s="280">
        <v>80</v>
      </c>
      <c r="Z1762" s="280">
        <v>29</v>
      </c>
      <c r="AA1762" s="280">
        <v>1</v>
      </c>
      <c r="AB1762" s="300">
        <f t="shared" si="153"/>
        <v>46.4</v>
      </c>
      <c r="AC1762" s="300">
        <f t="shared" si="154"/>
        <v>0.27951807228915659</v>
      </c>
      <c r="AD1762" s="280">
        <v>9226.4</v>
      </c>
      <c r="AE1762" s="280" t="s">
        <v>109</v>
      </c>
      <c r="AF1762" s="280" t="s">
        <v>4472</v>
      </c>
      <c r="AG1762" s="280" t="s">
        <v>4473</v>
      </c>
      <c r="AH1762" s="280" t="s">
        <v>4474</v>
      </c>
      <c r="AI1762" s="309"/>
      <c r="AJ1762" s="309"/>
      <c r="AK1762" s="280" t="s">
        <v>37</v>
      </c>
      <c r="AL1762" s="280" t="s">
        <v>49</v>
      </c>
      <c r="AM1762" s="299">
        <f t="shared" ca="1" si="150"/>
        <v>0.98611111110949423</v>
      </c>
      <c r="AN1762" s="285"/>
      <c r="AO1762" s="288" t="s">
        <v>123</v>
      </c>
      <c r="AP1762" s="275" t="s">
        <v>4470</v>
      </c>
      <c r="AQ1762" s="288" t="s">
        <v>4570</v>
      </c>
      <c r="AR1762" s="277">
        <v>44924.569444444445</v>
      </c>
      <c r="AS1762" s="272" t="s">
        <v>173</v>
      </c>
      <c r="AT1762" s="288" t="s">
        <v>225</v>
      </c>
      <c r="AU1762" s="276">
        <v>0.56944444444444442</v>
      </c>
      <c r="AV1762" s="288">
        <v>1</v>
      </c>
      <c r="AW1762" s="288" t="s">
        <v>66</v>
      </c>
      <c r="AX1762" s="286"/>
      <c r="AY1762" s="286"/>
      <c r="AZ1762" s="286"/>
      <c r="BA1762" s="286"/>
    </row>
    <row r="1763" spans="1:53" x14ac:dyDescent="0.25">
      <c r="A1763" s="312">
        <v>513</v>
      </c>
      <c r="B1763" s="283">
        <v>44923.583333333336</v>
      </c>
      <c r="C1763" s="279">
        <v>0.58333333333333337</v>
      </c>
      <c r="D1763" s="279">
        <v>0.59027777777777779</v>
      </c>
      <c r="E1763" s="279">
        <v>0.61805555555555558</v>
      </c>
      <c r="F1763" s="280" t="s">
        <v>171</v>
      </c>
      <c r="G1763" s="280" t="s">
        <v>279</v>
      </c>
      <c r="H1763" s="273" t="s">
        <v>4469</v>
      </c>
      <c r="I1763" s="273" t="s">
        <v>377</v>
      </c>
      <c r="J1763" s="273" t="s">
        <v>37</v>
      </c>
      <c r="K1763" s="273" t="s">
        <v>233</v>
      </c>
      <c r="L1763" s="273">
        <v>0</v>
      </c>
      <c r="M1763" s="280" t="s">
        <v>4470</v>
      </c>
      <c r="N1763" s="280" t="s">
        <v>76</v>
      </c>
      <c r="O1763" s="280">
        <v>2223200312</v>
      </c>
      <c r="P1763" s="280" t="s">
        <v>4471</v>
      </c>
      <c r="Q1763" s="303">
        <f t="shared" si="151"/>
        <v>0</v>
      </c>
      <c r="R1763" s="303">
        <f t="shared" si="152"/>
        <v>0</v>
      </c>
      <c r="S1763" s="280">
        <v>0</v>
      </c>
      <c r="T1763" s="280">
        <v>0</v>
      </c>
      <c r="U1763" s="280">
        <v>0</v>
      </c>
      <c r="V1763" s="280">
        <v>0</v>
      </c>
      <c r="W1763" s="280">
        <v>0</v>
      </c>
      <c r="X1763" s="280">
        <v>90</v>
      </c>
      <c r="Y1763" s="280">
        <v>86</v>
      </c>
      <c r="Z1763" s="280">
        <v>57</v>
      </c>
      <c r="AA1763" s="280">
        <v>1</v>
      </c>
      <c r="AB1763" s="300">
        <f t="shared" si="153"/>
        <v>73.53</v>
      </c>
      <c r="AC1763" s="300">
        <f t="shared" si="154"/>
        <v>0.44295180722891569</v>
      </c>
      <c r="AD1763" s="280">
        <v>0</v>
      </c>
      <c r="AE1763" s="280">
        <v>0</v>
      </c>
      <c r="AF1763" s="280" t="s">
        <v>4472</v>
      </c>
      <c r="AG1763" s="280" t="s">
        <v>4473</v>
      </c>
      <c r="AH1763" s="280" t="s">
        <v>4474</v>
      </c>
      <c r="AI1763" s="309"/>
      <c r="AJ1763" s="309"/>
      <c r="AK1763" s="280" t="s">
        <v>41</v>
      </c>
      <c r="AL1763" s="280" t="s">
        <v>49</v>
      </c>
      <c r="AM1763" s="299">
        <f t="shared" ca="1" si="150"/>
        <v>0.98611111110949423</v>
      </c>
      <c r="AN1763" s="285"/>
      <c r="AO1763" s="288" t="s">
        <v>123</v>
      </c>
      <c r="AP1763" s="275" t="s">
        <v>4470</v>
      </c>
      <c r="AQ1763" s="288" t="s">
        <v>4570</v>
      </c>
      <c r="AR1763" s="277">
        <v>44924.569444444445</v>
      </c>
      <c r="AS1763" s="272" t="s">
        <v>173</v>
      </c>
      <c r="AT1763" s="288" t="s">
        <v>225</v>
      </c>
      <c r="AU1763" s="276">
        <v>0.56944444444444442</v>
      </c>
      <c r="AV1763" s="288">
        <v>1</v>
      </c>
      <c r="AW1763" s="288" t="s">
        <v>66</v>
      </c>
      <c r="AX1763" s="286"/>
      <c r="AY1763" s="286"/>
      <c r="AZ1763" s="286"/>
      <c r="BA1763" s="286"/>
    </row>
    <row r="1764" spans="1:53" x14ac:dyDescent="0.25">
      <c r="A1764" s="312">
        <v>513</v>
      </c>
      <c r="B1764" s="283">
        <v>44923.583333333336</v>
      </c>
      <c r="C1764" s="279">
        <v>0.58333333333333337</v>
      </c>
      <c r="D1764" s="279">
        <v>0.59027777777777779</v>
      </c>
      <c r="E1764" s="279">
        <v>0.61805555555555558</v>
      </c>
      <c r="F1764" s="280" t="s">
        <v>171</v>
      </c>
      <c r="G1764" s="280" t="s">
        <v>279</v>
      </c>
      <c r="H1764" s="273" t="s">
        <v>4469</v>
      </c>
      <c r="I1764" s="273" t="s">
        <v>377</v>
      </c>
      <c r="J1764" s="273" t="s">
        <v>37</v>
      </c>
      <c r="K1764" s="273" t="s">
        <v>233</v>
      </c>
      <c r="L1764" s="273">
        <v>0</v>
      </c>
      <c r="M1764" s="280" t="s">
        <v>4470</v>
      </c>
      <c r="N1764" s="280" t="s">
        <v>76</v>
      </c>
      <c r="O1764" s="280">
        <v>2223200312</v>
      </c>
      <c r="P1764" s="280" t="s">
        <v>4471</v>
      </c>
      <c r="Q1764" s="303">
        <f t="shared" si="151"/>
        <v>0</v>
      </c>
      <c r="R1764" s="303">
        <f t="shared" si="152"/>
        <v>0</v>
      </c>
      <c r="S1764" s="280">
        <v>0</v>
      </c>
      <c r="T1764" s="280">
        <v>0</v>
      </c>
      <c r="U1764" s="280">
        <v>0</v>
      </c>
      <c r="V1764" s="280">
        <v>0</v>
      </c>
      <c r="W1764" s="280">
        <v>0</v>
      </c>
      <c r="X1764" s="280">
        <v>89</v>
      </c>
      <c r="Y1764" s="280">
        <v>87</v>
      </c>
      <c r="Z1764" s="280">
        <v>56</v>
      </c>
      <c r="AA1764" s="280">
        <v>1</v>
      </c>
      <c r="AB1764" s="300">
        <f t="shared" si="153"/>
        <v>72.268000000000001</v>
      </c>
      <c r="AC1764" s="300">
        <f t="shared" si="154"/>
        <v>0.43534939759036145</v>
      </c>
      <c r="AD1764" s="280">
        <v>0</v>
      </c>
      <c r="AE1764" s="280">
        <v>0</v>
      </c>
      <c r="AF1764" s="280" t="s">
        <v>4472</v>
      </c>
      <c r="AG1764" s="280" t="s">
        <v>4473</v>
      </c>
      <c r="AH1764" s="280" t="s">
        <v>4474</v>
      </c>
      <c r="AI1764" s="309"/>
      <c r="AJ1764" s="309"/>
      <c r="AK1764" s="280" t="s">
        <v>41</v>
      </c>
      <c r="AL1764" s="280" t="s">
        <v>49</v>
      </c>
      <c r="AM1764" s="299">
        <f t="shared" ca="1" si="150"/>
        <v>0.98611111110949423</v>
      </c>
      <c r="AN1764" s="285"/>
      <c r="AO1764" s="288" t="s">
        <v>123</v>
      </c>
      <c r="AP1764" s="275" t="s">
        <v>4470</v>
      </c>
      <c r="AQ1764" s="288" t="s">
        <v>4570</v>
      </c>
      <c r="AR1764" s="277">
        <v>44924.569444444445</v>
      </c>
      <c r="AS1764" s="272" t="s">
        <v>173</v>
      </c>
      <c r="AT1764" s="288" t="s">
        <v>225</v>
      </c>
      <c r="AU1764" s="276">
        <v>0.56944444444444442</v>
      </c>
      <c r="AV1764" s="288">
        <v>1</v>
      </c>
      <c r="AW1764" s="288" t="s">
        <v>66</v>
      </c>
      <c r="AX1764" s="286"/>
      <c r="AY1764" s="286"/>
      <c r="AZ1764" s="286"/>
      <c r="BA1764" s="286"/>
    </row>
    <row r="1765" spans="1:53" x14ac:dyDescent="0.25">
      <c r="A1765" s="312">
        <v>513</v>
      </c>
      <c r="B1765" s="283">
        <v>44923.583333333336</v>
      </c>
      <c r="C1765" s="279">
        <v>0.58333333333333337</v>
      </c>
      <c r="D1765" s="279">
        <v>0.59027777777777779</v>
      </c>
      <c r="E1765" s="279">
        <v>0.61805555555555558</v>
      </c>
      <c r="F1765" s="280" t="s">
        <v>171</v>
      </c>
      <c r="G1765" s="280" t="s">
        <v>279</v>
      </c>
      <c r="H1765" s="273" t="s">
        <v>4469</v>
      </c>
      <c r="I1765" s="273" t="s">
        <v>377</v>
      </c>
      <c r="J1765" s="273" t="s">
        <v>37</v>
      </c>
      <c r="K1765" s="273" t="s">
        <v>233</v>
      </c>
      <c r="L1765" s="273">
        <v>0</v>
      </c>
      <c r="M1765" s="280" t="s">
        <v>4470</v>
      </c>
      <c r="N1765" s="280" t="s">
        <v>76</v>
      </c>
      <c r="O1765" s="280">
        <v>2223200312</v>
      </c>
      <c r="P1765" s="280" t="s">
        <v>4471</v>
      </c>
      <c r="Q1765" s="303">
        <f t="shared" si="151"/>
        <v>0</v>
      </c>
      <c r="R1765" s="303">
        <f t="shared" si="152"/>
        <v>0</v>
      </c>
      <c r="S1765" s="280">
        <v>0</v>
      </c>
      <c r="T1765" s="280">
        <v>0</v>
      </c>
      <c r="U1765" s="280">
        <v>0</v>
      </c>
      <c r="V1765" s="280">
        <v>0</v>
      </c>
      <c r="W1765" s="280">
        <v>0</v>
      </c>
      <c r="X1765" s="280">
        <v>92</v>
      </c>
      <c r="Y1765" s="280">
        <v>85</v>
      </c>
      <c r="Z1765" s="280">
        <v>56</v>
      </c>
      <c r="AA1765" s="280">
        <v>1</v>
      </c>
      <c r="AB1765" s="300">
        <f t="shared" si="153"/>
        <v>72.986666666666665</v>
      </c>
      <c r="AC1765" s="300">
        <f t="shared" si="154"/>
        <v>0.43967871485943771</v>
      </c>
      <c r="AD1765" s="280">
        <v>0</v>
      </c>
      <c r="AE1765" s="280">
        <v>0</v>
      </c>
      <c r="AF1765" s="280" t="s">
        <v>4472</v>
      </c>
      <c r="AG1765" s="280" t="s">
        <v>4473</v>
      </c>
      <c r="AH1765" s="280" t="s">
        <v>4474</v>
      </c>
      <c r="AI1765" s="309"/>
      <c r="AJ1765" s="309"/>
      <c r="AK1765" s="280" t="s">
        <v>41</v>
      </c>
      <c r="AL1765" s="280" t="s">
        <v>49</v>
      </c>
      <c r="AM1765" s="299">
        <f t="shared" ca="1" si="150"/>
        <v>0.98611111110949423</v>
      </c>
      <c r="AN1765" s="285"/>
      <c r="AO1765" s="288" t="s">
        <v>123</v>
      </c>
      <c r="AP1765" s="275" t="s">
        <v>4470</v>
      </c>
      <c r="AQ1765" s="288" t="s">
        <v>4570</v>
      </c>
      <c r="AR1765" s="277">
        <v>44924.569444444445</v>
      </c>
      <c r="AS1765" s="272" t="s">
        <v>173</v>
      </c>
      <c r="AT1765" s="288" t="s">
        <v>225</v>
      </c>
      <c r="AU1765" s="276">
        <v>0.56944444444444442</v>
      </c>
      <c r="AV1765" s="288">
        <v>1</v>
      </c>
      <c r="AW1765" s="288" t="s">
        <v>66</v>
      </c>
      <c r="AX1765" s="286"/>
      <c r="AY1765" s="286"/>
      <c r="AZ1765" s="286"/>
      <c r="BA1765" s="286"/>
    </row>
    <row r="1766" spans="1:53" x14ac:dyDescent="0.25">
      <c r="A1766" s="312">
        <v>513</v>
      </c>
      <c r="B1766" s="283">
        <v>44923.583333333336</v>
      </c>
      <c r="C1766" s="279">
        <v>0.58333333333333337</v>
      </c>
      <c r="D1766" s="279">
        <v>0.59027777777777779</v>
      </c>
      <c r="E1766" s="279">
        <v>0.61805555555555558</v>
      </c>
      <c r="F1766" s="280" t="s">
        <v>171</v>
      </c>
      <c r="G1766" s="280" t="s">
        <v>279</v>
      </c>
      <c r="H1766" s="273" t="s">
        <v>4469</v>
      </c>
      <c r="I1766" s="273" t="s">
        <v>377</v>
      </c>
      <c r="J1766" s="273" t="s">
        <v>37</v>
      </c>
      <c r="K1766" s="273" t="s">
        <v>233</v>
      </c>
      <c r="L1766" s="273">
        <v>0</v>
      </c>
      <c r="M1766" s="280" t="s">
        <v>4470</v>
      </c>
      <c r="N1766" s="280" t="s">
        <v>76</v>
      </c>
      <c r="O1766" s="280">
        <v>2223200312</v>
      </c>
      <c r="P1766" s="280" t="s">
        <v>4471</v>
      </c>
      <c r="Q1766" s="303">
        <f t="shared" si="151"/>
        <v>0</v>
      </c>
      <c r="R1766" s="303">
        <f t="shared" si="152"/>
        <v>0</v>
      </c>
      <c r="S1766" s="280">
        <v>0</v>
      </c>
      <c r="T1766" s="280">
        <v>0</v>
      </c>
      <c r="U1766" s="280">
        <v>0</v>
      </c>
      <c r="V1766" s="280">
        <v>0</v>
      </c>
      <c r="W1766" s="280">
        <v>0</v>
      </c>
      <c r="X1766" s="280">
        <v>120</v>
      </c>
      <c r="Y1766" s="280">
        <v>80</v>
      </c>
      <c r="Z1766" s="280">
        <v>62</v>
      </c>
      <c r="AA1766" s="280">
        <v>2</v>
      </c>
      <c r="AB1766" s="300">
        <f t="shared" si="153"/>
        <v>198.4</v>
      </c>
      <c r="AC1766" s="300">
        <f t="shared" si="154"/>
        <v>1.1951807228915663</v>
      </c>
      <c r="AD1766" s="280">
        <v>0</v>
      </c>
      <c r="AE1766" s="280">
        <v>0</v>
      </c>
      <c r="AF1766" s="280" t="s">
        <v>4472</v>
      </c>
      <c r="AG1766" s="280" t="s">
        <v>4473</v>
      </c>
      <c r="AH1766" s="280" t="s">
        <v>4474</v>
      </c>
      <c r="AI1766" s="309"/>
      <c r="AJ1766" s="309"/>
      <c r="AK1766" s="280" t="s">
        <v>37</v>
      </c>
      <c r="AL1766" s="280" t="s">
        <v>49</v>
      </c>
      <c r="AM1766" s="299">
        <f t="shared" ca="1" si="150"/>
        <v>0.98611111110949423</v>
      </c>
      <c r="AN1766" s="285"/>
      <c r="AO1766" s="288" t="s">
        <v>123</v>
      </c>
      <c r="AP1766" s="275" t="s">
        <v>4470</v>
      </c>
      <c r="AQ1766" s="288" t="s">
        <v>4570</v>
      </c>
      <c r="AR1766" s="277">
        <v>44924.569444444445</v>
      </c>
      <c r="AS1766" s="272" t="s">
        <v>173</v>
      </c>
      <c r="AT1766" s="288" t="s">
        <v>225</v>
      </c>
      <c r="AU1766" s="276">
        <v>0.56944444444444442</v>
      </c>
      <c r="AV1766" s="288">
        <v>1</v>
      </c>
      <c r="AW1766" s="288" t="s">
        <v>66</v>
      </c>
      <c r="AX1766" s="286"/>
      <c r="AY1766" s="286"/>
      <c r="AZ1766" s="286"/>
      <c r="BA1766" s="286"/>
    </row>
    <row r="1767" spans="1:53" x14ac:dyDescent="0.25">
      <c r="A1767" s="284">
        <v>514</v>
      </c>
      <c r="B1767" s="283">
        <v>44923.583333333336</v>
      </c>
      <c r="C1767" s="279">
        <v>0.58333333333333337</v>
      </c>
      <c r="D1767" s="279">
        <v>0.59027777777777779</v>
      </c>
      <c r="E1767" s="279">
        <v>0.61805555555555558</v>
      </c>
      <c r="F1767" s="280" t="s">
        <v>171</v>
      </c>
      <c r="G1767" s="280" t="s">
        <v>279</v>
      </c>
      <c r="H1767" s="273" t="s">
        <v>4469</v>
      </c>
      <c r="I1767" s="273" t="s">
        <v>377</v>
      </c>
      <c r="J1767" s="273" t="s">
        <v>37</v>
      </c>
      <c r="K1767" s="273" t="s">
        <v>233</v>
      </c>
      <c r="L1767" s="273">
        <v>0</v>
      </c>
      <c r="M1767" s="280" t="s">
        <v>4475</v>
      </c>
      <c r="N1767" s="280" t="s">
        <v>76</v>
      </c>
      <c r="O1767" s="280">
        <v>2223200334</v>
      </c>
      <c r="P1767" s="280" t="s">
        <v>4471</v>
      </c>
      <c r="Q1767" s="303">
        <f t="shared" si="151"/>
        <v>2</v>
      </c>
      <c r="R1767" s="303">
        <f t="shared" si="152"/>
        <v>349</v>
      </c>
      <c r="S1767" s="280">
        <v>0</v>
      </c>
      <c r="T1767" s="280">
        <v>0</v>
      </c>
      <c r="U1767" s="280">
        <v>2</v>
      </c>
      <c r="V1767" s="280">
        <v>349</v>
      </c>
      <c r="W1767" s="280">
        <v>374</v>
      </c>
      <c r="X1767" s="280">
        <v>120</v>
      </c>
      <c r="Y1767" s="280">
        <v>80</v>
      </c>
      <c r="Z1767" s="280">
        <v>37</v>
      </c>
      <c r="AA1767" s="280">
        <v>1</v>
      </c>
      <c r="AB1767" s="300">
        <f t="shared" si="153"/>
        <v>59.2</v>
      </c>
      <c r="AC1767" s="300">
        <f t="shared" si="154"/>
        <v>0.3566265060240964</v>
      </c>
      <c r="AD1767" s="280">
        <v>2251.6</v>
      </c>
      <c r="AE1767" s="280" t="s">
        <v>109</v>
      </c>
      <c r="AF1767" s="280">
        <v>6432241</v>
      </c>
      <c r="AG1767" s="280" t="s">
        <v>4473</v>
      </c>
      <c r="AH1767" s="280" t="s">
        <v>4476</v>
      </c>
      <c r="AI1767" s="309"/>
      <c r="AJ1767" s="309"/>
      <c r="AK1767" s="280" t="s">
        <v>37</v>
      </c>
      <c r="AL1767" s="280" t="s">
        <v>49</v>
      </c>
      <c r="AM1767" s="299">
        <f t="shared" ca="1" si="150"/>
        <v>0.98611111110949423</v>
      </c>
      <c r="AN1767" s="285"/>
      <c r="AO1767" s="288" t="s">
        <v>123</v>
      </c>
      <c r="AP1767" s="275" t="s">
        <v>4475</v>
      </c>
      <c r="AQ1767" s="288" t="s">
        <v>4570</v>
      </c>
      <c r="AR1767" s="277">
        <v>44924.569444444445</v>
      </c>
      <c r="AS1767" s="272" t="s">
        <v>173</v>
      </c>
      <c r="AT1767" s="288" t="s">
        <v>225</v>
      </c>
      <c r="AU1767" s="276">
        <v>0.56944444444444442</v>
      </c>
      <c r="AV1767" s="288">
        <v>1</v>
      </c>
      <c r="AW1767" s="288" t="s">
        <v>66</v>
      </c>
      <c r="AX1767" s="286"/>
      <c r="AY1767" s="286"/>
      <c r="AZ1767" s="286"/>
      <c r="BA1767" s="286"/>
    </row>
    <row r="1768" spans="1:53" x14ac:dyDescent="0.25">
      <c r="A1768" s="312">
        <v>514</v>
      </c>
      <c r="B1768" s="283">
        <v>44923.583333333336</v>
      </c>
      <c r="C1768" s="279">
        <v>0.58333333333333337</v>
      </c>
      <c r="D1768" s="279">
        <v>0.59027777777777779</v>
      </c>
      <c r="E1768" s="279">
        <v>0.61805555555555558</v>
      </c>
      <c r="F1768" s="280" t="s">
        <v>171</v>
      </c>
      <c r="G1768" s="280" t="s">
        <v>279</v>
      </c>
      <c r="H1768" s="273" t="s">
        <v>4469</v>
      </c>
      <c r="I1768" s="273" t="s">
        <v>377</v>
      </c>
      <c r="J1768" s="273" t="s">
        <v>37</v>
      </c>
      <c r="K1768" s="273" t="s">
        <v>233</v>
      </c>
      <c r="L1768" s="273">
        <v>0</v>
      </c>
      <c r="M1768" s="280" t="s">
        <v>4475</v>
      </c>
      <c r="N1768" s="280" t="s">
        <v>76</v>
      </c>
      <c r="O1768" s="280">
        <v>2223200334</v>
      </c>
      <c r="P1768" s="280" t="s">
        <v>4471</v>
      </c>
      <c r="Q1768" s="303">
        <f t="shared" si="151"/>
        <v>0</v>
      </c>
      <c r="R1768" s="303">
        <f t="shared" si="152"/>
        <v>0</v>
      </c>
      <c r="S1768" s="280">
        <v>0</v>
      </c>
      <c r="T1768" s="280">
        <v>0</v>
      </c>
      <c r="U1768" s="280">
        <v>0</v>
      </c>
      <c r="V1768" s="280">
        <v>0</v>
      </c>
      <c r="W1768" s="280">
        <v>0</v>
      </c>
      <c r="X1768" s="280">
        <v>90</v>
      </c>
      <c r="Y1768" s="280">
        <v>86</v>
      </c>
      <c r="Z1768" s="280">
        <v>57</v>
      </c>
      <c r="AA1768" s="280">
        <v>1</v>
      </c>
      <c r="AB1768" s="300">
        <f t="shared" si="153"/>
        <v>73.53</v>
      </c>
      <c r="AC1768" s="300">
        <f t="shared" si="154"/>
        <v>0.44295180722891569</v>
      </c>
      <c r="AD1768" s="280">
        <v>0</v>
      </c>
      <c r="AE1768" s="280">
        <v>0</v>
      </c>
      <c r="AF1768" s="280">
        <v>6432241</v>
      </c>
      <c r="AG1768" s="280" t="s">
        <v>4473</v>
      </c>
      <c r="AH1768" s="280" t="s">
        <v>4476</v>
      </c>
      <c r="AI1768" s="309"/>
      <c r="AJ1768" s="309"/>
      <c r="AK1768" s="280" t="s">
        <v>41</v>
      </c>
      <c r="AL1768" s="280" t="s">
        <v>49</v>
      </c>
      <c r="AM1768" s="299">
        <f t="shared" ref="AM1768:AM1831" ca="1" si="155">IF(AP1768="",NOW()-B1768,AR1768-B1768)</f>
        <v>0.98611111110949423</v>
      </c>
      <c r="AN1768" s="285"/>
      <c r="AO1768" s="288" t="s">
        <v>123</v>
      </c>
      <c r="AP1768" s="275" t="s">
        <v>4475</v>
      </c>
      <c r="AQ1768" s="288" t="s">
        <v>4570</v>
      </c>
      <c r="AR1768" s="277">
        <v>44924.569444444445</v>
      </c>
      <c r="AS1768" s="272" t="s">
        <v>173</v>
      </c>
      <c r="AT1768" s="288" t="s">
        <v>225</v>
      </c>
      <c r="AU1768" s="276">
        <v>0.56944444444444442</v>
      </c>
      <c r="AV1768" s="288">
        <v>1</v>
      </c>
      <c r="AW1768" s="288" t="s">
        <v>66</v>
      </c>
      <c r="AX1768" s="286"/>
      <c r="AY1768" s="286"/>
      <c r="AZ1768" s="286"/>
      <c r="BA1768" s="286"/>
    </row>
    <row r="1769" spans="1:53" x14ac:dyDescent="0.25">
      <c r="A1769" s="296">
        <v>515</v>
      </c>
      <c r="B1769" s="295">
        <v>44923.75</v>
      </c>
      <c r="C1769" s="290">
        <v>0.75</v>
      </c>
      <c r="D1769" s="290">
        <v>0.77777777777777779</v>
      </c>
      <c r="E1769" s="290">
        <v>0.85416666666666663</v>
      </c>
      <c r="F1769" s="291" t="s">
        <v>169</v>
      </c>
      <c r="G1769" s="291" t="s">
        <v>4481</v>
      </c>
      <c r="H1769" s="287" t="s">
        <v>191</v>
      </c>
      <c r="I1769" s="287" t="s">
        <v>192</v>
      </c>
      <c r="J1769" s="287" t="s">
        <v>37</v>
      </c>
      <c r="K1769" s="289" t="s">
        <v>180</v>
      </c>
      <c r="L1769" s="293" t="s">
        <v>206</v>
      </c>
      <c r="M1769" s="291" t="s">
        <v>4482</v>
      </c>
      <c r="N1769" s="291" t="s">
        <v>154</v>
      </c>
      <c r="O1769" s="291" t="s">
        <v>4483</v>
      </c>
      <c r="P1769" s="291" t="s">
        <v>4484</v>
      </c>
      <c r="Q1769" s="303">
        <f t="shared" ref="Q1769:Q1832" si="156">S1769+U1769</f>
        <v>102</v>
      </c>
      <c r="R1769" s="303">
        <f t="shared" ref="R1769:R1832" si="157">T1769+V1769</f>
        <v>1287</v>
      </c>
      <c r="S1769" s="291">
        <v>102</v>
      </c>
      <c r="T1769" s="291">
        <v>1287</v>
      </c>
      <c r="U1769" s="291">
        <v>0</v>
      </c>
      <c r="V1769" s="291">
        <v>0</v>
      </c>
      <c r="W1769" s="291">
        <v>1289.8399999999999</v>
      </c>
      <c r="X1769" s="291">
        <v>58</v>
      </c>
      <c r="Y1769" s="291">
        <v>38</v>
      </c>
      <c r="Z1769" s="291">
        <v>29</v>
      </c>
      <c r="AA1769" s="291">
        <v>77</v>
      </c>
      <c r="AB1769" s="300">
        <f t="shared" ref="AB1769:AB1832" si="158">X1769*Y1769*Z1769*AA1769/6000</f>
        <v>820.25533333333328</v>
      </c>
      <c r="AC1769" s="300">
        <f t="shared" ref="AC1769:AC1832" si="159">AB1769/166</f>
        <v>4.9412971887550201</v>
      </c>
      <c r="AD1769" s="291">
        <v>27020.65</v>
      </c>
      <c r="AE1769" s="291" t="s">
        <v>109</v>
      </c>
      <c r="AF1769" s="291" t="s">
        <v>4485</v>
      </c>
      <c r="AG1769" s="291" t="s">
        <v>4486</v>
      </c>
      <c r="AH1769" s="291" t="s">
        <v>4487</v>
      </c>
      <c r="AI1769" s="309"/>
      <c r="AJ1769" s="309"/>
      <c r="AK1769" s="291" t="s">
        <v>48</v>
      </c>
      <c r="AL1769" s="291" t="s">
        <v>47</v>
      </c>
      <c r="AM1769" s="299">
        <f t="shared" ca="1" si="155"/>
        <v>0.91666666666424135</v>
      </c>
      <c r="AN1769" s="271" t="s">
        <v>4502</v>
      </c>
      <c r="AO1769" s="288" t="s">
        <v>4577</v>
      </c>
      <c r="AP1769" s="275" t="s">
        <v>4482</v>
      </c>
      <c r="AQ1769" s="288" t="s">
        <v>4578</v>
      </c>
      <c r="AR1769" s="277">
        <v>44924.666666666664</v>
      </c>
      <c r="AS1769" s="288" t="s">
        <v>498</v>
      </c>
      <c r="AT1769" s="276" t="s">
        <v>65</v>
      </c>
      <c r="AU1769" s="276">
        <v>0.66666666666666663</v>
      </c>
      <c r="AV1769" s="288">
        <v>1</v>
      </c>
      <c r="AW1769" s="288" t="s">
        <v>66</v>
      </c>
      <c r="AX1769" s="298"/>
      <c r="AY1769" s="298"/>
      <c r="AZ1769" s="298"/>
      <c r="BA1769" s="298"/>
    </row>
    <row r="1770" spans="1:53" x14ac:dyDescent="0.25">
      <c r="A1770" s="312">
        <v>515</v>
      </c>
      <c r="B1770" s="295">
        <v>44923.75</v>
      </c>
      <c r="C1770" s="290">
        <v>0.75</v>
      </c>
      <c r="D1770" s="290">
        <v>0.77777777777777779</v>
      </c>
      <c r="E1770" s="290">
        <v>0.85416666666666663</v>
      </c>
      <c r="F1770" s="291" t="s">
        <v>169</v>
      </c>
      <c r="G1770" s="291" t="s">
        <v>4481</v>
      </c>
      <c r="H1770" s="287" t="s">
        <v>191</v>
      </c>
      <c r="I1770" s="287" t="s">
        <v>192</v>
      </c>
      <c r="J1770" s="287" t="s">
        <v>37</v>
      </c>
      <c r="K1770" s="289" t="s">
        <v>180</v>
      </c>
      <c r="L1770" s="293" t="s">
        <v>206</v>
      </c>
      <c r="M1770" s="291" t="s">
        <v>4482</v>
      </c>
      <c r="N1770" s="291" t="s">
        <v>154</v>
      </c>
      <c r="O1770" s="291" t="s">
        <v>4483</v>
      </c>
      <c r="P1770" s="291" t="s">
        <v>4484</v>
      </c>
      <c r="Q1770" s="303">
        <f t="shared" si="156"/>
        <v>0</v>
      </c>
      <c r="R1770" s="303">
        <f t="shared" si="157"/>
        <v>0</v>
      </c>
      <c r="S1770" s="291">
        <v>0</v>
      </c>
      <c r="T1770" s="291">
        <v>0</v>
      </c>
      <c r="U1770" s="291">
        <v>0</v>
      </c>
      <c r="V1770" s="291">
        <v>0</v>
      </c>
      <c r="W1770" s="291">
        <v>0</v>
      </c>
      <c r="X1770" s="291">
        <v>58</v>
      </c>
      <c r="Y1770" s="291">
        <v>38</v>
      </c>
      <c r="Z1770" s="291">
        <v>22</v>
      </c>
      <c r="AA1770" s="291">
        <v>18</v>
      </c>
      <c r="AB1770" s="300">
        <f t="shared" si="158"/>
        <v>145.464</v>
      </c>
      <c r="AC1770" s="300">
        <f t="shared" si="159"/>
        <v>0.87628915662650597</v>
      </c>
      <c r="AD1770" s="291">
        <v>0</v>
      </c>
      <c r="AE1770" s="291">
        <v>0</v>
      </c>
      <c r="AF1770" s="291" t="s">
        <v>4485</v>
      </c>
      <c r="AG1770" s="291" t="s">
        <v>4486</v>
      </c>
      <c r="AH1770" s="291" t="s">
        <v>4487</v>
      </c>
      <c r="AI1770" s="309"/>
      <c r="AJ1770" s="309"/>
      <c r="AK1770" s="291" t="s">
        <v>48</v>
      </c>
      <c r="AL1770" s="291" t="s">
        <v>47</v>
      </c>
      <c r="AM1770" s="299">
        <f t="shared" ca="1" si="155"/>
        <v>0.91666666666424135</v>
      </c>
      <c r="AN1770" s="271" t="s">
        <v>4503</v>
      </c>
      <c r="AO1770" s="288" t="s">
        <v>4577</v>
      </c>
      <c r="AP1770" s="275" t="s">
        <v>4482</v>
      </c>
      <c r="AQ1770" s="288" t="s">
        <v>4578</v>
      </c>
      <c r="AR1770" s="277">
        <v>44924.666666666664</v>
      </c>
      <c r="AS1770" s="288" t="s">
        <v>498</v>
      </c>
      <c r="AT1770" s="276" t="s">
        <v>65</v>
      </c>
      <c r="AU1770" s="276">
        <v>0.66666666666666663</v>
      </c>
      <c r="AV1770" s="288">
        <v>1</v>
      </c>
      <c r="AW1770" s="288" t="s">
        <v>66</v>
      </c>
      <c r="AX1770" s="298"/>
      <c r="AY1770" s="298"/>
      <c r="AZ1770" s="298"/>
      <c r="BA1770" s="298"/>
    </row>
    <row r="1771" spans="1:53" x14ac:dyDescent="0.25">
      <c r="A1771" s="312">
        <v>515</v>
      </c>
      <c r="B1771" s="295">
        <v>44923.75</v>
      </c>
      <c r="C1771" s="290">
        <v>0.75</v>
      </c>
      <c r="D1771" s="290">
        <v>0.77777777777777779</v>
      </c>
      <c r="E1771" s="290">
        <v>0.85416666666666663</v>
      </c>
      <c r="F1771" s="291" t="s">
        <v>169</v>
      </c>
      <c r="G1771" s="291" t="s">
        <v>4481</v>
      </c>
      <c r="H1771" s="287" t="s">
        <v>191</v>
      </c>
      <c r="I1771" s="287" t="s">
        <v>192</v>
      </c>
      <c r="J1771" s="287" t="s">
        <v>37</v>
      </c>
      <c r="K1771" s="289" t="s">
        <v>180</v>
      </c>
      <c r="L1771" s="293" t="s">
        <v>206</v>
      </c>
      <c r="M1771" s="291" t="s">
        <v>4482</v>
      </c>
      <c r="N1771" s="291" t="s">
        <v>154</v>
      </c>
      <c r="O1771" s="291" t="s">
        <v>4483</v>
      </c>
      <c r="P1771" s="291" t="s">
        <v>4484</v>
      </c>
      <c r="Q1771" s="303">
        <f t="shared" si="156"/>
        <v>0</v>
      </c>
      <c r="R1771" s="303">
        <f t="shared" si="157"/>
        <v>0</v>
      </c>
      <c r="S1771" s="291">
        <v>0</v>
      </c>
      <c r="T1771" s="291">
        <v>0</v>
      </c>
      <c r="U1771" s="291">
        <v>0</v>
      </c>
      <c r="V1771" s="291">
        <v>0</v>
      </c>
      <c r="W1771" s="291">
        <v>0</v>
      </c>
      <c r="X1771" s="291">
        <v>38</v>
      </c>
      <c r="Y1771" s="291">
        <v>29</v>
      </c>
      <c r="Z1771" s="291">
        <v>15</v>
      </c>
      <c r="AA1771" s="291">
        <v>7</v>
      </c>
      <c r="AB1771" s="300">
        <f t="shared" si="158"/>
        <v>19.285</v>
      </c>
      <c r="AC1771" s="300">
        <f t="shared" si="159"/>
        <v>0.11617469879518072</v>
      </c>
      <c r="AD1771" s="291">
        <v>0</v>
      </c>
      <c r="AE1771" s="291">
        <v>0</v>
      </c>
      <c r="AF1771" s="291" t="s">
        <v>4485</v>
      </c>
      <c r="AG1771" s="291" t="s">
        <v>4486</v>
      </c>
      <c r="AH1771" s="291" t="s">
        <v>4487</v>
      </c>
      <c r="AI1771" s="309"/>
      <c r="AJ1771" s="309"/>
      <c r="AK1771" s="291" t="s">
        <v>48</v>
      </c>
      <c r="AL1771" s="291" t="s">
        <v>47</v>
      </c>
      <c r="AM1771" s="299">
        <f t="shared" ca="1" si="155"/>
        <v>0.91666666666424135</v>
      </c>
      <c r="AN1771" s="297"/>
      <c r="AO1771" s="288" t="s">
        <v>4577</v>
      </c>
      <c r="AP1771" s="275" t="s">
        <v>4482</v>
      </c>
      <c r="AQ1771" s="288" t="s">
        <v>4578</v>
      </c>
      <c r="AR1771" s="277">
        <v>44924.666666666664</v>
      </c>
      <c r="AS1771" s="288" t="s">
        <v>498</v>
      </c>
      <c r="AT1771" s="276" t="s">
        <v>65</v>
      </c>
      <c r="AU1771" s="276">
        <v>0.66666666666666663</v>
      </c>
      <c r="AV1771" s="288">
        <v>1</v>
      </c>
      <c r="AW1771" s="288" t="s">
        <v>66</v>
      </c>
      <c r="AX1771" s="298"/>
      <c r="AY1771" s="298"/>
      <c r="AZ1771" s="298"/>
      <c r="BA1771" s="298"/>
    </row>
    <row r="1772" spans="1:53" x14ac:dyDescent="0.25">
      <c r="A1772" s="296">
        <v>516</v>
      </c>
      <c r="B1772" s="295">
        <v>44923.75</v>
      </c>
      <c r="C1772" s="290">
        <v>0.75</v>
      </c>
      <c r="D1772" s="290">
        <v>0.77777777777777779</v>
      </c>
      <c r="E1772" s="290">
        <v>0.85416666666666663</v>
      </c>
      <c r="F1772" s="291" t="s">
        <v>169</v>
      </c>
      <c r="G1772" s="291" t="s">
        <v>4481</v>
      </c>
      <c r="H1772" s="287" t="s">
        <v>191</v>
      </c>
      <c r="I1772" s="287" t="s">
        <v>192</v>
      </c>
      <c r="J1772" s="287" t="s">
        <v>37</v>
      </c>
      <c r="K1772" s="289" t="s">
        <v>180</v>
      </c>
      <c r="L1772" s="293" t="s">
        <v>206</v>
      </c>
      <c r="M1772" s="291" t="s">
        <v>4488</v>
      </c>
      <c r="N1772" s="291" t="s">
        <v>453</v>
      </c>
      <c r="O1772" s="291" t="s">
        <v>4489</v>
      </c>
      <c r="P1772" s="291">
        <v>1683682</v>
      </c>
      <c r="Q1772" s="303">
        <f t="shared" si="156"/>
        <v>60</v>
      </c>
      <c r="R1772" s="303">
        <f t="shared" si="157"/>
        <v>692</v>
      </c>
      <c r="S1772" s="291">
        <v>60</v>
      </c>
      <c r="T1772" s="291">
        <v>692</v>
      </c>
      <c r="U1772" s="291">
        <v>0</v>
      </c>
      <c r="V1772" s="291">
        <v>0</v>
      </c>
      <c r="W1772" s="291">
        <v>687.9</v>
      </c>
      <c r="X1772" s="291">
        <v>58</v>
      </c>
      <c r="Y1772" s="291">
        <v>38</v>
      </c>
      <c r="Z1772" s="291">
        <v>29</v>
      </c>
      <c r="AA1772" s="291">
        <v>43</v>
      </c>
      <c r="AB1772" s="300">
        <f t="shared" si="158"/>
        <v>458.06466666666665</v>
      </c>
      <c r="AC1772" s="300">
        <f t="shared" si="159"/>
        <v>2.759425702811245</v>
      </c>
      <c r="AD1772" s="291">
        <v>12890.69</v>
      </c>
      <c r="AE1772" s="291" t="s">
        <v>109</v>
      </c>
      <c r="AF1772" s="291">
        <v>6504123</v>
      </c>
      <c r="AG1772" s="291" t="s">
        <v>4486</v>
      </c>
      <c r="AH1772" s="291" t="s">
        <v>4490</v>
      </c>
      <c r="AI1772" s="309"/>
      <c r="AJ1772" s="309"/>
      <c r="AK1772" s="291" t="s">
        <v>48</v>
      </c>
      <c r="AL1772" s="291" t="s">
        <v>47</v>
      </c>
      <c r="AM1772" s="299">
        <f t="shared" ca="1" si="155"/>
        <v>0.83333333333575865</v>
      </c>
      <c r="AN1772" s="297"/>
      <c r="AO1772" s="288" t="s">
        <v>68</v>
      </c>
      <c r="AP1772" s="275" t="s">
        <v>4488</v>
      </c>
      <c r="AQ1772" s="288" t="s">
        <v>4575</v>
      </c>
      <c r="AR1772" s="277">
        <v>44924.583333333336</v>
      </c>
      <c r="AS1772" s="288" t="s">
        <v>136</v>
      </c>
      <c r="AT1772" s="288" t="s">
        <v>225</v>
      </c>
      <c r="AU1772" s="276">
        <v>0.58333333333333337</v>
      </c>
      <c r="AV1772" s="288">
        <v>1</v>
      </c>
      <c r="AW1772" s="288" t="s">
        <v>66</v>
      </c>
      <c r="AX1772" s="298"/>
      <c r="AY1772" s="298"/>
      <c r="AZ1772" s="298"/>
      <c r="BA1772" s="298"/>
    </row>
    <row r="1773" spans="1:53" x14ac:dyDescent="0.25">
      <c r="A1773" s="312">
        <v>516</v>
      </c>
      <c r="B1773" s="295">
        <v>44923.75</v>
      </c>
      <c r="C1773" s="290">
        <v>0.75</v>
      </c>
      <c r="D1773" s="290">
        <v>0.77777777777777779</v>
      </c>
      <c r="E1773" s="290">
        <v>0.85416666666666663</v>
      </c>
      <c r="F1773" s="291" t="s">
        <v>169</v>
      </c>
      <c r="G1773" s="291" t="s">
        <v>4481</v>
      </c>
      <c r="H1773" s="287" t="s">
        <v>191</v>
      </c>
      <c r="I1773" s="287" t="s">
        <v>192</v>
      </c>
      <c r="J1773" s="287" t="s">
        <v>37</v>
      </c>
      <c r="K1773" s="289" t="s">
        <v>180</v>
      </c>
      <c r="L1773" s="293" t="s">
        <v>206</v>
      </c>
      <c r="M1773" s="291" t="s">
        <v>4488</v>
      </c>
      <c r="N1773" s="291" t="s">
        <v>453</v>
      </c>
      <c r="O1773" s="291" t="s">
        <v>4489</v>
      </c>
      <c r="P1773" s="291">
        <v>1683682</v>
      </c>
      <c r="Q1773" s="303">
        <f t="shared" si="156"/>
        <v>0</v>
      </c>
      <c r="R1773" s="303">
        <f t="shared" si="157"/>
        <v>0</v>
      </c>
      <c r="S1773" s="291">
        <v>0</v>
      </c>
      <c r="T1773" s="291">
        <v>0</v>
      </c>
      <c r="U1773" s="291">
        <v>0</v>
      </c>
      <c r="V1773" s="291">
        <v>0</v>
      </c>
      <c r="W1773" s="291">
        <v>0</v>
      </c>
      <c r="X1773" s="291">
        <v>58</v>
      </c>
      <c r="Y1773" s="291">
        <v>38</v>
      </c>
      <c r="Z1773" s="291">
        <v>22</v>
      </c>
      <c r="AA1773" s="291">
        <v>6</v>
      </c>
      <c r="AB1773" s="300">
        <f t="shared" si="158"/>
        <v>48.488</v>
      </c>
      <c r="AC1773" s="300">
        <f t="shared" si="159"/>
        <v>0.29209638554216866</v>
      </c>
      <c r="AD1773" s="291">
        <v>0</v>
      </c>
      <c r="AE1773" s="291">
        <v>0</v>
      </c>
      <c r="AF1773" s="291">
        <v>6504123</v>
      </c>
      <c r="AG1773" s="291" t="s">
        <v>4486</v>
      </c>
      <c r="AH1773" s="291" t="s">
        <v>4490</v>
      </c>
      <c r="AI1773" s="309"/>
      <c r="AJ1773" s="309"/>
      <c r="AK1773" s="291" t="s">
        <v>48</v>
      </c>
      <c r="AL1773" s="291" t="s">
        <v>47</v>
      </c>
      <c r="AM1773" s="299">
        <f t="shared" ca="1" si="155"/>
        <v>0.83333333333575865</v>
      </c>
      <c r="AN1773" s="297"/>
      <c r="AO1773" s="288" t="s">
        <v>68</v>
      </c>
      <c r="AP1773" s="275" t="s">
        <v>4488</v>
      </c>
      <c r="AQ1773" s="288" t="s">
        <v>4575</v>
      </c>
      <c r="AR1773" s="277">
        <v>44924.583333333336</v>
      </c>
      <c r="AS1773" s="288" t="s">
        <v>136</v>
      </c>
      <c r="AT1773" s="288" t="s">
        <v>225</v>
      </c>
      <c r="AU1773" s="276">
        <v>0.58333333333333337</v>
      </c>
      <c r="AV1773" s="288">
        <v>1</v>
      </c>
      <c r="AW1773" s="288" t="s">
        <v>66</v>
      </c>
      <c r="AX1773" s="298"/>
      <c r="AY1773" s="298"/>
      <c r="AZ1773" s="298"/>
      <c r="BA1773" s="298"/>
    </row>
    <row r="1774" spans="1:53" x14ac:dyDescent="0.25">
      <c r="A1774" s="312">
        <v>516</v>
      </c>
      <c r="B1774" s="295">
        <v>44923.75</v>
      </c>
      <c r="C1774" s="290">
        <v>0.75</v>
      </c>
      <c r="D1774" s="290">
        <v>0.77777777777777779</v>
      </c>
      <c r="E1774" s="290">
        <v>0.85416666666666663</v>
      </c>
      <c r="F1774" s="291" t="s">
        <v>169</v>
      </c>
      <c r="G1774" s="291" t="s">
        <v>4481</v>
      </c>
      <c r="H1774" s="287" t="s">
        <v>191</v>
      </c>
      <c r="I1774" s="287" t="s">
        <v>192</v>
      </c>
      <c r="J1774" s="287" t="s">
        <v>37</v>
      </c>
      <c r="K1774" s="289" t="s">
        <v>180</v>
      </c>
      <c r="L1774" s="293" t="s">
        <v>206</v>
      </c>
      <c r="M1774" s="291" t="s">
        <v>4488</v>
      </c>
      <c r="N1774" s="291" t="s">
        <v>453</v>
      </c>
      <c r="O1774" s="291" t="s">
        <v>4489</v>
      </c>
      <c r="P1774" s="291">
        <v>1683682</v>
      </c>
      <c r="Q1774" s="303">
        <f t="shared" si="156"/>
        <v>0</v>
      </c>
      <c r="R1774" s="303">
        <f t="shared" si="157"/>
        <v>0</v>
      </c>
      <c r="S1774" s="291">
        <v>0</v>
      </c>
      <c r="T1774" s="291">
        <v>0</v>
      </c>
      <c r="U1774" s="291">
        <v>0</v>
      </c>
      <c r="V1774" s="291">
        <v>0</v>
      </c>
      <c r="W1774" s="291">
        <v>0</v>
      </c>
      <c r="X1774" s="291">
        <v>59</v>
      </c>
      <c r="Y1774" s="291">
        <v>39</v>
      </c>
      <c r="Z1774" s="291">
        <v>16</v>
      </c>
      <c r="AA1774" s="291">
        <v>5</v>
      </c>
      <c r="AB1774" s="300">
        <f t="shared" si="158"/>
        <v>30.68</v>
      </c>
      <c r="AC1774" s="300">
        <f t="shared" si="159"/>
        <v>0.18481927710843374</v>
      </c>
      <c r="AD1774" s="291">
        <v>0</v>
      </c>
      <c r="AE1774" s="291">
        <v>0</v>
      </c>
      <c r="AF1774" s="291">
        <v>6504123</v>
      </c>
      <c r="AG1774" s="291" t="s">
        <v>4486</v>
      </c>
      <c r="AH1774" s="291" t="s">
        <v>4490</v>
      </c>
      <c r="AI1774" s="309"/>
      <c r="AJ1774" s="309"/>
      <c r="AK1774" s="291" t="s">
        <v>48</v>
      </c>
      <c r="AL1774" s="291" t="s">
        <v>47</v>
      </c>
      <c r="AM1774" s="299">
        <f t="shared" ca="1" si="155"/>
        <v>0.83333333333575865</v>
      </c>
      <c r="AN1774" s="297"/>
      <c r="AO1774" s="288" t="s">
        <v>68</v>
      </c>
      <c r="AP1774" s="275" t="s">
        <v>4488</v>
      </c>
      <c r="AQ1774" s="288" t="s">
        <v>4575</v>
      </c>
      <c r="AR1774" s="277">
        <v>44924.583333333336</v>
      </c>
      <c r="AS1774" s="288" t="s">
        <v>136</v>
      </c>
      <c r="AT1774" s="288" t="s">
        <v>225</v>
      </c>
      <c r="AU1774" s="276">
        <v>0.58333333333333337</v>
      </c>
      <c r="AV1774" s="288">
        <v>1</v>
      </c>
      <c r="AW1774" s="288" t="s">
        <v>66</v>
      </c>
      <c r="AX1774" s="298"/>
      <c r="AY1774" s="298"/>
      <c r="AZ1774" s="298"/>
      <c r="BA1774" s="298"/>
    </row>
    <row r="1775" spans="1:53" x14ac:dyDescent="0.25">
      <c r="A1775" s="312">
        <v>516</v>
      </c>
      <c r="B1775" s="295">
        <v>44923.75</v>
      </c>
      <c r="C1775" s="290">
        <v>0.75</v>
      </c>
      <c r="D1775" s="290">
        <v>0.77777777777777779</v>
      </c>
      <c r="E1775" s="290">
        <v>0.85416666666666663</v>
      </c>
      <c r="F1775" s="291" t="s">
        <v>169</v>
      </c>
      <c r="G1775" s="291" t="s">
        <v>4481</v>
      </c>
      <c r="H1775" s="287" t="s">
        <v>191</v>
      </c>
      <c r="I1775" s="287" t="s">
        <v>192</v>
      </c>
      <c r="J1775" s="287" t="s">
        <v>37</v>
      </c>
      <c r="K1775" s="289" t="s">
        <v>180</v>
      </c>
      <c r="L1775" s="293" t="s">
        <v>206</v>
      </c>
      <c r="M1775" s="291" t="s">
        <v>4488</v>
      </c>
      <c r="N1775" s="291" t="s">
        <v>453</v>
      </c>
      <c r="O1775" s="291" t="s">
        <v>4489</v>
      </c>
      <c r="P1775" s="291">
        <v>1683682</v>
      </c>
      <c r="Q1775" s="303">
        <f t="shared" si="156"/>
        <v>0</v>
      </c>
      <c r="R1775" s="303">
        <f t="shared" si="157"/>
        <v>0</v>
      </c>
      <c r="S1775" s="291">
        <v>0</v>
      </c>
      <c r="T1775" s="291">
        <v>0</v>
      </c>
      <c r="U1775" s="291">
        <v>0</v>
      </c>
      <c r="V1775" s="291">
        <v>0</v>
      </c>
      <c r="W1775" s="291">
        <v>0</v>
      </c>
      <c r="X1775" s="291">
        <v>38</v>
      </c>
      <c r="Y1775" s="291">
        <v>29</v>
      </c>
      <c r="Z1775" s="291">
        <v>15</v>
      </c>
      <c r="AA1775" s="291">
        <v>6</v>
      </c>
      <c r="AB1775" s="300">
        <f t="shared" si="158"/>
        <v>16.53</v>
      </c>
      <c r="AC1775" s="300">
        <f t="shared" si="159"/>
        <v>9.9578313253012057E-2</v>
      </c>
      <c r="AD1775" s="291">
        <v>0</v>
      </c>
      <c r="AE1775" s="291">
        <v>0</v>
      </c>
      <c r="AF1775" s="291">
        <v>6504123</v>
      </c>
      <c r="AG1775" s="291" t="s">
        <v>4486</v>
      </c>
      <c r="AH1775" s="291" t="s">
        <v>4490</v>
      </c>
      <c r="AI1775" s="309"/>
      <c r="AJ1775" s="309"/>
      <c r="AK1775" s="291" t="s">
        <v>48</v>
      </c>
      <c r="AL1775" s="291" t="s">
        <v>47</v>
      </c>
      <c r="AM1775" s="299">
        <f t="shared" ca="1" si="155"/>
        <v>0.83333333333575865</v>
      </c>
      <c r="AN1775" s="297"/>
      <c r="AO1775" s="288" t="s">
        <v>68</v>
      </c>
      <c r="AP1775" s="275" t="s">
        <v>4488</v>
      </c>
      <c r="AQ1775" s="288" t="s">
        <v>4575</v>
      </c>
      <c r="AR1775" s="277">
        <v>44924.583333333336</v>
      </c>
      <c r="AS1775" s="288" t="s">
        <v>136</v>
      </c>
      <c r="AT1775" s="288" t="s">
        <v>225</v>
      </c>
      <c r="AU1775" s="276">
        <v>0.58333333333333337</v>
      </c>
      <c r="AV1775" s="288">
        <v>1</v>
      </c>
      <c r="AW1775" s="288" t="s">
        <v>66</v>
      </c>
      <c r="AX1775" s="298"/>
      <c r="AY1775" s="298"/>
      <c r="AZ1775" s="298"/>
      <c r="BA1775" s="298"/>
    </row>
    <row r="1776" spans="1:53" x14ac:dyDescent="0.25">
      <c r="A1776" s="296">
        <v>517</v>
      </c>
      <c r="B1776" s="295">
        <v>44923.75</v>
      </c>
      <c r="C1776" s="290">
        <v>0.75</v>
      </c>
      <c r="D1776" s="290">
        <v>0.77777777777777779</v>
      </c>
      <c r="E1776" s="290">
        <v>0.85416666666666663</v>
      </c>
      <c r="F1776" s="291" t="s">
        <v>169</v>
      </c>
      <c r="G1776" s="291" t="s">
        <v>4481</v>
      </c>
      <c r="H1776" s="287" t="s">
        <v>191</v>
      </c>
      <c r="I1776" s="287" t="s">
        <v>192</v>
      </c>
      <c r="J1776" s="287" t="s">
        <v>37</v>
      </c>
      <c r="K1776" s="289" t="s">
        <v>180</v>
      </c>
      <c r="L1776" s="293" t="s">
        <v>206</v>
      </c>
      <c r="M1776" s="291" t="s">
        <v>4491</v>
      </c>
      <c r="N1776" s="291" t="s">
        <v>340</v>
      </c>
      <c r="O1776" s="291" t="s">
        <v>4492</v>
      </c>
      <c r="P1776" s="291" t="s">
        <v>4493</v>
      </c>
      <c r="Q1776" s="303">
        <f t="shared" si="156"/>
        <v>10</v>
      </c>
      <c r="R1776" s="303">
        <f t="shared" si="157"/>
        <v>15</v>
      </c>
      <c r="S1776" s="291">
        <v>10</v>
      </c>
      <c r="T1776" s="291">
        <v>15</v>
      </c>
      <c r="U1776" s="291">
        <v>0</v>
      </c>
      <c r="V1776" s="291">
        <v>0</v>
      </c>
      <c r="W1776" s="291">
        <v>14.27</v>
      </c>
      <c r="X1776" s="291">
        <v>38</v>
      </c>
      <c r="Y1776" s="291">
        <v>29</v>
      </c>
      <c r="Z1776" s="291">
        <v>15</v>
      </c>
      <c r="AA1776" s="291">
        <v>10</v>
      </c>
      <c r="AB1776" s="300">
        <f t="shared" si="158"/>
        <v>27.55</v>
      </c>
      <c r="AC1776" s="300">
        <f t="shared" si="159"/>
        <v>0.16596385542168676</v>
      </c>
      <c r="AD1776" s="291">
        <v>243.8</v>
      </c>
      <c r="AE1776" s="291" t="s">
        <v>109</v>
      </c>
      <c r="AF1776" s="291">
        <v>6504076</v>
      </c>
      <c r="AG1776" s="291" t="s">
        <v>4486</v>
      </c>
      <c r="AH1776" s="291" t="s">
        <v>4494</v>
      </c>
      <c r="AI1776" s="309"/>
      <c r="AJ1776" s="309"/>
      <c r="AK1776" s="291" t="s">
        <v>48</v>
      </c>
      <c r="AL1776" s="291" t="s">
        <v>47</v>
      </c>
      <c r="AM1776" s="299">
        <f t="shared" ca="1" si="155"/>
        <v>0.83333333333575865</v>
      </c>
      <c r="AN1776" s="297"/>
      <c r="AO1776" s="288" t="s">
        <v>81</v>
      </c>
      <c r="AP1776" s="275" t="s">
        <v>4491</v>
      </c>
      <c r="AQ1776" s="288" t="s">
        <v>4576</v>
      </c>
      <c r="AR1776" s="277">
        <v>44924.583333333336</v>
      </c>
      <c r="AS1776" s="288" t="s">
        <v>136</v>
      </c>
      <c r="AT1776" s="288" t="s">
        <v>225</v>
      </c>
      <c r="AU1776" s="276">
        <v>0.58333333333333337</v>
      </c>
      <c r="AV1776" s="288">
        <v>1</v>
      </c>
      <c r="AW1776" s="288" t="s">
        <v>66</v>
      </c>
      <c r="AX1776" s="298"/>
      <c r="AY1776" s="298"/>
      <c r="AZ1776" s="298"/>
      <c r="BA1776" s="298"/>
    </row>
    <row r="1777" spans="1:53" x14ac:dyDescent="0.25">
      <c r="A1777" s="296">
        <v>518</v>
      </c>
      <c r="B1777" s="295">
        <v>44923.770833333336</v>
      </c>
      <c r="C1777" s="290">
        <v>0.77430555555555547</v>
      </c>
      <c r="D1777" s="290">
        <v>0.78472222222222221</v>
      </c>
      <c r="E1777" s="290">
        <v>0.81597222222222221</v>
      </c>
      <c r="F1777" s="291" t="s">
        <v>169</v>
      </c>
      <c r="G1777" s="291" t="s">
        <v>3491</v>
      </c>
      <c r="H1777" s="287" t="s">
        <v>4495</v>
      </c>
      <c r="I1777" s="287" t="s">
        <v>377</v>
      </c>
      <c r="J1777" s="287" t="s">
        <v>41</v>
      </c>
      <c r="K1777" s="289" t="s">
        <v>241</v>
      </c>
      <c r="L1777" s="289">
        <v>0</v>
      </c>
      <c r="M1777" s="291" t="s">
        <v>4496</v>
      </c>
      <c r="N1777" s="291" t="s">
        <v>42</v>
      </c>
      <c r="O1777" s="291" t="s">
        <v>4497</v>
      </c>
      <c r="P1777" s="291">
        <v>10048487</v>
      </c>
      <c r="Q1777" s="303">
        <f t="shared" si="156"/>
        <v>53</v>
      </c>
      <c r="R1777" s="303">
        <f t="shared" si="157"/>
        <v>897</v>
      </c>
      <c r="S1777" s="291">
        <v>53</v>
      </c>
      <c r="T1777" s="291">
        <v>897</v>
      </c>
      <c r="U1777" s="291">
        <v>0</v>
      </c>
      <c r="V1777" s="291">
        <v>0</v>
      </c>
      <c r="W1777" s="291">
        <v>848.72</v>
      </c>
      <c r="X1777" s="291">
        <v>66</v>
      </c>
      <c r="Y1777" s="291">
        <v>47</v>
      </c>
      <c r="Z1777" s="291">
        <v>30</v>
      </c>
      <c r="AA1777" s="291">
        <v>49</v>
      </c>
      <c r="AB1777" s="300">
        <f t="shared" si="158"/>
        <v>759.99</v>
      </c>
      <c r="AC1777" s="300">
        <f t="shared" si="159"/>
        <v>4.5782530120481928</v>
      </c>
      <c r="AD1777" s="291">
        <v>20650.62</v>
      </c>
      <c r="AE1777" s="291" t="s">
        <v>109</v>
      </c>
      <c r="AF1777" s="291">
        <v>6498182</v>
      </c>
      <c r="AG1777" s="291" t="s">
        <v>4486</v>
      </c>
      <c r="AH1777" s="291" t="s">
        <v>4498</v>
      </c>
      <c r="AI1777" s="309"/>
      <c r="AJ1777" s="309"/>
      <c r="AK1777" s="291" t="s">
        <v>48</v>
      </c>
      <c r="AL1777" s="291" t="s">
        <v>50</v>
      </c>
      <c r="AM1777" s="299">
        <f t="shared" ca="1" si="155"/>
        <v>0.75694444444525288</v>
      </c>
      <c r="AN1777" s="297"/>
      <c r="AO1777" s="288" t="s">
        <v>107</v>
      </c>
      <c r="AP1777" s="275" t="s">
        <v>4496</v>
      </c>
      <c r="AQ1777" s="288" t="s">
        <v>4567</v>
      </c>
      <c r="AR1777" s="277">
        <v>44924.527777777781</v>
      </c>
      <c r="AS1777" s="288" t="s">
        <v>4568</v>
      </c>
      <c r="AT1777" s="276" t="s">
        <v>65</v>
      </c>
      <c r="AU1777" s="276">
        <v>0.52777777777777779</v>
      </c>
      <c r="AV1777" s="288">
        <v>1</v>
      </c>
      <c r="AW1777" s="288" t="s">
        <v>66</v>
      </c>
      <c r="AX1777" s="298"/>
      <c r="AY1777" s="298"/>
      <c r="AZ1777" s="298"/>
      <c r="BA1777" s="298"/>
    </row>
    <row r="1778" spans="1:53" x14ac:dyDescent="0.25">
      <c r="A1778" s="312">
        <v>518</v>
      </c>
      <c r="B1778" s="295">
        <v>44923.770833333336</v>
      </c>
      <c r="C1778" s="290">
        <v>0.77430555555555547</v>
      </c>
      <c r="D1778" s="290">
        <v>0.78472222222222221</v>
      </c>
      <c r="E1778" s="290">
        <v>0.81597222222222221</v>
      </c>
      <c r="F1778" s="291" t="s">
        <v>169</v>
      </c>
      <c r="G1778" s="291" t="s">
        <v>3491</v>
      </c>
      <c r="H1778" s="287" t="s">
        <v>4495</v>
      </c>
      <c r="I1778" s="287" t="s">
        <v>377</v>
      </c>
      <c r="J1778" s="287" t="s">
        <v>41</v>
      </c>
      <c r="K1778" s="289" t="s">
        <v>241</v>
      </c>
      <c r="L1778" s="289">
        <v>0</v>
      </c>
      <c r="M1778" s="291" t="s">
        <v>4496</v>
      </c>
      <c r="N1778" s="291" t="s">
        <v>42</v>
      </c>
      <c r="O1778" s="291" t="s">
        <v>4497</v>
      </c>
      <c r="P1778" s="291">
        <v>10048487</v>
      </c>
      <c r="Q1778" s="303">
        <f t="shared" si="156"/>
        <v>0</v>
      </c>
      <c r="R1778" s="303">
        <f t="shared" si="157"/>
        <v>0</v>
      </c>
      <c r="S1778" s="291">
        <v>0</v>
      </c>
      <c r="T1778" s="291">
        <v>0</v>
      </c>
      <c r="U1778" s="291">
        <v>0</v>
      </c>
      <c r="V1778" s="291">
        <v>0</v>
      </c>
      <c r="W1778" s="291">
        <v>0</v>
      </c>
      <c r="X1778" s="291">
        <v>66</v>
      </c>
      <c r="Y1778" s="291">
        <v>47</v>
      </c>
      <c r="Z1778" s="291">
        <v>16</v>
      </c>
      <c r="AA1778" s="291">
        <v>3</v>
      </c>
      <c r="AB1778" s="300">
        <f t="shared" si="158"/>
        <v>24.815999999999999</v>
      </c>
      <c r="AC1778" s="300">
        <f t="shared" si="159"/>
        <v>0.14949397590361446</v>
      </c>
      <c r="AD1778" s="291">
        <v>0</v>
      </c>
      <c r="AE1778" s="291">
        <v>0</v>
      </c>
      <c r="AF1778" s="291">
        <v>6498182</v>
      </c>
      <c r="AG1778" s="291" t="s">
        <v>4486</v>
      </c>
      <c r="AH1778" s="291" t="s">
        <v>4498</v>
      </c>
      <c r="AI1778" s="309"/>
      <c r="AJ1778" s="309"/>
      <c r="AK1778" s="291" t="s">
        <v>48</v>
      </c>
      <c r="AL1778" s="291" t="s">
        <v>50</v>
      </c>
      <c r="AM1778" s="299">
        <f t="shared" ca="1" si="155"/>
        <v>0.75694444444525288</v>
      </c>
      <c r="AN1778" s="297"/>
      <c r="AO1778" s="288" t="s">
        <v>107</v>
      </c>
      <c r="AP1778" s="275" t="s">
        <v>4496</v>
      </c>
      <c r="AQ1778" s="288" t="s">
        <v>4567</v>
      </c>
      <c r="AR1778" s="277">
        <v>44924.527777777781</v>
      </c>
      <c r="AS1778" s="288" t="s">
        <v>4568</v>
      </c>
      <c r="AT1778" s="276" t="s">
        <v>65</v>
      </c>
      <c r="AU1778" s="276">
        <v>0.52777777777777779</v>
      </c>
      <c r="AV1778" s="288">
        <v>1</v>
      </c>
      <c r="AW1778" s="288" t="s">
        <v>66</v>
      </c>
      <c r="AX1778" s="298"/>
      <c r="AY1778" s="298"/>
      <c r="AZ1778" s="298"/>
      <c r="BA1778" s="298"/>
    </row>
    <row r="1779" spans="1:53" x14ac:dyDescent="0.25">
      <c r="A1779" s="312">
        <v>518</v>
      </c>
      <c r="B1779" s="295">
        <v>44923.770833333336</v>
      </c>
      <c r="C1779" s="290">
        <v>0.77430555555555547</v>
      </c>
      <c r="D1779" s="290">
        <v>0.78472222222222221</v>
      </c>
      <c r="E1779" s="290">
        <v>0.81597222222222221</v>
      </c>
      <c r="F1779" s="291" t="s">
        <v>169</v>
      </c>
      <c r="G1779" s="291" t="s">
        <v>3491</v>
      </c>
      <c r="H1779" s="287" t="s">
        <v>4495</v>
      </c>
      <c r="I1779" s="287" t="s">
        <v>377</v>
      </c>
      <c r="J1779" s="287" t="s">
        <v>41</v>
      </c>
      <c r="K1779" s="289" t="s">
        <v>241</v>
      </c>
      <c r="L1779" s="289">
        <v>0</v>
      </c>
      <c r="M1779" s="291" t="s">
        <v>4496</v>
      </c>
      <c r="N1779" s="291" t="s">
        <v>42</v>
      </c>
      <c r="O1779" s="291" t="s">
        <v>4497</v>
      </c>
      <c r="P1779" s="291">
        <v>10048487</v>
      </c>
      <c r="Q1779" s="303">
        <f t="shared" si="156"/>
        <v>0</v>
      </c>
      <c r="R1779" s="303">
        <f t="shared" si="157"/>
        <v>0</v>
      </c>
      <c r="S1779" s="291">
        <v>0</v>
      </c>
      <c r="T1779" s="291">
        <v>0</v>
      </c>
      <c r="U1779" s="291">
        <v>0</v>
      </c>
      <c r="V1779" s="291">
        <v>0</v>
      </c>
      <c r="W1779" s="291">
        <v>0</v>
      </c>
      <c r="X1779" s="291">
        <v>66</v>
      </c>
      <c r="Y1779" s="291">
        <v>47</v>
      </c>
      <c r="Z1779" s="291">
        <v>22</v>
      </c>
      <c r="AA1779" s="291">
        <v>1</v>
      </c>
      <c r="AB1779" s="300">
        <f t="shared" si="158"/>
        <v>11.374000000000001</v>
      </c>
      <c r="AC1779" s="300">
        <f t="shared" si="159"/>
        <v>6.8518072289156629E-2</v>
      </c>
      <c r="AD1779" s="291">
        <v>0</v>
      </c>
      <c r="AE1779" s="291">
        <v>0</v>
      </c>
      <c r="AF1779" s="291">
        <v>6498182</v>
      </c>
      <c r="AG1779" s="291" t="s">
        <v>4486</v>
      </c>
      <c r="AH1779" s="291" t="s">
        <v>4498</v>
      </c>
      <c r="AI1779" s="309"/>
      <c r="AJ1779" s="309"/>
      <c r="AK1779" s="291" t="s">
        <v>48</v>
      </c>
      <c r="AL1779" s="291" t="s">
        <v>50</v>
      </c>
      <c r="AM1779" s="299">
        <f t="shared" ca="1" si="155"/>
        <v>0.75694444444525288</v>
      </c>
      <c r="AN1779" s="297"/>
      <c r="AO1779" s="288" t="s">
        <v>107</v>
      </c>
      <c r="AP1779" s="275" t="s">
        <v>4496</v>
      </c>
      <c r="AQ1779" s="288" t="s">
        <v>4567</v>
      </c>
      <c r="AR1779" s="277">
        <v>44924.527777777781</v>
      </c>
      <c r="AS1779" s="288" t="s">
        <v>4568</v>
      </c>
      <c r="AT1779" s="276" t="s">
        <v>65</v>
      </c>
      <c r="AU1779" s="276">
        <v>0.52777777777777779</v>
      </c>
      <c r="AV1779" s="288">
        <v>1</v>
      </c>
      <c r="AW1779" s="288" t="s">
        <v>66</v>
      </c>
      <c r="AX1779" s="298"/>
      <c r="AY1779" s="298"/>
      <c r="AZ1779" s="298"/>
      <c r="BA1779" s="298"/>
    </row>
    <row r="1780" spans="1:53" x14ac:dyDescent="0.25">
      <c r="A1780" s="296">
        <v>519</v>
      </c>
      <c r="B1780" s="295">
        <v>44923.815972222219</v>
      </c>
      <c r="C1780" s="290">
        <v>0.81944444444444453</v>
      </c>
      <c r="D1780" s="290">
        <v>0.82291666666666663</v>
      </c>
      <c r="E1780" s="290">
        <v>0.82638888888888884</v>
      </c>
      <c r="F1780" s="291" t="s">
        <v>171</v>
      </c>
      <c r="G1780" s="291" t="s">
        <v>200</v>
      </c>
      <c r="H1780" s="287" t="s">
        <v>342</v>
      </c>
      <c r="I1780" s="287" t="s">
        <v>342</v>
      </c>
      <c r="J1780" s="287" t="s">
        <v>37</v>
      </c>
      <c r="K1780" s="291" t="s">
        <v>180</v>
      </c>
      <c r="L1780" s="291">
        <v>0</v>
      </c>
      <c r="M1780" s="291" t="s">
        <v>4499</v>
      </c>
      <c r="N1780" s="291" t="s">
        <v>42</v>
      </c>
      <c r="O1780" s="291" t="s">
        <v>4500</v>
      </c>
      <c r="P1780" s="291">
        <v>23049392</v>
      </c>
      <c r="Q1780" s="303">
        <f t="shared" si="156"/>
        <v>2</v>
      </c>
      <c r="R1780" s="303">
        <f t="shared" si="157"/>
        <v>716</v>
      </c>
      <c r="S1780" s="291">
        <v>0</v>
      </c>
      <c r="T1780" s="291">
        <v>0</v>
      </c>
      <c r="U1780" s="291">
        <v>2</v>
      </c>
      <c r="V1780" s="291">
        <v>716</v>
      </c>
      <c r="W1780" s="291">
        <v>670</v>
      </c>
      <c r="X1780" s="291">
        <v>120</v>
      </c>
      <c r="Y1780" s="291">
        <v>63</v>
      </c>
      <c r="Z1780" s="291">
        <v>39</v>
      </c>
      <c r="AA1780" s="291">
        <v>1</v>
      </c>
      <c r="AB1780" s="300">
        <f t="shared" si="158"/>
        <v>49.14</v>
      </c>
      <c r="AC1780" s="300">
        <f t="shared" si="159"/>
        <v>0.29602409638554217</v>
      </c>
      <c r="AD1780" s="291">
        <v>6738</v>
      </c>
      <c r="AE1780" s="291" t="s">
        <v>109</v>
      </c>
      <c r="AF1780" s="291">
        <v>6510352</v>
      </c>
      <c r="AG1780" s="291" t="s">
        <v>4486</v>
      </c>
      <c r="AH1780" s="291" t="s">
        <v>4501</v>
      </c>
      <c r="AI1780" s="309"/>
      <c r="AJ1780" s="309"/>
      <c r="AK1780" s="291" t="s">
        <v>37</v>
      </c>
      <c r="AL1780" s="291" t="s">
        <v>39</v>
      </c>
      <c r="AM1780" s="299">
        <f t="shared" ca="1" si="155"/>
        <v>1.8333333333357587</v>
      </c>
      <c r="AN1780" s="297"/>
      <c r="AO1780" s="288" t="s">
        <v>107</v>
      </c>
      <c r="AP1780" s="275" t="s">
        <v>4499</v>
      </c>
      <c r="AQ1780" s="288" t="s">
        <v>4638</v>
      </c>
      <c r="AR1780" s="277">
        <v>44925.649305555555</v>
      </c>
      <c r="AS1780" s="288" t="s">
        <v>136</v>
      </c>
      <c r="AT1780" s="288" t="s">
        <v>225</v>
      </c>
      <c r="AU1780" s="276">
        <v>0.64930555555555558</v>
      </c>
      <c r="AV1780" s="288">
        <v>2</v>
      </c>
      <c r="AW1780" s="288" t="s">
        <v>66</v>
      </c>
      <c r="AX1780" s="298"/>
      <c r="AY1780" s="298"/>
      <c r="AZ1780" s="298"/>
      <c r="BA1780" s="298"/>
    </row>
    <row r="1781" spans="1:53" x14ac:dyDescent="0.25">
      <c r="A1781" s="312">
        <v>519</v>
      </c>
      <c r="B1781" s="295">
        <v>44923.815972222219</v>
      </c>
      <c r="C1781" s="290">
        <v>0.81944444444444453</v>
      </c>
      <c r="D1781" s="290">
        <v>0.82291666666666663</v>
      </c>
      <c r="E1781" s="290">
        <v>0.82638888888888884</v>
      </c>
      <c r="F1781" s="291" t="s">
        <v>171</v>
      </c>
      <c r="G1781" s="291" t="s">
        <v>200</v>
      </c>
      <c r="H1781" s="287" t="s">
        <v>342</v>
      </c>
      <c r="I1781" s="287" t="s">
        <v>342</v>
      </c>
      <c r="J1781" s="287" t="s">
        <v>37</v>
      </c>
      <c r="K1781" s="291" t="s">
        <v>180</v>
      </c>
      <c r="L1781" s="291">
        <v>0</v>
      </c>
      <c r="M1781" s="291" t="s">
        <v>4499</v>
      </c>
      <c r="N1781" s="291" t="s">
        <v>42</v>
      </c>
      <c r="O1781" s="291" t="s">
        <v>4500</v>
      </c>
      <c r="P1781" s="291">
        <v>23049392</v>
      </c>
      <c r="Q1781" s="303">
        <f t="shared" si="156"/>
        <v>0</v>
      </c>
      <c r="R1781" s="303">
        <f t="shared" si="157"/>
        <v>0</v>
      </c>
      <c r="S1781" s="291">
        <v>0</v>
      </c>
      <c r="T1781" s="291">
        <v>0</v>
      </c>
      <c r="U1781" s="291">
        <v>0</v>
      </c>
      <c r="V1781" s="291">
        <v>0</v>
      </c>
      <c r="W1781" s="291">
        <v>0</v>
      </c>
      <c r="X1781" s="291">
        <v>120</v>
      </c>
      <c r="Y1781" s="291">
        <v>63</v>
      </c>
      <c r="Z1781" s="291">
        <v>102</v>
      </c>
      <c r="AA1781" s="291">
        <v>1</v>
      </c>
      <c r="AB1781" s="300">
        <f t="shared" si="158"/>
        <v>128.52000000000001</v>
      </c>
      <c r="AC1781" s="300">
        <f t="shared" si="159"/>
        <v>0.77421686746987961</v>
      </c>
      <c r="AD1781" s="291">
        <v>0</v>
      </c>
      <c r="AE1781" s="291">
        <v>0</v>
      </c>
      <c r="AF1781" s="291">
        <v>6510352</v>
      </c>
      <c r="AG1781" s="291" t="s">
        <v>4486</v>
      </c>
      <c r="AH1781" s="291" t="s">
        <v>4501</v>
      </c>
      <c r="AI1781" s="309"/>
      <c r="AJ1781" s="309"/>
      <c r="AK1781" s="291" t="s">
        <v>37</v>
      </c>
      <c r="AL1781" s="291" t="s">
        <v>39</v>
      </c>
      <c r="AM1781" s="299">
        <f t="shared" ca="1" si="155"/>
        <v>1.8333333333357587</v>
      </c>
      <c r="AN1781" s="297"/>
      <c r="AO1781" s="288" t="s">
        <v>107</v>
      </c>
      <c r="AP1781" s="275" t="s">
        <v>4499</v>
      </c>
      <c r="AQ1781" s="288" t="s">
        <v>4638</v>
      </c>
      <c r="AR1781" s="277">
        <v>44925.649305555555</v>
      </c>
      <c r="AS1781" s="288" t="s">
        <v>136</v>
      </c>
      <c r="AT1781" s="288" t="s">
        <v>225</v>
      </c>
      <c r="AU1781" s="276">
        <v>0.64930555555555558</v>
      </c>
      <c r="AV1781" s="288">
        <v>2</v>
      </c>
      <c r="AW1781" s="288" t="s">
        <v>66</v>
      </c>
      <c r="AX1781" s="298"/>
      <c r="AY1781" s="298"/>
      <c r="AZ1781" s="298"/>
      <c r="BA1781" s="298"/>
    </row>
    <row r="1782" spans="1:53" x14ac:dyDescent="0.25">
      <c r="A1782" s="296">
        <v>520</v>
      </c>
      <c r="B1782" s="295">
        <v>44924.465277777781</v>
      </c>
      <c r="C1782" s="290">
        <v>0.46875</v>
      </c>
      <c r="D1782" s="290">
        <v>0.47222222222222227</v>
      </c>
      <c r="E1782" s="290">
        <v>0.47569444444444442</v>
      </c>
      <c r="F1782" s="291" t="s">
        <v>171</v>
      </c>
      <c r="G1782" s="291" t="s">
        <v>4504</v>
      </c>
      <c r="H1782" s="287" t="s">
        <v>85</v>
      </c>
      <c r="I1782" s="287" t="s">
        <v>86</v>
      </c>
      <c r="J1782" s="287" t="s">
        <v>37</v>
      </c>
      <c r="K1782" s="287" t="s">
        <v>180</v>
      </c>
      <c r="L1782" s="287" t="s">
        <v>207</v>
      </c>
      <c r="M1782" s="291" t="s">
        <v>4505</v>
      </c>
      <c r="N1782" s="291" t="s">
        <v>42</v>
      </c>
      <c r="O1782" s="291" t="s">
        <v>4506</v>
      </c>
      <c r="P1782" s="291" t="s">
        <v>4507</v>
      </c>
      <c r="Q1782" s="303">
        <f t="shared" si="156"/>
        <v>2</v>
      </c>
      <c r="R1782" s="303">
        <f t="shared" si="157"/>
        <v>419</v>
      </c>
      <c r="S1782" s="291">
        <v>0</v>
      </c>
      <c r="T1782" s="291">
        <v>0</v>
      </c>
      <c r="U1782" s="291">
        <v>2</v>
      </c>
      <c r="V1782" s="291">
        <v>419</v>
      </c>
      <c r="W1782" s="291">
        <v>413</v>
      </c>
      <c r="X1782" s="291">
        <v>120</v>
      </c>
      <c r="Y1782" s="291">
        <v>80</v>
      </c>
      <c r="Z1782" s="291">
        <v>87</v>
      </c>
      <c r="AA1782" s="291">
        <v>1</v>
      </c>
      <c r="AB1782" s="300">
        <f t="shared" si="158"/>
        <v>139.19999999999999</v>
      </c>
      <c r="AC1782" s="300">
        <f t="shared" si="159"/>
        <v>0.83855421686746978</v>
      </c>
      <c r="AD1782" s="291">
        <v>9739.15</v>
      </c>
      <c r="AE1782" s="291" t="s">
        <v>109</v>
      </c>
      <c r="AF1782" s="291" t="s">
        <v>4508</v>
      </c>
      <c r="AG1782" s="291" t="s">
        <v>4509</v>
      </c>
      <c r="AH1782" s="291" t="s">
        <v>4510</v>
      </c>
      <c r="AI1782" s="309"/>
      <c r="AJ1782" s="309"/>
      <c r="AK1782" s="291" t="s">
        <v>37</v>
      </c>
      <c r="AL1782" s="291" t="s">
        <v>39</v>
      </c>
      <c r="AM1782" s="299">
        <f t="shared" ca="1" si="155"/>
        <v>1.1840277777737356</v>
      </c>
      <c r="AN1782" s="297"/>
      <c r="AO1782" s="288" t="s">
        <v>87</v>
      </c>
      <c r="AP1782" s="275" t="s">
        <v>4505</v>
      </c>
      <c r="AQ1782" s="288" t="s">
        <v>4638</v>
      </c>
      <c r="AR1782" s="277">
        <v>44925.649305555555</v>
      </c>
      <c r="AS1782" s="288" t="s">
        <v>136</v>
      </c>
      <c r="AT1782" s="288" t="s">
        <v>225</v>
      </c>
      <c r="AU1782" s="276">
        <v>0.64930555555555558</v>
      </c>
      <c r="AV1782" s="288">
        <v>2</v>
      </c>
      <c r="AW1782" s="288" t="s">
        <v>66</v>
      </c>
      <c r="AX1782" s="298"/>
      <c r="AY1782" s="298"/>
      <c r="AZ1782" s="298"/>
      <c r="BA1782" s="298"/>
    </row>
    <row r="1783" spans="1:53" x14ac:dyDescent="0.25">
      <c r="A1783" s="312">
        <v>520</v>
      </c>
      <c r="B1783" s="46">
        <v>44924.465277777781</v>
      </c>
      <c r="C1783" s="36">
        <v>0.46875</v>
      </c>
      <c r="D1783" s="36">
        <v>0.47222222222222227</v>
      </c>
      <c r="E1783" s="36">
        <v>0.47569444444444442</v>
      </c>
      <c r="F1783" s="37" t="s">
        <v>171</v>
      </c>
      <c r="G1783" s="37" t="s">
        <v>4504</v>
      </c>
      <c r="H1783" s="26" t="s">
        <v>85</v>
      </c>
      <c r="I1783" s="26" t="s">
        <v>86</v>
      </c>
      <c r="J1783" s="26" t="s">
        <v>37</v>
      </c>
      <c r="K1783" s="26" t="s">
        <v>180</v>
      </c>
      <c r="L1783" s="26" t="s">
        <v>207</v>
      </c>
      <c r="M1783" s="37" t="s">
        <v>4505</v>
      </c>
      <c r="N1783" s="37" t="s">
        <v>42</v>
      </c>
      <c r="O1783" s="37" t="s">
        <v>4506</v>
      </c>
      <c r="P1783" s="37" t="s">
        <v>4507</v>
      </c>
      <c r="Q1783" s="303">
        <f t="shared" si="156"/>
        <v>0</v>
      </c>
      <c r="R1783" s="303">
        <f t="shared" si="157"/>
        <v>0</v>
      </c>
      <c r="S1783" s="37">
        <v>0</v>
      </c>
      <c r="T1783" s="37">
        <v>0</v>
      </c>
      <c r="U1783" s="37">
        <v>0</v>
      </c>
      <c r="V1783" s="37">
        <v>0</v>
      </c>
      <c r="W1783" s="37">
        <v>0</v>
      </c>
      <c r="X1783" s="37">
        <v>99</v>
      </c>
      <c r="Y1783" s="37">
        <v>69</v>
      </c>
      <c r="Z1783" s="37">
        <v>53</v>
      </c>
      <c r="AA1783" s="37">
        <v>1</v>
      </c>
      <c r="AB1783" s="300">
        <f t="shared" si="158"/>
        <v>60.340499999999999</v>
      </c>
      <c r="AC1783" s="300">
        <f t="shared" si="159"/>
        <v>0.36349698795180724</v>
      </c>
      <c r="AD1783" s="37">
        <v>0</v>
      </c>
      <c r="AE1783" s="37">
        <v>0</v>
      </c>
      <c r="AF1783" s="37" t="s">
        <v>4508</v>
      </c>
      <c r="AG1783" s="37" t="s">
        <v>4509</v>
      </c>
      <c r="AH1783" s="37" t="s">
        <v>4510</v>
      </c>
      <c r="AI1783" s="309"/>
      <c r="AJ1783" s="309"/>
      <c r="AK1783" s="37" t="s">
        <v>37</v>
      </c>
      <c r="AL1783" s="37" t="s">
        <v>39</v>
      </c>
      <c r="AM1783" s="299">
        <f t="shared" ca="1" si="155"/>
        <v>1.1840277777737356</v>
      </c>
      <c r="AN1783" s="51"/>
      <c r="AO1783" s="288" t="s">
        <v>87</v>
      </c>
      <c r="AP1783" s="275" t="s">
        <v>4505</v>
      </c>
      <c r="AQ1783" s="288" t="s">
        <v>4638</v>
      </c>
      <c r="AR1783" s="277">
        <v>44925.649305555555</v>
      </c>
      <c r="AS1783" s="288" t="s">
        <v>136</v>
      </c>
      <c r="AT1783" s="288" t="s">
        <v>225</v>
      </c>
      <c r="AU1783" s="276">
        <v>0.64930555555555558</v>
      </c>
      <c r="AV1783" s="288">
        <v>2</v>
      </c>
      <c r="AW1783" s="288" t="s">
        <v>66</v>
      </c>
      <c r="AX1783" s="52"/>
      <c r="AY1783" s="52"/>
      <c r="AZ1783" s="52"/>
      <c r="BA1783" s="52"/>
    </row>
    <row r="1784" spans="1:53" x14ac:dyDescent="0.25">
      <c r="A1784" s="48">
        <v>521</v>
      </c>
      <c r="B1784" s="46">
        <v>44924.506944444445</v>
      </c>
      <c r="C1784" s="36">
        <v>0.51041666666666663</v>
      </c>
      <c r="D1784" s="36">
        <v>0.52430555555555558</v>
      </c>
      <c r="E1784" s="36">
        <v>0.53472222222222221</v>
      </c>
      <c r="F1784" s="37" t="s">
        <v>171</v>
      </c>
      <c r="G1784" s="37" t="s">
        <v>136</v>
      </c>
      <c r="H1784" s="26" t="s">
        <v>396</v>
      </c>
      <c r="I1784" s="26" t="s">
        <v>174</v>
      </c>
      <c r="J1784" s="26" t="s">
        <v>37</v>
      </c>
      <c r="K1784" s="26" t="s">
        <v>180</v>
      </c>
      <c r="L1784" s="26" t="s">
        <v>206</v>
      </c>
      <c r="M1784" s="37" t="s">
        <v>4511</v>
      </c>
      <c r="N1784" s="37" t="s">
        <v>320</v>
      </c>
      <c r="O1784" s="37" t="s">
        <v>4512</v>
      </c>
      <c r="P1784" s="37">
        <v>5500344045</v>
      </c>
      <c r="Q1784" s="303">
        <f t="shared" si="156"/>
        <v>3</v>
      </c>
      <c r="R1784" s="303">
        <f t="shared" si="157"/>
        <v>59</v>
      </c>
      <c r="S1784" s="37">
        <v>3</v>
      </c>
      <c r="T1784" s="37">
        <v>59</v>
      </c>
      <c r="U1784" s="37">
        <v>0</v>
      </c>
      <c r="V1784" s="37">
        <v>0</v>
      </c>
      <c r="W1784" s="37">
        <v>60</v>
      </c>
      <c r="X1784" s="37">
        <v>40</v>
      </c>
      <c r="Y1784" s="37">
        <v>30</v>
      </c>
      <c r="Z1784" s="37">
        <v>20</v>
      </c>
      <c r="AA1784" s="37">
        <v>3</v>
      </c>
      <c r="AB1784" s="300">
        <f t="shared" si="158"/>
        <v>12</v>
      </c>
      <c r="AC1784" s="300">
        <f t="shared" si="159"/>
        <v>7.2289156626506021E-2</v>
      </c>
      <c r="AD1784" s="37">
        <v>1629</v>
      </c>
      <c r="AE1784" s="37" t="s">
        <v>111</v>
      </c>
      <c r="AF1784" s="37" t="s">
        <v>3432</v>
      </c>
      <c r="AG1784" s="37" t="s">
        <v>3432</v>
      </c>
      <c r="AH1784" s="37" t="s">
        <v>4513</v>
      </c>
      <c r="AI1784" s="309"/>
      <c r="AJ1784" s="309"/>
      <c r="AK1784" s="37" t="s">
        <v>48</v>
      </c>
      <c r="AL1784" s="37" t="s">
        <v>39</v>
      </c>
      <c r="AM1784" s="299">
        <f t="shared" ca="1" si="155"/>
        <v>0.24305555555474712</v>
      </c>
      <c r="AN1784" s="51"/>
      <c r="AO1784" s="288" t="s">
        <v>402</v>
      </c>
      <c r="AP1784" s="275" t="s">
        <v>4511</v>
      </c>
      <c r="AQ1784" s="288" t="s">
        <v>4579</v>
      </c>
      <c r="AR1784" s="277">
        <v>44924.75</v>
      </c>
      <c r="AS1784" s="272" t="s">
        <v>173</v>
      </c>
      <c r="AT1784" s="288" t="s">
        <v>225</v>
      </c>
      <c r="AU1784" s="276">
        <v>0.75</v>
      </c>
      <c r="AV1784" s="288">
        <v>2</v>
      </c>
      <c r="AW1784" s="288" t="s">
        <v>66</v>
      </c>
      <c r="AX1784" s="52"/>
      <c r="AY1784" s="52"/>
      <c r="AZ1784" s="52"/>
      <c r="BA1784" s="52"/>
    </row>
    <row r="1785" spans="1:53" x14ac:dyDescent="0.25">
      <c r="A1785" s="48">
        <v>522</v>
      </c>
      <c r="B1785" s="46">
        <v>44924.506944444445</v>
      </c>
      <c r="C1785" s="36">
        <v>0.51041666666666663</v>
      </c>
      <c r="D1785" s="36">
        <v>0.52430555555555558</v>
      </c>
      <c r="E1785" s="36">
        <v>0.53472222222222221</v>
      </c>
      <c r="F1785" s="37" t="s">
        <v>171</v>
      </c>
      <c r="G1785" s="37" t="s">
        <v>136</v>
      </c>
      <c r="H1785" s="26" t="s">
        <v>396</v>
      </c>
      <c r="I1785" s="26" t="s">
        <v>174</v>
      </c>
      <c r="J1785" s="26" t="s">
        <v>37</v>
      </c>
      <c r="K1785" s="26" t="s">
        <v>180</v>
      </c>
      <c r="L1785" s="26" t="s">
        <v>206</v>
      </c>
      <c r="M1785" s="37" t="s">
        <v>4511</v>
      </c>
      <c r="N1785" s="37" t="s">
        <v>320</v>
      </c>
      <c r="O1785" s="37" t="s">
        <v>4514</v>
      </c>
      <c r="P1785" s="37">
        <v>5500310299</v>
      </c>
      <c r="Q1785" s="303">
        <f t="shared" si="156"/>
        <v>3</v>
      </c>
      <c r="R1785" s="303">
        <f t="shared" si="157"/>
        <v>46</v>
      </c>
      <c r="S1785" s="37">
        <v>3</v>
      </c>
      <c r="T1785" s="37">
        <v>46</v>
      </c>
      <c r="U1785" s="37">
        <v>0</v>
      </c>
      <c r="V1785" s="37">
        <v>0</v>
      </c>
      <c r="W1785" s="37">
        <v>47</v>
      </c>
      <c r="X1785" s="37">
        <v>40</v>
      </c>
      <c r="Y1785" s="37">
        <v>30</v>
      </c>
      <c r="Z1785" s="37">
        <v>20</v>
      </c>
      <c r="AA1785" s="37">
        <v>3</v>
      </c>
      <c r="AB1785" s="300">
        <f t="shared" si="158"/>
        <v>12</v>
      </c>
      <c r="AC1785" s="300">
        <f t="shared" si="159"/>
        <v>7.2289156626506021E-2</v>
      </c>
      <c r="AD1785" s="37">
        <v>1275</v>
      </c>
      <c r="AE1785" s="37" t="s">
        <v>111</v>
      </c>
      <c r="AF1785" s="37" t="s">
        <v>3432</v>
      </c>
      <c r="AG1785" s="37" t="s">
        <v>3432</v>
      </c>
      <c r="AH1785" s="37" t="s">
        <v>4515</v>
      </c>
      <c r="AI1785" s="309"/>
      <c r="AJ1785" s="309"/>
      <c r="AK1785" s="37" t="s">
        <v>48</v>
      </c>
      <c r="AL1785" s="37" t="s">
        <v>39</v>
      </c>
      <c r="AM1785" s="299">
        <f t="shared" ca="1" si="155"/>
        <v>0.24305555555474712</v>
      </c>
      <c r="AN1785" s="51"/>
      <c r="AO1785" s="288" t="s">
        <v>402</v>
      </c>
      <c r="AP1785" s="275" t="s">
        <v>4511</v>
      </c>
      <c r="AQ1785" s="288" t="s">
        <v>4579</v>
      </c>
      <c r="AR1785" s="277">
        <v>44924.75</v>
      </c>
      <c r="AS1785" s="272" t="s">
        <v>173</v>
      </c>
      <c r="AT1785" s="288" t="s">
        <v>225</v>
      </c>
      <c r="AU1785" s="276">
        <v>0.75</v>
      </c>
      <c r="AV1785" s="288">
        <v>2</v>
      </c>
      <c r="AW1785" s="288" t="s">
        <v>66</v>
      </c>
      <c r="AX1785" s="52"/>
      <c r="AY1785" s="52"/>
      <c r="AZ1785" s="52"/>
      <c r="BA1785" s="52"/>
    </row>
    <row r="1786" spans="1:53" x14ac:dyDescent="0.25">
      <c r="A1786" s="48">
        <v>523</v>
      </c>
      <c r="B1786" s="46">
        <v>44924.506944444445</v>
      </c>
      <c r="C1786" s="36">
        <v>0.51041666666666663</v>
      </c>
      <c r="D1786" s="36">
        <v>0.52430555555555558</v>
      </c>
      <c r="E1786" s="36">
        <v>0.53472222222222221</v>
      </c>
      <c r="F1786" s="37" t="s">
        <v>171</v>
      </c>
      <c r="G1786" s="37" t="s">
        <v>136</v>
      </c>
      <c r="H1786" s="26" t="s">
        <v>396</v>
      </c>
      <c r="I1786" s="26" t="s">
        <v>174</v>
      </c>
      <c r="J1786" s="26" t="s">
        <v>37</v>
      </c>
      <c r="K1786" s="26" t="s">
        <v>180</v>
      </c>
      <c r="L1786" s="26" t="s">
        <v>206</v>
      </c>
      <c r="M1786" s="37" t="s">
        <v>4511</v>
      </c>
      <c r="N1786" s="37" t="s">
        <v>320</v>
      </c>
      <c r="O1786" s="37" t="s">
        <v>4516</v>
      </c>
      <c r="P1786" s="37">
        <v>5500291491</v>
      </c>
      <c r="Q1786" s="303">
        <f t="shared" si="156"/>
        <v>1</v>
      </c>
      <c r="R1786" s="303">
        <f t="shared" si="157"/>
        <v>21</v>
      </c>
      <c r="S1786" s="37">
        <v>1</v>
      </c>
      <c r="T1786" s="37">
        <v>21</v>
      </c>
      <c r="U1786" s="37">
        <v>0</v>
      </c>
      <c r="V1786" s="37">
        <v>0</v>
      </c>
      <c r="W1786" s="37">
        <v>19.5</v>
      </c>
      <c r="X1786" s="37">
        <v>40</v>
      </c>
      <c r="Y1786" s="37">
        <v>30</v>
      </c>
      <c r="Z1786" s="37">
        <v>20</v>
      </c>
      <c r="AA1786" s="37">
        <v>1</v>
      </c>
      <c r="AB1786" s="300">
        <f t="shared" si="158"/>
        <v>4</v>
      </c>
      <c r="AC1786" s="300">
        <f t="shared" si="159"/>
        <v>2.4096385542168676E-2</v>
      </c>
      <c r="AD1786" s="37">
        <v>260</v>
      </c>
      <c r="AE1786" s="37" t="s">
        <v>111</v>
      </c>
      <c r="AF1786" s="37" t="s">
        <v>3432</v>
      </c>
      <c r="AG1786" s="37" t="s">
        <v>3432</v>
      </c>
      <c r="AH1786" s="37" t="s">
        <v>4517</v>
      </c>
      <c r="AI1786" s="309"/>
      <c r="AJ1786" s="309"/>
      <c r="AK1786" s="37" t="s">
        <v>48</v>
      </c>
      <c r="AL1786" s="37" t="s">
        <v>39</v>
      </c>
      <c r="AM1786" s="299">
        <f t="shared" ca="1" si="155"/>
        <v>0.24305555555474712</v>
      </c>
      <c r="AN1786" s="51"/>
      <c r="AO1786" s="288" t="s">
        <v>402</v>
      </c>
      <c r="AP1786" s="275" t="s">
        <v>4511</v>
      </c>
      <c r="AQ1786" s="288" t="s">
        <v>4579</v>
      </c>
      <c r="AR1786" s="277">
        <v>44924.75</v>
      </c>
      <c r="AS1786" s="272" t="s">
        <v>173</v>
      </c>
      <c r="AT1786" s="288" t="s">
        <v>225</v>
      </c>
      <c r="AU1786" s="276">
        <v>0.75</v>
      </c>
      <c r="AV1786" s="288">
        <v>2</v>
      </c>
      <c r="AW1786" s="288" t="s">
        <v>66</v>
      </c>
      <c r="AX1786" s="52"/>
      <c r="AY1786" s="52"/>
      <c r="AZ1786" s="52"/>
      <c r="BA1786" s="52"/>
    </row>
    <row r="1787" spans="1:53" x14ac:dyDescent="0.25">
      <c r="A1787" s="48">
        <v>524</v>
      </c>
      <c r="B1787" s="46">
        <v>44924.506944444445</v>
      </c>
      <c r="C1787" s="36">
        <v>0.51041666666666663</v>
      </c>
      <c r="D1787" s="36">
        <v>0.52430555555555558</v>
      </c>
      <c r="E1787" s="36">
        <v>0.53472222222222221</v>
      </c>
      <c r="F1787" s="37" t="s">
        <v>171</v>
      </c>
      <c r="G1787" s="37" t="s">
        <v>136</v>
      </c>
      <c r="H1787" s="26" t="s">
        <v>396</v>
      </c>
      <c r="I1787" s="26" t="s">
        <v>174</v>
      </c>
      <c r="J1787" s="26" t="s">
        <v>37</v>
      </c>
      <c r="K1787" s="26" t="s">
        <v>180</v>
      </c>
      <c r="L1787" s="26" t="s">
        <v>206</v>
      </c>
      <c r="M1787" s="37" t="s">
        <v>4518</v>
      </c>
      <c r="N1787" s="37" t="s">
        <v>320</v>
      </c>
      <c r="O1787" s="37" t="s">
        <v>4519</v>
      </c>
      <c r="P1787" s="37">
        <v>5500353830</v>
      </c>
      <c r="Q1787" s="303">
        <f t="shared" si="156"/>
        <v>2</v>
      </c>
      <c r="R1787" s="303">
        <f t="shared" si="157"/>
        <v>27</v>
      </c>
      <c r="S1787" s="37">
        <v>2</v>
      </c>
      <c r="T1787" s="37">
        <v>27</v>
      </c>
      <c r="U1787" s="37">
        <v>0</v>
      </c>
      <c r="V1787" s="37">
        <v>0</v>
      </c>
      <c r="W1787" s="37">
        <v>28</v>
      </c>
      <c r="X1787" s="37">
        <v>40</v>
      </c>
      <c r="Y1787" s="37">
        <v>30</v>
      </c>
      <c r="Z1787" s="37">
        <v>20</v>
      </c>
      <c r="AA1787" s="37">
        <v>2</v>
      </c>
      <c r="AB1787" s="300">
        <f t="shared" si="158"/>
        <v>8</v>
      </c>
      <c r="AC1787" s="300">
        <f t="shared" si="159"/>
        <v>4.8192771084337352E-2</v>
      </c>
      <c r="AD1787" s="37">
        <v>150</v>
      </c>
      <c r="AE1787" s="37" t="s">
        <v>111</v>
      </c>
      <c r="AF1787" s="37" t="s">
        <v>3432</v>
      </c>
      <c r="AG1787" s="37" t="s">
        <v>3432</v>
      </c>
      <c r="AH1787" s="37">
        <v>0</v>
      </c>
      <c r="AI1787" s="309"/>
      <c r="AJ1787" s="309"/>
      <c r="AK1787" s="37" t="s">
        <v>48</v>
      </c>
      <c r="AL1787" s="37" t="s">
        <v>39</v>
      </c>
      <c r="AM1787" s="299">
        <f t="shared" ca="1" si="155"/>
        <v>0.24305555555474712</v>
      </c>
      <c r="AN1787" s="51"/>
      <c r="AO1787" s="288" t="s">
        <v>402</v>
      </c>
      <c r="AP1787" s="275" t="s">
        <v>4518</v>
      </c>
      <c r="AQ1787" s="288" t="s">
        <v>4579</v>
      </c>
      <c r="AR1787" s="277">
        <v>44924.75</v>
      </c>
      <c r="AS1787" s="272" t="s">
        <v>173</v>
      </c>
      <c r="AT1787" s="288" t="s">
        <v>225</v>
      </c>
      <c r="AU1787" s="276">
        <v>0.75</v>
      </c>
      <c r="AV1787" s="288">
        <v>2</v>
      </c>
      <c r="AW1787" s="288" t="s">
        <v>66</v>
      </c>
      <c r="AX1787" s="52"/>
      <c r="AY1787" s="52"/>
      <c r="AZ1787" s="52"/>
      <c r="BA1787" s="52"/>
    </row>
    <row r="1788" spans="1:53" x14ac:dyDescent="0.25">
      <c r="A1788" s="48">
        <v>525</v>
      </c>
      <c r="B1788" s="46">
        <v>44924.506944444445</v>
      </c>
      <c r="C1788" s="36">
        <v>0.51041666666666663</v>
      </c>
      <c r="D1788" s="36">
        <v>0.52430555555555558</v>
      </c>
      <c r="E1788" s="36">
        <v>0.53472222222222221</v>
      </c>
      <c r="F1788" s="37" t="s">
        <v>171</v>
      </c>
      <c r="G1788" s="37" t="s">
        <v>136</v>
      </c>
      <c r="H1788" s="26" t="s">
        <v>396</v>
      </c>
      <c r="I1788" s="26" t="s">
        <v>174</v>
      </c>
      <c r="J1788" s="26" t="s">
        <v>37</v>
      </c>
      <c r="K1788" s="26" t="s">
        <v>180</v>
      </c>
      <c r="L1788" s="26" t="s">
        <v>206</v>
      </c>
      <c r="M1788" s="37" t="s">
        <v>4518</v>
      </c>
      <c r="N1788" s="37" t="s">
        <v>320</v>
      </c>
      <c r="O1788" s="37" t="s">
        <v>4520</v>
      </c>
      <c r="P1788" s="37">
        <v>5500374321</v>
      </c>
      <c r="Q1788" s="303">
        <f t="shared" si="156"/>
        <v>1</v>
      </c>
      <c r="R1788" s="303">
        <f t="shared" si="157"/>
        <v>17</v>
      </c>
      <c r="S1788" s="37">
        <v>1</v>
      </c>
      <c r="T1788" s="37">
        <v>17</v>
      </c>
      <c r="U1788" s="37">
        <v>0</v>
      </c>
      <c r="V1788" s="37">
        <v>0</v>
      </c>
      <c r="W1788" s="37">
        <v>17</v>
      </c>
      <c r="X1788" s="37">
        <v>40</v>
      </c>
      <c r="Y1788" s="37">
        <v>30</v>
      </c>
      <c r="Z1788" s="37">
        <v>20</v>
      </c>
      <c r="AA1788" s="37">
        <v>1</v>
      </c>
      <c r="AB1788" s="300">
        <f t="shared" si="158"/>
        <v>4</v>
      </c>
      <c r="AC1788" s="300">
        <f t="shared" si="159"/>
        <v>2.4096385542168676E-2</v>
      </c>
      <c r="AD1788" s="37">
        <v>384</v>
      </c>
      <c r="AE1788" s="37" t="s">
        <v>111</v>
      </c>
      <c r="AF1788" s="37" t="s">
        <v>3432</v>
      </c>
      <c r="AG1788" s="37" t="s">
        <v>3432</v>
      </c>
      <c r="AH1788" s="37">
        <v>0</v>
      </c>
      <c r="AI1788" s="309"/>
      <c r="AJ1788" s="309"/>
      <c r="AK1788" s="37" t="s">
        <v>48</v>
      </c>
      <c r="AL1788" s="37" t="s">
        <v>39</v>
      </c>
      <c r="AM1788" s="299">
        <f t="shared" ca="1" si="155"/>
        <v>0.24305555555474712</v>
      </c>
      <c r="AN1788" s="51"/>
      <c r="AO1788" s="288" t="s">
        <v>402</v>
      </c>
      <c r="AP1788" s="275" t="s">
        <v>4518</v>
      </c>
      <c r="AQ1788" s="288" t="s">
        <v>4579</v>
      </c>
      <c r="AR1788" s="277">
        <v>44924.75</v>
      </c>
      <c r="AS1788" s="272" t="s">
        <v>173</v>
      </c>
      <c r="AT1788" s="288" t="s">
        <v>225</v>
      </c>
      <c r="AU1788" s="276">
        <v>0.75</v>
      </c>
      <c r="AV1788" s="288">
        <v>2</v>
      </c>
      <c r="AW1788" s="288" t="s">
        <v>66</v>
      </c>
      <c r="AX1788" s="52"/>
      <c r="AY1788" s="52"/>
      <c r="AZ1788" s="52"/>
      <c r="BA1788" s="52"/>
    </row>
    <row r="1789" spans="1:53" x14ac:dyDescent="0.25">
      <c r="A1789" s="48">
        <v>526</v>
      </c>
      <c r="B1789" s="46">
        <v>44924.506944444445</v>
      </c>
      <c r="C1789" s="36">
        <v>0.51041666666666663</v>
      </c>
      <c r="D1789" s="36">
        <v>0.52430555555555558</v>
      </c>
      <c r="E1789" s="36">
        <v>0.53472222222222221</v>
      </c>
      <c r="F1789" s="37" t="s">
        <v>171</v>
      </c>
      <c r="G1789" s="37" t="s">
        <v>136</v>
      </c>
      <c r="H1789" s="26" t="s">
        <v>396</v>
      </c>
      <c r="I1789" s="26" t="s">
        <v>174</v>
      </c>
      <c r="J1789" s="26" t="s">
        <v>37</v>
      </c>
      <c r="K1789" s="26" t="s">
        <v>180</v>
      </c>
      <c r="L1789" s="26" t="s">
        <v>206</v>
      </c>
      <c r="M1789" s="37" t="s">
        <v>4521</v>
      </c>
      <c r="N1789" s="37" t="s">
        <v>320</v>
      </c>
      <c r="O1789" s="37" t="s">
        <v>4522</v>
      </c>
      <c r="P1789" s="37">
        <v>5500346905</v>
      </c>
      <c r="Q1789" s="303">
        <f t="shared" si="156"/>
        <v>2</v>
      </c>
      <c r="R1789" s="303">
        <f t="shared" si="157"/>
        <v>383</v>
      </c>
      <c r="S1789" s="37">
        <v>0</v>
      </c>
      <c r="T1789" s="37">
        <v>0</v>
      </c>
      <c r="U1789" s="37">
        <v>2</v>
      </c>
      <c r="V1789" s="37">
        <v>383</v>
      </c>
      <c r="W1789" s="37">
        <v>400</v>
      </c>
      <c r="X1789" s="37">
        <v>105</v>
      </c>
      <c r="Y1789" s="37">
        <v>105</v>
      </c>
      <c r="Z1789" s="37">
        <v>86</v>
      </c>
      <c r="AA1789" s="37">
        <v>2</v>
      </c>
      <c r="AB1789" s="300">
        <f t="shared" si="158"/>
        <v>316.05</v>
      </c>
      <c r="AC1789" s="300">
        <f t="shared" si="159"/>
        <v>1.9039156626506024</v>
      </c>
      <c r="AD1789" s="37">
        <v>1533.6</v>
      </c>
      <c r="AE1789" s="37" t="s">
        <v>111</v>
      </c>
      <c r="AF1789" s="37" t="s">
        <v>3432</v>
      </c>
      <c r="AG1789" s="37" t="s">
        <v>3432</v>
      </c>
      <c r="AH1789" s="37" t="s">
        <v>4523</v>
      </c>
      <c r="AI1789" s="309"/>
      <c r="AJ1789" s="309"/>
      <c r="AK1789" s="37" t="s">
        <v>37</v>
      </c>
      <c r="AL1789" s="37" t="s">
        <v>94</v>
      </c>
      <c r="AM1789" s="299">
        <f t="shared" ca="1" si="155"/>
        <v>0.24305555555474712</v>
      </c>
      <c r="AN1789" s="51" t="s">
        <v>4277</v>
      </c>
      <c r="AO1789" s="288" t="s">
        <v>402</v>
      </c>
      <c r="AP1789" s="275" t="s">
        <v>4521</v>
      </c>
      <c r="AQ1789" s="288" t="s">
        <v>4579</v>
      </c>
      <c r="AR1789" s="277">
        <v>44924.75</v>
      </c>
      <c r="AS1789" s="272" t="s">
        <v>173</v>
      </c>
      <c r="AT1789" s="288" t="s">
        <v>225</v>
      </c>
      <c r="AU1789" s="276">
        <v>0.75</v>
      </c>
      <c r="AV1789" s="288">
        <v>2</v>
      </c>
      <c r="AW1789" s="288" t="s">
        <v>66</v>
      </c>
      <c r="AX1789" s="52"/>
      <c r="AY1789" s="52"/>
      <c r="AZ1789" s="52"/>
      <c r="BA1789" s="52"/>
    </row>
    <row r="1790" spans="1:53" x14ac:dyDescent="0.25">
      <c r="A1790" s="48">
        <v>527</v>
      </c>
      <c r="B1790" s="46">
        <v>44924.534722222219</v>
      </c>
      <c r="C1790" s="36">
        <v>0.53819444444444442</v>
      </c>
      <c r="D1790" s="36">
        <v>0.54513888888888895</v>
      </c>
      <c r="E1790" s="36">
        <v>0.54861111111111105</v>
      </c>
      <c r="F1790" s="37" t="s">
        <v>169</v>
      </c>
      <c r="G1790" s="37" t="s">
        <v>4524</v>
      </c>
      <c r="H1790" s="26" t="s">
        <v>260</v>
      </c>
      <c r="I1790" s="26" t="s">
        <v>3786</v>
      </c>
      <c r="J1790" s="26" t="s">
        <v>41</v>
      </c>
      <c r="K1790" s="26" t="s">
        <v>241</v>
      </c>
      <c r="L1790" s="26" t="s">
        <v>211</v>
      </c>
      <c r="M1790" s="37" t="s">
        <v>4525</v>
      </c>
      <c r="N1790" s="37" t="s">
        <v>4526</v>
      </c>
      <c r="O1790" s="37" t="s">
        <v>4527</v>
      </c>
      <c r="P1790" s="37">
        <v>13369</v>
      </c>
      <c r="Q1790" s="303">
        <f t="shared" si="156"/>
        <v>7</v>
      </c>
      <c r="R1790" s="303">
        <f t="shared" si="157"/>
        <v>79</v>
      </c>
      <c r="S1790" s="37">
        <v>7</v>
      </c>
      <c r="T1790" s="37">
        <v>79</v>
      </c>
      <c r="U1790" s="37">
        <v>0</v>
      </c>
      <c r="V1790" s="37">
        <v>0</v>
      </c>
      <c r="W1790" s="37" t="s">
        <v>48</v>
      </c>
      <c r="X1790" s="37">
        <v>60</v>
      </c>
      <c r="Y1790" s="37">
        <v>33</v>
      </c>
      <c r="Z1790" s="37">
        <v>26</v>
      </c>
      <c r="AA1790" s="37">
        <v>7</v>
      </c>
      <c r="AB1790" s="300">
        <f t="shared" si="158"/>
        <v>60.06</v>
      </c>
      <c r="AC1790" s="300">
        <f t="shared" si="159"/>
        <v>0.36180722891566264</v>
      </c>
      <c r="AD1790" s="37">
        <v>2482</v>
      </c>
      <c r="AE1790" s="37" t="s">
        <v>109</v>
      </c>
      <c r="AF1790" s="37">
        <v>6512407</v>
      </c>
      <c r="AG1790" s="37" t="s">
        <v>4486</v>
      </c>
      <c r="AH1790" s="37" t="s">
        <v>4528</v>
      </c>
      <c r="AI1790" s="309"/>
      <c r="AJ1790" s="309"/>
      <c r="AK1790" s="37" t="s">
        <v>48</v>
      </c>
      <c r="AL1790" s="37" t="s">
        <v>56</v>
      </c>
      <c r="AM1790" s="299">
        <f t="shared" ca="1" si="155"/>
        <v>1.25</v>
      </c>
      <c r="AN1790" s="51"/>
      <c r="AO1790" s="288" t="s">
        <v>3989</v>
      </c>
      <c r="AP1790" s="275" t="s">
        <v>4525</v>
      </c>
      <c r="AQ1790" s="288" t="s">
        <v>4640</v>
      </c>
      <c r="AR1790" s="277">
        <v>44925.784722222219</v>
      </c>
      <c r="AS1790" s="272" t="s">
        <v>173</v>
      </c>
      <c r="AT1790" s="288" t="s">
        <v>225</v>
      </c>
      <c r="AU1790" s="276">
        <v>0.78472222222222221</v>
      </c>
      <c r="AV1790" s="288">
        <v>1</v>
      </c>
      <c r="AW1790" s="288" t="s">
        <v>66</v>
      </c>
      <c r="AX1790" s="52"/>
      <c r="AY1790" s="52"/>
      <c r="AZ1790" s="52"/>
      <c r="BA1790" s="52"/>
    </row>
    <row r="1791" spans="1:53" x14ac:dyDescent="0.25">
      <c r="A1791" s="48">
        <v>528</v>
      </c>
      <c r="B1791" s="46">
        <v>44924.541666666664</v>
      </c>
      <c r="C1791" s="36">
        <v>0.54861111111111105</v>
      </c>
      <c r="D1791" s="36">
        <v>0.56597222222222221</v>
      </c>
      <c r="E1791" s="36">
        <v>0.59027777777777779</v>
      </c>
      <c r="F1791" s="37" t="s">
        <v>170</v>
      </c>
      <c r="G1791" s="37" t="s">
        <v>4315</v>
      </c>
      <c r="H1791" s="26" t="s">
        <v>57</v>
      </c>
      <c r="I1791" s="26" t="s">
        <v>110</v>
      </c>
      <c r="J1791" s="26" t="s">
        <v>37</v>
      </c>
      <c r="K1791" s="26" t="s">
        <v>63</v>
      </c>
      <c r="L1791" s="26" t="s">
        <v>209</v>
      </c>
      <c r="M1791" s="37" t="s">
        <v>4529</v>
      </c>
      <c r="N1791" s="37" t="s">
        <v>186</v>
      </c>
      <c r="O1791" s="37" t="s">
        <v>4530</v>
      </c>
      <c r="P1791" s="37">
        <v>96240254</v>
      </c>
      <c r="Q1791" s="303">
        <f t="shared" si="156"/>
        <v>1</v>
      </c>
      <c r="R1791" s="303">
        <f t="shared" si="157"/>
        <v>107</v>
      </c>
      <c r="S1791" s="37">
        <v>0</v>
      </c>
      <c r="T1791" s="37">
        <v>0</v>
      </c>
      <c r="U1791" s="37">
        <v>1</v>
      </c>
      <c r="V1791" s="37">
        <v>107</v>
      </c>
      <c r="W1791" s="37">
        <v>108</v>
      </c>
      <c r="X1791" s="37">
        <v>78</v>
      </c>
      <c r="Y1791" s="37">
        <v>59</v>
      </c>
      <c r="Z1791" s="37">
        <v>68</v>
      </c>
      <c r="AA1791" s="37">
        <v>1</v>
      </c>
      <c r="AB1791" s="300">
        <f t="shared" si="158"/>
        <v>52.155999999999999</v>
      </c>
      <c r="AC1791" s="300">
        <f t="shared" si="159"/>
        <v>0.31419277108433735</v>
      </c>
      <c r="AD1791" s="37">
        <v>52.15</v>
      </c>
      <c r="AE1791" s="37" t="s">
        <v>109</v>
      </c>
      <c r="AF1791" s="37" t="s">
        <v>317</v>
      </c>
      <c r="AG1791" s="37" t="s">
        <v>317</v>
      </c>
      <c r="AH1791" s="37" t="s">
        <v>4531</v>
      </c>
      <c r="AI1791" s="309"/>
      <c r="AJ1791" s="309"/>
      <c r="AK1791" s="37" t="s">
        <v>37</v>
      </c>
      <c r="AL1791" s="37" t="s">
        <v>54</v>
      </c>
      <c r="AM1791" s="299">
        <f t="shared" ca="1" si="155"/>
        <v>0.97222222222626442</v>
      </c>
      <c r="AN1791" s="51"/>
      <c r="AO1791" s="288" t="s">
        <v>131</v>
      </c>
      <c r="AP1791" s="275" t="s">
        <v>4529</v>
      </c>
      <c r="AQ1791" s="288" t="s">
        <v>4636</v>
      </c>
      <c r="AR1791" s="277">
        <v>44925.513888888891</v>
      </c>
      <c r="AS1791" s="272" t="s">
        <v>483</v>
      </c>
      <c r="AT1791" s="288" t="s">
        <v>225</v>
      </c>
      <c r="AU1791" s="276">
        <v>0.51388888888888895</v>
      </c>
      <c r="AV1791" s="288">
        <v>1</v>
      </c>
      <c r="AW1791" s="288" t="s">
        <v>66</v>
      </c>
      <c r="AX1791" s="52"/>
      <c r="AY1791" s="52"/>
      <c r="AZ1791" s="52"/>
      <c r="BA1791" s="52"/>
    </row>
    <row r="1792" spans="1:53" x14ac:dyDescent="0.25">
      <c r="A1792" s="48">
        <v>529</v>
      </c>
      <c r="B1792" s="46">
        <v>44924.541666666664</v>
      </c>
      <c r="C1792" s="36">
        <v>0.54861111111111105</v>
      </c>
      <c r="D1792" s="36">
        <v>0.56597222222222221</v>
      </c>
      <c r="E1792" s="36">
        <v>0.59027777777777779</v>
      </c>
      <c r="F1792" s="37" t="s">
        <v>170</v>
      </c>
      <c r="G1792" s="37" t="s">
        <v>4315</v>
      </c>
      <c r="H1792" s="26" t="s">
        <v>57</v>
      </c>
      <c r="I1792" s="26" t="s">
        <v>71</v>
      </c>
      <c r="J1792" s="26" t="s">
        <v>37</v>
      </c>
      <c r="K1792" s="26" t="s">
        <v>63</v>
      </c>
      <c r="L1792" s="26" t="s">
        <v>209</v>
      </c>
      <c r="M1792" s="37" t="s">
        <v>4532</v>
      </c>
      <c r="N1792" s="37" t="s">
        <v>139</v>
      </c>
      <c r="O1792" s="37" t="s">
        <v>4533</v>
      </c>
      <c r="P1792" s="37">
        <v>81990376</v>
      </c>
      <c r="Q1792" s="303">
        <f t="shared" si="156"/>
        <v>1</v>
      </c>
      <c r="R1792" s="303">
        <f t="shared" si="157"/>
        <v>30</v>
      </c>
      <c r="S1792" s="37">
        <v>0</v>
      </c>
      <c r="T1792" s="37">
        <v>0</v>
      </c>
      <c r="U1792" s="37">
        <v>1</v>
      </c>
      <c r="V1792" s="37">
        <v>30</v>
      </c>
      <c r="W1792" s="37">
        <v>30</v>
      </c>
      <c r="X1792" s="37">
        <v>60</v>
      </c>
      <c r="Y1792" s="37">
        <v>45</v>
      </c>
      <c r="Z1792" s="37">
        <v>41</v>
      </c>
      <c r="AA1792" s="37">
        <v>1</v>
      </c>
      <c r="AB1792" s="300">
        <f t="shared" si="158"/>
        <v>18.45</v>
      </c>
      <c r="AC1792" s="300">
        <f t="shared" si="159"/>
        <v>0.11114457831325301</v>
      </c>
      <c r="AD1792" s="37">
        <v>174.62</v>
      </c>
      <c r="AE1792" s="37" t="s">
        <v>109</v>
      </c>
      <c r="AF1792" s="37" t="s">
        <v>317</v>
      </c>
      <c r="AG1792" s="37" t="s">
        <v>317</v>
      </c>
      <c r="AH1792" s="37" t="s">
        <v>4534</v>
      </c>
      <c r="AI1792" s="309"/>
      <c r="AJ1792" s="309"/>
      <c r="AK1792" s="37" t="s">
        <v>37</v>
      </c>
      <c r="AL1792" s="37" t="s">
        <v>54</v>
      </c>
      <c r="AM1792" s="299">
        <f t="shared" ca="1" si="155"/>
        <v>1.9270833333357587</v>
      </c>
      <c r="AN1792" s="51"/>
      <c r="AO1792" s="288" t="s">
        <v>72</v>
      </c>
      <c r="AP1792" s="275" t="s">
        <v>4532</v>
      </c>
      <c r="AQ1792" s="288" t="s">
        <v>4722</v>
      </c>
      <c r="AR1792" s="277">
        <v>44926.46875</v>
      </c>
      <c r="AS1792" s="288" t="s">
        <v>95</v>
      </c>
      <c r="AT1792" s="288" t="s">
        <v>225</v>
      </c>
      <c r="AU1792" s="59">
        <v>0.46875</v>
      </c>
      <c r="AV1792" s="288">
        <v>1</v>
      </c>
      <c r="AW1792" s="288" t="s">
        <v>66</v>
      </c>
      <c r="AX1792" s="52"/>
      <c r="AY1792" s="52"/>
      <c r="AZ1792" s="52"/>
      <c r="BA1792" s="52"/>
    </row>
    <row r="1793" spans="1:53" x14ac:dyDescent="0.25">
      <c r="A1793" s="48">
        <v>530</v>
      </c>
      <c r="B1793" s="46">
        <v>44924.541666666664</v>
      </c>
      <c r="C1793" s="36">
        <v>0.54861111111111105</v>
      </c>
      <c r="D1793" s="36">
        <v>0.56597222222222221</v>
      </c>
      <c r="E1793" s="36">
        <v>0.59027777777777779</v>
      </c>
      <c r="F1793" s="37" t="s">
        <v>170</v>
      </c>
      <c r="G1793" s="37" t="s">
        <v>4315</v>
      </c>
      <c r="H1793" s="26" t="s">
        <v>57</v>
      </c>
      <c r="I1793" s="26" t="s">
        <v>71</v>
      </c>
      <c r="J1793" s="26" t="s">
        <v>37</v>
      </c>
      <c r="K1793" s="26" t="s">
        <v>63</v>
      </c>
      <c r="L1793" s="26" t="s">
        <v>209</v>
      </c>
      <c r="M1793" s="37" t="s">
        <v>4532</v>
      </c>
      <c r="N1793" s="37" t="s">
        <v>139</v>
      </c>
      <c r="O1793" s="37" t="s">
        <v>4535</v>
      </c>
      <c r="P1793" s="37">
        <v>81990396</v>
      </c>
      <c r="Q1793" s="303">
        <f t="shared" si="156"/>
        <v>1</v>
      </c>
      <c r="R1793" s="303">
        <f t="shared" si="157"/>
        <v>147</v>
      </c>
      <c r="S1793" s="37">
        <v>0</v>
      </c>
      <c r="T1793" s="37">
        <v>0</v>
      </c>
      <c r="U1793" s="37">
        <v>1</v>
      </c>
      <c r="V1793" s="37">
        <v>147</v>
      </c>
      <c r="W1793" s="37">
        <v>146</v>
      </c>
      <c r="X1793" s="37">
        <v>80</v>
      </c>
      <c r="Y1793" s="37">
        <v>59</v>
      </c>
      <c r="Z1793" s="37">
        <v>69</v>
      </c>
      <c r="AA1793" s="37">
        <v>1</v>
      </c>
      <c r="AB1793" s="300">
        <f t="shared" si="158"/>
        <v>54.28</v>
      </c>
      <c r="AC1793" s="300">
        <f t="shared" si="159"/>
        <v>0.32698795180722895</v>
      </c>
      <c r="AD1793" s="37">
        <v>1617.96</v>
      </c>
      <c r="AE1793" s="37" t="s">
        <v>109</v>
      </c>
      <c r="AF1793" s="37" t="s">
        <v>317</v>
      </c>
      <c r="AG1793" s="37" t="s">
        <v>317</v>
      </c>
      <c r="AH1793" s="37" t="s">
        <v>4536</v>
      </c>
      <c r="AI1793" s="309"/>
      <c r="AJ1793" s="309"/>
      <c r="AK1793" s="37" t="s">
        <v>37</v>
      </c>
      <c r="AL1793" s="37" t="s">
        <v>54</v>
      </c>
      <c r="AM1793" s="299">
        <f t="shared" ca="1" si="155"/>
        <v>1.9270833333357587</v>
      </c>
      <c r="AN1793" s="51"/>
      <c r="AO1793" s="288" t="s">
        <v>72</v>
      </c>
      <c r="AP1793" s="275" t="s">
        <v>4532</v>
      </c>
      <c r="AQ1793" s="288" t="s">
        <v>4722</v>
      </c>
      <c r="AR1793" s="277">
        <v>44926.46875</v>
      </c>
      <c r="AS1793" s="288" t="s">
        <v>95</v>
      </c>
      <c r="AT1793" s="288" t="s">
        <v>225</v>
      </c>
      <c r="AU1793" s="59">
        <v>0.46875</v>
      </c>
      <c r="AV1793" s="288">
        <v>1</v>
      </c>
      <c r="AW1793" s="288" t="s">
        <v>66</v>
      </c>
      <c r="AX1793" s="52"/>
      <c r="AY1793" s="52"/>
      <c r="AZ1793" s="52"/>
      <c r="BA1793" s="52"/>
    </row>
    <row r="1794" spans="1:53" x14ac:dyDescent="0.25">
      <c r="A1794" s="48">
        <v>531</v>
      </c>
      <c r="B1794" s="46">
        <v>44924.541666666664</v>
      </c>
      <c r="C1794" s="36">
        <v>0.54861111111111105</v>
      </c>
      <c r="D1794" s="36">
        <v>0.56597222222222221</v>
      </c>
      <c r="E1794" s="36">
        <v>0.59027777777777779</v>
      </c>
      <c r="F1794" s="37" t="s">
        <v>170</v>
      </c>
      <c r="G1794" s="37" t="s">
        <v>4315</v>
      </c>
      <c r="H1794" s="26" t="s">
        <v>57</v>
      </c>
      <c r="I1794" s="26" t="s">
        <v>162</v>
      </c>
      <c r="J1794" s="26" t="s">
        <v>37</v>
      </c>
      <c r="K1794" s="26" t="s">
        <v>63</v>
      </c>
      <c r="L1794" s="26" t="s">
        <v>209</v>
      </c>
      <c r="M1794" s="37" t="s">
        <v>4537</v>
      </c>
      <c r="N1794" s="37" t="s">
        <v>158</v>
      </c>
      <c r="O1794" s="37" t="s">
        <v>4538</v>
      </c>
      <c r="P1794" s="37">
        <v>81989286</v>
      </c>
      <c r="Q1794" s="303">
        <f t="shared" si="156"/>
        <v>1</v>
      </c>
      <c r="R1794" s="303">
        <f t="shared" si="157"/>
        <v>125</v>
      </c>
      <c r="S1794" s="37">
        <v>0</v>
      </c>
      <c r="T1794" s="37">
        <v>0</v>
      </c>
      <c r="U1794" s="37">
        <v>1</v>
      </c>
      <c r="V1794" s="37">
        <v>125</v>
      </c>
      <c r="W1794" s="37">
        <v>138</v>
      </c>
      <c r="X1794" s="37">
        <v>108</v>
      </c>
      <c r="Y1794" s="37">
        <v>83</v>
      </c>
      <c r="Z1794" s="37">
        <v>75</v>
      </c>
      <c r="AA1794" s="37">
        <v>1</v>
      </c>
      <c r="AB1794" s="300">
        <f t="shared" si="158"/>
        <v>112.05</v>
      </c>
      <c r="AC1794" s="300">
        <f t="shared" si="159"/>
        <v>0.67499999999999993</v>
      </c>
      <c r="AD1794" s="37">
        <v>9469.98</v>
      </c>
      <c r="AE1794" s="37" t="s">
        <v>109</v>
      </c>
      <c r="AF1794" s="37" t="s">
        <v>317</v>
      </c>
      <c r="AG1794" s="37" t="s">
        <v>317</v>
      </c>
      <c r="AH1794" s="37" t="s">
        <v>4539</v>
      </c>
      <c r="AI1794" s="309"/>
      <c r="AJ1794" s="309"/>
      <c r="AK1794" s="37" t="s">
        <v>37</v>
      </c>
      <c r="AL1794" s="37" t="s">
        <v>54</v>
      </c>
      <c r="AM1794" s="299">
        <f t="shared" ca="1" si="155"/>
        <v>0.95486111111677019</v>
      </c>
      <c r="AN1794" s="51"/>
      <c r="AO1794" s="288" t="s">
        <v>159</v>
      </c>
      <c r="AP1794" s="275" t="s">
        <v>4537</v>
      </c>
      <c r="AQ1794" s="288" t="s">
        <v>4635</v>
      </c>
      <c r="AR1794" s="277">
        <v>44925.496527777781</v>
      </c>
      <c r="AS1794" s="288" t="s">
        <v>136</v>
      </c>
      <c r="AT1794" s="288" t="s">
        <v>225</v>
      </c>
      <c r="AU1794" s="276">
        <v>0.49652777777777773</v>
      </c>
      <c r="AV1794" s="288">
        <v>1</v>
      </c>
      <c r="AW1794" s="288" t="s">
        <v>66</v>
      </c>
      <c r="AX1794" s="52"/>
      <c r="AY1794" s="52"/>
      <c r="AZ1794" s="52"/>
      <c r="BA1794" s="52"/>
    </row>
    <row r="1795" spans="1:53" x14ac:dyDescent="0.25">
      <c r="A1795" s="48">
        <v>532</v>
      </c>
      <c r="B1795" s="46">
        <v>44924.541666666664</v>
      </c>
      <c r="C1795" s="36">
        <v>0.54861111111111105</v>
      </c>
      <c r="D1795" s="36">
        <v>0.56597222222222221</v>
      </c>
      <c r="E1795" s="36">
        <v>0.59027777777777779</v>
      </c>
      <c r="F1795" s="37" t="s">
        <v>170</v>
      </c>
      <c r="G1795" s="37" t="s">
        <v>4315</v>
      </c>
      <c r="H1795" s="26" t="s">
        <v>57</v>
      </c>
      <c r="I1795" s="26" t="s">
        <v>71</v>
      </c>
      <c r="J1795" s="26" t="s">
        <v>37</v>
      </c>
      <c r="K1795" s="26" t="s">
        <v>63</v>
      </c>
      <c r="L1795" s="26" t="s">
        <v>209</v>
      </c>
      <c r="M1795" s="37" t="s">
        <v>4532</v>
      </c>
      <c r="N1795" s="37" t="s">
        <v>139</v>
      </c>
      <c r="O1795" s="37" t="s">
        <v>4540</v>
      </c>
      <c r="P1795" s="37">
        <v>81990393</v>
      </c>
      <c r="Q1795" s="303">
        <f t="shared" si="156"/>
        <v>1</v>
      </c>
      <c r="R1795" s="303">
        <f t="shared" si="157"/>
        <v>146</v>
      </c>
      <c r="S1795" s="37">
        <v>0</v>
      </c>
      <c r="T1795" s="37">
        <v>0</v>
      </c>
      <c r="U1795" s="37">
        <v>1</v>
      </c>
      <c r="V1795" s="37">
        <v>146</v>
      </c>
      <c r="W1795" s="37">
        <v>146</v>
      </c>
      <c r="X1795" s="37">
        <v>80</v>
      </c>
      <c r="Y1795" s="37">
        <v>59</v>
      </c>
      <c r="Z1795" s="37">
        <v>69</v>
      </c>
      <c r="AA1795" s="37">
        <v>1</v>
      </c>
      <c r="AB1795" s="300">
        <f t="shared" si="158"/>
        <v>54.28</v>
      </c>
      <c r="AC1795" s="300">
        <f t="shared" si="159"/>
        <v>0.32698795180722895</v>
      </c>
      <c r="AD1795" s="37">
        <v>1619.54</v>
      </c>
      <c r="AE1795" s="37" t="s">
        <v>109</v>
      </c>
      <c r="AF1795" s="37" t="s">
        <v>317</v>
      </c>
      <c r="AG1795" s="37" t="s">
        <v>317</v>
      </c>
      <c r="AH1795" s="37" t="s">
        <v>4541</v>
      </c>
      <c r="AI1795" s="309"/>
      <c r="AJ1795" s="309"/>
      <c r="AK1795" s="37" t="s">
        <v>37</v>
      </c>
      <c r="AL1795" s="37" t="s">
        <v>54</v>
      </c>
      <c r="AM1795" s="299">
        <f t="shared" ca="1" si="155"/>
        <v>1.9270833333357587</v>
      </c>
      <c r="AN1795" s="51"/>
      <c r="AO1795" s="288" t="s">
        <v>72</v>
      </c>
      <c r="AP1795" s="275" t="s">
        <v>4532</v>
      </c>
      <c r="AQ1795" s="288" t="s">
        <v>4722</v>
      </c>
      <c r="AR1795" s="277">
        <v>44926.46875</v>
      </c>
      <c r="AS1795" s="288" t="s">
        <v>95</v>
      </c>
      <c r="AT1795" s="288" t="s">
        <v>225</v>
      </c>
      <c r="AU1795" s="59">
        <v>0.46875</v>
      </c>
      <c r="AV1795" s="288">
        <v>1</v>
      </c>
      <c r="AW1795" s="288" t="s">
        <v>66</v>
      </c>
      <c r="AX1795" s="52"/>
      <c r="AY1795" s="52"/>
      <c r="AZ1795" s="52"/>
      <c r="BA1795" s="52"/>
    </row>
    <row r="1796" spans="1:53" x14ac:dyDescent="0.25">
      <c r="A1796" s="48">
        <v>533</v>
      </c>
      <c r="B1796" s="46">
        <v>44924.541666666664</v>
      </c>
      <c r="C1796" s="36">
        <v>0.54861111111111105</v>
      </c>
      <c r="D1796" s="36">
        <v>0.56597222222222221</v>
      </c>
      <c r="E1796" s="36">
        <v>0.59027777777777779</v>
      </c>
      <c r="F1796" s="37" t="s">
        <v>170</v>
      </c>
      <c r="G1796" s="37" t="s">
        <v>4315</v>
      </c>
      <c r="H1796" s="26" t="s">
        <v>57</v>
      </c>
      <c r="I1796" s="26" t="s">
        <v>110</v>
      </c>
      <c r="J1796" s="26" t="s">
        <v>37</v>
      </c>
      <c r="K1796" s="26" t="s">
        <v>63</v>
      </c>
      <c r="L1796" s="26" t="s">
        <v>209</v>
      </c>
      <c r="M1796" s="37" t="s">
        <v>4529</v>
      </c>
      <c r="N1796" s="37" t="s">
        <v>186</v>
      </c>
      <c r="O1796" s="37" t="s">
        <v>4542</v>
      </c>
      <c r="P1796" s="37">
        <v>96240271</v>
      </c>
      <c r="Q1796" s="303">
        <f t="shared" si="156"/>
        <v>1</v>
      </c>
      <c r="R1796" s="303">
        <f t="shared" si="157"/>
        <v>110</v>
      </c>
      <c r="S1796" s="37">
        <v>0</v>
      </c>
      <c r="T1796" s="37">
        <v>0</v>
      </c>
      <c r="U1796" s="37">
        <v>1</v>
      </c>
      <c r="V1796" s="37">
        <v>110</v>
      </c>
      <c r="W1796" s="37">
        <v>115</v>
      </c>
      <c r="X1796" s="37">
        <v>80</v>
      </c>
      <c r="Y1796" s="37">
        <v>59</v>
      </c>
      <c r="Z1796" s="37">
        <v>69</v>
      </c>
      <c r="AA1796" s="37">
        <v>1</v>
      </c>
      <c r="AB1796" s="300">
        <f t="shared" si="158"/>
        <v>54.28</v>
      </c>
      <c r="AC1796" s="300">
        <f t="shared" si="159"/>
        <v>0.32698795180722895</v>
      </c>
      <c r="AD1796" s="37">
        <v>536.04999999999995</v>
      </c>
      <c r="AE1796" s="37" t="s">
        <v>109</v>
      </c>
      <c r="AF1796" s="37" t="s">
        <v>317</v>
      </c>
      <c r="AG1796" s="37" t="s">
        <v>317</v>
      </c>
      <c r="AH1796" s="37">
        <v>0</v>
      </c>
      <c r="AI1796" s="309"/>
      <c r="AJ1796" s="309"/>
      <c r="AK1796" s="37" t="s">
        <v>37</v>
      </c>
      <c r="AL1796" s="37" t="s">
        <v>54</v>
      </c>
      <c r="AM1796" s="299">
        <f t="shared" ca="1" si="155"/>
        <v>0.97222222222626442</v>
      </c>
      <c r="AN1796" s="51"/>
      <c r="AO1796" s="288" t="s">
        <v>131</v>
      </c>
      <c r="AP1796" s="275" t="s">
        <v>4529</v>
      </c>
      <c r="AQ1796" s="288" t="s">
        <v>4636</v>
      </c>
      <c r="AR1796" s="277">
        <v>44925.513888888891</v>
      </c>
      <c r="AS1796" s="272" t="s">
        <v>483</v>
      </c>
      <c r="AT1796" s="288" t="s">
        <v>225</v>
      </c>
      <c r="AU1796" s="276">
        <v>0.51388888888888895</v>
      </c>
      <c r="AV1796" s="288">
        <v>1</v>
      </c>
      <c r="AW1796" s="288" t="s">
        <v>66</v>
      </c>
      <c r="AX1796" s="52"/>
      <c r="AY1796" s="52"/>
      <c r="AZ1796" s="52"/>
      <c r="BA1796" s="52"/>
    </row>
    <row r="1797" spans="1:53" x14ac:dyDescent="0.25">
      <c r="A1797" s="48">
        <v>534</v>
      </c>
      <c r="B1797" s="46">
        <v>44924.541666666664</v>
      </c>
      <c r="C1797" s="36">
        <v>0.54861111111111105</v>
      </c>
      <c r="D1797" s="36">
        <v>0.56597222222222221</v>
      </c>
      <c r="E1797" s="36">
        <v>0.59027777777777779</v>
      </c>
      <c r="F1797" s="37" t="s">
        <v>170</v>
      </c>
      <c r="G1797" s="37" t="s">
        <v>4315</v>
      </c>
      <c r="H1797" s="26" t="s">
        <v>57</v>
      </c>
      <c r="I1797" s="26" t="s">
        <v>110</v>
      </c>
      <c r="J1797" s="26" t="s">
        <v>37</v>
      </c>
      <c r="K1797" s="26" t="s">
        <v>63</v>
      </c>
      <c r="L1797" s="26" t="s">
        <v>209</v>
      </c>
      <c r="M1797" s="37" t="s">
        <v>4529</v>
      </c>
      <c r="N1797" s="37" t="s">
        <v>186</v>
      </c>
      <c r="O1797" s="37" t="s">
        <v>4543</v>
      </c>
      <c r="P1797" s="37">
        <v>96240270</v>
      </c>
      <c r="Q1797" s="303">
        <f t="shared" si="156"/>
        <v>1</v>
      </c>
      <c r="R1797" s="303">
        <f t="shared" si="157"/>
        <v>106</v>
      </c>
      <c r="S1797" s="37">
        <v>0</v>
      </c>
      <c r="T1797" s="37">
        <v>0</v>
      </c>
      <c r="U1797" s="37">
        <v>1</v>
      </c>
      <c r="V1797" s="37">
        <v>106</v>
      </c>
      <c r="W1797" s="37">
        <v>105</v>
      </c>
      <c r="X1797" s="37">
        <v>78</v>
      </c>
      <c r="Y1797" s="37">
        <v>59</v>
      </c>
      <c r="Z1797" s="37">
        <v>69</v>
      </c>
      <c r="AA1797" s="37">
        <v>1</v>
      </c>
      <c r="AB1797" s="300">
        <f t="shared" si="158"/>
        <v>52.923000000000002</v>
      </c>
      <c r="AC1797" s="300">
        <f t="shared" si="159"/>
        <v>0.31881325301204821</v>
      </c>
      <c r="AD1797" s="37">
        <v>536.04999999999995</v>
      </c>
      <c r="AE1797" s="37" t="s">
        <v>109</v>
      </c>
      <c r="AF1797" s="37" t="s">
        <v>317</v>
      </c>
      <c r="AG1797" s="37" t="s">
        <v>317</v>
      </c>
      <c r="AH1797" s="37" t="s">
        <v>4544</v>
      </c>
      <c r="AI1797" s="309"/>
      <c r="AJ1797" s="309"/>
      <c r="AK1797" s="37" t="s">
        <v>37</v>
      </c>
      <c r="AL1797" s="37" t="s">
        <v>54</v>
      </c>
      <c r="AM1797" s="299">
        <f t="shared" ca="1" si="155"/>
        <v>0.97222222222626442</v>
      </c>
      <c r="AN1797" s="51"/>
      <c r="AO1797" s="288" t="s">
        <v>131</v>
      </c>
      <c r="AP1797" s="275" t="s">
        <v>4529</v>
      </c>
      <c r="AQ1797" s="288" t="s">
        <v>4636</v>
      </c>
      <c r="AR1797" s="277">
        <v>44925.513888888891</v>
      </c>
      <c r="AS1797" s="272" t="s">
        <v>483</v>
      </c>
      <c r="AT1797" s="288" t="s">
        <v>225</v>
      </c>
      <c r="AU1797" s="276">
        <v>0.51388888888888895</v>
      </c>
      <c r="AV1797" s="288">
        <v>1</v>
      </c>
      <c r="AW1797" s="288" t="s">
        <v>66</v>
      </c>
      <c r="AX1797" s="52"/>
      <c r="AY1797" s="52"/>
      <c r="AZ1797" s="52"/>
      <c r="BA1797" s="52"/>
    </row>
    <row r="1798" spans="1:53" x14ac:dyDescent="0.25">
      <c r="A1798" s="48">
        <v>535</v>
      </c>
      <c r="B1798" s="46">
        <v>44924.541666666664</v>
      </c>
      <c r="C1798" s="36">
        <v>0.54861111111111105</v>
      </c>
      <c r="D1798" s="36">
        <v>0.56597222222222221</v>
      </c>
      <c r="E1798" s="36">
        <v>0.59027777777777779</v>
      </c>
      <c r="F1798" s="37" t="s">
        <v>170</v>
      </c>
      <c r="G1798" s="37" t="s">
        <v>4315</v>
      </c>
      <c r="H1798" s="26" t="s">
        <v>45</v>
      </c>
      <c r="I1798" s="26" t="s">
        <v>73</v>
      </c>
      <c r="J1798" s="26" t="s">
        <v>37</v>
      </c>
      <c r="K1798" s="26" t="s">
        <v>63</v>
      </c>
      <c r="L1798" s="26" t="s">
        <v>215</v>
      </c>
      <c r="M1798" s="37" t="s">
        <v>4545</v>
      </c>
      <c r="N1798" s="37" t="s">
        <v>59</v>
      </c>
      <c r="O1798" s="37">
        <v>3500812</v>
      </c>
      <c r="P1798" s="37">
        <v>5052030189</v>
      </c>
      <c r="Q1798" s="303">
        <f t="shared" si="156"/>
        <v>1</v>
      </c>
      <c r="R1798" s="303">
        <f t="shared" si="157"/>
        <v>100</v>
      </c>
      <c r="S1798" s="37">
        <v>0</v>
      </c>
      <c r="T1798" s="37">
        <v>0</v>
      </c>
      <c r="U1798" s="37">
        <v>1</v>
      </c>
      <c r="V1798" s="37">
        <v>100</v>
      </c>
      <c r="W1798" s="37">
        <v>100.64400000000001</v>
      </c>
      <c r="X1798" s="37">
        <v>80</v>
      </c>
      <c r="Y1798" s="37">
        <v>68</v>
      </c>
      <c r="Z1798" s="37">
        <v>31</v>
      </c>
      <c r="AA1798" s="37">
        <v>1</v>
      </c>
      <c r="AB1798" s="300">
        <f t="shared" si="158"/>
        <v>28.106666666666666</v>
      </c>
      <c r="AC1798" s="300">
        <f t="shared" si="159"/>
        <v>0.1693172690763052</v>
      </c>
      <c r="AD1798" s="37">
        <v>1667.7</v>
      </c>
      <c r="AE1798" s="37" t="s">
        <v>109</v>
      </c>
      <c r="AF1798" s="37" t="s">
        <v>317</v>
      </c>
      <c r="AG1798" s="37" t="s">
        <v>317</v>
      </c>
      <c r="AH1798" s="37" t="s">
        <v>4546</v>
      </c>
      <c r="AI1798" s="309"/>
      <c r="AJ1798" s="309"/>
      <c r="AK1798" s="37" t="s">
        <v>37</v>
      </c>
      <c r="AL1798" s="37" t="s">
        <v>54</v>
      </c>
      <c r="AM1798" s="299">
        <f t="shared" ca="1" si="155"/>
        <v>2.1458333333357587</v>
      </c>
      <c r="AN1798" s="51"/>
      <c r="AO1798" s="288" t="s">
        <v>70</v>
      </c>
      <c r="AP1798" s="275" t="s">
        <v>4545</v>
      </c>
      <c r="AQ1798" s="288" t="s">
        <v>4730</v>
      </c>
      <c r="AR1798" s="277">
        <v>44926.6875</v>
      </c>
      <c r="AS1798" s="288" t="s">
        <v>95</v>
      </c>
      <c r="AT1798" s="288" t="s">
        <v>225</v>
      </c>
      <c r="AU1798" s="59">
        <v>0.6875</v>
      </c>
      <c r="AV1798" s="288">
        <v>2</v>
      </c>
      <c r="AW1798" s="288" t="s">
        <v>66</v>
      </c>
      <c r="AX1798" s="52"/>
      <c r="AY1798" s="52"/>
      <c r="AZ1798" s="52"/>
      <c r="BA1798" s="52"/>
    </row>
    <row r="1799" spans="1:53" x14ac:dyDescent="0.25">
      <c r="A1799" s="48">
        <v>536</v>
      </c>
      <c r="B1799" s="46">
        <v>44924.541666666664</v>
      </c>
      <c r="C1799" s="36">
        <v>0.54861111111111105</v>
      </c>
      <c r="D1799" s="36">
        <v>0.56597222222222221</v>
      </c>
      <c r="E1799" s="36">
        <v>0.59027777777777779</v>
      </c>
      <c r="F1799" s="37" t="s">
        <v>170</v>
      </c>
      <c r="G1799" s="37" t="s">
        <v>4315</v>
      </c>
      <c r="H1799" s="26" t="s">
        <v>45</v>
      </c>
      <c r="I1799" s="26" t="s">
        <v>162</v>
      </c>
      <c r="J1799" s="26" t="s">
        <v>37</v>
      </c>
      <c r="K1799" s="26" t="s">
        <v>63</v>
      </c>
      <c r="L1799" s="26" t="s">
        <v>215</v>
      </c>
      <c r="M1799" s="37" t="s">
        <v>4547</v>
      </c>
      <c r="N1799" s="37" t="s">
        <v>158</v>
      </c>
      <c r="O1799" s="37">
        <v>3500809</v>
      </c>
      <c r="P1799" s="37">
        <v>5052030158</v>
      </c>
      <c r="Q1799" s="303">
        <f t="shared" si="156"/>
        <v>1</v>
      </c>
      <c r="R1799" s="303">
        <f t="shared" si="157"/>
        <v>147</v>
      </c>
      <c r="S1799" s="37">
        <v>0</v>
      </c>
      <c r="T1799" s="37">
        <v>0</v>
      </c>
      <c r="U1799" s="37">
        <v>1</v>
      </c>
      <c r="V1799" s="37">
        <v>147</v>
      </c>
      <c r="W1799" s="37">
        <v>146.99799999999999</v>
      </c>
      <c r="X1799" s="37">
        <v>80</v>
      </c>
      <c r="Y1799" s="37">
        <v>49</v>
      </c>
      <c r="Z1799" s="37">
        <v>50</v>
      </c>
      <c r="AA1799" s="37">
        <v>1</v>
      </c>
      <c r="AB1799" s="300">
        <f t="shared" si="158"/>
        <v>32.666666666666664</v>
      </c>
      <c r="AC1799" s="300">
        <f t="shared" si="159"/>
        <v>0.19678714859437749</v>
      </c>
      <c r="AD1799" s="37">
        <v>3262.5</v>
      </c>
      <c r="AE1799" s="37" t="s">
        <v>109</v>
      </c>
      <c r="AF1799" s="37" t="s">
        <v>317</v>
      </c>
      <c r="AG1799" s="37" t="s">
        <v>317</v>
      </c>
      <c r="AH1799" s="37">
        <v>0</v>
      </c>
      <c r="AI1799" s="309"/>
      <c r="AJ1799" s="309"/>
      <c r="AK1799" s="37" t="s">
        <v>37</v>
      </c>
      <c r="AL1799" s="37" t="s">
        <v>54</v>
      </c>
      <c r="AM1799" s="299">
        <f t="shared" ca="1" si="155"/>
        <v>0.95486111111677019</v>
      </c>
      <c r="AN1799" s="51"/>
      <c r="AO1799" s="288" t="s">
        <v>159</v>
      </c>
      <c r="AP1799" s="275" t="s">
        <v>4547</v>
      </c>
      <c r="AQ1799" s="288" t="s">
        <v>4635</v>
      </c>
      <c r="AR1799" s="277">
        <v>44925.496527777781</v>
      </c>
      <c r="AS1799" s="288" t="s">
        <v>136</v>
      </c>
      <c r="AT1799" s="288" t="s">
        <v>225</v>
      </c>
      <c r="AU1799" s="276">
        <v>0.49652777777777773</v>
      </c>
      <c r="AV1799" s="288">
        <v>1</v>
      </c>
      <c r="AW1799" s="288" t="s">
        <v>66</v>
      </c>
      <c r="AX1799" s="52"/>
      <c r="AY1799" s="52"/>
      <c r="AZ1799" s="52"/>
      <c r="BA1799" s="52"/>
    </row>
    <row r="1800" spans="1:53" x14ac:dyDescent="0.25">
      <c r="A1800" s="48">
        <v>537</v>
      </c>
      <c r="B1800" s="46">
        <v>44924.541666666664</v>
      </c>
      <c r="C1800" s="36">
        <v>0.54861111111111105</v>
      </c>
      <c r="D1800" s="36">
        <v>0.56597222222222221</v>
      </c>
      <c r="E1800" s="36">
        <v>0.59027777777777779</v>
      </c>
      <c r="F1800" s="37" t="s">
        <v>170</v>
      </c>
      <c r="G1800" s="37" t="s">
        <v>4315</v>
      </c>
      <c r="H1800" s="26" t="s">
        <v>156</v>
      </c>
      <c r="I1800" s="26" t="s">
        <v>162</v>
      </c>
      <c r="J1800" s="26" t="s">
        <v>37</v>
      </c>
      <c r="K1800" s="26" t="s">
        <v>63</v>
      </c>
      <c r="L1800" s="26" t="s">
        <v>212</v>
      </c>
      <c r="M1800" s="37" t="s">
        <v>4548</v>
      </c>
      <c r="N1800" s="37" t="s">
        <v>158</v>
      </c>
      <c r="O1800" s="37" t="s">
        <v>4549</v>
      </c>
      <c r="P1800" s="37" t="s">
        <v>363</v>
      </c>
      <c r="Q1800" s="303">
        <f t="shared" si="156"/>
        <v>1</v>
      </c>
      <c r="R1800" s="303">
        <f t="shared" si="157"/>
        <v>155</v>
      </c>
      <c r="S1800" s="37">
        <v>0</v>
      </c>
      <c r="T1800" s="37">
        <v>0</v>
      </c>
      <c r="U1800" s="37">
        <v>1</v>
      </c>
      <c r="V1800" s="37">
        <v>155</v>
      </c>
      <c r="W1800" s="37">
        <v>157</v>
      </c>
      <c r="X1800" s="37">
        <v>59</v>
      </c>
      <c r="Y1800" s="37">
        <v>57</v>
      </c>
      <c r="Z1800" s="37">
        <v>56</v>
      </c>
      <c r="AA1800" s="37">
        <v>1</v>
      </c>
      <c r="AB1800" s="300">
        <f t="shared" si="158"/>
        <v>31.388000000000002</v>
      </c>
      <c r="AC1800" s="300">
        <f t="shared" si="159"/>
        <v>0.18908433734939761</v>
      </c>
      <c r="AD1800" s="37">
        <v>2408.44</v>
      </c>
      <c r="AE1800" s="37" t="s">
        <v>109</v>
      </c>
      <c r="AF1800" s="37" t="s">
        <v>317</v>
      </c>
      <c r="AG1800" s="37" t="s">
        <v>317</v>
      </c>
      <c r="AH1800" s="37" t="s">
        <v>4550</v>
      </c>
      <c r="AI1800" s="309"/>
      <c r="AJ1800" s="309"/>
      <c r="AK1800" s="37" t="s">
        <v>37</v>
      </c>
      <c r="AL1800" s="37" t="s">
        <v>54</v>
      </c>
      <c r="AM1800" s="299">
        <f t="shared" ca="1" si="155"/>
        <v>0.95486111111677019</v>
      </c>
      <c r="AN1800" s="51"/>
      <c r="AO1800" s="288" t="s">
        <v>159</v>
      </c>
      <c r="AP1800" s="275" t="s">
        <v>4548</v>
      </c>
      <c r="AQ1800" s="288" t="s">
        <v>4635</v>
      </c>
      <c r="AR1800" s="277">
        <v>44925.496527777781</v>
      </c>
      <c r="AS1800" s="288" t="s">
        <v>136</v>
      </c>
      <c r="AT1800" s="288" t="s">
        <v>225</v>
      </c>
      <c r="AU1800" s="276">
        <v>0.49652777777777773</v>
      </c>
      <c r="AV1800" s="288">
        <v>1</v>
      </c>
      <c r="AW1800" s="288" t="s">
        <v>66</v>
      </c>
      <c r="AX1800" s="52"/>
      <c r="AY1800" s="52"/>
      <c r="AZ1800" s="52"/>
      <c r="BA1800" s="52"/>
    </row>
    <row r="1801" spans="1:53" x14ac:dyDescent="0.25">
      <c r="A1801" s="48">
        <v>538</v>
      </c>
      <c r="B1801" s="46">
        <v>44924.541666666664</v>
      </c>
      <c r="C1801" s="36">
        <v>0.54861111111111105</v>
      </c>
      <c r="D1801" s="36">
        <v>0.56597222222222221</v>
      </c>
      <c r="E1801" s="36">
        <v>0.59027777777777779</v>
      </c>
      <c r="F1801" s="37" t="s">
        <v>170</v>
      </c>
      <c r="G1801" s="37" t="s">
        <v>4315</v>
      </c>
      <c r="H1801" s="26" t="s">
        <v>156</v>
      </c>
      <c r="I1801" s="26" t="s">
        <v>162</v>
      </c>
      <c r="J1801" s="26" t="s">
        <v>37</v>
      </c>
      <c r="K1801" s="26" t="s">
        <v>63</v>
      </c>
      <c r="L1801" s="26" t="s">
        <v>212</v>
      </c>
      <c r="M1801" s="37" t="s">
        <v>4551</v>
      </c>
      <c r="N1801" s="37" t="s">
        <v>158</v>
      </c>
      <c r="O1801" s="37" t="s">
        <v>4552</v>
      </c>
      <c r="P1801" s="37" t="s">
        <v>316</v>
      </c>
      <c r="Q1801" s="303">
        <f t="shared" si="156"/>
        <v>3</v>
      </c>
      <c r="R1801" s="303">
        <f t="shared" si="157"/>
        <v>150</v>
      </c>
      <c r="S1801" s="37">
        <v>0</v>
      </c>
      <c r="T1801" s="37">
        <v>0</v>
      </c>
      <c r="U1801" s="37">
        <v>3</v>
      </c>
      <c r="V1801" s="37">
        <v>150</v>
      </c>
      <c r="W1801" s="37">
        <v>168.2</v>
      </c>
      <c r="X1801" s="37">
        <v>47</v>
      </c>
      <c r="Y1801" s="37">
        <v>43</v>
      </c>
      <c r="Z1801" s="37">
        <v>50</v>
      </c>
      <c r="AA1801" s="37">
        <v>1</v>
      </c>
      <c r="AB1801" s="300">
        <f t="shared" si="158"/>
        <v>16.841666666666665</v>
      </c>
      <c r="AC1801" s="300">
        <f t="shared" si="159"/>
        <v>0.10145582329317268</v>
      </c>
      <c r="AD1801" s="37">
        <v>1811.11</v>
      </c>
      <c r="AE1801" s="37" t="s">
        <v>109</v>
      </c>
      <c r="AF1801" s="37" t="s">
        <v>317</v>
      </c>
      <c r="AG1801" s="37" t="s">
        <v>317</v>
      </c>
      <c r="AH1801" s="37" t="s">
        <v>4553</v>
      </c>
      <c r="AI1801" s="309"/>
      <c r="AJ1801" s="309"/>
      <c r="AK1801" s="37" t="s">
        <v>37</v>
      </c>
      <c r="AL1801" s="37" t="s">
        <v>54</v>
      </c>
      <c r="AM1801" s="299">
        <f t="shared" ca="1" si="155"/>
        <v>0.95486111111677019</v>
      </c>
      <c r="AN1801" s="51"/>
      <c r="AO1801" s="288" t="s">
        <v>159</v>
      </c>
      <c r="AP1801" s="275" t="s">
        <v>4551</v>
      </c>
      <c r="AQ1801" s="288" t="s">
        <v>4635</v>
      </c>
      <c r="AR1801" s="277">
        <v>44925.496527777781</v>
      </c>
      <c r="AS1801" s="288" t="s">
        <v>136</v>
      </c>
      <c r="AT1801" s="288" t="s">
        <v>225</v>
      </c>
      <c r="AU1801" s="276">
        <v>0.49652777777777773</v>
      </c>
      <c r="AV1801" s="288">
        <v>3</v>
      </c>
      <c r="AW1801" s="288" t="s">
        <v>66</v>
      </c>
      <c r="AX1801" s="52"/>
      <c r="AY1801" s="52"/>
      <c r="AZ1801" s="52"/>
      <c r="BA1801" s="52"/>
    </row>
    <row r="1802" spans="1:53" x14ac:dyDescent="0.25">
      <c r="A1802" s="312">
        <v>538</v>
      </c>
      <c r="B1802" s="46">
        <v>44924.541666666664</v>
      </c>
      <c r="C1802" s="36">
        <v>0.54861111111111105</v>
      </c>
      <c r="D1802" s="36">
        <v>0.56597222222222221</v>
      </c>
      <c r="E1802" s="36">
        <v>0.59027777777777779</v>
      </c>
      <c r="F1802" s="37" t="s">
        <v>170</v>
      </c>
      <c r="G1802" s="37" t="s">
        <v>4315</v>
      </c>
      <c r="H1802" s="26" t="s">
        <v>156</v>
      </c>
      <c r="I1802" s="26" t="s">
        <v>162</v>
      </c>
      <c r="J1802" s="26" t="s">
        <v>37</v>
      </c>
      <c r="K1802" s="26" t="s">
        <v>63</v>
      </c>
      <c r="L1802" s="26" t="s">
        <v>212</v>
      </c>
      <c r="M1802" s="37" t="s">
        <v>4551</v>
      </c>
      <c r="N1802" s="37" t="s">
        <v>158</v>
      </c>
      <c r="O1802" s="37" t="s">
        <v>4552</v>
      </c>
      <c r="P1802" s="37" t="s">
        <v>316</v>
      </c>
      <c r="Q1802" s="303">
        <f t="shared" si="156"/>
        <v>0</v>
      </c>
      <c r="R1802" s="303">
        <f t="shared" si="157"/>
        <v>0</v>
      </c>
      <c r="S1802" s="37">
        <v>0</v>
      </c>
      <c r="T1802" s="37">
        <v>0</v>
      </c>
      <c r="U1802" s="37">
        <v>0</v>
      </c>
      <c r="V1802" s="37">
        <v>0</v>
      </c>
      <c r="W1802" s="37">
        <v>0</v>
      </c>
      <c r="X1802" s="37">
        <v>39</v>
      </c>
      <c r="Y1802" s="37">
        <v>34</v>
      </c>
      <c r="Z1802" s="37">
        <v>38</v>
      </c>
      <c r="AA1802" s="37">
        <v>1</v>
      </c>
      <c r="AB1802" s="300">
        <f t="shared" si="158"/>
        <v>8.3979999999999997</v>
      </c>
      <c r="AC1802" s="300">
        <f t="shared" si="159"/>
        <v>5.0590361445783133E-2</v>
      </c>
      <c r="AD1802" s="37">
        <v>0</v>
      </c>
      <c r="AE1802" s="37">
        <v>0</v>
      </c>
      <c r="AF1802" s="37" t="s">
        <v>317</v>
      </c>
      <c r="AG1802" s="37" t="s">
        <v>317</v>
      </c>
      <c r="AH1802" s="37" t="s">
        <v>4553</v>
      </c>
      <c r="AI1802" s="309"/>
      <c r="AJ1802" s="309"/>
      <c r="AK1802" s="37" t="s">
        <v>37</v>
      </c>
      <c r="AL1802" s="37" t="s">
        <v>54</v>
      </c>
      <c r="AM1802" s="299">
        <f t="shared" ca="1" si="155"/>
        <v>0.95486111111677019</v>
      </c>
      <c r="AN1802" s="51"/>
      <c r="AO1802" s="288" t="s">
        <v>159</v>
      </c>
      <c r="AP1802" s="275" t="s">
        <v>4551</v>
      </c>
      <c r="AQ1802" s="288" t="s">
        <v>4635</v>
      </c>
      <c r="AR1802" s="277">
        <v>44925.496527777781</v>
      </c>
      <c r="AS1802" s="288" t="s">
        <v>136</v>
      </c>
      <c r="AT1802" s="288" t="s">
        <v>225</v>
      </c>
      <c r="AU1802" s="276">
        <v>0.49652777777777773</v>
      </c>
      <c r="AV1802" s="288">
        <v>3</v>
      </c>
      <c r="AW1802" s="288" t="s">
        <v>66</v>
      </c>
      <c r="AX1802" s="52"/>
      <c r="AY1802" s="52"/>
      <c r="AZ1802" s="52"/>
      <c r="BA1802" s="52"/>
    </row>
    <row r="1803" spans="1:53" x14ac:dyDescent="0.25">
      <c r="A1803" s="312">
        <v>538</v>
      </c>
      <c r="B1803" s="46">
        <v>44924.541666666664</v>
      </c>
      <c r="C1803" s="36">
        <v>0.54861111111111105</v>
      </c>
      <c r="D1803" s="36">
        <v>0.56597222222222221</v>
      </c>
      <c r="E1803" s="36">
        <v>0.59027777777777779</v>
      </c>
      <c r="F1803" s="37" t="s">
        <v>170</v>
      </c>
      <c r="G1803" s="37" t="s">
        <v>4315</v>
      </c>
      <c r="H1803" s="26" t="s">
        <v>156</v>
      </c>
      <c r="I1803" s="26" t="s">
        <v>162</v>
      </c>
      <c r="J1803" s="26" t="s">
        <v>37</v>
      </c>
      <c r="K1803" s="26" t="s">
        <v>63</v>
      </c>
      <c r="L1803" s="26" t="s">
        <v>212</v>
      </c>
      <c r="M1803" s="37" t="s">
        <v>4551</v>
      </c>
      <c r="N1803" s="37" t="s">
        <v>158</v>
      </c>
      <c r="O1803" s="37" t="s">
        <v>4552</v>
      </c>
      <c r="P1803" s="37" t="s">
        <v>316</v>
      </c>
      <c r="Q1803" s="303">
        <f t="shared" si="156"/>
        <v>0</v>
      </c>
      <c r="R1803" s="303">
        <f t="shared" si="157"/>
        <v>0</v>
      </c>
      <c r="S1803" s="37">
        <v>0</v>
      </c>
      <c r="T1803" s="37">
        <v>0</v>
      </c>
      <c r="U1803" s="37">
        <v>0</v>
      </c>
      <c r="V1803" s="37">
        <v>0</v>
      </c>
      <c r="W1803" s="37">
        <v>0</v>
      </c>
      <c r="X1803" s="37">
        <v>27</v>
      </c>
      <c r="Y1803" s="37">
        <v>23</v>
      </c>
      <c r="Z1803" s="37">
        <v>29</v>
      </c>
      <c r="AA1803" s="37">
        <v>1</v>
      </c>
      <c r="AB1803" s="300">
        <f t="shared" si="158"/>
        <v>3.0015000000000001</v>
      </c>
      <c r="AC1803" s="300">
        <f t="shared" si="159"/>
        <v>1.808132530120482E-2</v>
      </c>
      <c r="AD1803" s="37">
        <v>0</v>
      </c>
      <c r="AE1803" s="37">
        <v>0</v>
      </c>
      <c r="AF1803" s="37" t="s">
        <v>317</v>
      </c>
      <c r="AG1803" s="37" t="s">
        <v>317</v>
      </c>
      <c r="AH1803" s="37" t="s">
        <v>4553</v>
      </c>
      <c r="AI1803" s="309"/>
      <c r="AJ1803" s="309"/>
      <c r="AK1803" s="37" t="s">
        <v>37</v>
      </c>
      <c r="AL1803" s="37" t="s">
        <v>54</v>
      </c>
      <c r="AM1803" s="299">
        <f t="shared" ca="1" si="155"/>
        <v>0.95486111111677019</v>
      </c>
      <c r="AN1803" s="51"/>
      <c r="AO1803" s="288" t="s">
        <v>159</v>
      </c>
      <c r="AP1803" s="275" t="s">
        <v>4551</v>
      </c>
      <c r="AQ1803" s="288" t="s">
        <v>4635</v>
      </c>
      <c r="AR1803" s="277">
        <v>44925.496527777781</v>
      </c>
      <c r="AS1803" s="288" t="s">
        <v>136</v>
      </c>
      <c r="AT1803" s="288" t="s">
        <v>225</v>
      </c>
      <c r="AU1803" s="276">
        <v>0.49652777777777773</v>
      </c>
      <c r="AV1803" s="288">
        <v>3</v>
      </c>
      <c r="AW1803" s="288" t="s">
        <v>66</v>
      </c>
      <c r="AX1803" s="52"/>
      <c r="AY1803" s="52"/>
      <c r="AZ1803" s="52"/>
      <c r="BA1803" s="52"/>
    </row>
    <row r="1804" spans="1:53" x14ac:dyDescent="0.25">
      <c r="A1804" s="48">
        <v>539</v>
      </c>
      <c r="B1804" s="46">
        <v>44924.541666666664</v>
      </c>
      <c r="C1804" s="36">
        <v>0.54861111111111105</v>
      </c>
      <c r="D1804" s="36">
        <v>0.56597222222222221</v>
      </c>
      <c r="E1804" s="36">
        <v>0.59027777777777779</v>
      </c>
      <c r="F1804" s="37" t="s">
        <v>170</v>
      </c>
      <c r="G1804" s="37" t="s">
        <v>4315</v>
      </c>
      <c r="H1804" s="26" t="s">
        <v>156</v>
      </c>
      <c r="I1804" s="26" t="s">
        <v>3580</v>
      </c>
      <c r="J1804" s="26" t="s">
        <v>37</v>
      </c>
      <c r="K1804" s="26" t="s">
        <v>63</v>
      </c>
      <c r="L1804" s="26" t="s">
        <v>212</v>
      </c>
      <c r="M1804" s="37" t="s">
        <v>4554</v>
      </c>
      <c r="N1804" s="37" t="s">
        <v>42</v>
      </c>
      <c r="O1804" s="37" t="s">
        <v>4555</v>
      </c>
      <c r="P1804" s="37" t="s">
        <v>367</v>
      </c>
      <c r="Q1804" s="303">
        <f t="shared" si="156"/>
        <v>4</v>
      </c>
      <c r="R1804" s="303">
        <f t="shared" si="157"/>
        <v>180</v>
      </c>
      <c r="S1804" s="37">
        <v>0</v>
      </c>
      <c r="T1804" s="37">
        <v>0</v>
      </c>
      <c r="U1804" s="37">
        <v>4</v>
      </c>
      <c r="V1804" s="37">
        <v>180</v>
      </c>
      <c r="W1804" s="37">
        <v>176.8</v>
      </c>
      <c r="X1804" s="37">
        <v>45</v>
      </c>
      <c r="Y1804" s="37">
        <v>45</v>
      </c>
      <c r="Z1804" s="37">
        <v>34</v>
      </c>
      <c r="AA1804" s="37">
        <v>2</v>
      </c>
      <c r="AB1804" s="300">
        <f t="shared" si="158"/>
        <v>22.95</v>
      </c>
      <c r="AC1804" s="300">
        <f t="shared" si="159"/>
        <v>0.13825301204819276</v>
      </c>
      <c r="AD1804" s="37">
        <v>2129.7399999999998</v>
      </c>
      <c r="AE1804" s="37" t="s">
        <v>109</v>
      </c>
      <c r="AF1804" s="37" t="s">
        <v>317</v>
      </c>
      <c r="AG1804" s="37" t="s">
        <v>317</v>
      </c>
      <c r="AH1804" s="37" t="s">
        <v>4556</v>
      </c>
      <c r="AI1804" s="309"/>
      <c r="AJ1804" s="309"/>
      <c r="AK1804" s="37" t="s">
        <v>37</v>
      </c>
      <c r="AL1804" s="37" t="s">
        <v>54</v>
      </c>
      <c r="AM1804" s="299">
        <f t="shared" ca="1" si="155"/>
        <v>1.1076388888905058</v>
      </c>
      <c r="AN1804" s="51"/>
      <c r="AO1804" s="288" t="s">
        <v>120</v>
      </c>
      <c r="AP1804" s="275" t="s">
        <v>4554</v>
      </c>
      <c r="AQ1804" s="288" t="s">
        <v>4637</v>
      </c>
      <c r="AR1804" s="277">
        <v>44925.649305555555</v>
      </c>
      <c r="AS1804" s="288" t="s">
        <v>136</v>
      </c>
      <c r="AT1804" s="288" t="s">
        <v>225</v>
      </c>
      <c r="AU1804" s="276">
        <v>0.64930555555555558</v>
      </c>
      <c r="AV1804" s="288">
        <v>2</v>
      </c>
      <c r="AW1804" s="288" t="s">
        <v>66</v>
      </c>
      <c r="AX1804" s="52"/>
      <c r="AY1804" s="52"/>
      <c r="AZ1804" s="52"/>
      <c r="BA1804" s="52"/>
    </row>
    <row r="1805" spans="1:53" x14ac:dyDescent="0.25">
      <c r="A1805" s="312">
        <v>539</v>
      </c>
      <c r="B1805" s="46">
        <v>44924.541666666664</v>
      </c>
      <c r="C1805" s="36">
        <v>0.54861111111111105</v>
      </c>
      <c r="D1805" s="36">
        <v>0.56597222222222221</v>
      </c>
      <c r="E1805" s="36">
        <v>0.59027777777777779</v>
      </c>
      <c r="F1805" s="37" t="s">
        <v>170</v>
      </c>
      <c r="G1805" s="37" t="s">
        <v>4315</v>
      </c>
      <c r="H1805" s="26" t="s">
        <v>156</v>
      </c>
      <c r="I1805" s="26" t="s">
        <v>3580</v>
      </c>
      <c r="J1805" s="26" t="s">
        <v>37</v>
      </c>
      <c r="K1805" s="26" t="s">
        <v>63</v>
      </c>
      <c r="L1805" s="26" t="s">
        <v>212</v>
      </c>
      <c r="M1805" s="37" t="s">
        <v>4554</v>
      </c>
      <c r="N1805" s="37" t="s">
        <v>42</v>
      </c>
      <c r="O1805" s="37" t="s">
        <v>4555</v>
      </c>
      <c r="P1805" s="37" t="s">
        <v>367</v>
      </c>
      <c r="Q1805" s="303">
        <f t="shared" si="156"/>
        <v>0</v>
      </c>
      <c r="R1805" s="303">
        <f t="shared" si="157"/>
        <v>0</v>
      </c>
      <c r="S1805" s="37">
        <v>0</v>
      </c>
      <c r="T1805" s="37">
        <v>0</v>
      </c>
      <c r="U1805" s="37">
        <v>0</v>
      </c>
      <c r="V1805" s="37">
        <v>0</v>
      </c>
      <c r="W1805" s="37">
        <v>0</v>
      </c>
      <c r="X1805" s="37">
        <v>23</v>
      </c>
      <c r="Y1805" s="37">
        <v>19</v>
      </c>
      <c r="Z1805" s="37">
        <v>25</v>
      </c>
      <c r="AA1805" s="37">
        <v>2</v>
      </c>
      <c r="AB1805" s="300">
        <f t="shared" si="158"/>
        <v>3.6416666666666666</v>
      </c>
      <c r="AC1805" s="300">
        <f t="shared" si="159"/>
        <v>2.1937751004016064E-2</v>
      </c>
      <c r="AD1805" s="37">
        <v>0</v>
      </c>
      <c r="AE1805" s="37">
        <v>0</v>
      </c>
      <c r="AF1805" s="37" t="s">
        <v>317</v>
      </c>
      <c r="AG1805" s="37" t="s">
        <v>317</v>
      </c>
      <c r="AH1805" s="37" t="s">
        <v>4556</v>
      </c>
      <c r="AI1805" s="309"/>
      <c r="AJ1805" s="309"/>
      <c r="AK1805" s="37" t="s">
        <v>37</v>
      </c>
      <c r="AL1805" s="37" t="s">
        <v>54</v>
      </c>
      <c r="AM1805" s="299">
        <f t="shared" ca="1" si="155"/>
        <v>1.1076388888905058</v>
      </c>
      <c r="AN1805" s="51"/>
      <c r="AO1805" s="288" t="s">
        <v>120</v>
      </c>
      <c r="AP1805" s="275" t="s">
        <v>4554</v>
      </c>
      <c r="AQ1805" s="288" t="s">
        <v>4637</v>
      </c>
      <c r="AR1805" s="277">
        <v>44925.649305555555</v>
      </c>
      <c r="AS1805" s="288" t="s">
        <v>136</v>
      </c>
      <c r="AT1805" s="288" t="s">
        <v>225</v>
      </c>
      <c r="AU1805" s="276">
        <v>0.64930555555555558</v>
      </c>
      <c r="AV1805" s="288">
        <v>2</v>
      </c>
      <c r="AW1805" s="288" t="s">
        <v>66</v>
      </c>
      <c r="AX1805" s="52"/>
      <c r="AY1805" s="52"/>
      <c r="AZ1805" s="52"/>
      <c r="BA1805" s="52"/>
    </row>
    <row r="1806" spans="1:53" x14ac:dyDescent="0.25">
      <c r="A1806" s="48">
        <v>540</v>
      </c>
      <c r="B1806" s="46">
        <v>44924.541666666664</v>
      </c>
      <c r="C1806" s="36">
        <v>0.54861111111111105</v>
      </c>
      <c r="D1806" s="36">
        <v>0.56597222222222221</v>
      </c>
      <c r="E1806" s="36">
        <v>0.59027777777777779</v>
      </c>
      <c r="F1806" s="37" t="s">
        <v>170</v>
      </c>
      <c r="G1806" s="37" t="s">
        <v>4315</v>
      </c>
      <c r="H1806" s="26" t="s">
        <v>156</v>
      </c>
      <c r="I1806" s="26" t="s">
        <v>110</v>
      </c>
      <c r="J1806" s="26" t="s">
        <v>37</v>
      </c>
      <c r="K1806" s="26" t="s">
        <v>63</v>
      </c>
      <c r="L1806" s="26" t="s">
        <v>212</v>
      </c>
      <c r="M1806" s="37" t="s">
        <v>4557</v>
      </c>
      <c r="N1806" s="37" t="s">
        <v>186</v>
      </c>
      <c r="O1806" s="37" t="s">
        <v>4558</v>
      </c>
      <c r="P1806" s="37" t="s">
        <v>421</v>
      </c>
      <c r="Q1806" s="303">
        <f t="shared" si="156"/>
        <v>8</v>
      </c>
      <c r="R1806" s="303">
        <f t="shared" si="157"/>
        <v>141</v>
      </c>
      <c r="S1806" s="37">
        <v>0</v>
      </c>
      <c r="T1806" s="37">
        <v>0</v>
      </c>
      <c r="U1806" s="37">
        <v>8</v>
      </c>
      <c r="V1806" s="37">
        <v>141</v>
      </c>
      <c r="W1806" s="37">
        <v>154.30000000000001</v>
      </c>
      <c r="X1806" s="37">
        <v>46</v>
      </c>
      <c r="Y1806" s="37">
        <v>23</v>
      </c>
      <c r="Z1806" s="37">
        <v>29</v>
      </c>
      <c r="AA1806" s="37">
        <v>4</v>
      </c>
      <c r="AB1806" s="300">
        <f t="shared" si="158"/>
        <v>20.454666666666668</v>
      </c>
      <c r="AC1806" s="300">
        <f t="shared" si="159"/>
        <v>0.12322088353413656</v>
      </c>
      <c r="AD1806" s="37">
        <v>3550.23</v>
      </c>
      <c r="AE1806" s="37" t="s">
        <v>109</v>
      </c>
      <c r="AF1806" s="37" t="s">
        <v>317</v>
      </c>
      <c r="AG1806" s="37" t="s">
        <v>317</v>
      </c>
      <c r="AH1806" s="37" t="s">
        <v>4559</v>
      </c>
      <c r="AI1806" s="309"/>
      <c r="AJ1806" s="309"/>
      <c r="AK1806" s="37" t="s">
        <v>37</v>
      </c>
      <c r="AL1806" s="37" t="s">
        <v>54</v>
      </c>
      <c r="AM1806" s="299">
        <f t="shared" ca="1" si="155"/>
        <v>0.97222222222626442</v>
      </c>
      <c r="AN1806" s="51"/>
      <c r="AO1806" s="288" t="s">
        <v>131</v>
      </c>
      <c r="AP1806" s="275" t="s">
        <v>4557</v>
      </c>
      <c r="AQ1806" s="288" t="s">
        <v>4636</v>
      </c>
      <c r="AR1806" s="277">
        <v>44925.513888888891</v>
      </c>
      <c r="AS1806" s="272" t="s">
        <v>483</v>
      </c>
      <c r="AT1806" s="288" t="s">
        <v>225</v>
      </c>
      <c r="AU1806" s="276">
        <v>0.51388888888888895</v>
      </c>
      <c r="AV1806" s="288">
        <v>1</v>
      </c>
      <c r="AW1806" s="288" t="s">
        <v>66</v>
      </c>
      <c r="AX1806" s="52"/>
      <c r="AY1806" s="52"/>
      <c r="AZ1806" s="52"/>
      <c r="BA1806" s="52"/>
    </row>
    <row r="1807" spans="1:53" x14ac:dyDescent="0.25">
      <c r="A1807" s="312">
        <v>540</v>
      </c>
      <c r="B1807" s="46">
        <v>44924.541666666664</v>
      </c>
      <c r="C1807" s="36">
        <v>0.54861111111111105</v>
      </c>
      <c r="D1807" s="36">
        <v>0.56597222222222221</v>
      </c>
      <c r="E1807" s="36">
        <v>0.59027777777777779</v>
      </c>
      <c r="F1807" s="37" t="s">
        <v>170</v>
      </c>
      <c r="G1807" s="37" t="s">
        <v>4315</v>
      </c>
      <c r="H1807" s="26" t="s">
        <v>156</v>
      </c>
      <c r="I1807" s="26" t="s">
        <v>110</v>
      </c>
      <c r="J1807" s="26" t="s">
        <v>37</v>
      </c>
      <c r="K1807" s="26" t="s">
        <v>63</v>
      </c>
      <c r="L1807" s="26" t="s">
        <v>212</v>
      </c>
      <c r="M1807" s="37" t="s">
        <v>4557</v>
      </c>
      <c r="N1807" s="37" t="s">
        <v>186</v>
      </c>
      <c r="O1807" s="37" t="s">
        <v>4558</v>
      </c>
      <c r="P1807" s="37" t="s">
        <v>421</v>
      </c>
      <c r="Q1807" s="303">
        <f t="shared" si="156"/>
        <v>0</v>
      </c>
      <c r="R1807" s="303">
        <f t="shared" si="157"/>
        <v>0</v>
      </c>
      <c r="S1807" s="37">
        <v>0</v>
      </c>
      <c r="T1807" s="37">
        <v>0</v>
      </c>
      <c r="U1807" s="37">
        <v>0</v>
      </c>
      <c r="V1807" s="37">
        <v>0</v>
      </c>
      <c r="W1807" s="37">
        <v>0</v>
      </c>
      <c r="X1807" s="37">
        <v>39</v>
      </c>
      <c r="Y1807" s="37">
        <v>19</v>
      </c>
      <c r="Z1807" s="37">
        <v>25</v>
      </c>
      <c r="AA1807" s="37">
        <v>1</v>
      </c>
      <c r="AB1807" s="300">
        <f t="shared" si="158"/>
        <v>3.0874999999999999</v>
      </c>
      <c r="AC1807" s="300">
        <f t="shared" si="159"/>
        <v>1.8599397590361444E-2</v>
      </c>
      <c r="AD1807" s="37">
        <v>0</v>
      </c>
      <c r="AE1807" s="37">
        <v>0</v>
      </c>
      <c r="AF1807" s="37" t="s">
        <v>317</v>
      </c>
      <c r="AG1807" s="37" t="s">
        <v>317</v>
      </c>
      <c r="AH1807" s="37" t="s">
        <v>4559</v>
      </c>
      <c r="AI1807" s="309"/>
      <c r="AJ1807" s="309"/>
      <c r="AK1807" s="37" t="s">
        <v>37</v>
      </c>
      <c r="AL1807" s="37" t="s">
        <v>54</v>
      </c>
      <c r="AM1807" s="299">
        <f t="shared" ca="1" si="155"/>
        <v>0.97222222222626442</v>
      </c>
      <c r="AN1807" s="51"/>
      <c r="AO1807" s="288" t="s">
        <v>131</v>
      </c>
      <c r="AP1807" s="275" t="s">
        <v>4557</v>
      </c>
      <c r="AQ1807" s="288" t="s">
        <v>4636</v>
      </c>
      <c r="AR1807" s="277">
        <v>44925.513888888891</v>
      </c>
      <c r="AS1807" s="272" t="s">
        <v>483</v>
      </c>
      <c r="AT1807" s="288" t="s">
        <v>225</v>
      </c>
      <c r="AU1807" s="276">
        <v>0.51388888888888895</v>
      </c>
      <c r="AV1807" s="288">
        <v>1</v>
      </c>
      <c r="AW1807" s="288" t="s">
        <v>66</v>
      </c>
      <c r="AX1807" s="52"/>
      <c r="AY1807" s="52"/>
      <c r="AZ1807" s="52"/>
      <c r="BA1807" s="52"/>
    </row>
    <row r="1808" spans="1:53" x14ac:dyDescent="0.25">
      <c r="A1808" s="312">
        <v>540</v>
      </c>
      <c r="B1808" s="46">
        <v>44924.541666666664</v>
      </c>
      <c r="C1808" s="36">
        <v>0.54861111111111105</v>
      </c>
      <c r="D1808" s="36">
        <v>0.56597222222222221</v>
      </c>
      <c r="E1808" s="36">
        <v>0.59027777777777779</v>
      </c>
      <c r="F1808" s="37" t="s">
        <v>170</v>
      </c>
      <c r="G1808" s="37" t="s">
        <v>4315</v>
      </c>
      <c r="H1808" s="26" t="s">
        <v>156</v>
      </c>
      <c r="I1808" s="26" t="s">
        <v>110</v>
      </c>
      <c r="J1808" s="26" t="s">
        <v>37</v>
      </c>
      <c r="K1808" s="26" t="s">
        <v>63</v>
      </c>
      <c r="L1808" s="26" t="s">
        <v>212</v>
      </c>
      <c r="M1808" s="37" t="s">
        <v>4557</v>
      </c>
      <c r="N1808" s="37" t="s">
        <v>186</v>
      </c>
      <c r="O1808" s="37" t="s">
        <v>4558</v>
      </c>
      <c r="P1808" s="37" t="s">
        <v>421</v>
      </c>
      <c r="Q1808" s="303">
        <f t="shared" si="156"/>
        <v>0</v>
      </c>
      <c r="R1808" s="303">
        <f t="shared" si="157"/>
        <v>0</v>
      </c>
      <c r="S1808" s="37">
        <v>0</v>
      </c>
      <c r="T1808" s="37">
        <v>0</v>
      </c>
      <c r="U1808" s="37">
        <v>0</v>
      </c>
      <c r="V1808" s="37">
        <v>0</v>
      </c>
      <c r="W1808" s="37">
        <v>0</v>
      </c>
      <c r="X1808" s="37">
        <v>31</v>
      </c>
      <c r="Y1808" s="37">
        <v>26</v>
      </c>
      <c r="Z1808" s="37">
        <v>33</v>
      </c>
      <c r="AA1808" s="37">
        <v>1</v>
      </c>
      <c r="AB1808" s="300">
        <f t="shared" si="158"/>
        <v>4.4329999999999998</v>
      </c>
      <c r="AC1808" s="300">
        <f t="shared" si="159"/>
        <v>2.6704819277108431E-2</v>
      </c>
      <c r="AD1808" s="37">
        <v>0</v>
      </c>
      <c r="AE1808" s="37">
        <v>0</v>
      </c>
      <c r="AF1808" s="37" t="s">
        <v>317</v>
      </c>
      <c r="AG1808" s="37" t="s">
        <v>317</v>
      </c>
      <c r="AH1808" s="37" t="s">
        <v>4559</v>
      </c>
      <c r="AI1808" s="309"/>
      <c r="AJ1808" s="309"/>
      <c r="AK1808" s="37" t="s">
        <v>37</v>
      </c>
      <c r="AL1808" s="37" t="s">
        <v>54</v>
      </c>
      <c r="AM1808" s="299">
        <f t="shared" ca="1" si="155"/>
        <v>0.97222222222626442</v>
      </c>
      <c r="AN1808" s="51"/>
      <c r="AO1808" s="288" t="s">
        <v>131</v>
      </c>
      <c r="AP1808" s="275" t="s">
        <v>4557</v>
      </c>
      <c r="AQ1808" s="288" t="s">
        <v>4636</v>
      </c>
      <c r="AR1808" s="277">
        <v>44925.513888888891</v>
      </c>
      <c r="AS1808" s="272" t="s">
        <v>483</v>
      </c>
      <c r="AT1808" s="288" t="s">
        <v>225</v>
      </c>
      <c r="AU1808" s="276">
        <v>0.51388888888888895</v>
      </c>
      <c r="AV1808" s="288">
        <v>1</v>
      </c>
      <c r="AW1808" s="288" t="s">
        <v>66</v>
      </c>
      <c r="AX1808" s="52"/>
      <c r="AY1808" s="52"/>
      <c r="AZ1808" s="52"/>
      <c r="BA1808" s="52"/>
    </row>
    <row r="1809" spans="1:53" x14ac:dyDescent="0.25">
      <c r="A1809" s="312">
        <v>540</v>
      </c>
      <c r="B1809" s="46">
        <v>44924.541666666664</v>
      </c>
      <c r="C1809" s="36">
        <v>0.54861111111111105</v>
      </c>
      <c r="D1809" s="36">
        <v>0.56597222222222221</v>
      </c>
      <c r="E1809" s="36">
        <v>0.59027777777777779</v>
      </c>
      <c r="F1809" s="37" t="s">
        <v>170</v>
      </c>
      <c r="G1809" s="37" t="s">
        <v>4315</v>
      </c>
      <c r="H1809" s="26" t="s">
        <v>156</v>
      </c>
      <c r="I1809" s="26" t="s">
        <v>110</v>
      </c>
      <c r="J1809" s="26" t="s">
        <v>37</v>
      </c>
      <c r="K1809" s="26" t="s">
        <v>63</v>
      </c>
      <c r="L1809" s="26" t="s">
        <v>212</v>
      </c>
      <c r="M1809" s="37" t="s">
        <v>4557</v>
      </c>
      <c r="N1809" s="37" t="s">
        <v>186</v>
      </c>
      <c r="O1809" s="37" t="s">
        <v>4558</v>
      </c>
      <c r="P1809" s="37" t="s">
        <v>421</v>
      </c>
      <c r="Q1809" s="303">
        <f t="shared" si="156"/>
        <v>0</v>
      </c>
      <c r="R1809" s="303">
        <f t="shared" si="157"/>
        <v>0</v>
      </c>
      <c r="S1809" s="37">
        <v>0</v>
      </c>
      <c r="T1809" s="37">
        <v>0</v>
      </c>
      <c r="U1809" s="37">
        <v>0</v>
      </c>
      <c r="V1809" s="37">
        <v>0</v>
      </c>
      <c r="W1809" s="37">
        <v>0</v>
      </c>
      <c r="X1809" s="37">
        <v>23</v>
      </c>
      <c r="Y1809" s="37">
        <v>19</v>
      </c>
      <c r="Z1809" s="37">
        <v>25</v>
      </c>
      <c r="AA1809" s="37">
        <v>1</v>
      </c>
      <c r="AB1809" s="300">
        <f t="shared" si="158"/>
        <v>1.8208333333333333</v>
      </c>
      <c r="AC1809" s="300">
        <f t="shared" si="159"/>
        <v>1.0968875502008032E-2</v>
      </c>
      <c r="AD1809" s="37">
        <v>0</v>
      </c>
      <c r="AE1809" s="37">
        <v>0</v>
      </c>
      <c r="AF1809" s="37" t="s">
        <v>317</v>
      </c>
      <c r="AG1809" s="37" t="s">
        <v>317</v>
      </c>
      <c r="AH1809" s="37" t="s">
        <v>4559</v>
      </c>
      <c r="AI1809" s="309"/>
      <c r="AJ1809" s="309"/>
      <c r="AK1809" s="37" t="s">
        <v>37</v>
      </c>
      <c r="AL1809" s="37" t="s">
        <v>54</v>
      </c>
      <c r="AM1809" s="299">
        <f t="shared" ca="1" si="155"/>
        <v>0.97222222222626442</v>
      </c>
      <c r="AN1809" s="51"/>
      <c r="AO1809" s="288" t="s">
        <v>131</v>
      </c>
      <c r="AP1809" s="275" t="s">
        <v>4557</v>
      </c>
      <c r="AQ1809" s="288" t="s">
        <v>4636</v>
      </c>
      <c r="AR1809" s="277">
        <v>44925.513888888891</v>
      </c>
      <c r="AS1809" s="272" t="s">
        <v>483</v>
      </c>
      <c r="AT1809" s="288" t="s">
        <v>225</v>
      </c>
      <c r="AU1809" s="276">
        <v>0.51388888888888895</v>
      </c>
      <c r="AV1809" s="288">
        <v>1</v>
      </c>
      <c r="AW1809" s="288" t="s">
        <v>66</v>
      </c>
      <c r="AX1809" s="52"/>
      <c r="AY1809" s="52"/>
      <c r="AZ1809" s="52"/>
      <c r="BA1809" s="52"/>
    </row>
    <row r="1810" spans="1:53" x14ac:dyDescent="0.25">
      <c r="A1810" s="312">
        <v>540</v>
      </c>
      <c r="B1810" s="46">
        <v>44924.541666666664</v>
      </c>
      <c r="C1810" s="36">
        <v>0.54861111111111105</v>
      </c>
      <c r="D1810" s="36">
        <v>0.56597222222222221</v>
      </c>
      <c r="E1810" s="36">
        <v>0.59027777777777779</v>
      </c>
      <c r="F1810" s="37" t="s">
        <v>170</v>
      </c>
      <c r="G1810" s="37" t="s">
        <v>4315</v>
      </c>
      <c r="H1810" s="26" t="s">
        <v>156</v>
      </c>
      <c r="I1810" s="26" t="s">
        <v>110</v>
      </c>
      <c r="J1810" s="26" t="s">
        <v>37</v>
      </c>
      <c r="K1810" s="26" t="s">
        <v>63</v>
      </c>
      <c r="L1810" s="26" t="s">
        <v>212</v>
      </c>
      <c r="M1810" s="37" t="s">
        <v>4557</v>
      </c>
      <c r="N1810" s="37" t="s">
        <v>186</v>
      </c>
      <c r="O1810" s="37" t="s">
        <v>4558</v>
      </c>
      <c r="P1810" s="37" t="s">
        <v>421</v>
      </c>
      <c r="Q1810" s="303">
        <f t="shared" si="156"/>
        <v>0</v>
      </c>
      <c r="R1810" s="303">
        <f t="shared" si="157"/>
        <v>0</v>
      </c>
      <c r="S1810" s="37">
        <v>0</v>
      </c>
      <c r="T1810" s="37">
        <v>0</v>
      </c>
      <c r="U1810" s="37">
        <v>0</v>
      </c>
      <c r="V1810" s="37">
        <v>0</v>
      </c>
      <c r="W1810" s="37">
        <v>0</v>
      </c>
      <c r="X1810" s="37">
        <v>31</v>
      </c>
      <c r="Y1810" s="37">
        <v>26</v>
      </c>
      <c r="Z1810" s="37">
        <v>19</v>
      </c>
      <c r="AA1810" s="37">
        <v>1</v>
      </c>
      <c r="AB1810" s="300">
        <f t="shared" si="158"/>
        <v>2.5523333333333333</v>
      </c>
      <c r="AC1810" s="300">
        <f t="shared" si="159"/>
        <v>1.5375502008032128E-2</v>
      </c>
      <c r="AD1810" s="37">
        <v>0</v>
      </c>
      <c r="AE1810" s="37">
        <v>0</v>
      </c>
      <c r="AF1810" s="37" t="s">
        <v>317</v>
      </c>
      <c r="AG1810" s="37" t="s">
        <v>317</v>
      </c>
      <c r="AH1810" s="37" t="s">
        <v>4559</v>
      </c>
      <c r="AI1810" s="309"/>
      <c r="AJ1810" s="309"/>
      <c r="AK1810" s="37" t="s">
        <v>37</v>
      </c>
      <c r="AL1810" s="37" t="s">
        <v>54</v>
      </c>
      <c r="AM1810" s="299">
        <f t="shared" ca="1" si="155"/>
        <v>0.97222222222626442</v>
      </c>
      <c r="AN1810" s="51"/>
      <c r="AO1810" s="288" t="s">
        <v>131</v>
      </c>
      <c r="AP1810" s="275" t="s">
        <v>4557</v>
      </c>
      <c r="AQ1810" s="288" t="s">
        <v>4636</v>
      </c>
      <c r="AR1810" s="277">
        <v>44925.513888888891</v>
      </c>
      <c r="AS1810" s="272" t="s">
        <v>483</v>
      </c>
      <c r="AT1810" s="288" t="s">
        <v>225</v>
      </c>
      <c r="AU1810" s="276">
        <v>0.51388888888888895</v>
      </c>
      <c r="AV1810" s="288">
        <v>1</v>
      </c>
      <c r="AW1810" s="288" t="s">
        <v>66</v>
      </c>
      <c r="AX1810" s="52"/>
      <c r="AY1810" s="52"/>
      <c r="AZ1810" s="52"/>
      <c r="BA1810" s="52"/>
    </row>
    <row r="1811" spans="1:53" x14ac:dyDescent="0.25">
      <c r="A1811" s="48">
        <v>541</v>
      </c>
      <c r="B1811" s="46">
        <v>44924.541666666664</v>
      </c>
      <c r="C1811" s="36">
        <v>0.54861111111111105</v>
      </c>
      <c r="D1811" s="36">
        <v>0.56597222222222221</v>
      </c>
      <c r="E1811" s="36">
        <v>0.59027777777777779</v>
      </c>
      <c r="F1811" s="37" t="s">
        <v>170</v>
      </c>
      <c r="G1811" s="37" t="s">
        <v>4315</v>
      </c>
      <c r="H1811" s="26" t="s">
        <v>46</v>
      </c>
      <c r="I1811" s="26" t="s">
        <v>71</v>
      </c>
      <c r="J1811" s="26" t="s">
        <v>41</v>
      </c>
      <c r="K1811" s="26" t="s">
        <v>63</v>
      </c>
      <c r="L1811" s="26" t="s">
        <v>214</v>
      </c>
      <c r="M1811" s="37" t="s">
        <v>4560</v>
      </c>
      <c r="N1811" s="37" t="s">
        <v>139</v>
      </c>
      <c r="O1811" s="37" t="s">
        <v>4561</v>
      </c>
      <c r="P1811" s="37">
        <v>6352</v>
      </c>
      <c r="Q1811" s="303">
        <f t="shared" si="156"/>
        <v>1</v>
      </c>
      <c r="R1811" s="303">
        <f t="shared" si="157"/>
        <v>102</v>
      </c>
      <c r="S1811" s="37">
        <v>0</v>
      </c>
      <c r="T1811" s="37">
        <v>0</v>
      </c>
      <c r="U1811" s="37">
        <v>1</v>
      </c>
      <c r="V1811" s="37">
        <v>102</v>
      </c>
      <c r="W1811" s="37">
        <v>105.3</v>
      </c>
      <c r="X1811" s="37">
        <v>82</v>
      </c>
      <c r="Y1811" s="37">
        <v>44</v>
      </c>
      <c r="Z1811" s="37">
        <v>49</v>
      </c>
      <c r="AA1811" s="37">
        <v>1</v>
      </c>
      <c r="AB1811" s="300">
        <f t="shared" si="158"/>
        <v>29.465333333333334</v>
      </c>
      <c r="AC1811" s="300">
        <f t="shared" si="159"/>
        <v>0.17750200803212851</v>
      </c>
      <c r="AD1811" s="37" t="s">
        <v>48</v>
      </c>
      <c r="AE1811" s="37" t="s">
        <v>48</v>
      </c>
      <c r="AF1811" s="37" t="s">
        <v>317</v>
      </c>
      <c r="AG1811" s="37" t="s">
        <v>317</v>
      </c>
      <c r="AH1811" s="37" t="s">
        <v>4562</v>
      </c>
      <c r="AI1811" s="309"/>
      <c r="AJ1811" s="309"/>
      <c r="AK1811" s="37" t="s">
        <v>41</v>
      </c>
      <c r="AL1811" s="37" t="s">
        <v>54</v>
      </c>
      <c r="AM1811" s="299">
        <f t="shared" ca="1" si="155"/>
        <v>1.9270833333357587</v>
      </c>
      <c r="AN1811" s="51"/>
      <c r="AO1811" s="288" t="s">
        <v>72</v>
      </c>
      <c r="AP1811" s="275" t="s">
        <v>4560</v>
      </c>
      <c r="AQ1811" s="288" t="s">
        <v>4722</v>
      </c>
      <c r="AR1811" s="277">
        <v>44926.46875</v>
      </c>
      <c r="AS1811" s="288" t="s">
        <v>95</v>
      </c>
      <c r="AT1811" s="288" t="s">
        <v>225</v>
      </c>
      <c r="AU1811" s="59">
        <v>0.46875</v>
      </c>
      <c r="AV1811" s="288">
        <v>1</v>
      </c>
      <c r="AW1811" s="288" t="s">
        <v>66</v>
      </c>
      <c r="AX1811" s="52"/>
      <c r="AY1811" s="52"/>
      <c r="AZ1811" s="52"/>
      <c r="BA1811" s="52"/>
    </row>
    <row r="1812" spans="1:53" x14ac:dyDescent="0.25">
      <c r="A1812" s="48">
        <v>542</v>
      </c>
      <c r="B1812" s="46">
        <v>44924.541666666664</v>
      </c>
      <c r="C1812" s="36">
        <v>0.54861111111111105</v>
      </c>
      <c r="D1812" s="36">
        <v>0.56597222222222221</v>
      </c>
      <c r="E1812" s="36">
        <v>0.59027777777777779</v>
      </c>
      <c r="F1812" s="37" t="s">
        <v>170</v>
      </c>
      <c r="G1812" s="37" t="s">
        <v>4315</v>
      </c>
      <c r="H1812" s="26" t="s">
        <v>46</v>
      </c>
      <c r="I1812" s="26" t="s">
        <v>110</v>
      </c>
      <c r="J1812" s="26" t="s">
        <v>41</v>
      </c>
      <c r="K1812" s="26" t="s">
        <v>63</v>
      </c>
      <c r="L1812" s="26" t="s">
        <v>214</v>
      </c>
      <c r="M1812" s="37" t="s">
        <v>4563</v>
      </c>
      <c r="N1812" s="37" t="s">
        <v>186</v>
      </c>
      <c r="O1812" s="37" t="s">
        <v>4564</v>
      </c>
      <c r="P1812" s="37" t="s">
        <v>4565</v>
      </c>
      <c r="Q1812" s="303">
        <f t="shared" si="156"/>
        <v>3</v>
      </c>
      <c r="R1812" s="303">
        <f t="shared" si="157"/>
        <v>322</v>
      </c>
      <c r="S1812" s="37">
        <v>0</v>
      </c>
      <c r="T1812" s="37">
        <v>0</v>
      </c>
      <c r="U1812" s="37">
        <v>3</v>
      </c>
      <c r="V1812" s="37">
        <v>322</v>
      </c>
      <c r="W1812" s="37">
        <v>310.7</v>
      </c>
      <c r="X1812" s="37">
        <v>81</v>
      </c>
      <c r="Y1812" s="37">
        <v>44</v>
      </c>
      <c r="Z1812" s="37">
        <v>49</v>
      </c>
      <c r="AA1812" s="37">
        <v>1</v>
      </c>
      <c r="AB1812" s="300">
        <f t="shared" si="158"/>
        <v>29.106000000000002</v>
      </c>
      <c r="AC1812" s="300">
        <f t="shared" si="159"/>
        <v>0.17533734939759038</v>
      </c>
      <c r="AD1812" s="37" t="s">
        <v>48</v>
      </c>
      <c r="AE1812" s="37" t="s">
        <v>48</v>
      </c>
      <c r="AF1812" s="37" t="s">
        <v>317</v>
      </c>
      <c r="AG1812" s="37" t="s">
        <v>317</v>
      </c>
      <c r="AH1812" s="37" t="s">
        <v>4566</v>
      </c>
      <c r="AI1812" s="309"/>
      <c r="AJ1812" s="309"/>
      <c r="AK1812" s="37" t="s">
        <v>41</v>
      </c>
      <c r="AL1812" s="37" t="s">
        <v>54</v>
      </c>
      <c r="AM1812" s="299">
        <f t="shared" ca="1" si="155"/>
        <v>0.97222222222626442</v>
      </c>
      <c r="AN1812" s="51"/>
      <c r="AO1812" s="288" t="s">
        <v>131</v>
      </c>
      <c r="AP1812" s="275" t="s">
        <v>4563</v>
      </c>
      <c r="AQ1812" s="288" t="s">
        <v>4636</v>
      </c>
      <c r="AR1812" s="277">
        <v>44925.513888888891</v>
      </c>
      <c r="AS1812" s="272" t="s">
        <v>483</v>
      </c>
      <c r="AT1812" s="288" t="s">
        <v>225</v>
      </c>
      <c r="AU1812" s="276">
        <v>0.51388888888888895</v>
      </c>
      <c r="AV1812" s="288">
        <v>1</v>
      </c>
      <c r="AW1812" s="288" t="s">
        <v>66</v>
      </c>
      <c r="AX1812" s="52"/>
      <c r="AY1812" s="52"/>
      <c r="AZ1812" s="52"/>
      <c r="BA1812" s="52"/>
    </row>
    <row r="1813" spans="1:53" x14ac:dyDescent="0.25">
      <c r="A1813" s="312">
        <v>542</v>
      </c>
      <c r="B1813" s="46">
        <v>44924.541666666664</v>
      </c>
      <c r="C1813" s="36">
        <v>0.54861111111111105</v>
      </c>
      <c r="D1813" s="36">
        <v>0.56597222222222221</v>
      </c>
      <c r="E1813" s="36">
        <v>0.59027777777777779</v>
      </c>
      <c r="F1813" s="37" t="s">
        <v>170</v>
      </c>
      <c r="G1813" s="37" t="s">
        <v>4315</v>
      </c>
      <c r="H1813" s="26" t="s">
        <v>46</v>
      </c>
      <c r="I1813" s="26" t="s">
        <v>110</v>
      </c>
      <c r="J1813" s="26" t="s">
        <v>41</v>
      </c>
      <c r="K1813" s="26" t="s">
        <v>63</v>
      </c>
      <c r="L1813" s="26" t="s">
        <v>214</v>
      </c>
      <c r="M1813" s="37" t="s">
        <v>4563</v>
      </c>
      <c r="N1813" s="37" t="s">
        <v>186</v>
      </c>
      <c r="O1813" s="37" t="s">
        <v>4564</v>
      </c>
      <c r="P1813" s="37" t="s">
        <v>4565</v>
      </c>
      <c r="Q1813" s="303">
        <f t="shared" si="156"/>
        <v>0</v>
      </c>
      <c r="R1813" s="303">
        <f t="shared" si="157"/>
        <v>0</v>
      </c>
      <c r="S1813" s="37">
        <v>0</v>
      </c>
      <c r="T1813" s="37">
        <v>0</v>
      </c>
      <c r="U1813" s="37">
        <v>0</v>
      </c>
      <c r="V1813" s="37">
        <v>0</v>
      </c>
      <c r="W1813" s="37">
        <v>0</v>
      </c>
      <c r="X1813" s="37">
        <v>94</v>
      </c>
      <c r="Y1813" s="37">
        <v>50</v>
      </c>
      <c r="Z1813" s="37">
        <v>52</v>
      </c>
      <c r="AA1813" s="37">
        <v>1</v>
      </c>
      <c r="AB1813" s="300">
        <f t="shared" si="158"/>
        <v>40.733333333333334</v>
      </c>
      <c r="AC1813" s="300">
        <f t="shared" si="159"/>
        <v>0.24538152610441769</v>
      </c>
      <c r="AD1813" s="37">
        <v>0</v>
      </c>
      <c r="AE1813" s="37">
        <v>0</v>
      </c>
      <c r="AF1813" s="37" t="s">
        <v>317</v>
      </c>
      <c r="AG1813" s="37" t="s">
        <v>317</v>
      </c>
      <c r="AH1813" s="37" t="s">
        <v>4566</v>
      </c>
      <c r="AI1813" s="309"/>
      <c r="AJ1813" s="309"/>
      <c r="AK1813" s="37" t="s">
        <v>41</v>
      </c>
      <c r="AL1813" s="37" t="s">
        <v>54</v>
      </c>
      <c r="AM1813" s="299">
        <f t="shared" ca="1" si="155"/>
        <v>0.97222222222626442</v>
      </c>
      <c r="AN1813" s="51"/>
      <c r="AO1813" s="288" t="s">
        <v>131</v>
      </c>
      <c r="AP1813" s="275" t="s">
        <v>4563</v>
      </c>
      <c r="AQ1813" s="288" t="s">
        <v>4636</v>
      </c>
      <c r="AR1813" s="277">
        <v>44925.513888888891</v>
      </c>
      <c r="AS1813" s="272" t="s">
        <v>483</v>
      </c>
      <c r="AT1813" s="288" t="s">
        <v>225</v>
      </c>
      <c r="AU1813" s="276">
        <v>0.51388888888888895</v>
      </c>
      <c r="AV1813" s="288">
        <v>1</v>
      </c>
      <c r="AW1813" s="288" t="s">
        <v>66</v>
      </c>
      <c r="AX1813" s="52"/>
      <c r="AY1813" s="52"/>
      <c r="AZ1813" s="52"/>
      <c r="BA1813" s="52"/>
    </row>
    <row r="1814" spans="1:53" x14ac:dyDescent="0.25">
      <c r="A1814" s="312">
        <v>542</v>
      </c>
      <c r="B1814" s="46">
        <v>44924.541666666664</v>
      </c>
      <c r="C1814" s="36">
        <v>0.54861111111111105</v>
      </c>
      <c r="D1814" s="36">
        <v>0.56597222222222221</v>
      </c>
      <c r="E1814" s="36">
        <v>0.59027777777777779</v>
      </c>
      <c r="F1814" s="37" t="s">
        <v>170</v>
      </c>
      <c r="G1814" s="37" t="s">
        <v>4315</v>
      </c>
      <c r="H1814" s="26" t="s">
        <v>46</v>
      </c>
      <c r="I1814" s="26" t="s">
        <v>110</v>
      </c>
      <c r="J1814" s="26" t="s">
        <v>41</v>
      </c>
      <c r="K1814" s="26" t="s">
        <v>63</v>
      </c>
      <c r="L1814" s="26" t="s">
        <v>214</v>
      </c>
      <c r="M1814" s="37" t="s">
        <v>4563</v>
      </c>
      <c r="N1814" s="37" t="s">
        <v>186</v>
      </c>
      <c r="O1814" s="37" t="s">
        <v>4564</v>
      </c>
      <c r="P1814" s="37" t="s">
        <v>4565</v>
      </c>
      <c r="Q1814" s="303">
        <f t="shared" si="156"/>
        <v>0</v>
      </c>
      <c r="R1814" s="303">
        <f t="shared" si="157"/>
        <v>0</v>
      </c>
      <c r="S1814" s="37">
        <v>0</v>
      </c>
      <c r="T1814" s="37">
        <v>0</v>
      </c>
      <c r="U1814" s="37">
        <v>0</v>
      </c>
      <c r="V1814" s="37">
        <v>0</v>
      </c>
      <c r="W1814" s="37">
        <v>0</v>
      </c>
      <c r="X1814" s="37">
        <v>42</v>
      </c>
      <c r="Y1814" s="37">
        <v>37</v>
      </c>
      <c r="Z1814" s="37">
        <v>38</v>
      </c>
      <c r="AA1814" s="37">
        <v>1</v>
      </c>
      <c r="AB1814" s="300">
        <f t="shared" si="158"/>
        <v>9.8420000000000005</v>
      </c>
      <c r="AC1814" s="300">
        <f t="shared" si="159"/>
        <v>5.928915662650603E-2</v>
      </c>
      <c r="AD1814" s="37">
        <v>0</v>
      </c>
      <c r="AE1814" s="37">
        <v>0</v>
      </c>
      <c r="AF1814" s="37" t="s">
        <v>317</v>
      </c>
      <c r="AG1814" s="37" t="s">
        <v>317</v>
      </c>
      <c r="AH1814" s="37" t="s">
        <v>4566</v>
      </c>
      <c r="AI1814" s="309"/>
      <c r="AJ1814" s="309"/>
      <c r="AK1814" s="37" t="s">
        <v>41</v>
      </c>
      <c r="AL1814" s="37" t="s">
        <v>54</v>
      </c>
      <c r="AM1814" s="299">
        <f t="shared" ca="1" si="155"/>
        <v>0.97222222222626442</v>
      </c>
      <c r="AN1814" s="51"/>
      <c r="AO1814" s="288" t="s">
        <v>131</v>
      </c>
      <c r="AP1814" s="275" t="s">
        <v>4563</v>
      </c>
      <c r="AQ1814" s="288" t="s">
        <v>4636</v>
      </c>
      <c r="AR1814" s="277">
        <v>44925.513888888891</v>
      </c>
      <c r="AS1814" s="272" t="s">
        <v>483</v>
      </c>
      <c r="AT1814" s="288" t="s">
        <v>225</v>
      </c>
      <c r="AU1814" s="276">
        <v>0.51388888888888895</v>
      </c>
      <c r="AV1814" s="288">
        <v>1</v>
      </c>
      <c r="AW1814" s="288" t="s">
        <v>66</v>
      </c>
      <c r="AX1814" s="52"/>
      <c r="AY1814" s="52"/>
      <c r="AZ1814" s="52"/>
      <c r="BA1814" s="52"/>
    </row>
    <row r="1815" spans="1:53" x14ac:dyDescent="0.25">
      <c r="A1815" s="296">
        <v>543</v>
      </c>
      <c r="B1815" s="295">
        <v>44924.677083333336</v>
      </c>
      <c r="C1815" s="290">
        <v>0.6875</v>
      </c>
      <c r="D1815" s="290">
        <v>0.69097222222222221</v>
      </c>
      <c r="E1815" s="290">
        <v>0.70138888888888884</v>
      </c>
      <c r="F1815" s="291" t="s">
        <v>169</v>
      </c>
      <c r="G1815" s="291" t="s">
        <v>3610</v>
      </c>
      <c r="H1815" s="294" t="s">
        <v>164</v>
      </c>
      <c r="I1815" s="294" t="s">
        <v>80</v>
      </c>
      <c r="J1815" s="294" t="s">
        <v>41</v>
      </c>
      <c r="K1815" s="294" t="s">
        <v>241</v>
      </c>
      <c r="L1815" s="289" t="s">
        <v>319</v>
      </c>
      <c r="M1815" s="291" t="s">
        <v>4580</v>
      </c>
      <c r="N1815" s="291" t="s">
        <v>74</v>
      </c>
      <c r="O1815" s="291">
        <v>995</v>
      </c>
      <c r="P1815" s="291" t="s">
        <v>4581</v>
      </c>
      <c r="Q1815" s="303">
        <f t="shared" si="156"/>
        <v>6</v>
      </c>
      <c r="R1815" s="303">
        <f t="shared" si="157"/>
        <v>60</v>
      </c>
      <c r="S1815" s="291">
        <v>6</v>
      </c>
      <c r="T1815" s="291">
        <v>60</v>
      </c>
      <c r="U1815" s="291">
        <v>0</v>
      </c>
      <c r="V1815" s="291">
        <v>0</v>
      </c>
      <c r="W1815" s="291">
        <v>65</v>
      </c>
      <c r="X1815" s="291">
        <v>58</v>
      </c>
      <c r="Y1815" s="291">
        <v>38</v>
      </c>
      <c r="Z1815" s="291">
        <v>29</v>
      </c>
      <c r="AA1815" s="291">
        <v>2</v>
      </c>
      <c r="AB1815" s="300">
        <f t="shared" si="158"/>
        <v>21.305333333333333</v>
      </c>
      <c r="AC1815" s="300">
        <f t="shared" si="159"/>
        <v>0.12834538152610442</v>
      </c>
      <c r="AD1815" s="291">
        <v>174</v>
      </c>
      <c r="AE1815" s="291" t="s">
        <v>109</v>
      </c>
      <c r="AF1815" s="291">
        <v>6530964</v>
      </c>
      <c r="AG1815" s="291" t="s">
        <v>4582</v>
      </c>
      <c r="AH1815" s="291" t="s">
        <v>4583</v>
      </c>
      <c r="AI1815" s="309"/>
      <c r="AJ1815" s="309"/>
      <c r="AK1815" s="291" t="s">
        <v>48</v>
      </c>
      <c r="AL1815" s="291" t="s">
        <v>50</v>
      </c>
      <c r="AM1815" s="299">
        <f t="shared" ca="1" si="155"/>
        <v>5.8263888888832298</v>
      </c>
      <c r="AN1815" s="51"/>
      <c r="AO1815" s="288" t="s">
        <v>121</v>
      </c>
      <c r="AP1815" s="275" t="s">
        <v>4885</v>
      </c>
      <c r="AQ1815" s="288" t="s">
        <v>4886</v>
      </c>
      <c r="AR1815" s="277">
        <v>44930.503472222219</v>
      </c>
      <c r="AS1815" s="272" t="s">
        <v>173</v>
      </c>
      <c r="AT1815" s="288" t="s">
        <v>225</v>
      </c>
      <c r="AU1815" s="276">
        <v>0.50347222222222221</v>
      </c>
      <c r="AV1815" s="288">
        <v>1</v>
      </c>
      <c r="AW1815" s="288" t="s">
        <v>66</v>
      </c>
      <c r="AX1815" s="52"/>
      <c r="AY1815" s="52"/>
      <c r="AZ1815" s="52"/>
      <c r="BA1815" s="52"/>
    </row>
    <row r="1816" spans="1:53" x14ac:dyDescent="0.25">
      <c r="A1816" s="312">
        <v>543</v>
      </c>
      <c r="B1816" s="295">
        <v>44924.677083333336</v>
      </c>
      <c r="C1816" s="290">
        <v>0.6875</v>
      </c>
      <c r="D1816" s="290">
        <v>0.69097222222222221</v>
      </c>
      <c r="E1816" s="290">
        <v>0.70138888888888884</v>
      </c>
      <c r="F1816" s="291" t="s">
        <v>169</v>
      </c>
      <c r="G1816" s="291" t="s">
        <v>3610</v>
      </c>
      <c r="H1816" s="289" t="s">
        <v>164</v>
      </c>
      <c r="I1816" s="289" t="s">
        <v>80</v>
      </c>
      <c r="J1816" s="289" t="s">
        <v>41</v>
      </c>
      <c r="K1816" s="289" t="s">
        <v>241</v>
      </c>
      <c r="L1816" s="289" t="s">
        <v>319</v>
      </c>
      <c r="M1816" s="291" t="s">
        <v>4580</v>
      </c>
      <c r="N1816" s="291" t="s">
        <v>74</v>
      </c>
      <c r="O1816" s="291">
        <v>995</v>
      </c>
      <c r="P1816" s="291" t="s">
        <v>4581</v>
      </c>
      <c r="Q1816" s="303">
        <f t="shared" si="156"/>
        <v>0</v>
      </c>
      <c r="R1816" s="303">
        <f t="shared" si="157"/>
        <v>0</v>
      </c>
      <c r="S1816" s="291">
        <v>0</v>
      </c>
      <c r="T1816" s="291">
        <v>0</v>
      </c>
      <c r="U1816" s="291">
        <v>0</v>
      </c>
      <c r="V1816" s="291">
        <v>0</v>
      </c>
      <c r="W1816" s="291">
        <v>0</v>
      </c>
      <c r="X1816" s="291">
        <v>60</v>
      </c>
      <c r="Y1816" s="291">
        <v>47</v>
      </c>
      <c r="Z1816" s="291">
        <v>26</v>
      </c>
      <c r="AA1816" s="291">
        <v>3</v>
      </c>
      <c r="AB1816" s="300">
        <f t="shared" si="158"/>
        <v>36.659999999999997</v>
      </c>
      <c r="AC1816" s="300">
        <f t="shared" si="159"/>
        <v>0.22084337349397587</v>
      </c>
      <c r="AD1816" s="291">
        <v>0</v>
      </c>
      <c r="AE1816" s="291">
        <v>0</v>
      </c>
      <c r="AF1816" s="291">
        <v>0</v>
      </c>
      <c r="AG1816" s="291">
        <v>0</v>
      </c>
      <c r="AH1816" s="291">
        <v>0</v>
      </c>
      <c r="AI1816" s="309"/>
      <c r="AJ1816" s="309"/>
      <c r="AK1816" s="291" t="s">
        <v>48</v>
      </c>
      <c r="AL1816" s="291" t="s">
        <v>50</v>
      </c>
      <c r="AM1816" s="299">
        <f t="shared" ca="1" si="155"/>
        <v>5.8263888888832298</v>
      </c>
      <c r="AN1816" s="51"/>
      <c r="AO1816" s="288" t="s">
        <v>121</v>
      </c>
      <c r="AP1816" s="275" t="s">
        <v>4885</v>
      </c>
      <c r="AQ1816" s="288" t="s">
        <v>4886</v>
      </c>
      <c r="AR1816" s="277">
        <v>44930.503472222219</v>
      </c>
      <c r="AS1816" s="272" t="s">
        <v>173</v>
      </c>
      <c r="AT1816" s="288" t="s">
        <v>225</v>
      </c>
      <c r="AU1816" s="276">
        <v>0.50347222222222221</v>
      </c>
      <c r="AV1816" s="288">
        <v>1</v>
      </c>
      <c r="AW1816" s="288" t="s">
        <v>66</v>
      </c>
      <c r="AX1816" s="52"/>
      <c r="AY1816" s="52"/>
      <c r="AZ1816" s="52"/>
      <c r="BA1816" s="52"/>
    </row>
    <row r="1817" spans="1:53" x14ac:dyDescent="0.25">
      <c r="A1817" s="312">
        <v>543</v>
      </c>
      <c r="B1817" s="295">
        <v>44924.677083333336</v>
      </c>
      <c r="C1817" s="290">
        <v>0.6875</v>
      </c>
      <c r="D1817" s="290">
        <v>0.69097222222222221</v>
      </c>
      <c r="E1817" s="290">
        <v>0.70138888888888884</v>
      </c>
      <c r="F1817" s="291" t="s">
        <v>169</v>
      </c>
      <c r="G1817" s="291" t="s">
        <v>3610</v>
      </c>
      <c r="H1817" s="289" t="s">
        <v>164</v>
      </c>
      <c r="I1817" s="289" t="s">
        <v>80</v>
      </c>
      <c r="J1817" s="289" t="s">
        <v>41</v>
      </c>
      <c r="K1817" s="289" t="s">
        <v>241</v>
      </c>
      <c r="L1817" s="289" t="s">
        <v>319</v>
      </c>
      <c r="M1817" s="291" t="s">
        <v>4580</v>
      </c>
      <c r="N1817" s="291" t="s">
        <v>74</v>
      </c>
      <c r="O1817" s="291">
        <v>995</v>
      </c>
      <c r="P1817" s="291" t="s">
        <v>4581</v>
      </c>
      <c r="Q1817" s="303">
        <f t="shared" si="156"/>
        <v>0</v>
      </c>
      <c r="R1817" s="303">
        <f t="shared" si="157"/>
        <v>0</v>
      </c>
      <c r="S1817" s="291">
        <v>0</v>
      </c>
      <c r="T1817" s="291">
        <v>0</v>
      </c>
      <c r="U1817" s="291">
        <v>0</v>
      </c>
      <c r="V1817" s="291">
        <v>0</v>
      </c>
      <c r="W1817" s="291">
        <v>0</v>
      </c>
      <c r="X1817" s="291">
        <v>58</v>
      </c>
      <c r="Y1817" s="291">
        <v>39</v>
      </c>
      <c r="Z1817" s="291">
        <v>16</v>
      </c>
      <c r="AA1817" s="291">
        <v>1</v>
      </c>
      <c r="AB1817" s="300">
        <f t="shared" si="158"/>
        <v>6.032</v>
      </c>
      <c r="AC1817" s="300">
        <f t="shared" si="159"/>
        <v>3.6337349397590361E-2</v>
      </c>
      <c r="AD1817" s="291">
        <v>0</v>
      </c>
      <c r="AE1817" s="291">
        <v>0</v>
      </c>
      <c r="AF1817" s="291">
        <v>0</v>
      </c>
      <c r="AG1817" s="291">
        <v>0</v>
      </c>
      <c r="AH1817" s="291">
        <v>0</v>
      </c>
      <c r="AI1817" s="309"/>
      <c r="AJ1817" s="309"/>
      <c r="AK1817" s="291" t="s">
        <v>48</v>
      </c>
      <c r="AL1817" s="291" t="s">
        <v>50</v>
      </c>
      <c r="AM1817" s="299">
        <f t="shared" ca="1" si="155"/>
        <v>5.8263888888832298</v>
      </c>
      <c r="AN1817" s="51"/>
      <c r="AO1817" s="288" t="s">
        <v>121</v>
      </c>
      <c r="AP1817" s="275" t="s">
        <v>4885</v>
      </c>
      <c r="AQ1817" s="288" t="s">
        <v>4886</v>
      </c>
      <c r="AR1817" s="277">
        <v>44930.503472222219</v>
      </c>
      <c r="AS1817" s="272" t="s">
        <v>173</v>
      </c>
      <c r="AT1817" s="288" t="s">
        <v>225</v>
      </c>
      <c r="AU1817" s="276">
        <v>0.50347222222222221</v>
      </c>
      <c r="AV1817" s="288">
        <v>1</v>
      </c>
      <c r="AW1817" s="288" t="s">
        <v>66</v>
      </c>
      <c r="AX1817" s="52"/>
      <c r="AY1817" s="52"/>
      <c r="AZ1817" s="52"/>
      <c r="BA1817" s="52"/>
    </row>
    <row r="1818" spans="1:53" x14ac:dyDescent="0.25">
      <c r="A1818" s="296">
        <v>544</v>
      </c>
      <c r="B1818" s="295">
        <v>44924.677083333336</v>
      </c>
      <c r="C1818" s="290">
        <v>0.6875</v>
      </c>
      <c r="D1818" s="290">
        <v>0.69097222222222221</v>
      </c>
      <c r="E1818" s="290">
        <v>0.70138888888888884</v>
      </c>
      <c r="F1818" s="291" t="s">
        <v>169</v>
      </c>
      <c r="G1818" s="291" t="s">
        <v>3610</v>
      </c>
      <c r="H1818" s="289" t="s">
        <v>164</v>
      </c>
      <c r="I1818" s="289" t="s">
        <v>80</v>
      </c>
      <c r="J1818" s="289" t="s">
        <v>41</v>
      </c>
      <c r="K1818" s="289" t="s">
        <v>241</v>
      </c>
      <c r="L1818" s="289" t="s">
        <v>319</v>
      </c>
      <c r="M1818" s="291" t="s">
        <v>4584</v>
      </c>
      <c r="N1818" s="291" t="s">
        <v>42</v>
      </c>
      <c r="O1818" s="291">
        <v>994</v>
      </c>
      <c r="P1818" s="291" t="s">
        <v>4585</v>
      </c>
      <c r="Q1818" s="303">
        <f t="shared" si="156"/>
        <v>3</v>
      </c>
      <c r="R1818" s="303">
        <f t="shared" si="157"/>
        <v>25</v>
      </c>
      <c r="S1818" s="291">
        <v>3</v>
      </c>
      <c r="T1818" s="291">
        <v>25</v>
      </c>
      <c r="U1818" s="291">
        <v>0</v>
      </c>
      <c r="V1818" s="291">
        <v>0</v>
      </c>
      <c r="W1818" s="291">
        <v>5</v>
      </c>
      <c r="X1818" s="291">
        <v>58</v>
      </c>
      <c r="Y1818" s="291">
        <v>39</v>
      </c>
      <c r="Z1818" s="291">
        <v>15</v>
      </c>
      <c r="AA1818" s="291">
        <v>1</v>
      </c>
      <c r="AB1818" s="300">
        <f t="shared" si="158"/>
        <v>5.6550000000000002</v>
      </c>
      <c r="AC1818" s="300">
        <f t="shared" si="159"/>
        <v>3.4066265060240963E-2</v>
      </c>
      <c r="AD1818" s="291">
        <v>1246</v>
      </c>
      <c r="AE1818" s="291" t="s">
        <v>109</v>
      </c>
      <c r="AF1818" s="291">
        <v>6530934</v>
      </c>
      <c r="AG1818" s="291" t="s">
        <v>4582</v>
      </c>
      <c r="AH1818" s="291" t="s">
        <v>4586</v>
      </c>
      <c r="AI1818" s="309"/>
      <c r="AJ1818" s="309"/>
      <c r="AK1818" s="291" t="s">
        <v>48</v>
      </c>
      <c r="AL1818" s="291" t="s">
        <v>50</v>
      </c>
      <c r="AM1818" s="299">
        <f t="shared" ca="1" si="155"/>
        <v>5.8854166666642413</v>
      </c>
      <c r="AN1818" s="51"/>
      <c r="AO1818" s="288" t="s">
        <v>93</v>
      </c>
      <c r="AP1818" s="275" t="s">
        <v>4889</v>
      </c>
      <c r="AQ1818" s="288" t="s">
        <v>4888</v>
      </c>
      <c r="AR1818" s="277">
        <v>44930.5625</v>
      </c>
      <c r="AS1818" s="272" t="s">
        <v>136</v>
      </c>
      <c r="AT1818" s="288" t="s">
        <v>225</v>
      </c>
      <c r="AU1818" s="276">
        <v>0.5625</v>
      </c>
      <c r="AV1818" s="288">
        <v>1</v>
      </c>
      <c r="AW1818" s="288" t="s">
        <v>66</v>
      </c>
      <c r="AX1818" s="52"/>
      <c r="AY1818" s="52"/>
      <c r="AZ1818" s="52"/>
      <c r="BA1818" s="52"/>
    </row>
    <row r="1819" spans="1:53" x14ac:dyDescent="0.25">
      <c r="A1819" s="312">
        <v>544</v>
      </c>
      <c r="B1819" s="295">
        <v>44924.677083333336</v>
      </c>
      <c r="C1819" s="290">
        <v>0.6875</v>
      </c>
      <c r="D1819" s="290">
        <v>0.69097222222222221</v>
      </c>
      <c r="E1819" s="290">
        <v>0.70138888888888884</v>
      </c>
      <c r="F1819" s="291" t="s">
        <v>169</v>
      </c>
      <c r="G1819" s="291" t="s">
        <v>3610</v>
      </c>
      <c r="H1819" s="289" t="s">
        <v>164</v>
      </c>
      <c r="I1819" s="289" t="s">
        <v>80</v>
      </c>
      <c r="J1819" s="289" t="s">
        <v>41</v>
      </c>
      <c r="K1819" s="289" t="s">
        <v>241</v>
      </c>
      <c r="L1819" s="289" t="s">
        <v>319</v>
      </c>
      <c r="M1819" s="291" t="s">
        <v>4584</v>
      </c>
      <c r="N1819" s="291" t="s">
        <v>42</v>
      </c>
      <c r="O1819" s="291">
        <v>994</v>
      </c>
      <c r="P1819" s="291" t="s">
        <v>4585</v>
      </c>
      <c r="Q1819" s="303">
        <f t="shared" si="156"/>
        <v>0</v>
      </c>
      <c r="R1819" s="303">
        <f t="shared" si="157"/>
        <v>0</v>
      </c>
      <c r="S1819" s="291">
        <v>0</v>
      </c>
      <c r="T1819" s="291">
        <v>0</v>
      </c>
      <c r="U1819" s="291">
        <v>0</v>
      </c>
      <c r="V1819" s="291">
        <v>0</v>
      </c>
      <c r="W1819" s="291">
        <v>0</v>
      </c>
      <c r="X1819" s="291">
        <v>58</v>
      </c>
      <c r="Y1819" s="291">
        <v>38</v>
      </c>
      <c r="Z1819" s="291">
        <v>29</v>
      </c>
      <c r="AA1819" s="291">
        <v>2</v>
      </c>
      <c r="AB1819" s="300">
        <f t="shared" si="158"/>
        <v>21.305333333333333</v>
      </c>
      <c r="AC1819" s="300">
        <f t="shared" si="159"/>
        <v>0.12834538152610442</v>
      </c>
      <c r="AD1819" s="291">
        <v>0</v>
      </c>
      <c r="AE1819" s="291">
        <v>0</v>
      </c>
      <c r="AF1819" s="291">
        <v>0</v>
      </c>
      <c r="AG1819" s="291">
        <v>0</v>
      </c>
      <c r="AH1819" s="291">
        <v>0</v>
      </c>
      <c r="AI1819" s="309"/>
      <c r="AJ1819" s="309"/>
      <c r="AK1819" s="291" t="s">
        <v>48</v>
      </c>
      <c r="AL1819" s="291" t="s">
        <v>50</v>
      </c>
      <c r="AM1819" s="299">
        <f t="shared" ca="1" si="155"/>
        <v>5.8854166666642413</v>
      </c>
      <c r="AN1819" s="51"/>
      <c r="AO1819" s="288" t="s">
        <v>93</v>
      </c>
      <c r="AP1819" s="275" t="s">
        <v>4889</v>
      </c>
      <c r="AQ1819" s="288" t="s">
        <v>4888</v>
      </c>
      <c r="AR1819" s="277">
        <v>44930.5625</v>
      </c>
      <c r="AS1819" s="272" t="s">
        <v>136</v>
      </c>
      <c r="AT1819" s="288" t="s">
        <v>225</v>
      </c>
      <c r="AU1819" s="276">
        <v>0.5625</v>
      </c>
      <c r="AV1819" s="288">
        <v>1</v>
      </c>
      <c r="AW1819" s="288" t="s">
        <v>66</v>
      </c>
      <c r="AX1819" s="52"/>
      <c r="AY1819" s="52"/>
      <c r="AZ1819" s="52"/>
      <c r="BA1819" s="52"/>
    </row>
    <row r="1820" spans="1:53" x14ac:dyDescent="0.25">
      <c r="A1820" s="48">
        <v>545</v>
      </c>
      <c r="B1820" s="295">
        <v>44924.777777777781</v>
      </c>
      <c r="C1820" s="36">
        <v>0.79166666666666663</v>
      </c>
      <c r="D1820" s="36">
        <v>0.80208333333333337</v>
      </c>
      <c r="E1820" s="36">
        <v>0.82291666666666663</v>
      </c>
      <c r="F1820" s="37" t="s">
        <v>171</v>
      </c>
      <c r="G1820" s="37" t="s">
        <v>483</v>
      </c>
      <c r="H1820" s="26" t="s">
        <v>195</v>
      </c>
      <c r="I1820" s="287" t="s">
        <v>195</v>
      </c>
      <c r="J1820" s="289" t="s">
        <v>37</v>
      </c>
      <c r="K1820" s="289" t="s">
        <v>180</v>
      </c>
      <c r="L1820" s="289" t="s">
        <v>209</v>
      </c>
      <c r="M1820" s="37" t="s">
        <v>4587</v>
      </c>
      <c r="N1820" s="37" t="s">
        <v>186</v>
      </c>
      <c r="O1820" s="37" t="s">
        <v>4588</v>
      </c>
      <c r="P1820" s="37">
        <v>2101105242</v>
      </c>
      <c r="Q1820" s="303">
        <f t="shared" si="156"/>
        <v>1</v>
      </c>
      <c r="R1820" s="303">
        <f t="shared" si="157"/>
        <v>381</v>
      </c>
      <c r="S1820" s="37">
        <v>0</v>
      </c>
      <c r="T1820" s="37">
        <v>0</v>
      </c>
      <c r="U1820" s="37">
        <v>1</v>
      </c>
      <c r="V1820" s="37">
        <v>381</v>
      </c>
      <c r="W1820" s="37">
        <v>373</v>
      </c>
      <c r="X1820" s="37">
        <v>115</v>
      </c>
      <c r="Y1820" s="37">
        <v>80</v>
      </c>
      <c r="Z1820" s="37">
        <v>98</v>
      </c>
      <c r="AA1820" s="37">
        <v>1</v>
      </c>
      <c r="AB1820" s="300">
        <f t="shared" si="158"/>
        <v>150.26666666666668</v>
      </c>
      <c r="AC1820" s="300">
        <f t="shared" si="159"/>
        <v>0.90522088353413666</v>
      </c>
      <c r="AD1820" s="37">
        <v>18416.900000000001</v>
      </c>
      <c r="AE1820" s="37" t="s">
        <v>109</v>
      </c>
      <c r="AF1820" s="37">
        <v>0</v>
      </c>
      <c r="AG1820" s="37">
        <v>0</v>
      </c>
      <c r="AH1820" s="37" t="s">
        <v>4589</v>
      </c>
      <c r="AI1820" s="309"/>
      <c r="AJ1820" s="309"/>
      <c r="AK1820" s="37" t="s">
        <v>37</v>
      </c>
      <c r="AL1820" s="37" t="s">
        <v>49</v>
      </c>
      <c r="AM1820" s="299">
        <f t="shared" ca="1" si="155"/>
        <v>0.73611111110949423</v>
      </c>
      <c r="AN1820" s="51"/>
      <c r="AO1820" s="288" t="s">
        <v>131</v>
      </c>
      <c r="AP1820" s="275" t="s">
        <v>4587</v>
      </c>
      <c r="AQ1820" s="288" t="s">
        <v>4636</v>
      </c>
      <c r="AR1820" s="277">
        <v>44925.513888888891</v>
      </c>
      <c r="AS1820" s="272" t="s">
        <v>483</v>
      </c>
      <c r="AT1820" s="288" t="s">
        <v>225</v>
      </c>
      <c r="AU1820" s="276">
        <v>0.51388888888888895</v>
      </c>
      <c r="AV1820" s="288">
        <v>1</v>
      </c>
      <c r="AW1820" s="288" t="s">
        <v>66</v>
      </c>
      <c r="AX1820" s="52"/>
      <c r="AY1820" s="52"/>
      <c r="AZ1820" s="52"/>
      <c r="BA1820" s="52"/>
    </row>
    <row r="1821" spans="1:53" x14ac:dyDescent="0.25">
      <c r="A1821" s="48">
        <v>546</v>
      </c>
      <c r="B1821" s="295">
        <v>44924.777777777781</v>
      </c>
      <c r="C1821" s="290">
        <v>0.79166666666666663</v>
      </c>
      <c r="D1821" s="290">
        <v>0.80208333333333337</v>
      </c>
      <c r="E1821" s="290">
        <v>0.82291666666666663</v>
      </c>
      <c r="F1821" s="291" t="s">
        <v>171</v>
      </c>
      <c r="G1821" s="291" t="s">
        <v>483</v>
      </c>
      <c r="H1821" s="287" t="s">
        <v>195</v>
      </c>
      <c r="I1821" s="287" t="s">
        <v>195</v>
      </c>
      <c r="J1821" s="289" t="s">
        <v>37</v>
      </c>
      <c r="K1821" s="289" t="s">
        <v>180</v>
      </c>
      <c r="L1821" s="289" t="s">
        <v>209</v>
      </c>
      <c r="M1821" s="291" t="s">
        <v>4587</v>
      </c>
      <c r="N1821" s="291" t="s">
        <v>186</v>
      </c>
      <c r="O1821" s="291" t="s">
        <v>4590</v>
      </c>
      <c r="P1821" s="37">
        <v>2101105789</v>
      </c>
      <c r="Q1821" s="303">
        <f t="shared" si="156"/>
        <v>1</v>
      </c>
      <c r="R1821" s="303">
        <f t="shared" si="157"/>
        <v>403</v>
      </c>
      <c r="S1821" s="37">
        <v>0</v>
      </c>
      <c r="T1821" s="37">
        <v>0</v>
      </c>
      <c r="U1821" s="37">
        <v>1</v>
      </c>
      <c r="V1821" s="292">
        <v>403</v>
      </c>
      <c r="W1821" s="292">
        <v>298</v>
      </c>
      <c r="X1821" s="37">
        <v>116</v>
      </c>
      <c r="Y1821" s="37">
        <v>81</v>
      </c>
      <c r="Z1821" s="37">
        <v>76</v>
      </c>
      <c r="AA1821" s="37">
        <v>1</v>
      </c>
      <c r="AB1821" s="300">
        <f t="shared" si="158"/>
        <v>119.01600000000001</v>
      </c>
      <c r="AC1821" s="300">
        <f t="shared" si="159"/>
        <v>0.71696385542168672</v>
      </c>
      <c r="AD1821" s="37">
        <v>12049.6</v>
      </c>
      <c r="AE1821" s="291" t="s">
        <v>109</v>
      </c>
      <c r="AF1821" s="37">
        <v>0</v>
      </c>
      <c r="AG1821" s="37">
        <v>0</v>
      </c>
      <c r="AH1821" s="37" t="s">
        <v>4591</v>
      </c>
      <c r="AI1821" s="309"/>
      <c r="AJ1821" s="309"/>
      <c r="AK1821" s="291" t="s">
        <v>37</v>
      </c>
      <c r="AL1821" s="291" t="s">
        <v>49</v>
      </c>
      <c r="AM1821" s="299">
        <f t="shared" ca="1" si="155"/>
        <v>0.73611111110949423</v>
      </c>
      <c r="AN1821" s="297"/>
      <c r="AO1821" s="288" t="s">
        <v>131</v>
      </c>
      <c r="AP1821" s="275" t="s">
        <v>4587</v>
      </c>
      <c r="AQ1821" s="288" t="s">
        <v>4636</v>
      </c>
      <c r="AR1821" s="277">
        <v>44925.513888888891</v>
      </c>
      <c r="AS1821" s="272" t="s">
        <v>483</v>
      </c>
      <c r="AT1821" s="288" t="s">
        <v>225</v>
      </c>
      <c r="AU1821" s="276">
        <v>0.51388888888888895</v>
      </c>
      <c r="AV1821" s="288">
        <v>1</v>
      </c>
      <c r="AW1821" s="288" t="s">
        <v>66</v>
      </c>
      <c r="AX1821" s="52"/>
      <c r="AY1821" s="52"/>
      <c r="AZ1821" s="52"/>
      <c r="BA1821" s="52"/>
    </row>
    <row r="1822" spans="1:53" x14ac:dyDescent="0.25">
      <c r="A1822" s="48">
        <v>547</v>
      </c>
      <c r="B1822" s="295">
        <v>44924.777777777781</v>
      </c>
      <c r="C1822" s="290">
        <v>0.79166666666666663</v>
      </c>
      <c r="D1822" s="290">
        <v>0.80208333333333337</v>
      </c>
      <c r="E1822" s="290">
        <v>0.82291666666666663</v>
      </c>
      <c r="F1822" s="291" t="s">
        <v>171</v>
      </c>
      <c r="G1822" s="291" t="s">
        <v>483</v>
      </c>
      <c r="H1822" s="287" t="s">
        <v>195</v>
      </c>
      <c r="I1822" s="287" t="s">
        <v>195</v>
      </c>
      <c r="J1822" s="289" t="s">
        <v>37</v>
      </c>
      <c r="K1822" s="289" t="s">
        <v>180</v>
      </c>
      <c r="L1822" s="289" t="s">
        <v>209</v>
      </c>
      <c r="M1822" s="37" t="s">
        <v>4592</v>
      </c>
      <c r="N1822" s="37" t="s">
        <v>44</v>
      </c>
      <c r="O1822" s="291" t="s">
        <v>4593</v>
      </c>
      <c r="P1822" s="37">
        <v>2101105774</v>
      </c>
      <c r="Q1822" s="303">
        <f t="shared" si="156"/>
        <v>1</v>
      </c>
      <c r="R1822" s="303">
        <f t="shared" si="157"/>
        <v>402</v>
      </c>
      <c r="S1822" s="37">
        <v>0</v>
      </c>
      <c r="T1822" s="37">
        <v>0</v>
      </c>
      <c r="U1822" s="37">
        <v>1</v>
      </c>
      <c r="V1822" s="292">
        <v>402</v>
      </c>
      <c r="W1822" s="292">
        <v>313.92</v>
      </c>
      <c r="X1822" s="37">
        <v>116</v>
      </c>
      <c r="Y1822" s="37">
        <v>81</v>
      </c>
      <c r="Z1822" s="37">
        <v>95</v>
      </c>
      <c r="AA1822" s="37">
        <v>1</v>
      </c>
      <c r="AB1822" s="300">
        <f t="shared" si="158"/>
        <v>148.77000000000001</v>
      </c>
      <c r="AC1822" s="300">
        <f t="shared" si="159"/>
        <v>0.89620481927710849</v>
      </c>
      <c r="AD1822" s="37">
        <v>27763.200000000001</v>
      </c>
      <c r="AE1822" s="291" t="s">
        <v>109</v>
      </c>
      <c r="AF1822" s="37">
        <v>0</v>
      </c>
      <c r="AG1822" s="37">
        <v>0</v>
      </c>
      <c r="AH1822" s="37" t="s">
        <v>4594</v>
      </c>
      <c r="AI1822" s="309"/>
      <c r="AJ1822" s="309"/>
      <c r="AK1822" s="291" t="s">
        <v>37</v>
      </c>
      <c r="AL1822" s="291" t="s">
        <v>49</v>
      </c>
      <c r="AM1822" s="299">
        <f t="shared" ca="1" si="155"/>
        <v>0.95833333332848269</v>
      </c>
      <c r="AN1822" s="51"/>
      <c r="AO1822" s="288" t="s">
        <v>53</v>
      </c>
      <c r="AP1822" s="275" t="s">
        <v>4592</v>
      </c>
      <c r="AQ1822" s="288" t="s">
        <v>4639</v>
      </c>
      <c r="AR1822" s="277">
        <v>44925.736111111109</v>
      </c>
      <c r="AS1822" s="272" t="s">
        <v>483</v>
      </c>
      <c r="AT1822" s="288" t="s">
        <v>225</v>
      </c>
      <c r="AU1822" s="276">
        <v>0.73611111111111116</v>
      </c>
      <c r="AV1822" s="288">
        <v>2</v>
      </c>
      <c r="AW1822" s="288" t="s">
        <v>66</v>
      </c>
      <c r="AX1822" s="52"/>
      <c r="AY1822" s="52"/>
      <c r="AZ1822" s="52"/>
      <c r="BA1822" s="52"/>
    </row>
    <row r="1823" spans="1:53" x14ac:dyDescent="0.25">
      <c r="A1823" s="48">
        <v>548</v>
      </c>
      <c r="B1823" s="295">
        <v>44924.777777777781</v>
      </c>
      <c r="C1823" s="290">
        <v>0.79166666666666663</v>
      </c>
      <c r="D1823" s="290">
        <v>0.80208333333333337</v>
      </c>
      <c r="E1823" s="290">
        <v>0.82291666666666663</v>
      </c>
      <c r="F1823" s="291" t="s">
        <v>171</v>
      </c>
      <c r="G1823" s="291" t="s">
        <v>483</v>
      </c>
      <c r="H1823" s="287" t="s">
        <v>195</v>
      </c>
      <c r="I1823" s="287" t="s">
        <v>195</v>
      </c>
      <c r="J1823" s="289" t="s">
        <v>37</v>
      </c>
      <c r="K1823" s="289" t="s">
        <v>180</v>
      </c>
      <c r="L1823" s="289" t="s">
        <v>209</v>
      </c>
      <c r="M1823" s="291" t="s">
        <v>4592</v>
      </c>
      <c r="N1823" s="291" t="s">
        <v>44</v>
      </c>
      <c r="O1823" s="37" t="s">
        <v>4595</v>
      </c>
      <c r="P1823" s="37">
        <v>2101104909</v>
      </c>
      <c r="Q1823" s="303">
        <f t="shared" si="156"/>
        <v>1</v>
      </c>
      <c r="R1823" s="303">
        <f t="shared" si="157"/>
        <v>184</v>
      </c>
      <c r="S1823" s="37">
        <v>0</v>
      </c>
      <c r="T1823" s="37">
        <v>0</v>
      </c>
      <c r="U1823" s="37">
        <v>1</v>
      </c>
      <c r="V1823" s="37">
        <v>184</v>
      </c>
      <c r="W1823" s="37">
        <v>181</v>
      </c>
      <c r="X1823" s="37">
        <v>81</v>
      </c>
      <c r="Y1823" s="37">
        <v>58</v>
      </c>
      <c r="Z1823" s="37">
        <v>92</v>
      </c>
      <c r="AA1823" s="37">
        <v>1</v>
      </c>
      <c r="AB1823" s="300">
        <f t="shared" si="158"/>
        <v>72.036000000000001</v>
      </c>
      <c r="AC1823" s="300">
        <f t="shared" si="159"/>
        <v>0.43395180722891569</v>
      </c>
      <c r="AD1823" s="37">
        <v>9981.36</v>
      </c>
      <c r="AE1823" s="291" t="s">
        <v>109</v>
      </c>
      <c r="AF1823" s="37">
        <v>0</v>
      </c>
      <c r="AG1823" s="37">
        <v>0</v>
      </c>
      <c r="AH1823" s="37" t="s">
        <v>4596</v>
      </c>
      <c r="AI1823" s="309"/>
      <c r="AJ1823" s="309"/>
      <c r="AK1823" s="291" t="s">
        <v>37</v>
      </c>
      <c r="AL1823" s="291" t="s">
        <v>49</v>
      </c>
      <c r="AM1823" s="299">
        <f t="shared" ca="1" si="155"/>
        <v>0.95833333332848269</v>
      </c>
      <c r="AN1823" s="297"/>
      <c r="AO1823" s="288" t="s">
        <v>53</v>
      </c>
      <c r="AP1823" s="275" t="s">
        <v>4592</v>
      </c>
      <c r="AQ1823" s="288" t="s">
        <v>4639</v>
      </c>
      <c r="AR1823" s="277">
        <v>44925.736111111109</v>
      </c>
      <c r="AS1823" s="272" t="s">
        <v>483</v>
      </c>
      <c r="AT1823" s="288" t="s">
        <v>225</v>
      </c>
      <c r="AU1823" s="276">
        <v>0.73611111111111116</v>
      </c>
      <c r="AV1823" s="288">
        <v>2</v>
      </c>
      <c r="AW1823" s="288" t="s">
        <v>66</v>
      </c>
      <c r="AX1823" s="52"/>
      <c r="AY1823" s="52"/>
      <c r="AZ1823" s="52"/>
      <c r="BA1823" s="52"/>
    </row>
    <row r="1824" spans="1:53" x14ac:dyDescent="0.25">
      <c r="A1824" s="48">
        <v>549</v>
      </c>
      <c r="B1824" s="295">
        <v>44924.777777777781</v>
      </c>
      <c r="C1824" s="290">
        <v>0.79166666666666663</v>
      </c>
      <c r="D1824" s="290">
        <v>0.80208333333333337</v>
      </c>
      <c r="E1824" s="290">
        <v>0.82291666666666663</v>
      </c>
      <c r="F1824" s="291" t="s">
        <v>171</v>
      </c>
      <c r="G1824" s="291" t="s">
        <v>483</v>
      </c>
      <c r="H1824" s="287" t="s">
        <v>195</v>
      </c>
      <c r="I1824" s="287" t="s">
        <v>195</v>
      </c>
      <c r="J1824" s="289" t="s">
        <v>37</v>
      </c>
      <c r="K1824" s="289" t="s">
        <v>180</v>
      </c>
      <c r="L1824" s="289" t="s">
        <v>209</v>
      </c>
      <c r="M1824" s="291" t="s">
        <v>4592</v>
      </c>
      <c r="N1824" s="291" t="s">
        <v>44</v>
      </c>
      <c r="O1824" s="37" t="s">
        <v>4597</v>
      </c>
      <c r="P1824" s="37">
        <v>2101105212</v>
      </c>
      <c r="Q1824" s="303">
        <f t="shared" si="156"/>
        <v>1</v>
      </c>
      <c r="R1824" s="303">
        <f t="shared" si="157"/>
        <v>27</v>
      </c>
      <c r="S1824" s="37">
        <v>0</v>
      </c>
      <c r="T1824" s="37">
        <v>0</v>
      </c>
      <c r="U1824" s="37">
        <v>1</v>
      </c>
      <c r="V1824" s="37">
        <v>27</v>
      </c>
      <c r="W1824" s="37">
        <v>27</v>
      </c>
      <c r="X1824" s="37">
        <v>82</v>
      </c>
      <c r="Y1824" s="37">
        <v>61</v>
      </c>
      <c r="Z1824" s="37">
        <v>30</v>
      </c>
      <c r="AA1824" s="37">
        <v>1</v>
      </c>
      <c r="AB1824" s="300">
        <f t="shared" si="158"/>
        <v>25.01</v>
      </c>
      <c r="AC1824" s="300">
        <f t="shared" si="159"/>
        <v>0.15066265060240966</v>
      </c>
      <c r="AD1824" s="37">
        <v>915.18</v>
      </c>
      <c r="AE1824" s="291" t="s">
        <v>109</v>
      </c>
      <c r="AF1824" s="291">
        <v>0</v>
      </c>
      <c r="AG1824" s="291">
        <v>0</v>
      </c>
      <c r="AH1824" s="37" t="s">
        <v>4598</v>
      </c>
      <c r="AI1824" s="309"/>
      <c r="AJ1824" s="309"/>
      <c r="AK1824" s="291" t="s">
        <v>37</v>
      </c>
      <c r="AL1824" s="291" t="s">
        <v>49</v>
      </c>
      <c r="AM1824" s="299">
        <f t="shared" ca="1" si="155"/>
        <v>0.95833333332848269</v>
      </c>
      <c r="AN1824" s="297"/>
      <c r="AO1824" s="288" t="s">
        <v>53</v>
      </c>
      <c r="AP1824" s="275" t="s">
        <v>4592</v>
      </c>
      <c r="AQ1824" s="288" t="s">
        <v>4639</v>
      </c>
      <c r="AR1824" s="277">
        <v>44925.736111111109</v>
      </c>
      <c r="AS1824" s="272" t="s">
        <v>483</v>
      </c>
      <c r="AT1824" s="288" t="s">
        <v>225</v>
      </c>
      <c r="AU1824" s="276">
        <v>0.73611111111111116</v>
      </c>
      <c r="AV1824" s="288">
        <v>2</v>
      </c>
      <c r="AW1824" s="288" t="s">
        <v>66</v>
      </c>
      <c r="AX1824" s="52"/>
      <c r="AY1824" s="52"/>
      <c r="AZ1824" s="52"/>
      <c r="BA1824" s="52"/>
    </row>
    <row r="1825" spans="1:53" x14ac:dyDescent="0.25">
      <c r="A1825" s="48">
        <v>550</v>
      </c>
      <c r="B1825" s="295">
        <v>44924.777777777781</v>
      </c>
      <c r="C1825" s="36">
        <v>0.8125</v>
      </c>
      <c r="D1825" s="36">
        <v>0.81597222222222221</v>
      </c>
      <c r="E1825" s="36">
        <v>0.82638888888888884</v>
      </c>
      <c r="F1825" s="291" t="s">
        <v>171</v>
      </c>
      <c r="G1825" s="37" t="s">
        <v>4599</v>
      </c>
      <c r="H1825" s="26" t="s">
        <v>234</v>
      </c>
      <c r="I1825" s="26" t="s">
        <v>4600</v>
      </c>
      <c r="J1825" s="289" t="s">
        <v>37</v>
      </c>
      <c r="K1825" s="289" t="s">
        <v>180</v>
      </c>
      <c r="L1825" s="289" t="s">
        <v>209</v>
      </c>
      <c r="M1825" s="37" t="s">
        <v>4601</v>
      </c>
      <c r="N1825" s="37" t="s">
        <v>42</v>
      </c>
      <c r="O1825" s="37" t="s">
        <v>4602</v>
      </c>
      <c r="P1825" s="37">
        <v>1001472</v>
      </c>
      <c r="Q1825" s="303">
        <f t="shared" si="156"/>
        <v>1</v>
      </c>
      <c r="R1825" s="303">
        <f t="shared" si="157"/>
        <v>1</v>
      </c>
      <c r="S1825" s="37">
        <v>1</v>
      </c>
      <c r="T1825" s="37">
        <v>1</v>
      </c>
      <c r="U1825" s="37">
        <v>0</v>
      </c>
      <c r="V1825" s="37">
        <v>0</v>
      </c>
      <c r="W1825" s="37">
        <v>2</v>
      </c>
      <c r="X1825" s="37">
        <v>43</v>
      </c>
      <c r="Y1825" s="37">
        <v>32</v>
      </c>
      <c r="Z1825" s="37">
        <v>22</v>
      </c>
      <c r="AA1825" s="37">
        <v>1</v>
      </c>
      <c r="AB1825" s="300">
        <f t="shared" si="158"/>
        <v>5.0453333333333337</v>
      </c>
      <c r="AC1825" s="300">
        <f t="shared" si="159"/>
        <v>3.0393574297188756E-2</v>
      </c>
      <c r="AD1825" s="37">
        <v>254.86</v>
      </c>
      <c r="AE1825" s="291" t="s">
        <v>109</v>
      </c>
      <c r="AF1825" s="291">
        <v>0</v>
      </c>
      <c r="AG1825" s="291">
        <v>0</v>
      </c>
      <c r="AH1825" s="37">
        <v>0</v>
      </c>
      <c r="AI1825" s="309"/>
      <c r="AJ1825" s="309"/>
      <c r="AK1825" s="37" t="s">
        <v>48</v>
      </c>
      <c r="AL1825" s="291" t="s">
        <v>49</v>
      </c>
      <c r="AM1825" s="299">
        <f t="shared" ca="1" si="155"/>
        <v>0.87152777777373558</v>
      </c>
      <c r="AN1825" s="51"/>
      <c r="AO1825" s="288" t="s">
        <v>120</v>
      </c>
      <c r="AP1825" s="275" t="s">
        <v>4601</v>
      </c>
      <c r="AQ1825" s="288" t="s">
        <v>4637</v>
      </c>
      <c r="AR1825" s="277">
        <v>44925.649305555555</v>
      </c>
      <c r="AS1825" s="288" t="s">
        <v>136</v>
      </c>
      <c r="AT1825" s="288" t="s">
        <v>225</v>
      </c>
      <c r="AU1825" s="276">
        <v>0.64930555555555558</v>
      </c>
      <c r="AV1825" s="288">
        <v>2</v>
      </c>
      <c r="AW1825" s="288" t="s">
        <v>66</v>
      </c>
      <c r="AX1825" s="52"/>
      <c r="AY1825" s="52"/>
      <c r="AZ1825" s="52"/>
      <c r="BA1825" s="52"/>
    </row>
    <row r="1826" spans="1:53" x14ac:dyDescent="0.25">
      <c r="A1826" s="296">
        <v>551</v>
      </c>
      <c r="B1826" s="295">
        <v>44925.402777777781</v>
      </c>
      <c r="C1826" s="290">
        <v>0.40625</v>
      </c>
      <c r="D1826" s="290">
        <v>0.41319444444444442</v>
      </c>
      <c r="E1826" s="290">
        <v>0.42708333333333331</v>
      </c>
      <c r="F1826" s="291" t="s">
        <v>171</v>
      </c>
      <c r="G1826" s="291" t="s">
        <v>290</v>
      </c>
      <c r="H1826" s="294" t="s">
        <v>339</v>
      </c>
      <c r="I1826" s="294" t="s">
        <v>198</v>
      </c>
      <c r="J1826" s="289" t="s">
        <v>37</v>
      </c>
      <c r="K1826" s="294" t="s">
        <v>180</v>
      </c>
      <c r="L1826" s="156" t="s">
        <v>206</v>
      </c>
      <c r="M1826" s="291" t="s">
        <v>4603</v>
      </c>
      <c r="N1826" s="291" t="s">
        <v>482</v>
      </c>
      <c r="O1826" s="291" t="s">
        <v>4604</v>
      </c>
      <c r="P1826" s="291" t="s">
        <v>4605</v>
      </c>
      <c r="Q1826" s="303">
        <f t="shared" si="156"/>
        <v>24</v>
      </c>
      <c r="R1826" s="303">
        <f t="shared" si="157"/>
        <v>1609</v>
      </c>
      <c r="S1826" s="291">
        <v>0</v>
      </c>
      <c r="T1826" s="291">
        <v>0</v>
      </c>
      <c r="U1826" s="291">
        <v>24</v>
      </c>
      <c r="V1826" s="291">
        <v>1609</v>
      </c>
      <c r="W1826" s="291">
        <v>1440</v>
      </c>
      <c r="X1826" s="291">
        <v>85</v>
      </c>
      <c r="Y1826" s="291">
        <v>85</v>
      </c>
      <c r="Z1826" s="291">
        <v>40</v>
      </c>
      <c r="AA1826" s="291">
        <v>24</v>
      </c>
      <c r="AB1826" s="300">
        <f t="shared" si="158"/>
        <v>1156</v>
      </c>
      <c r="AC1826" s="300">
        <f t="shared" si="159"/>
        <v>6.9638554216867474</v>
      </c>
      <c r="AD1826" s="291">
        <v>21916.560000000001</v>
      </c>
      <c r="AE1826" s="291" t="s">
        <v>109</v>
      </c>
      <c r="AF1826" s="291" t="s">
        <v>4606</v>
      </c>
      <c r="AG1826" s="291" t="s">
        <v>4509</v>
      </c>
      <c r="AH1826" s="291" t="s">
        <v>4607</v>
      </c>
      <c r="AI1826" s="309"/>
      <c r="AJ1826" s="309"/>
      <c r="AK1826" s="291" t="s">
        <v>37</v>
      </c>
      <c r="AL1826" s="291" t="s">
        <v>49</v>
      </c>
      <c r="AM1826" s="299">
        <f t="shared" ca="1" si="155"/>
        <v>0.33333333332848269</v>
      </c>
      <c r="AN1826" s="51"/>
      <c r="AO1826" s="288" t="s">
        <v>53</v>
      </c>
      <c r="AP1826" s="275" t="s">
        <v>4603</v>
      </c>
      <c r="AQ1826" s="288" t="s">
        <v>4639</v>
      </c>
      <c r="AR1826" s="277">
        <v>44925.736111111109</v>
      </c>
      <c r="AS1826" s="272" t="s">
        <v>483</v>
      </c>
      <c r="AT1826" s="288" t="s">
        <v>225</v>
      </c>
      <c r="AU1826" s="276">
        <v>0.73611111111111116</v>
      </c>
      <c r="AV1826" s="288">
        <v>2</v>
      </c>
      <c r="AW1826" s="288" t="s">
        <v>66</v>
      </c>
      <c r="AX1826" s="52"/>
      <c r="AY1826" s="52"/>
      <c r="AZ1826" s="52"/>
      <c r="BA1826" s="52"/>
    </row>
    <row r="1827" spans="1:53" x14ac:dyDescent="0.25">
      <c r="A1827" s="296">
        <v>552</v>
      </c>
      <c r="B1827" s="295">
        <v>44925.482638888891</v>
      </c>
      <c r="C1827" s="290">
        <v>0.4861111111111111</v>
      </c>
      <c r="D1827" s="290">
        <v>0.49305555555555558</v>
      </c>
      <c r="E1827" s="290">
        <v>0.51041666666666663</v>
      </c>
      <c r="F1827" s="291" t="s">
        <v>170</v>
      </c>
      <c r="G1827" s="291" t="s">
        <v>4608</v>
      </c>
      <c r="H1827" s="289" t="s">
        <v>46</v>
      </c>
      <c r="I1827" s="289" t="s">
        <v>92</v>
      </c>
      <c r="J1827" s="289" t="s">
        <v>41</v>
      </c>
      <c r="K1827" s="289" t="s">
        <v>63</v>
      </c>
      <c r="L1827" s="289" t="s">
        <v>214</v>
      </c>
      <c r="M1827" s="291" t="s">
        <v>4609</v>
      </c>
      <c r="N1827" s="291" t="s">
        <v>42</v>
      </c>
      <c r="O1827" s="291" t="s">
        <v>4610</v>
      </c>
      <c r="P1827" s="291" t="s">
        <v>4611</v>
      </c>
      <c r="Q1827" s="303">
        <f t="shared" si="156"/>
        <v>3</v>
      </c>
      <c r="R1827" s="303">
        <f t="shared" si="157"/>
        <v>501</v>
      </c>
      <c r="S1827" s="291">
        <v>0</v>
      </c>
      <c r="T1827" s="291">
        <v>0</v>
      </c>
      <c r="U1827" s="291">
        <v>3</v>
      </c>
      <c r="V1827" s="291">
        <v>501</v>
      </c>
      <c r="W1827" s="291">
        <v>482.2</v>
      </c>
      <c r="X1827" s="291">
        <v>82</v>
      </c>
      <c r="Y1827" s="291">
        <v>44</v>
      </c>
      <c r="Z1827" s="291">
        <v>49</v>
      </c>
      <c r="AA1827" s="291">
        <v>1</v>
      </c>
      <c r="AB1827" s="300">
        <f t="shared" si="158"/>
        <v>29.465333333333334</v>
      </c>
      <c r="AC1827" s="300">
        <f t="shared" si="159"/>
        <v>0.17750200803212851</v>
      </c>
      <c r="AD1827" s="291" t="s">
        <v>48</v>
      </c>
      <c r="AE1827" s="291" t="s">
        <v>48</v>
      </c>
      <c r="AF1827" s="291" t="s">
        <v>317</v>
      </c>
      <c r="AG1827" s="291" t="s">
        <v>317</v>
      </c>
      <c r="AH1827" s="291" t="s">
        <v>4612</v>
      </c>
      <c r="AI1827" s="309"/>
      <c r="AJ1827" s="309"/>
      <c r="AK1827" s="291" t="s">
        <v>41</v>
      </c>
      <c r="AL1827" s="291" t="s">
        <v>58</v>
      </c>
      <c r="AM1827" s="299">
        <f t="shared" ca="1" si="155"/>
        <v>0.16666666666424135</v>
      </c>
      <c r="AN1827" s="51"/>
      <c r="AO1827" s="288" t="s">
        <v>120</v>
      </c>
      <c r="AP1827" s="275" t="s">
        <v>4609</v>
      </c>
      <c r="AQ1827" s="288" t="s">
        <v>4637</v>
      </c>
      <c r="AR1827" s="277">
        <v>44925.649305555555</v>
      </c>
      <c r="AS1827" s="288" t="s">
        <v>136</v>
      </c>
      <c r="AT1827" s="288" t="s">
        <v>225</v>
      </c>
      <c r="AU1827" s="276">
        <v>0.64930555555555558</v>
      </c>
      <c r="AV1827" s="288">
        <v>2</v>
      </c>
      <c r="AW1827" s="288" t="s">
        <v>66</v>
      </c>
      <c r="AX1827" s="52"/>
      <c r="AY1827" s="52"/>
      <c r="AZ1827" s="52"/>
      <c r="BA1827" s="52"/>
    </row>
    <row r="1828" spans="1:53" x14ac:dyDescent="0.25">
      <c r="A1828" s="312">
        <v>552</v>
      </c>
      <c r="B1828" s="295">
        <v>44925.482638888891</v>
      </c>
      <c r="C1828" s="290">
        <v>0.4861111111111111</v>
      </c>
      <c r="D1828" s="290">
        <v>0.49305555555555558</v>
      </c>
      <c r="E1828" s="290">
        <v>0.51041666666666663</v>
      </c>
      <c r="F1828" s="291" t="s">
        <v>170</v>
      </c>
      <c r="G1828" s="291" t="s">
        <v>4608</v>
      </c>
      <c r="H1828" s="289" t="s">
        <v>46</v>
      </c>
      <c r="I1828" s="289" t="s">
        <v>92</v>
      </c>
      <c r="J1828" s="289" t="s">
        <v>41</v>
      </c>
      <c r="K1828" s="289" t="s">
        <v>63</v>
      </c>
      <c r="L1828" s="289" t="s">
        <v>214</v>
      </c>
      <c r="M1828" s="291" t="s">
        <v>4609</v>
      </c>
      <c r="N1828" s="291" t="s">
        <v>42</v>
      </c>
      <c r="O1828" s="291" t="s">
        <v>4610</v>
      </c>
      <c r="P1828" s="291" t="s">
        <v>4611</v>
      </c>
      <c r="Q1828" s="303">
        <f t="shared" si="156"/>
        <v>0</v>
      </c>
      <c r="R1828" s="303">
        <f t="shared" si="157"/>
        <v>0</v>
      </c>
      <c r="S1828" s="291">
        <v>0</v>
      </c>
      <c r="T1828" s="291">
        <v>0</v>
      </c>
      <c r="U1828" s="291">
        <v>0</v>
      </c>
      <c r="V1828" s="291">
        <v>0</v>
      </c>
      <c r="W1828" s="291">
        <v>0</v>
      </c>
      <c r="X1828" s="291">
        <v>69</v>
      </c>
      <c r="Y1828" s="291">
        <v>38</v>
      </c>
      <c r="Z1828" s="291">
        <v>48</v>
      </c>
      <c r="AA1828" s="291">
        <v>1</v>
      </c>
      <c r="AB1828" s="300">
        <f t="shared" si="158"/>
        <v>20.975999999999999</v>
      </c>
      <c r="AC1828" s="300">
        <f t="shared" si="159"/>
        <v>0.12636144578313252</v>
      </c>
      <c r="AD1828" s="291">
        <v>0</v>
      </c>
      <c r="AE1828" s="291">
        <v>0</v>
      </c>
      <c r="AF1828" s="291" t="s">
        <v>317</v>
      </c>
      <c r="AG1828" s="291" t="s">
        <v>317</v>
      </c>
      <c r="AH1828" s="291" t="s">
        <v>4612</v>
      </c>
      <c r="AI1828" s="309"/>
      <c r="AJ1828" s="309"/>
      <c r="AK1828" s="291" t="s">
        <v>41</v>
      </c>
      <c r="AL1828" s="291" t="s">
        <v>58</v>
      </c>
      <c r="AM1828" s="299">
        <f t="shared" ca="1" si="155"/>
        <v>0.16666666666424135</v>
      </c>
      <c r="AN1828" s="51"/>
      <c r="AO1828" s="288" t="s">
        <v>120</v>
      </c>
      <c r="AP1828" s="275" t="s">
        <v>4609</v>
      </c>
      <c r="AQ1828" s="288" t="s">
        <v>4637</v>
      </c>
      <c r="AR1828" s="277">
        <v>44925.649305555555</v>
      </c>
      <c r="AS1828" s="288" t="s">
        <v>136</v>
      </c>
      <c r="AT1828" s="288" t="s">
        <v>225</v>
      </c>
      <c r="AU1828" s="276">
        <v>0.64930555555555558</v>
      </c>
      <c r="AV1828" s="288">
        <v>2</v>
      </c>
      <c r="AW1828" s="288" t="s">
        <v>66</v>
      </c>
      <c r="AX1828" s="52"/>
      <c r="AY1828" s="52"/>
      <c r="AZ1828" s="52"/>
      <c r="BA1828" s="52"/>
    </row>
    <row r="1829" spans="1:53" x14ac:dyDescent="0.25">
      <c r="A1829" s="312">
        <v>552</v>
      </c>
      <c r="B1829" s="295">
        <v>44925.482638888891</v>
      </c>
      <c r="C1829" s="290">
        <v>0.4861111111111111</v>
      </c>
      <c r="D1829" s="290">
        <v>0.49305555555555558</v>
      </c>
      <c r="E1829" s="290">
        <v>0.51041666666666663</v>
      </c>
      <c r="F1829" s="291" t="s">
        <v>170</v>
      </c>
      <c r="G1829" s="291" t="s">
        <v>4608</v>
      </c>
      <c r="H1829" s="289" t="s">
        <v>46</v>
      </c>
      <c r="I1829" s="289" t="s">
        <v>92</v>
      </c>
      <c r="J1829" s="289" t="s">
        <v>41</v>
      </c>
      <c r="K1829" s="289" t="s">
        <v>63</v>
      </c>
      <c r="L1829" s="289" t="s">
        <v>214</v>
      </c>
      <c r="M1829" s="291" t="s">
        <v>4609</v>
      </c>
      <c r="N1829" s="291" t="s">
        <v>42</v>
      </c>
      <c r="O1829" s="291" t="s">
        <v>4610</v>
      </c>
      <c r="P1829" s="291" t="s">
        <v>4611</v>
      </c>
      <c r="Q1829" s="303">
        <f t="shared" si="156"/>
        <v>0</v>
      </c>
      <c r="R1829" s="303">
        <f t="shared" si="157"/>
        <v>0</v>
      </c>
      <c r="S1829" s="291">
        <v>0</v>
      </c>
      <c r="T1829" s="291">
        <v>0</v>
      </c>
      <c r="U1829" s="291">
        <v>0</v>
      </c>
      <c r="V1829" s="291">
        <v>0</v>
      </c>
      <c r="W1829" s="291">
        <v>0</v>
      </c>
      <c r="X1829" s="291">
        <v>75</v>
      </c>
      <c r="Y1829" s="291">
        <v>74</v>
      </c>
      <c r="Z1829" s="291">
        <v>58</v>
      </c>
      <c r="AA1829" s="291">
        <v>1</v>
      </c>
      <c r="AB1829" s="300">
        <f t="shared" si="158"/>
        <v>53.65</v>
      </c>
      <c r="AC1829" s="300">
        <f t="shared" si="159"/>
        <v>0.32319277108433736</v>
      </c>
      <c r="AD1829" s="291">
        <v>0</v>
      </c>
      <c r="AE1829" s="291">
        <v>0</v>
      </c>
      <c r="AF1829" s="291" t="s">
        <v>317</v>
      </c>
      <c r="AG1829" s="291" t="s">
        <v>317</v>
      </c>
      <c r="AH1829" s="291" t="s">
        <v>4612</v>
      </c>
      <c r="AI1829" s="309"/>
      <c r="AJ1829" s="309"/>
      <c r="AK1829" s="291" t="s">
        <v>41</v>
      </c>
      <c r="AL1829" s="291" t="s">
        <v>58</v>
      </c>
      <c r="AM1829" s="299">
        <f t="shared" ca="1" si="155"/>
        <v>0.16666666666424135</v>
      </c>
      <c r="AN1829" s="51"/>
      <c r="AO1829" s="288" t="s">
        <v>120</v>
      </c>
      <c r="AP1829" s="275" t="s">
        <v>4609</v>
      </c>
      <c r="AQ1829" s="288" t="s">
        <v>4637</v>
      </c>
      <c r="AR1829" s="277">
        <v>44925.649305555555</v>
      </c>
      <c r="AS1829" s="288" t="s">
        <v>136</v>
      </c>
      <c r="AT1829" s="288" t="s">
        <v>225</v>
      </c>
      <c r="AU1829" s="276">
        <v>0.64930555555555558</v>
      </c>
      <c r="AV1829" s="288">
        <v>2</v>
      </c>
      <c r="AW1829" s="288" t="s">
        <v>66</v>
      </c>
      <c r="AX1829" s="52"/>
      <c r="AY1829" s="52"/>
      <c r="AZ1829" s="52"/>
      <c r="BA1829" s="52"/>
    </row>
    <row r="1830" spans="1:53" x14ac:dyDescent="0.25">
      <c r="A1830" s="296">
        <v>553</v>
      </c>
      <c r="B1830" s="295">
        <v>44925.482638888891</v>
      </c>
      <c r="C1830" s="290">
        <v>0.4861111111111111</v>
      </c>
      <c r="D1830" s="290">
        <v>0.49305555555555558</v>
      </c>
      <c r="E1830" s="290">
        <v>0.51041666666666663</v>
      </c>
      <c r="F1830" s="291" t="s">
        <v>170</v>
      </c>
      <c r="G1830" s="291" t="s">
        <v>4608</v>
      </c>
      <c r="H1830" s="289" t="s">
        <v>46</v>
      </c>
      <c r="I1830" s="289" t="s">
        <v>162</v>
      </c>
      <c r="J1830" s="289" t="s">
        <v>41</v>
      </c>
      <c r="K1830" s="289" t="s">
        <v>63</v>
      </c>
      <c r="L1830" s="289" t="s">
        <v>214</v>
      </c>
      <c r="M1830" s="291" t="s">
        <v>4613</v>
      </c>
      <c r="N1830" s="291" t="s">
        <v>158</v>
      </c>
      <c r="O1830" s="291" t="s">
        <v>4614</v>
      </c>
      <c r="P1830" s="291" t="s">
        <v>4615</v>
      </c>
      <c r="Q1830" s="303">
        <f t="shared" si="156"/>
        <v>2</v>
      </c>
      <c r="R1830" s="303">
        <f t="shared" si="157"/>
        <v>403</v>
      </c>
      <c r="S1830" s="291">
        <v>0</v>
      </c>
      <c r="T1830" s="291">
        <v>0</v>
      </c>
      <c r="U1830" s="291">
        <v>2</v>
      </c>
      <c r="V1830" s="291">
        <v>403</v>
      </c>
      <c r="W1830" s="291">
        <v>399.5</v>
      </c>
      <c r="X1830" s="291">
        <v>71</v>
      </c>
      <c r="Y1830" s="291">
        <v>53</v>
      </c>
      <c r="Z1830" s="291">
        <v>62</v>
      </c>
      <c r="AA1830" s="291">
        <v>1</v>
      </c>
      <c r="AB1830" s="300">
        <f t="shared" si="158"/>
        <v>38.884333333333331</v>
      </c>
      <c r="AC1830" s="300">
        <f t="shared" si="159"/>
        <v>0.23424297188755019</v>
      </c>
      <c r="AD1830" s="291" t="s">
        <v>48</v>
      </c>
      <c r="AE1830" s="291" t="s">
        <v>48</v>
      </c>
      <c r="AF1830" s="291" t="s">
        <v>317</v>
      </c>
      <c r="AG1830" s="291" t="s">
        <v>317</v>
      </c>
      <c r="AH1830" s="291" t="s">
        <v>4616</v>
      </c>
      <c r="AI1830" s="309"/>
      <c r="AJ1830" s="309"/>
      <c r="AK1830" s="291" t="s">
        <v>41</v>
      </c>
      <c r="AL1830" s="291" t="s">
        <v>58</v>
      </c>
      <c r="AM1830" s="299">
        <f t="shared" ca="1" si="155"/>
        <v>0.96875</v>
      </c>
      <c r="AN1830" s="51"/>
      <c r="AO1830" s="288" t="s">
        <v>159</v>
      </c>
      <c r="AP1830" s="275" t="s">
        <v>4613</v>
      </c>
      <c r="AQ1830" s="275" t="s">
        <v>4718</v>
      </c>
      <c r="AR1830" s="277">
        <v>44926.451388888891</v>
      </c>
      <c r="AS1830" s="288" t="s">
        <v>136</v>
      </c>
      <c r="AT1830" s="288" t="s">
        <v>225</v>
      </c>
      <c r="AU1830" s="276">
        <v>0.4513888888888889</v>
      </c>
      <c r="AV1830" s="288">
        <v>1</v>
      </c>
      <c r="AW1830" s="288" t="s">
        <v>66</v>
      </c>
      <c r="AX1830" s="52"/>
      <c r="AY1830" s="52"/>
      <c r="AZ1830" s="52"/>
      <c r="BA1830" s="52"/>
    </row>
    <row r="1831" spans="1:53" x14ac:dyDescent="0.25">
      <c r="A1831" s="312">
        <v>553</v>
      </c>
      <c r="B1831" s="295">
        <v>44925.482638888891</v>
      </c>
      <c r="C1831" s="290">
        <v>0.4861111111111111</v>
      </c>
      <c r="D1831" s="290">
        <v>0.49305555555555558</v>
      </c>
      <c r="E1831" s="290">
        <v>0.51041666666666663</v>
      </c>
      <c r="F1831" s="291" t="s">
        <v>170</v>
      </c>
      <c r="G1831" s="291" t="s">
        <v>4608</v>
      </c>
      <c r="H1831" s="289" t="s">
        <v>46</v>
      </c>
      <c r="I1831" s="289" t="s">
        <v>162</v>
      </c>
      <c r="J1831" s="289" t="s">
        <v>41</v>
      </c>
      <c r="K1831" s="289" t="s">
        <v>63</v>
      </c>
      <c r="L1831" s="289" t="s">
        <v>214</v>
      </c>
      <c r="M1831" s="291" t="s">
        <v>4613</v>
      </c>
      <c r="N1831" s="291" t="s">
        <v>158</v>
      </c>
      <c r="O1831" s="291" t="s">
        <v>4614</v>
      </c>
      <c r="P1831" s="291" t="s">
        <v>4615</v>
      </c>
      <c r="Q1831" s="303">
        <f t="shared" si="156"/>
        <v>0</v>
      </c>
      <c r="R1831" s="303">
        <f t="shared" si="157"/>
        <v>0</v>
      </c>
      <c r="S1831" s="291">
        <v>0</v>
      </c>
      <c r="T1831" s="291">
        <v>0</v>
      </c>
      <c r="U1831" s="291">
        <v>0</v>
      </c>
      <c r="V1831" s="291">
        <v>0</v>
      </c>
      <c r="W1831" s="291">
        <v>0</v>
      </c>
      <c r="X1831" s="291">
        <v>75</v>
      </c>
      <c r="Y1831" s="291">
        <v>74</v>
      </c>
      <c r="Z1831" s="291">
        <v>56</v>
      </c>
      <c r="AA1831" s="291">
        <v>1</v>
      </c>
      <c r="AB1831" s="300">
        <f t="shared" si="158"/>
        <v>51.8</v>
      </c>
      <c r="AC1831" s="300">
        <f t="shared" si="159"/>
        <v>0.31204819277108431</v>
      </c>
      <c r="AD1831" s="291">
        <v>0</v>
      </c>
      <c r="AE1831" s="291">
        <v>0</v>
      </c>
      <c r="AF1831" s="291" t="s">
        <v>317</v>
      </c>
      <c r="AG1831" s="291" t="s">
        <v>317</v>
      </c>
      <c r="AH1831" s="291" t="s">
        <v>4616</v>
      </c>
      <c r="AI1831" s="309"/>
      <c r="AJ1831" s="309"/>
      <c r="AK1831" s="291" t="s">
        <v>41</v>
      </c>
      <c r="AL1831" s="291" t="s">
        <v>58</v>
      </c>
      <c r="AM1831" s="299">
        <f t="shared" ca="1" si="155"/>
        <v>0.96875</v>
      </c>
      <c r="AN1831" s="51"/>
      <c r="AO1831" s="288" t="s">
        <v>159</v>
      </c>
      <c r="AP1831" s="275" t="s">
        <v>4613</v>
      </c>
      <c r="AQ1831" s="275" t="s">
        <v>4718</v>
      </c>
      <c r="AR1831" s="277">
        <v>44926.451388888891</v>
      </c>
      <c r="AS1831" s="288" t="s">
        <v>136</v>
      </c>
      <c r="AT1831" s="288" t="s">
        <v>225</v>
      </c>
      <c r="AU1831" s="276">
        <v>0.4513888888888889</v>
      </c>
      <c r="AV1831" s="288">
        <v>1</v>
      </c>
      <c r="AW1831" s="288" t="s">
        <v>66</v>
      </c>
      <c r="AX1831" s="52"/>
      <c r="AY1831" s="52"/>
      <c r="AZ1831" s="52"/>
      <c r="BA1831" s="52"/>
    </row>
    <row r="1832" spans="1:53" x14ac:dyDescent="0.25">
      <c r="A1832" s="296">
        <v>554</v>
      </c>
      <c r="B1832" s="295">
        <v>44925.482638888891</v>
      </c>
      <c r="C1832" s="290">
        <v>0.4861111111111111</v>
      </c>
      <c r="D1832" s="290">
        <v>0.49305555555555558</v>
      </c>
      <c r="E1832" s="290">
        <v>0.51041666666666663</v>
      </c>
      <c r="F1832" s="291" t="s">
        <v>170</v>
      </c>
      <c r="G1832" s="291" t="s">
        <v>4608</v>
      </c>
      <c r="H1832" s="289" t="s">
        <v>46</v>
      </c>
      <c r="I1832" s="289" t="s">
        <v>110</v>
      </c>
      <c r="J1832" s="289" t="s">
        <v>41</v>
      </c>
      <c r="K1832" s="289" t="s">
        <v>63</v>
      </c>
      <c r="L1832" s="289" t="s">
        <v>214</v>
      </c>
      <c r="M1832" s="291" t="s">
        <v>4617</v>
      </c>
      <c r="N1832" s="291" t="s">
        <v>186</v>
      </c>
      <c r="O1832" s="291" t="s">
        <v>4618</v>
      </c>
      <c r="P1832" s="291" t="s">
        <v>4619</v>
      </c>
      <c r="Q1832" s="303">
        <f t="shared" si="156"/>
        <v>3</v>
      </c>
      <c r="R1832" s="303">
        <f t="shared" si="157"/>
        <v>419</v>
      </c>
      <c r="S1832" s="291">
        <v>0</v>
      </c>
      <c r="T1832" s="291">
        <v>0</v>
      </c>
      <c r="U1832" s="291">
        <v>3</v>
      </c>
      <c r="V1832" s="291">
        <v>419</v>
      </c>
      <c r="W1832" s="291">
        <v>413</v>
      </c>
      <c r="X1832" s="291">
        <v>82</v>
      </c>
      <c r="Y1832" s="291">
        <v>44</v>
      </c>
      <c r="Z1832" s="291">
        <v>49</v>
      </c>
      <c r="AA1832" s="291">
        <v>1</v>
      </c>
      <c r="AB1832" s="300">
        <f t="shared" si="158"/>
        <v>29.465333333333334</v>
      </c>
      <c r="AC1832" s="300">
        <f t="shared" si="159"/>
        <v>0.17750200803212851</v>
      </c>
      <c r="AD1832" s="291" t="s">
        <v>48</v>
      </c>
      <c r="AE1832" s="291" t="s">
        <v>48</v>
      </c>
      <c r="AF1832" s="291" t="s">
        <v>317</v>
      </c>
      <c r="AG1832" s="291" t="s">
        <v>317</v>
      </c>
      <c r="AH1832" s="291" t="s">
        <v>4620</v>
      </c>
      <c r="AI1832" s="309"/>
      <c r="AJ1832" s="309"/>
      <c r="AK1832" s="291" t="s">
        <v>41</v>
      </c>
      <c r="AL1832" s="291" t="s">
        <v>58</v>
      </c>
      <c r="AM1832" s="299">
        <f t="shared" ref="AM1832:AM1892" ca="1" si="160">IF(AP1832="",NOW()-B1832,AR1832-B1832)</f>
        <v>1.0625</v>
      </c>
      <c r="AN1832" s="51"/>
      <c r="AO1832" s="288" t="s">
        <v>131</v>
      </c>
      <c r="AP1832" s="275" t="s">
        <v>4617</v>
      </c>
      <c r="AQ1832" s="288" t="s">
        <v>4725</v>
      </c>
      <c r="AR1832" s="277">
        <v>44926.545138888891</v>
      </c>
      <c r="AS1832" s="288" t="s">
        <v>136</v>
      </c>
      <c r="AT1832" s="288" t="s">
        <v>225</v>
      </c>
      <c r="AU1832" s="276">
        <v>0.54513888888888895</v>
      </c>
      <c r="AV1832" s="288">
        <v>2</v>
      </c>
      <c r="AW1832" s="288" t="s">
        <v>66</v>
      </c>
      <c r="AX1832" s="52"/>
      <c r="AY1832" s="52"/>
      <c r="AZ1832" s="52"/>
      <c r="BA1832" s="52"/>
    </row>
    <row r="1833" spans="1:53" x14ac:dyDescent="0.25">
      <c r="A1833" s="312">
        <v>554</v>
      </c>
      <c r="B1833" s="295">
        <v>44925.482638888891</v>
      </c>
      <c r="C1833" s="290">
        <v>0.4861111111111111</v>
      </c>
      <c r="D1833" s="290">
        <v>0.49305555555555558</v>
      </c>
      <c r="E1833" s="290">
        <v>0.51041666666666663</v>
      </c>
      <c r="F1833" s="291" t="s">
        <v>170</v>
      </c>
      <c r="G1833" s="291" t="s">
        <v>4608</v>
      </c>
      <c r="H1833" s="289" t="s">
        <v>46</v>
      </c>
      <c r="I1833" s="289" t="s">
        <v>110</v>
      </c>
      <c r="J1833" s="289" t="s">
        <v>41</v>
      </c>
      <c r="K1833" s="289" t="s">
        <v>63</v>
      </c>
      <c r="L1833" s="289" t="s">
        <v>214</v>
      </c>
      <c r="M1833" s="291" t="s">
        <v>4617</v>
      </c>
      <c r="N1833" s="291" t="s">
        <v>186</v>
      </c>
      <c r="O1833" s="291" t="s">
        <v>4618</v>
      </c>
      <c r="P1833" s="291" t="s">
        <v>4619</v>
      </c>
      <c r="Q1833" s="303">
        <f t="shared" ref="Q1833:Q1880" si="161">S1833+U1833</f>
        <v>0</v>
      </c>
      <c r="R1833" s="303">
        <f t="shared" ref="R1833:R1880" si="162">T1833+V1833</f>
        <v>0</v>
      </c>
      <c r="S1833" s="291">
        <v>0</v>
      </c>
      <c r="T1833" s="291">
        <v>0</v>
      </c>
      <c r="U1833" s="291">
        <v>0</v>
      </c>
      <c r="V1833" s="291">
        <v>0</v>
      </c>
      <c r="W1833" s="291">
        <v>0</v>
      </c>
      <c r="X1833" s="291">
        <v>75</v>
      </c>
      <c r="Y1833" s="291">
        <v>74</v>
      </c>
      <c r="Z1833" s="291">
        <v>57</v>
      </c>
      <c r="AA1833" s="291">
        <v>1</v>
      </c>
      <c r="AB1833" s="300">
        <f t="shared" ref="AB1833:AB1907" si="163">X1833*Y1833*Z1833*AA1833/6000</f>
        <v>52.725000000000001</v>
      </c>
      <c r="AC1833" s="300">
        <f t="shared" ref="AC1833:AC1907" si="164">AB1833/166</f>
        <v>0.31762048192771086</v>
      </c>
      <c r="AD1833" s="291">
        <v>0</v>
      </c>
      <c r="AE1833" s="291">
        <v>0</v>
      </c>
      <c r="AF1833" s="291" t="s">
        <v>317</v>
      </c>
      <c r="AG1833" s="291" t="s">
        <v>317</v>
      </c>
      <c r="AH1833" s="291" t="s">
        <v>4620</v>
      </c>
      <c r="AI1833" s="309"/>
      <c r="AJ1833" s="309"/>
      <c r="AK1833" s="291" t="s">
        <v>41</v>
      </c>
      <c r="AL1833" s="291" t="s">
        <v>58</v>
      </c>
      <c r="AM1833" s="299">
        <f t="shared" ca="1" si="160"/>
        <v>1.0625</v>
      </c>
      <c r="AN1833" s="51"/>
      <c r="AO1833" s="288" t="s">
        <v>131</v>
      </c>
      <c r="AP1833" s="275" t="s">
        <v>4617</v>
      </c>
      <c r="AQ1833" s="288" t="s">
        <v>4725</v>
      </c>
      <c r="AR1833" s="277">
        <v>44926.545138888891</v>
      </c>
      <c r="AS1833" s="288" t="s">
        <v>136</v>
      </c>
      <c r="AT1833" s="288" t="s">
        <v>225</v>
      </c>
      <c r="AU1833" s="276">
        <v>0.54513888888888895</v>
      </c>
      <c r="AV1833" s="288">
        <v>2</v>
      </c>
      <c r="AW1833" s="288" t="s">
        <v>66</v>
      </c>
      <c r="AX1833" s="52"/>
      <c r="AY1833" s="52"/>
      <c r="AZ1833" s="52"/>
      <c r="BA1833" s="52"/>
    </row>
    <row r="1834" spans="1:53" x14ac:dyDescent="0.25">
      <c r="A1834" s="312">
        <v>554</v>
      </c>
      <c r="B1834" s="295">
        <v>44925.482638888891</v>
      </c>
      <c r="C1834" s="290">
        <v>0.4861111111111111</v>
      </c>
      <c r="D1834" s="290">
        <v>0.49305555555555558</v>
      </c>
      <c r="E1834" s="290">
        <v>0.51041666666666663</v>
      </c>
      <c r="F1834" s="291" t="s">
        <v>170</v>
      </c>
      <c r="G1834" s="291" t="s">
        <v>4608</v>
      </c>
      <c r="H1834" s="289" t="s">
        <v>46</v>
      </c>
      <c r="I1834" s="289" t="s">
        <v>110</v>
      </c>
      <c r="J1834" s="289" t="s">
        <v>41</v>
      </c>
      <c r="K1834" s="289" t="s">
        <v>63</v>
      </c>
      <c r="L1834" s="289" t="s">
        <v>214</v>
      </c>
      <c r="M1834" s="291" t="s">
        <v>4617</v>
      </c>
      <c r="N1834" s="291" t="s">
        <v>186</v>
      </c>
      <c r="O1834" s="291" t="s">
        <v>4618</v>
      </c>
      <c r="P1834" s="291" t="s">
        <v>4619</v>
      </c>
      <c r="Q1834" s="303">
        <f t="shared" si="161"/>
        <v>0</v>
      </c>
      <c r="R1834" s="303">
        <f t="shared" si="162"/>
        <v>0</v>
      </c>
      <c r="S1834" s="291">
        <v>0</v>
      </c>
      <c r="T1834" s="291">
        <v>0</v>
      </c>
      <c r="U1834" s="291">
        <v>0</v>
      </c>
      <c r="V1834" s="291">
        <v>0</v>
      </c>
      <c r="W1834" s="291">
        <v>0</v>
      </c>
      <c r="X1834" s="291">
        <v>44</v>
      </c>
      <c r="Y1834" s="291">
        <v>39</v>
      </c>
      <c r="Z1834" s="291">
        <v>47</v>
      </c>
      <c r="AA1834" s="291">
        <v>1</v>
      </c>
      <c r="AB1834" s="300">
        <f t="shared" si="163"/>
        <v>13.442</v>
      </c>
      <c r="AC1834" s="300">
        <f t="shared" si="164"/>
        <v>8.0975903614457834E-2</v>
      </c>
      <c r="AD1834" s="291">
        <v>0</v>
      </c>
      <c r="AE1834" s="291">
        <v>0</v>
      </c>
      <c r="AF1834" s="291" t="s">
        <v>317</v>
      </c>
      <c r="AG1834" s="291" t="s">
        <v>317</v>
      </c>
      <c r="AH1834" s="291" t="s">
        <v>4620</v>
      </c>
      <c r="AI1834" s="309"/>
      <c r="AJ1834" s="309"/>
      <c r="AK1834" s="291" t="s">
        <v>41</v>
      </c>
      <c r="AL1834" s="291" t="s">
        <v>58</v>
      </c>
      <c r="AM1834" s="299">
        <f t="shared" ca="1" si="160"/>
        <v>1.0625</v>
      </c>
      <c r="AN1834" s="51"/>
      <c r="AO1834" s="288" t="s">
        <v>131</v>
      </c>
      <c r="AP1834" s="275" t="s">
        <v>4617</v>
      </c>
      <c r="AQ1834" s="288" t="s">
        <v>4725</v>
      </c>
      <c r="AR1834" s="277">
        <v>44926.545138888891</v>
      </c>
      <c r="AS1834" s="288" t="s">
        <v>136</v>
      </c>
      <c r="AT1834" s="288" t="s">
        <v>225</v>
      </c>
      <c r="AU1834" s="276">
        <v>0.54513888888888895</v>
      </c>
      <c r="AV1834" s="288">
        <v>2</v>
      </c>
      <c r="AW1834" s="288" t="s">
        <v>66</v>
      </c>
      <c r="AX1834" s="52"/>
      <c r="AY1834" s="52"/>
      <c r="AZ1834" s="52"/>
      <c r="BA1834" s="52"/>
    </row>
    <row r="1835" spans="1:53" x14ac:dyDescent="0.25">
      <c r="A1835" s="296">
        <v>555</v>
      </c>
      <c r="B1835" s="295">
        <v>44925.482638888891</v>
      </c>
      <c r="C1835" s="290">
        <v>0.4861111111111111</v>
      </c>
      <c r="D1835" s="290">
        <v>0.49305555555555558</v>
      </c>
      <c r="E1835" s="290">
        <v>0.51041666666666663</v>
      </c>
      <c r="F1835" s="291" t="s">
        <v>170</v>
      </c>
      <c r="G1835" s="291" t="s">
        <v>4608</v>
      </c>
      <c r="H1835" s="289" t="s">
        <v>296</v>
      </c>
      <c r="I1835" s="289" t="s">
        <v>251</v>
      </c>
      <c r="J1835" s="289" t="s">
        <v>37</v>
      </c>
      <c r="K1835" s="293" t="s">
        <v>63</v>
      </c>
      <c r="L1835" s="293" t="s">
        <v>206</v>
      </c>
      <c r="M1835" s="291" t="s">
        <v>4621</v>
      </c>
      <c r="N1835" s="291" t="s">
        <v>44</v>
      </c>
      <c r="O1835" s="291">
        <v>2223000175</v>
      </c>
      <c r="P1835" s="291">
        <v>4509967065</v>
      </c>
      <c r="Q1835" s="303">
        <f t="shared" si="161"/>
        <v>8</v>
      </c>
      <c r="R1835" s="303">
        <f t="shared" si="162"/>
        <v>155</v>
      </c>
      <c r="S1835" s="291">
        <v>8</v>
      </c>
      <c r="T1835" s="291">
        <v>155</v>
      </c>
      <c r="U1835" s="291">
        <v>0</v>
      </c>
      <c r="V1835" s="291">
        <v>0</v>
      </c>
      <c r="W1835" s="291">
        <v>135</v>
      </c>
      <c r="X1835" s="291">
        <v>54</v>
      </c>
      <c r="Y1835" s="291">
        <v>36</v>
      </c>
      <c r="Z1835" s="291">
        <v>30</v>
      </c>
      <c r="AA1835" s="291">
        <v>8</v>
      </c>
      <c r="AB1835" s="300">
        <f t="shared" si="163"/>
        <v>77.760000000000005</v>
      </c>
      <c r="AC1835" s="300">
        <f t="shared" si="164"/>
        <v>0.46843373493975909</v>
      </c>
      <c r="AD1835" s="291">
        <v>3000</v>
      </c>
      <c r="AE1835" s="291" t="s">
        <v>109</v>
      </c>
      <c r="AF1835" s="291" t="s">
        <v>317</v>
      </c>
      <c r="AG1835" s="291" t="s">
        <v>317</v>
      </c>
      <c r="AH1835" s="291" t="s">
        <v>4622</v>
      </c>
      <c r="AI1835" s="309"/>
      <c r="AJ1835" s="309"/>
      <c r="AK1835" s="291" t="s">
        <v>48</v>
      </c>
      <c r="AL1835" s="291" t="s">
        <v>50</v>
      </c>
      <c r="AM1835" s="299">
        <f t="shared" ca="1" si="160"/>
        <v>0.96875</v>
      </c>
      <c r="AN1835" s="51"/>
      <c r="AO1835" s="288" t="s">
        <v>466</v>
      </c>
      <c r="AP1835" s="275" t="s">
        <v>4621</v>
      </c>
      <c r="AQ1835" s="288" t="s">
        <v>4717</v>
      </c>
      <c r="AR1835" s="277">
        <v>44926.451388888891</v>
      </c>
      <c r="AS1835" s="288" t="s">
        <v>136</v>
      </c>
      <c r="AT1835" s="288" t="s">
        <v>225</v>
      </c>
      <c r="AU1835" s="276">
        <v>0.4513888888888889</v>
      </c>
      <c r="AV1835" s="288">
        <v>1</v>
      </c>
      <c r="AW1835" s="288" t="s">
        <v>66</v>
      </c>
      <c r="AX1835" s="52"/>
      <c r="AY1835" s="52"/>
      <c r="AZ1835" s="52"/>
      <c r="BA1835" s="52"/>
    </row>
    <row r="1836" spans="1:53" x14ac:dyDescent="0.25">
      <c r="A1836" s="296">
        <v>556</v>
      </c>
      <c r="B1836" s="295">
        <v>44925.482638888891</v>
      </c>
      <c r="C1836" s="290">
        <v>0.4861111111111111</v>
      </c>
      <c r="D1836" s="290">
        <v>0.49305555555555558</v>
      </c>
      <c r="E1836" s="290">
        <v>0.51041666666666663</v>
      </c>
      <c r="F1836" s="291" t="s">
        <v>170</v>
      </c>
      <c r="G1836" s="291" t="s">
        <v>4608</v>
      </c>
      <c r="H1836" s="289" t="s">
        <v>55</v>
      </c>
      <c r="I1836" s="289" t="s">
        <v>162</v>
      </c>
      <c r="J1836" s="289" t="s">
        <v>37</v>
      </c>
      <c r="K1836" s="289" t="s">
        <v>63</v>
      </c>
      <c r="L1836" s="289" t="s">
        <v>216</v>
      </c>
      <c r="M1836" s="291" t="s">
        <v>4623</v>
      </c>
      <c r="N1836" s="291" t="s">
        <v>158</v>
      </c>
      <c r="O1836" s="291">
        <v>92201008</v>
      </c>
      <c r="P1836" s="291" t="s">
        <v>4624</v>
      </c>
      <c r="Q1836" s="303">
        <f t="shared" si="161"/>
        <v>2</v>
      </c>
      <c r="R1836" s="303">
        <f t="shared" si="162"/>
        <v>313</v>
      </c>
      <c r="S1836" s="291">
        <v>0</v>
      </c>
      <c r="T1836" s="291">
        <v>0</v>
      </c>
      <c r="U1836" s="291">
        <v>2</v>
      </c>
      <c r="V1836" s="291">
        <v>313</v>
      </c>
      <c r="W1836" s="291">
        <v>301.12</v>
      </c>
      <c r="X1836" s="291">
        <v>94</v>
      </c>
      <c r="Y1836" s="291">
        <v>65</v>
      </c>
      <c r="Z1836" s="291">
        <v>56</v>
      </c>
      <c r="AA1836" s="291">
        <v>1</v>
      </c>
      <c r="AB1836" s="300">
        <f t="shared" si="163"/>
        <v>57.026666666666664</v>
      </c>
      <c r="AC1836" s="300">
        <f t="shared" si="164"/>
        <v>0.3435341365461847</v>
      </c>
      <c r="AD1836" s="291">
        <v>3411.59</v>
      </c>
      <c r="AE1836" s="291" t="s">
        <v>109</v>
      </c>
      <c r="AF1836" s="291" t="s">
        <v>317</v>
      </c>
      <c r="AG1836" s="291" t="s">
        <v>317</v>
      </c>
      <c r="AH1836" s="291" t="s">
        <v>4625</v>
      </c>
      <c r="AI1836" s="309"/>
      <c r="AJ1836" s="309"/>
      <c r="AK1836" s="291" t="s">
        <v>37</v>
      </c>
      <c r="AL1836" s="291" t="s">
        <v>58</v>
      </c>
      <c r="AM1836" s="299">
        <f t="shared" ca="1" si="160"/>
        <v>0.96875</v>
      </c>
      <c r="AN1836" s="51"/>
      <c r="AO1836" s="288" t="s">
        <v>159</v>
      </c>
      <c r="AP1836" s="275" t="s">
        <v>4623</v>
      </c>
      <c r="AQ1836" s="288" t="s">
        <v>4718</v>
      </c>
      <c r="AR1836" s="277">
        <v>44926.451388888891</v>
      </c>
      <c r="AS1836" s="288" t="s">
        <v>136</v>
      </c>
      <c r="AT1836" s="288" t="s">
        <v>225</v>
      </c>
      <c r="AU1836" s="276">
        <v>0.4513888888888889</v>
      </c>
      <c r="AV1836" s="288">
        <v>1</v>
      </c>
      <c r="AW1836" s="288" t="s">
        <v>66</v>
      </c>
      <c r="AX1836" s="52"/>
      <c r="AY1836" s="52"/>
      <c r="AZ1836" s="52"/>
      <c r="BA1836" s="52"/>
    </row>
    <row r="1837" spans="1:53" x14ac:dyDescent="0.25">
      <c r="A1837" s="312">
        <v>556</v>
      </c>
      <c r="B1837" s="295">
        <v>44925.482638888891</v>
      </c>
      <c r="C1837" s="290">
        <v>0.4861111111111111</v>
      </c>
      <c r="D1837" s="290">
        <v>0.49305555555555558</v>
      </c>
      <c r="E1837" s="290">
        <v>0.51041666666666663</v>
      </c>
      <c r="F1837" s="291" t="s">
        <v>170</v>
      </c>
      <c r="G1837" s="291" t="s">
        <v>4608</v>
      </c>
      <c r="H1837" s="289" t="s">
        <v>55</v>
      </c>
      <c r="I1837" s="289" t="s">
        <v>162</v>
      </c>
      <c r="J1837" s="289" t="s">
        <v>37</v>
      </c>
      <c r="K1837" s="289" t="s">
        <v>63</v>
      </c>
      <c r="L1837" s="289" t="s">
        <v>216</v>
      </c>
      <c r="M1837" s="291" t="s">
        <v>4623</v>
      </c>
      <c r="N1837" s="291" t="s">
        <v>158</v>
      </c>
      <c r="O1837" s="291">
        <v>92201008</v>
      </c>
      <c r="P1837" s="291" t="s">
        <v>4624</v>
      </c>
      <c r="Q1837" s="303">
        <f t="shared" si="161"/>
        <v>0</v>
      </c>
      <c r="R1837" s="303">
        <f t="shared" si="162"/>
        <v>0</v>
      </c>
      <c r="S1837" s="291">
        <v>0</v>
      </c>
      <c r="T1837" s="291">
        <v>0</v>
      </c>
      <c r="U1837" s="291">
        <v>0</v>
      </c>
      <c r="V1837" s="291">
        <v>0</v>
      </c>
      <c r="W1837" s="291">
        <v>0</v>
      </c>
      <c r="X1837" s="291">
        <v>64</v>
      </c>
      <c r="Y1837" s="291">
        <v>59</v>
      </c>
      <c r="Z1837" s="291">
        <v>45</v>
      </c>
      <c r="AA1837" s="291">
        <v>1</v>
      </c>
      <c r="AB1837" s="300">
        <f t="shared" si="163"/>
        <v>28.32</v>
      </c>
      <c r="AC1837" s="300">
        <f t="shared" si="164"/>
        <v>0.17060240963855422</v>
      </c>
      <c r="AD1837" s="291">
        <v>0</v>
      </c>
      <c r="AE1837" s="291">
        <v>0</v>
      </c>
      <c r="AF1837" s="291" t="s">
        <v>317</v>
      </c>
      <c r="AG1837" s="291" t="s">
        <v>317</v>
      </c>
      <c r="AH1837" s="291" t="s">
        <v>4625</v>
      </c>
      <c r="AI1837" s="309"/>
      <c r="AJ1837" s="309"/>
      <c r="AK1837" s="291" t="s">
        <v>37</v>
      </c>
      <c r="AL1837" s="291" t="s">
        <v>58</v>
      </c>
      <c r="AM1837" s="299">
        <f t="shared" ca="1" si="160"/>
        <v>0.96875</v>
      </c>
      <c r="AN1837" s="51"/>
      <c r="AO1837" s="288" t="s">
        <v>159</v>
      </c>
      <c r="AP1837" s="275" t="s">
        <v>4623</v>
      </c>
      <c r="AQ1837" s="288" t="s">
        <v>4718</v>
      </c>
      <c r="AR1837" s="277">
        <v>44926.451388888891</v>
      </c>
      <c r="AS1837" s="288" t="s">
        <v>136</v>
      </c>
      <c r="AT1837" s="288" t="s">
        <v>225</v>
      </c>
      <c r="AU1837" s="276">
        <v>0.4513888888888889</v>
      </c>
      <c r="AV1837" s="288">
        <v>1</v>
      </c>
      <c r="AW1837" s="288" t="s">
        <v>66</v>
      </c>
      <c r="AX1837" s="52"/>
      <c r="AY1837" s="52"/>
      <c r="AZ1837" s="52"/>
      <c r="BA1837" s="52"/>
    </row>
    <row r="1838" spans="1:53" x14ac:dyDescent="0.25">
      <c r="A1838" s="296">
        <v>557</v>
      </c>
      <c r="B1838" s="295">
        <v>44925.482638888891</v>
      </c>
      <c r="C1838" s="290">
        <v>0.4861111111111111</v>
      </c>
      <c r="D1838" s="290">
        <v>0.49305555555555558</v>
      </c>
      <c r="E1838" s="290">
        <v>0.51041666666666663</v>
      </c>
      <c r="F1838" s="291" t="s">
        <v>170</v>
      </c>
      <c r="G1838" s="291" t="s">
        <v>4608</v>
      </c>
      <c r="H1838" s="289" t="s">
        <v>57</v>
      </c>
      <c r="I1838" s="289" t="s">
        <v>162</v>
      </c>
      <c r="J1838" s="289" t="s">
        <v>37</v>
      </c>
      <c r="K1838" s="289" t="s">
        <v>63</v>
      </c>
      <c r="L1838" s="289" t="s">
        <v>209</v>
      </c>
      <c r="M1838" s="291" t="s">
        <v>4626</v>
      </c>
      <c r="N1838" s="291" t="s">
        <v>158</v>
      </c>
      <c r="O1838" s="291" t="s">
        <v>4627</v>
      </c>
      <c r="P1838" s="291">
        <v>81986304</v>
      </c>
      <c r="Q1838" s="303">
        <f t="shared" si="161"/>
        <v>1</v>
      </c>
      <c r="R1838" s="303">
        <f t="shared" si="162"/>
        <v>166</v>
      </c>
      <c r="S1838" s="291">
        <v>0</v>
      </c>
      <c r="T1838" s="291">
        <v>0</v>
      </c>
      <c r="U1838" s="291">
        <v>1</v>
      </c>
      <c r="V1838" s="291">
        <v>166</v>
      </c>
      <c r="W1838" s="291">
        <v>165</v>
      </c>
      <c r="X1838" s="291">
        <v>96</v>
      </c>
      <c r="Y1838" s="291">
        <v>68</v>
      </c>
      <c r="Z1838" s="291">
        <v>75</v>
      </c>
      <c r="AA1838" s="291">
        <v>1</v>
      </c>
      <c r="AB1838" s="300">
        <f t="shared" si="163"/>
        <v>81.599999999999994</v>
      </c>
      <c r="AC1838" s="300">
        <f t="shared" si="164"/>
        <v>0.49156626506024093</v>
      </c>
      <c r="AD1838" s="291">
        <v>981.85</v>
      </c>
      <c r="AE1838" s="291" t="s">
        <v>109</v>
      </c>
      <c r="AF1838" s="291" t="s">
        <v>317</v>
      </c>
      <c r="AG1838" s="291" t="s">
        <v>317</v>
      </c>
      <c r="AH1838" s="291" t="s">
        <v>4628</v>
      </c>
      <c r="AI1838" s="309"/>
      <c r="AJ1838" s="309"/>
      <c r="AK1838" s="291" t="s">
        <v>37</v>
      </c>
      <c r="AL1838" s="291" t="s">
        <v>58</v>
      </c>
      <c r="AM1838" s="299">
        <f t="shared" ca="1" si="160"/>
        <v>0.96875</v>
      </c>
      <c r="AN1838" s="51"/>
      <c r="AO1838" s="288" t="s">
        <v>159</v>
      </c>
      <c r="AP1838" s="275" t="s">
        <v>4626</v>
      </c>
      <c r="AQ1838" s="288" t="s">
        <v>4718</v>
      </c>
      <c r="AR1838" s="277">
        <v>44926.451388888891</v>
      </c>
      <c r="AS1838" s="288" t="s">
        <v>136</v>
      </c>
      <c r="AT1838" s="288" t="s">
        <v>225</v>
      </c>
      <c r="AU1838" s="276">
        <v>0.4513888888888889</v>
      </c>
      <c r="AV1838" s="288">
        <v>1</v>
      </c>
      <c r="AW1838" s="288" t="s">
        <v>66</v>
      </c>
      <c r="AX1838" s="52"/>
      <c r="AY1838" s="52"/>
      <c r="AZ1838" s="52"/>
      <c r="BA1838" s="52"/>
    </row>
    <row r="1839" spans="1:53" x14ac:dyDescent="0.25">
      <c r="A1839" s="296">
        <v>558</v>
      </c>
      <c r="B1839" s="295">
        <v>44925.482638888891</v>
      </c>
      <c r="C1839" s="290">
        <v>0.4861111111111111</v>
      </c>
      <c r="D1839" s="290">
        <v>0.49305555555555558</v>
      </c>
      <c r="E1839" s="290">
        <v>0.51041666666666663</v>
      </c>
      <c r="F1839" s="291" t="s">
        <v>170</v>
      </c>
      <c r="G1839" s="291" t="s">
        <v>4608</v>
      </c>
      <c r="H1839" s="289" t="s">
        <v>3167</v>
      </c>
      <c r="I1839" s="289" t="s">
        <v>2960</v>
      </c>
      <c r="J1839" s="289" t="s">
        <v>37</v>
      </c>
      <c r="K1839" s="289" t="s">
        <v>63</v>
      </c>
      <c r="L1839" s="289">
        <v>0</v>
      </c>
      <c r="M1839" s="291" t="s">
        <v>4629</v>
      </c>
      <c r="N1839" s="291" t="s">
        <v>2962</v>
      </c>
      <c r="O1839" s="291">
        <v>176</v>
      </c>
      <c r="P1839" s="291">
        <v>134487</v>
      </c>
      <c r="Q1839" s="303">
        <f t="shared" si="161"/>
        <v>1</v>
      </c>
      <c r="R1839" s="303">
        <f t="shared" si="162"/>
        <v>467</v>
      </c>
      <c r="S1839" s="291">
        <v>0</v>
      </c>
      <c r="T1839" s="291">
        <v>0</v>
      </c>
      <c r="U1839" s="291">
        <v>1</v>
      </c>
      <c r="V1839" s="291">
        <v>467</v>
      </c>
      <c r="W1839" s="291">
        <v>467</v>
      </c>
      <c r="X1839" s="291">
        <v>85</v>
      </c>
      <c r="Y1839" s="291">
        <v>63</v>
      </c>
      <c r="Z1839" s="291">
        <v>69</v>
      </c>
      <c r="AA1839" s="291">
        <v>1</v>
      </c>
      <c r="AB1839" s="300">
        <f t="shared" si="163"/>
        <v>61.582500000000003</v>
      </c>
      <c r="AC1839" s="300">
        <f t="shared" si="164"/>
        <v>0.37097891566265062</v>
      </c>
      <c r="AD1839" s="291">
        <v>12289.15</v>
      </c>
      <c r="AE1839" s="291" t="s">
        <v>109</v>
      </c>
      <c r="AF1839" s="291" t="s">
        <v>317</v>
      </c>
      <c r="AG1839" s="291" t="s">
        <v>317</v>
      </c>
      <c r="AH1839" s="291" t="s">
        <v>4630</v>
      </c>
      <c r="AI1839" s="309"/>
      <c r="AJ1839" s="309"/>
      <c r="AK1839" s="291" t="s">
        <v>37</v>
      </c>
      <c r="AL1839" s="291" t="s">
        <v>94</v>
      </c>
      <c r="AM1839" s="299">
        <f t="shared" ca="1" si="160"/>
        <v>0.97569444444525288</v>
      </c>
      <c r="AN1839" s="51"/>
      <c r="AO1839" s="288" t="s">
        <v>161</v>
      </c>
      <c r="AP1839" s="275" t="s">
        <v>4629</v>
      </c>
      <c r="AQ1839" s="275" t="s">
        <v>4720</v>
      </c>
      <c r="AR1839" s="277">
        <v>44926.458333333336</v>
      </c>
      <c r="AS1839" s="272" t="s">
        <v>483</v>
      </c>
      <c r="AT1839" s="288" t="s">
        <v>225</v>
      </c>
      <c r="AU1839" s="276">
        <v>0.45833333333333331</v>
      </c>
      <c r="AV1839" s="288">
        <v>1</v>
      </c>
      <c r="AW1839" s="288" t="s">
        <v>66</v>
      </c>
      <c r="AX1839" s="52"/>
      <c r="AY1839" s="52"/>
      <c r="AZ1839" s="52"/>
      <c r="BA1839" s="52"/>
    </row>
    <row r="1840" spans="1:53" x14ac:dyDescent="0.25">
      <c r="A1840" s="296">
        <v>559</v>
      </c>
      <c r="B1840" s="295">
        <v>44925.527777777781</v>
      </c>
      <c r="C1840" s="290">
        <v>0.53125</v>
      </c>
      <c r="D1840" s="290">
        <v>0.54166666666666663</v>
      </c>
      <c r="E1840" s="290">
        <v>0.54861111111111105</v>
      </c>
      <c r="F1840" s="291" t="s">
        <v>170</v>
      </c>
      <c r="G1840" s="291" t="s">
        <v>4631</v>
      </c>
      <c r="H1840" s="294" t="s">
        <v>332</v>
      </c>
      <c r="I1840" s="294" t="s">
        <v>4632</v>
      </c>
      <c r="J1840" s="294" t="s">
        <v>37</v>
      </c>
      <c r="K1840" s="294" t="s">
        <v>63</v>
      </c>
      <c r="L1840" s="156" t="s">
        <v>206</v>
      </c>
      <c r="M1840" s="291" t="s">
        <v>4633</v>
      </c>
      <c r="N1840" s="291" t="s">
        <v>43</v>
      </c>
      <c r="O1840" s="291">
        <v>2053092606</v>
      </c>
      <c r="P1840" s="291">
        <v>1022000503</v>
      </c>
      <c r="Q1840" s="303">
        <f t="shared" si="161"/>
        <v>1</v>
      </c>
      <c r="R1840" s="303">
        <f t="shared" si="162"/>
        <v>592</v>
      </c>
      <c r="S1840" s="291">
        <v>0</v>
      </c>
      <c r="T1840" s="291">
        <v>0</v>
      </c>
      <c r="U1840" s="291">
        <v>1</v>
      </c>
      <c r="V1840" s="291">
        <v>592</v>
      </c>
      <c r="W1840" s="291">
        <v>585</v>
      </c>
      <c r="X1840" s="291">
        <v>133</v>
      </c>
      <c r="Y1840" s="291">
        <v>82</v>
      </c>
      <c r="Z1840" s="291">
        <v>116</v>
      </c>
      <c r="AA1840" s="291">
        <v>1</v>
      </c>
      <c r="AB1840" s="300">
        <f t="shared" si="163"/>
        <v>210.84933333333333</v>
      </c>
      <c r="AC1840" s="300">
        <f t="shared" si="164"/>
        <v>1.2701767068273093</v>
      </c>
      <c r="AD1840" s="291">
        <v>5668</v>
      </c>
      <c r="AE1840" s="291" t="s">
        <v>109</v>
      </c>
      <c r="AF1840" s="291" t="s">
        <v>317</v>
      </c>
      <c r="AG1840" s="291" t="s">
        <v>317</v>
      </c>
      <c r="AH1840" s="291">
        <v>0</v>
      </c>
      <c r="AI1840" s="309"/>
      <c r="AJ1840" s="309"/>
      <c r="AK1840" s="291" t="s">
        <v>41</v>
      </c>
      <c r="AL1840" s="291" t="s">
        <v>56</v>
      </c>
      <c r="AM1840" s="299">
        <f t="shared" ca="1" si="160"/>
        <v>0.93055555555474712</v>
      </c>
      <c r="AN1840" s="51"/>
      <c r="AO1840" s="288" t="s">
        <v>190</v>
      </c>
      <c r="AP1840" s="275" t="s">
        <v>4633</v>
      </c>
      <c r="AQ1840" s="275" t="s">
        <v>4719</v>
      </c>
      <c r="AR1840" s="277">
        <v>44926.458333333336</v>
      </c>
      <c r="AS1840" s="272" t="s">
        <v>483</v>
      </c>
      <c r="AT1840" s="288" t="s">
        <v>225</v>
      </c>
      <c r="AU1840" s="276">
        <v>0.45833333333333331</v>
      </c>
      <c r="AV1840" s="288">
        <v>1</v>
      </c>
      <c r="AW1840" s="288" t="s">
        <v>66</v>
      </c>
      <c r="AX1840" s="52"/>
      <c r="AY1840" s="52"/>
      <c r="AZ1840" s="52"/>
      <c r="BA1840" s="52"/>
    </row>
    <row r="1841" spans="1:53" x14ac:dyDescent="0.25">
      <c r="A1841" s="296">
        <v>560</v>
      </c>
      <c r="B1841" s="295">
        <v>44925.527777777781</v>
      </c>
      <c r="C1841" s="290">
        <v>0.53125</v>
      </c>
      <c r="D1841" s="290">
        <v>0.54166666666666663</v>
      </c>
      <c r="E1841" s="290">
        <v>0.54861111111111105</v>
      </c>
      <c r="F1841" s="291" t="s">
        <v>170</v>
      </c>
      <c r="G1841" s="291" t="s">
        <v>4631</v>
      </c>
      <c r="H1841" s="289" t="s">
        <v>332</v>
      </c>
      <c r="I1841" s="289" t="s">
        <v>429</v>
      </c>
      <c r="J1841" s="289" t="s">
        <v>37</v>
      </c>
      <c r="K1841" s="289" t="s">
        <v>63</v>
      </c>
      <c r="L1841" s="293" t="s">
        <v>206</v>
      </c>
      <c r="M1841" s="291" t="s">
        <v>4634</v>
      </c>
      <c r="N1841" s="291" t="s">
        <v>42</v>
      </c>
      <c r="O1841" s="291">
        <v>2053092603</v>
      </c>
      <c r="P1841" s="291">
        <v>1052088649</v>
      </c>
      <c r="Q1841" s="303">
        <f t="shared" si="161"/>
        <v>1</v>
      </c>
      <c r="R1841" s="303">
        <f t="shared" si="162"/>
        <v>61</v>
      </c>
      <c r="S1841" s="291">
        <v>0</v>
      </c>
      <c r="T1841" s="291">
        <v>0</v>
      </c>
      <c r="U1841" s="291">
        <v>1</v>
      </c>
      <c r="V1841" s="291">
        <v>61</v>
      </c>
      <c r="W1841" s="291">
        <v>59</v>
      </c>
      <c r="X1841" s="291">
        <v>47</v>
      </c>
      <c r="Y1841" s="291">
        <v>44</v>
      </c>
      <c r="Z1841" s="291">
        <v>38</v>
      </c>
      <c r="AA1841" s="291">
        <v>1</v>
      </c>
      <c r="AB1841" s="300">
        <f t="shared" si="163"/>
        <v>13.097333333333333</v>
      </c>
      <c r="AC1841" s="300">
        <f t="shared" si="164"/>
        <v>7.8899598393574299E-2</v>
      </c>
      <c r="AD1841" s="291">
        <v>154.88</v>
      </c>
      <c r="AE1841" s="291" t="s">
        <v>109</v>
      </c>
      <c r="AF1841" s="291" t="s">
        <v>317</v>
      </c>
      <c r="AG1841" s="291" t="s">
        <v>317</v>
      </c>
      <c r="AH1841" s="291">
        <v>0</v>
      </c>
      <c r="AI1841" s="309"/>
      <c r="AJ1841" s="309"/>
      <c r="AK1841" s="291" t="s">
        <v>41</v>
      </c>
      <c r="AL1841" s="291" t="s">
        <v>56</v>
      </c>
      <c r="AM1841" s="299">
        <f t="shared" ca="1" si="160"/>
        <v>0.12152777777373558</v>
      </c>
      <c r="AN1841" s="51"/>
      <c r="AO1841" s="288" t="s">
        <v>120</v>
      </c>
      <c r="AP1841" s="275" t="s">
        <v>4634</v>
      </c>
      <c r="AQ1841" s="288" t="s">
        <v>4637</v>
      </c>
      <c r="AR1841" s="277">
        <v>44925.649305555555</v>
      </c>
      <c r="AS1841" s="288" t="s">
        <v>136</v>
      </c>
      <c r="AT1841" s="288" t="s">
        <v>225</v>
      </c>
      <c r="AU1841" s="276">
        <v>0.64930555555555558</v>
      </c>
      <c r="AV1841" s="288">
        <v>2</v>
      </c>
      <c r="AW1841" s="288" t="s">
        <v>66</v>
      </c>
      <c r="AX1841" s="52"/>
      <c r="AY1841" s="52"/>
      <c r="AZ1841" s="52"/>
      <c r="BA1841" s="52"/>
    </row>
    <row r="1842" spans="1:53" x14ac:dyDescent="0.25">
      <c r="A1842" s="296">
        <v>561</v>
      </c>
      <c r="B1842" s="295">
        <v>44925.527777777781</v>
      </c>
      <c r="C1842" s="290">
        <v>0.53125</v>
      </c>
      <c r="D1842" s="290">
        <v>0.54166666666666663</v>
      </c>
      <c r="E1842" s="290">
        <v>0.54861111111111105</v>
      </c>
      <c r="F1842" s="291" t="s">
        <v>170</v>
      </c>
      <c r="G1842" s="291" t="s">
        <v>4631</v>
      </c>
      <c r="H1842" s="289" t="s">
        <v>332</v>
      </c>
      <c r="I1842" s="289" t="s">
        <v>429</v>
      </c>
      <c r="J1842" s="289" t="s">
        <v>37</v>
      </c>
      <c r="K1842" s="289" t="s">
        <v>63</v>
      </c>
      <c r="L1842" s="293" t="s">
        <v>206</v>
      </c>
      <c r="M1842" s="291" t="s">
        <v>4634</v>
      </c>
      <c r="N1842" s="291" t="s">
        <v>42</v>
      </c>
      <c r="O1842" s="291">
        <v>2053092604</v>
      </c>
      <c r="P1842" s="291">
        <v>1052088664</v>
      </c>
      <c r="Q1842" s="303">
        <f t="shared" si="161"/>
        <v>2</v>
      </c>
      <c r="R1842" s="303">
        <f t="shared" si="162"/>
        <v>67</v>
      </c>
      <c r="S1842" s="291">
        <v>0</v>
      </c>
      <c r="T1842" s="291">
        <v>0</v>
      </c>
      <c r="U1842" s="291">
        <v>2</v>
      </c>
      <c r="V1842" s="291">
        <v>67</v>
      </c>
      <c r="W1842" s="291">
        <v>66</v>
      </c>
      <c r="X1842" s="291">
        <v>51</v>
      </c>
      <c r="Y1842" s="291">
        <v>40</v>
      </c>
      <c r="Z1842" s="291">
        <v>40</v>
      </c>
      <c r="AA1842" s="291">
        <v>1</v>
      </c>
      <c r="AB1842" s="300">
        <f t="shared" si="163"/>
        <v>13.6</v>
      </c>
      <c r="AC1842" s="300">
        <f t="shared" si="164"/>
        <v>8.1927710843373497E-2</v>
      </c>
      <c r="AD1842" s="291">
        <v>835.49</v>
      </c>
      <c r="AE1842" s="291" t="s">
        <v>109</v>
      </c>
      <c r="AF1842" s="291" t="s">
        <v>317</v>
      </c>
      <c r="AG1842" s="291" t="s">
        <v>317</v>
      </c>
      <c r="AH1842" s="291">
        <v>0</v>
      </c>
      <c r="AI1842" s="309"/>
      <c r="AJ1842" s="309"/>
      <c r="AK1842" s="291" t="s">
        <v>41</v>
      </c>
      <c r="AL1842" s="291" t="s">
        <v>56</v>
      </c>
      <c r="AM1842" s="299">
        <f t="shared" ca="1" si="160"/>
        <v>0.12152777777373558</v>
      </c>
      <c r="AN1842" s="51"/>
      <c r="AO1842" s="288" t="s">
        <v>120</v>
      </c>
      <c r="AP1842" s="275" t="s">
        <v>4634</v>
      </c>
      <c r="AQ1842" s="288" t="s">
        <v>4637</v>
      </c>
      <c r="AR1842" s="277">
        <v>44925.649305555555</v>
      </c>
      <c r="AS1842" s="288" t="s">
        <v>136</v>
      </c>
      <c r="AT1842" s="288" t="s">
        <v>225</v>
      </c>
      <c r="AU1842" s="276">
        <v>0.64930555555555558</v>
      </c>
      <c r="AV1842" s="288">
        <v>2</v>
      </c>
      <c r="AW1842" s="288" t="s">
        <v>66</v>
      </c>
      <c r="AX1842" s="52"/>
      <c r="AY1842" s="52"/>
      <c r="AZ1842" s="52"/>
      <c r="BA1842" s="52"/>
    </row>
    <row r="1843" spans="1:53" x14ac:dyDescent="0.25">
      <c r="A1843" s="312">
        <v>561</v>
      </c>
      <c r="B1843" s="295">
        <v>44925.527777777781</v>
      </c>
      <c r="C1843" s="290">
        <v>0.53125</v>
      </c>
      <c r="D1843" s="290">
        <v>0.54166666666666663</v>
      </c>
      <c r="E1843" s="290">
        <v>0.54861111111111105</v>
      </c>
      <c r="F1843" s="291" t="s">
        <v>170</v>
      </c>
      <c r="G1843" s="291" t="s">
        <v>4631</v>
      </c>
      <c r="H1843" s="289" t="s">
        <v>332</v>
      </c>
      <c r="I1843" s="289" t="s">
        <v>429</v>
      </c>
      <c r="J1843" s="289" t="s">
        <v>37</v>
      </c>
      <c r="K1843" s="289" t="s">
        <v>63</v>
      </c>
      <c r="L1843" s="293" t="s">
        <v>206</v>
      </c>
      <c r="M1843" s="291" t="s">
        <v>4634</v>
      </c>
      <c r="N1843" s="291" t="s">
        <v>42</v>
      </c>
      <c r="O1843" s="291">
        <v>2053092604</v>
      </c>
      <c r="P1843" s="291">
        <v>1052088664</v>
      </c>
      <c r="Q1843" s="303">
        <f t="shared" si="161"/>
        <v>0</v>
      </c>
      <c r="R1843" s="303">
        <f t="shared" si="162"/>
        <v>0</v>
      </c>
      <c r="S1843" s="291">
        <v>0</v>
      </c>
      <c r="T1843" s="291">
        <v>0</v>
      </c>
      <c r="U1843" s="291">
        <v>0</v>
      </c>
      <c r="V1843" s="291">
        <v>0</v>
      </c>
      <c r="W1843" s="291">
        <v>0</v>
      </c>
      <c r="X1843" s="291">
        <v>30</v>
      </c>
      <c r="Y1843" s="291">
        <v>30</v>
      </c>
      <c r="Z1843" s="291">
        <v>33</v>
      </c>
      <c r="AA1843" s="291">
        <v>1</v>
      </c>
      <c r="AB1843" s="300">
        <f t="shared" si="163"/>
        <v>4.95</v>
      </c>
      <c r="AC1843" s="300">
        <f t="shared" si="164"/>
        <v>2.9819277108433736E-2</v>
      </c>
      <c r="AD1843" s="291">
        <v>0</v>
      </c>
      <c r="AE1843" s="291">
        <v>0</v>
      </c>
      <c r="AF1843" s="291" t="s">
        <v>317</v>
      </c>
      <c r="AG1843" s="291" t="s">
        <v>317</v>
      </c>
      <c r="AH1843" s="291">
        <v>0</v>
      </c>
      <c r="AI1843" s="309"/>
      <c r="AJ1843" s="309"/>
      <c r="AK1843" s="291" t="s">
        <v>41</v>
      </c>
      <c r="AL1843" s="291" t="s">
        <v>56</v>
      </c>
      <c r="AM1843" s="299">
        <f t="shared" ca="1" si="160"/>
        <v>0.12152777777373558</v>
      </c>
      <c r="AN1843" s="51"/>
      <c r="AO1843" s="288" t="s">
        <v>120</v>
      </c>
      <c r="AP1843" s="275" t="s">
        <v>4634</v>
      </c>
      <c r="AQ1843" s="288" t="s">
        <v>4637</v>
      </c>
      <c r="AR1843" s="277">
        <v>44925.649305555555</v>
      </c>
      <c r="AS1843" s="288" t="s">
        <v>136</v>
      </c>
      <c r="AT1843" s="288" t="s">
        <v>225</v>
      </c>
      <c r="AU1843" s="276">
        <v>0.64930555555555558</v>
      </c>
      <c r="AV1843" s="288">
        <v>2</v>
      </c>
      <c r="AW1843" s="288" t="s">
        <v>66</v>
      </c>
      <c r="AX1843" s="52"/>
      <c r="AY1843" s="52"/>
      <c r="AZ1843" s="52"/>
      <c r="BA1843" s="52"/>
    </row>
    <row r="1844" spans="1:53" x14ac:dyDescent="0.25">
      <c r="A1844" s="296">
        <v>562</v>
      </c>
      <c r="B1844" s="295">
        <v>44925.527777777781</v>
      </c>
      <c r="C1844" s="290">
        <v>0.53125</v>
      </c>
      <c r="D1844" s="290">
        <v>0.54166666666666663</v>
      </c>
      <c r="E1844" s="290">
        <v>0.54861111111111105</v>
      </c>
      <c r="F1844" s="291" t="s">
        <v>170</v>
      </c>
      <c r="G1844" s="291" t="s">
        <v>4631</v>
      </c>
      <c r="H1844" s="289" t="s">
        <v>332</v>
      </c>
      <c r="I1844" s="289" t="s">
        <v>429</v>
      </c>
      <c r="J1844" s="289" t="s">
        <v>37</v>
      </c>
      <c r="K1844" s="289" t="s">
        <v>63</v>
      </c>
      <c r="L1844" s="293" t="s">
        <v>206</v>
      </c>
      <c r="M1844" s="291" t="s">
        <v>4634</v>
      </c>
      <c r="N1844" s="291" t="s">
        <v>42</v>
      </c>
      <c r="O1844" s="291">
        <v>2053092605</v>
      </c>
      <c r="P1844" s="291">
        <v>1052088665</v>
      </c>
      <c r="Q1844" s="303">
        <f t="shared" si="161"/>
        <v>10</v>
      </c>
      <c r="R1844" s="303">
        <f t="shared" si="162"/>
        <v>349</v>
      </c>
      <c r="S1844" s="291">
        <v>0</v>
      </c>
      <c r="T1844" s="291">
        <v>0</v>
      </c>
      <c r="U1844" s="291">
        <v>10</v>
      </c>
      <c r="V1844" s="291">
        <v>349</v>
      </c>
      <c r="W1844" s="291">
        <v>355</v>
      </c>
      <c r="X1844" s="291">
        <v>60</v>
      </c>
      <c r="Y1844" s="291">
        <v>46</v>
      </c>
      <c r="Z1844" s="291">
        <v>51</v>
      </c>
      <c r="AA1844" s="291">
        <v>1</v>
      </c>
      <c r="AB1844" s="300">
        <f t="shared" si="163"/>
        <v>23.46</v>
      </c>
      <c r="AC1844" s="300">
        <f t="shared" si="164"/>
        <v>0.14132530120481929</v>
      </c>
      <c r="AD1844" s="291">
        <v>2338.33</v>
      </c>
      <c r="AE1844" s="291" t="s">
        <v>109</v>
      </c>
      <c r="AF1844" s="291" t="s">
        <v>317</v>
      </c>
      <c r="AG1844" s="291" t="s">
        <v>317</v>
      </c>
      <c r="AH1844" s="291">
        <v>0</v>
      </c>
      <c r="AI1844" s="309"/>
      <c r="AJ1844" s="309"/>
      <c r="AK1844" s="291" t="s">
        <v>41</v>
      </c>
      <c r="AL1844" s="291" t="s">
        <v>56</v>
      </c>
      <c r="AM1844" s="299">
        <f t="shared" ca="1" si="160"/>
        <v>0.12152777777373558</v>
      </c>
      <c r="AN1844" s="51"/>
      <c r="AO1844" s="288" t="s">
        <v>120</v>
      </c>
      <c r="AP1844" s="275" t="s">
        <v>4634</v>
      </c>
      <c r="AQ1844" s="288" t="s">
        <v>4637</v>
      </c>
      <c r="AR1844" s="277">
        <v>44925.649305555555</v>
      </c>
      <c r="AS1844" s="288" t="s">
        <v>136</v>
      </c>
      <c r="AT1844" s="288" t="s">
        <v>225</v>
      </c>
      <c r="AU1844" s="276">
        <v>0.64930555555555558</v>
      </c>
      <c r="AV1844" s="288">
        <v>2</v>
      </c>
      <c r="AW1844" s="288" t="s">
        <v>66</v>
      </c>
      <c r="AX1844" s="52"/>
      <c r="AY1844" s="52"/>
      <c r="AZ1844" s="52"/>
      <c r="BA1844" s="52"/>
    </row>
    <row r="1845" spans="1:53" x14ac:dyDescent="0.25">
      <c r="A1845" s="312">
        <v>562</v>
      </c>
      <c r="B1845" s="295">
        <v>44925.527777777781</v>
      </c>
      <c r="C1845" s="290">
        <v>0.53125</v>
      </c>
      <c r="D1845" s="290">
        <v>0.54166666666666663</v>
      </c>
      <c r="E1845" s="290">
        <v>0.54861111111111105</v>
      </c>
      <c r="F1845" s="291" t="s">
        <v>170</v>
      </c>
      <c r="G1845" s="291" t="s">
        <v>4631</v>
      </c>
      <c r="H1845" s="289" t="s">
        <v>332</v>
      </c>
      <c r="I1845" s="289" t="s">
        <v>429</v>
      </c>
      <c r="J1845" s="289" t="s">
        <v>37</v>
      </c>
      <c r="K1845" s="289" t="s">
        <v>63</v>
      </c>
      <c r="L1845" s="293" t="s">
        <v>206</v>
      </c>
      <c r="M1845" s="291" t="s">
        <v>4634</v>
      </c>
      <c r="N1845" s="291" t="s">
        <v>42</v>
      </c>
      <c r="O1845" s="291">
        <v>2053092605</v>
      </c>
      <c r="P1845" s="291">
        <v>1052088665</v>
      </c>
      <c r="Q1845" s="303">
        <f t="shared" si="161"/>
        <v>0</v>
      </c>
      <c r="R1845" s="303">
        <f t="shared" si="162"/>
        <v>0</v>
      </c>
      <c r="S1845" s="291">
        <v>0</v>
      </c>
      <c r="T1845" s="291">
        <v>0</v>
      </c>
      <c r="U1845" s="291">
        <v>0</v>
      </c>
      <c r="V1845" s="291">
        <v>0</v>
      </c>
      <c r="W1845" s="291">
        <v>0</v>
      </c>
      <c r="X1845" s="291">
        <v>51</v>
      </c>
      <c r="Y1845" s="291">
        <v>40</v>
      </c>
      <c r="Z1845" s="291">
        <v>40</v>
      </c>
      <c r="AA1845" s="291">
        <v>3</v>
      </c>
      <c r="AB1845" s="300">
        <f t="shared" si="163"/>
        <v>40.799999999999997</v>
      </c>
      <c r="AC1845" s="300">
        <f t="shared" si="164"/>
        <v>0.24578313253012046</v>
      </c>
      <c r="AD1845" s="291">
        <v>0</v>
      </c>
      <c r="AE1845" s="291">
        <v>0</v>
      </c>
      <c r="AF1845" s="291" t="s">
        <v>317</v>
      </c>
      <c r="AG1845" s="291" t="s">
        <v>317</v>
      </c>
      <c r="AH1845" s="291">
        <v>0</v>
      </c>
      <c r="AI1845" s="309"/>
      <c r="AJ1845" s="309"/>
      <c r="AK1845" s="291" t="s">
        <v>41</v>
      </c>
      <c r="AL1845" s="291" t="s">
        <v>56</v>
      </c>
      <c r="AM1845" s="299">
        <f t="shared" ca="1" si="160"/>
        <v>0.12152777777373558</v>
      </c>
      <c r="AN1845" s="51"/>
      <c r="AO1845" s="288" t="s">
        <v>120</v>
      </c>
      <c r="AP1845" s="275" t="s">
        <v>4634</v>
      </c>
      <c r="AQ1845" s="288" t="s">
        <v>4637</v>
      </c>
      <c r="AR1845" s="277">
        <v>44925.649305555555</v>
      </c>
      <c r="AS1845" s="288" t="s">
        <v>136</v>
      </c>
      <c r="AT1845" s="288" t="s">
        <v>225</v>
      </c>
      <c r="AU1845" s="276">
        <v>0.64930555555555558</v>
      </c>
      <c r="AV1845" s="288">
        <v>2</v>
      </c>
      <c r="AW1845" s="288" t="s">
        <v>66</v>
      </c>
      <c r="AX1845" s="52"/>
      <c r="AY1845" s="52"/>
      <c r="AZ1845" s="52"/>
      <c r="BA1845" s="52"/>
    </row>
    <row r="1846" spans="1:53" x14ac:dyDescent="0.25">
      <c r="A1846" s="312">
        <v>562</v>
      </c>
      <c r="B1846" s="295">
        <v>44925.527777777781</v>
      </c>
      <c r="C1846" s="290">
        <v>0.53125</v>
      </c>
      <c r="D1846" s="290">
        <v>0.54166666666666663</v>
      </c>
      <c r="E1846" s="290">
        <v>0.54861111111111105</v>
      </c>
      <c r="F1846" s="291" t="s">
        <v>170</v>
      </c>
      <c r="G1846" s="291" t="s">
        <v>4631</v>
      </c>
      <c r="H1846" s="289" t="s">
        <v>332</v>
      </c>
      <c r="I1846" s="289" t="s">
        <v>429</v>
      </c>
      <c r="J1846" s="289" t="s">
        <v>37</v>
      </c>
      <c r="K1846" s="289" t="s">
        <v>63</v>
      </c>
      <c r="L1846" s="293" t="s">
        <v>206</v>
      </c>
      <c r="M1846" s="291" t="s">
        <v>4634</v>
      </c>
      <c r="N1846" s="291" t="s">
        <v>42</v>
      </c>
      <c r="O1846" s="291">
        <v>2053092605</v>
      </c>
      <c r="P1846" s="291">
        <v>1052088665</v>
      </c>
      <c r="Q1846" s="303">
        <f t="shared" si="161"/>
        <v>0</v>
      </c>
      <c r="R1846" s="303">
        <f t="shared" si="162"/>
        <v>0</v>
      </c>
      <c r="S1846" s="291">
        <v>0</v>
      </c>
      <c r="T1846" s="291">
        <v>0</v>
      </c>
      <c r="U1846" s="291">
        <v>0</v>
      </c>
      <c r="V1846" s="291">
        <v>0</v>
      </c>
      <c r="W1846" s="291">
        <v>0</v>
      </c>
      <c r="X1846" s="291">
        <v>41</v>
      </c>
      <c r="Y1846" s="291">
        <v>25</v>
      </c>
      <c r="Z1846" s="291">
        <v>33</v>
      </c>
      <c r="AA1846" s="291">
        <v>3</v>
      </c>
      <c r="AB1846" s="300">
        <f t="shared" si="163"/>
        <v>16.912500000000001</v>
      </c>
      <c r="AC1846" s="300">
        <f t="shared" si="164"/>
        <v>0.10188253012048194</v>
      </c>
      <c r="AD1846" s="291">
        <v>0</v>
      </c>
      <c r="AE1846" s="291">
        <v>0</v>
      </c>
      <c r="AF1846" s="291" t="s">
        <v>317</v>
      </c>
      <c r="AG1846" s="291" t="s">
        <v>317</v>
      </c>
      <c r="AH1846" s="291">
        <v>0</v>
      </c>
      <c r="AI1846" s="309"/>
      <c r="AJ1846" s="309"/>
      <c r="AK1846" s="291" t="s">
        <v>41</v>
      </c>
      <c r="AL1846" s="291" t="s">
        <v>56</v>
      </c>
      <c r="AM1846" s="299">
        <f t="shared" ca="1" si="160"/>
        <v>0.12152777777373558</v>
      </c>
      <c r="AN1846" s="51"/>
      <c r="AO1846" s="288" t="s">
        <v>120</v>
      </c>
      <c r="AP1846" s="275" t="s">
        <v>4634</v>
      </c>
      <c r="AQ1846" s="288" t="s">
        <v>4637</v>
      </c>
      <c r="AR1846" s="277">
        <v>44925.649305555555</v>
      </c>
      <c r="AS1846" s="288" t="s">
        <v>136</v>
      </c>
      <c r="AT1846" s="288" t="s">
        <v>225</v>
      </c>
      <c r="AU1846" s="276">
        <v>0.64930555555555558</v>
      </c>
      <c r="AV1846" s="288">
        <v>2</v>
      </c>
      <c r="AW1846" s="288" t="s">
        <v>66</v>
      </c>
      <c r="AX1846" s="52"/>
      <c r="AY1846" s="52"/>
      <c r="AZ1846" s="52"/>
      <c r="BA1846" s="52"/>
    </row>
    <row r="1847" spans="1:53" x14ac:dyDescent="0.25">
      <c r="A1847" s="312">
        <v>562</v>
      </c>
      <c r="B1847" s="295">
        <v>44925.527777777781</v>
      </c>
      <c r="C1847" s="290">
        <v>0.53125</v>
      </c>
      <c r="D1847" s="290">
        <v>0.54166666666666663</v>
      </c>
      <c r="E1847" s="290">
        <v>0.54861111111111105</v>
      </c>
      <c r="F1847" s="291" t="s">
        <v>170</v>
      </c>
      <c r="G1847" s="291" t="s">
        <v>4631</v>
      </c>
      <c r="H1847" s="289" t="s">
        <v>332</v>
      </c>
      <c r="I1847" s="289" t="s">
        <v>429</v>
      </c>
      <c r="J1847" s="289" t="s">
        <v>37</v>
      </c>
      <c r="K1847" s="289" t="s">
        <v>63</v>
      </c>
      <c r="L1847" s="293" t="s">
        <v>206</v>
      </c>
      <c r="M1847" s="291" t="s">
        <v>4634</v>
      </c>
      <c r="N1847" s="291" t="s">
        <v>42</v>
      </c>
      <c r="O1847" s="291">
        <v>2053092605</v>
      </c>
      <c r="P1847" s="291">
        <v>1052088665</v>
      </c>
      <c r="Q1847" s="303">
        <f t="shared" si="161"/>
        <v>0</v>
      </c>
      <c r="R1847" s="303">
        <f t="shared" si="162"/>
        <v>0</v>
      </c>
      <c r="S1847" s="291">
        <v>0</v>
      </c>
      <c r="T1847" s="291">
        <v>0</v>
      </c>
      <c r="U1847" s="291">
        <v>0</v>
      </c>
      <c r="V1847" s="291">
        <v>0</v>
      </c>
      <c r="W1847" s="291">
        <v>0</v>
      </c>
      <c r="X1847" s="291">
        <v>56</v>
      </c>
      <c r="Y1847" s="291">
        <v>56</v>
      </c>
      <c r="Z1847" s="291">
        <v>44</v>
      </c>
      <c r="AA1847" s="291">
        <v>1</v>
      </c>
      <c r="AB1847" s="300">
        <f t="shared" si="163"/>
        <v>22.997333333333334</v>
      </c>
      <c r="AC1847" s="300">
        <f t="shared" si="164"/>
        <v>0.13853815261044178</v>
      </c>
      <c r="AD1847" s="291">
        <v>0</v>
      </c>
      <c r="AE1847" s="291">
        <v>0</v>
      </c>
      <c r="AF1847" s="291" t="s">
        <v>317</v>
      </c>
      <c r="AG1847" s="291" t="s">
        <v>317</v>
      </c>
      <c r="AH1847" s="291">
        <v>0</v>
      </c>
      <c r="AI1847" s="309"/>
      <c r="AJ1847" s="309"/>
      <c r="AK1847" s="291" t="s">
        <v>41</v>
      </c>
      <c r="AL1847" s="291" t="s">
        <v>56</v>
      </c>
      <c r="AM1847" s="299">
        <f t="shared" ca="1" si="160"/>
        <v>0.12152777777373558</v>
      </c>
      <c r="AN1847" s="51"/>
      <c r="AO1847" s="288" t="s">
        <v>120</v>
      </c>
      <c r="AP1847" s="275" t="s">
        <v>4634</v>
      </c>
      <c r="AQ1847" s="288" t="s">
        <v>4637</v>
      </c>
      <c r="AR1847" s="277">
        <v>44925.649305555555</v>
      </c>
      <c r="AS1847" s="288" t="s">
        <v>136</v>
      </c>
      <c r="AT1847" s="288" t="s">
        <v>225</v>
      </c>
      <c r="AU1847" s="276">
        <v>0.64930555555555558</v>
      </c>
      <c r="AV1847" s="288">
        <v>2</v>
      </c>
      <c r="AW1847" s="288" t="s">
        <v>66</v>
      </c>
      <c r="AX1847" s="52"/>
      <c r="AY1847" s="52"/>
      <c r="AZ1847" s="52"/>
      <c r="BA1847" s="52"/>
    </row>
    <row r="1848" spans="1:53" x14ac:dyDescent="0.25">
      <c r="A1848" s="312">
        <v>562</v>
      </c>
      <c r="B1848" s="295">
        <v>44925.527777777781</v>
      </c>
      <c r="C1848" s="290">
        <v>0.53125</v>
      </c>
      <c r="D1848" s="290">
        <v>0.54166666666666663</v>
      </c>
      <c r="E1848" s="290">
        <v>0.54861111111111105</v>
      </c>
      <c r="F1848" s="291" t="s">
        <v>170</v>
      </c>
      <c r="G1848" s="291" t="s">
        <v>4631</v>
      </c>
      <c r="H1848" s="289" t="s">
        <v>332</v>
      </c>
      <c r="I1848" s="289" t="s">
        <v>429</v>
      </c>
      <c r="J1848" s="289" t="s">
        <v>37</v>
      </c>
      <c r="K1848" s="289" t="s">
        <v>63</v>
      </c>
      <c r="L1848" s="293" t="s">
        <v>206</v>
      </c>
      <c r="M1848" s="291" t="s">
        <v>4634</v>
      </c>
      <c r="N1848" s="291" t="s">
        <v>42</v>
      </c>
      <c r="O1848" s="291">
        <v>2053092605</v>
      </c>
      <c r="P1848" s="291">
        <v>1052088665</v>
      </c>
      <c r="Q1848" s="303">
        <f t="shared" si="161"/>
        <v>0</v>
      </c>
      <c r="R1848" s="303">
        <f t="shared" si="162"/>
        <v>0</v>
      </c>
      <c r="S1848" s="291">
        <v>0</v>
      </c>
      <c r="T1848" s="291">
        <v>0</v>
      </c>
      <c r="U1848" s="291">
        <v>0</v>
      </c>
      <c r="V1848" s="291">
        <v>0</v>
      </c>
      <c r="W1848" s="291">
        <v>0</v>
      </c>
      <c r="X1848" s="291">
        <v>30</v>
      </c>
      <c r="Y1848" s="291">
        <v>30</v>
      </c>
      <c r="Z1848" s="291">
        <v>34</v>
      </c>
      <c r="AA1848" s="291">
        <v>2</v>
      </c>
      <c r="AB1848" s="300">
        <f t="shared" si="163"/>
        <v>10.199999999999999</v>
      </c>
      <c r="AC1848" s="300">
        <f t="shared" si="164"/>
        <v>6.1445783132530116E-2</v>
      </c>
      <c r="AD1848" s="291">
        <v>0</v>
      </c>
      <c r="AE1848" s="291">
        <v>0</v>
      </c>
      <c r="AF1848" s="291" t="s">
        <v>317</v>
      </c>
      <c r="AG1848" s="291" t="s">
        <v>317</v>
      </c>
      <c r="AH1848" s="291">
        <v>0</v>
      </c>
      <c r="AI1848" s="309"/>
      <c r="AJ1848" s="309"/>
      <c r="AK1848" s="291" t="s">
        <v>41</v>
      </c>
      <c r="AL1848" s="291" t="s">
        <v>56</v>
      </c>
      <c r="AM1848" s="299">
        <f t="shared" ca="1" si="160"/>
        <v>0.12152777777373558</v>
      </c>
      <c r="AN1848" s="51"/>
      <c r="AO1848" s="288" t="s">
        <v>120</v>
      </c>
      <c r="AP1848" s="275" t="s">
        <v>4634</v>
      </c>
      <c r="AQ1848" s="288" t="s">
        <v>4637</v>
      </c>
      <c r="AR1848" s="277">
        <v>44925.649305555555</v>
      </c>
      <c r="AS1848" s="288" t="s">
        <v>136</v>
      </c>
      <c r="AT1848" s="288" t="s">
        <v>225</v>
      </c>
      <c r="AU1848" s="276">
        <v>0.64930555555555558</v>
      </c>
      <c r="AV1848" s="288">
        <v>2</v>
      </c>
      <c r="AW1848" s="288" t="s">
        <v>66</v>
      </c>
      <c r="AX1848" s="52"/>
      <c r="AY1848" s="52"/>
      <c r="AZ1848" s="52"/>
      <c r="BA1848" s="52"/>
    </row>
    <row r="1849" spans="1:53" x14ac:dyDescent="0.25">
      <c r="A1849" s="296">
        <v>563</v>
      </c>
      <c r="B1849" s="295">
        <v>44925.684027777781</v>
      </c>
      <c r="C1849" s="290">
        <v>0.6875</v>
      </c>
      <c r="D1849" s="290">
        <v>0.69097222222222221</v>
      </c>
      <c r="E1849" s="290">
        <v>0.69444444444444453</v>
      </c>
      <c r="F1849" s="291" t="s">
        <v>169</v>
      </c>
      <c r="G1849" s="291" t="s">
        <v>4432</v>
      </c>
      <c r="H1849" s="294" t="s">
        <v>312</v>
      </c>
      <c r="I1849" s="294" t="s">
        <v>313</v>
      </c>
      <c r="J1849" s="294" t="s">
        <v>37</v>
      </c>
      <c r="K1849" s="289" t="s">
        <v>233</v>
      </c>
      <c r="L1849" s="289" t="s">
        <v>306</v>
      </c>
      <c r="M1849" s="291" t="s">
        <v>4641</v>
      </c>
      <c r="N1849" s="291" t="s">
        <v>76</v>
      </c>
      <c r="O1849" s="291" t="s">
        <v>4642</v>
      </c>
      <c r="P1849" s="291" t="s">
        <v>4643</v>
      </c>
      <c r="Q1849" s="303">
        <f t="shared" si="161"/>
        <v>8</v>
      </c>
      <c r="R1849" s="303">
        <f t="shared" si="162"/>
        <v>61</v>
      </c>
      <c r="S1849" s="291">
        <v>8</v>
      </c>
      <c r="T1849" s="291">
        <v>61</v>
      </c>
      <c r="U1849" s="291">
        <v>0</v>
      </c>
      <c r="V1849" s="291">
        <v>0</v>
      </c>
      <c r="W1849" s="291">
        <v>59.2</v>
      </c>
      <c r="X1849" s="291">
        <v>64</v>
      </c>
      <c r="Y1849" s="291">
        <v>52</v>
      </c>
      <c r="Z1849" s="291">
        <v>18</v>
      </c>
      <c r="AA1849" s="291">
        <v>8</v>
      </c>
      <c r="AB1849" s="300">
        <f t="shared" si="163"/>
        <v>79.872</v>
      </c>
      <c r="AC1849" s="300">
        <f t="shared" si="164"/>
        <v>0.48115662650602409</v>
      </c>
      <c r="AD1849" s="291">
        <v>584</v>
      </c>
      <c r="AE1849" s="291" t="s">
        <v>109</v>
      </c>
      <c r="AF1849" s="291">
        <v>6569434</v>
      </c>
      <c r="AG1849" s="291" t="s">
        <v>4644</v>
      </c>
      <c r="AH1849" s="291" t="s">
        <v>4645</v>
      </c>
      <c r="AI1849" s="309"/>
      <c r="AJ1849" s="309"/>
      <c r="AK1849" s="291" t="s">
        <v>48</v>
      </c>
      <c r="AL1849" s="291" t="s">
        <v>50</v>
      </c>
      <c r="AM1849" s="299">
        <f t="shared" ca="1" si="160"/>
        <v>4.0034722222189885</v>
      </c>
      <c r="AN1849" s="51"/>
      <c r="AO1849" s="288" t="s">
        <v>123</v>
      </c>
      <c r="AP1849" s="275" t="s">
        <v>4641</v>
      </c>
      <c r="AQ1849" s="288" t="s">
        <v>4823</v>
      </c>
      <c r="AR1849" s="277">
        <v>44929.6875</v>
      </c>
      <c r="AS1849" s="272" t="s">
        <v>811</v>
      </c>
      <c r="AT1849" s="288" t="s">
        <v>310</v>
      </c>
      <c r="AU1849" s="276">
        <v>0.6875</v>
      </c>
      <c r="AV1849" s="288">
        <v>1</v>
      </c>
      <c r="AW1849" s="288" t="s">
        <v>66</v>
      </c>
      <c r="AX1849" s="52"/>
      <c r="AY1849" s="52"/>
      <c r="AZ1849" s="52"/>
      <c r="BA1849" s="52"/>
    </row>
    <row r="1850" spans="1:53" x14ac:dyDescent="0.25">
      <c r="A1850" s="296">
        <v>564</v>
      </c>
      <c r="B1850" s="295">
        <v>44925.701388888891</v>
      </c>
      <c r="C1850" s="290">
        <v>0.70486111111111116</v>
      </c>
      <c r="D1850" s="290">
        <v>0.70833333333333337</v>
      </c>
      <c r="E1850" s="290">
        <v>0.73263888888888884</v>
      </c>
      <c r="F1850" s="291" t="s">
        <v>169</v>
      </c>
      <c r="G1850" s="291" t="s">
        <v>151</v>
      </c>
      <c r="H1850" s="289" t="s">
        <v>442</v>
      </c>
      <c r="I1850" s="289" t="s">
        <v>188</v>
      </c>
      <c r="J1850" s="289" t="s">
        <v>37</v>
      </c>
      <c r="K1850" s="289" t="s">
        <v>180</v>
      </c>
      <c r="L1850" s="289">
        <v>0</v>
      </c>
      <c r="M1850" s="291" t="s">
        <v>4646</v>
      </c>
      <c r="N1850" s="291" t="s">
        <v>76</v>
      </c>
      <c r="O1850" s="291">
        <v>2233200445</v>
      </c>
      <c r="P1850" s="291">
        <v>2837</v>
      </c>
      <c r="Q1850" s="303">
        <f t="shared" si="161"/>
        <v>2</v>
      </c>
      <c r="R1850" s="303">
        <f t="shared" si="162"/>
        <v>21</v>
      </c>
      <c r="S1850" s="291">
        <v>2</v>
      </c>
      <c r="T1850" s="291">
        <v>21</v>
      </c>
      <c r="U1850" s="291">
        <v>0</v>
      </c>
      <c r="V1850" s="291">
        <v>0</v>
      </c>
      <c r="W1850" s="291">
        <v>16</v>
      </c>
      <c r="X1850" s="291">
        <v>42</v>
      </c>
      <c r="Y1850" s="291">
        <v>27</v>
      </c>
      <c r="Z1850" s="291">
        <v>23</v>
      </c>
      <c r="AA1850" s="291">
        <v>2</v>
      </c>
      <c r="AB1850" s="300">
        <f t="shared" si="163"/>
        <v>8.6940000000000008</v>
      </c>
      <c r="AC1850" s="300">
        <f t="shared" si="164"/>
        <v>5.2373493975903622E-2</v>
      </c>
      <c r="AD1850" s="291">
        <v>263</v>
      </c>
      <c r="AE1850" s="291" t="s">
        <v>111</v>
      </c>
      <c r="AF1850" s="291" t="s">
        <v>4647</v>
      </c>
      <c r="AG1850" s="291" t="s">
        <v>4644</v>
      </c>
      <c r="AH1850" s="291" t="s">
        <v>4648</v>
      </c>
      <c r="AI1850" s="309"/>
      <c r="AJ1850" s="309"/>
      <c r="AK1850" s="291" t="s">
        <v>48</v>
      </c>
      <c r="AL1850" s="291" t="s">
        <v>47</v>
      </c>
      <c r="AM1850" s="299">
        <f t="shared" ca="1" si="160"/>
        <v>0.75694444444525288</v>
      </c>
      <c r="AN1850" s="51"/>
      <c r="AO1850" s="288" t="s">
        <v>163</v>
      </c>
      <c r="AP1850" s="275" t="s">
        <v>4646</v>
      </c>
      <c r="AQ1850" s="288" t="s">
        <v>4721</v>
      </c>
      <c r="AR1850" s="277">
        <v>44926.458333333336</v>
      </c>
      <c r="AS1850" s="272" t="s">
        <v>483</v>
      </c>
      <c r="AT1850" s="288" t="s">
        <v>225</v>
      </c>
      <c r="AU1850" s="276">
        <v>0.45833333333333331</v>
      </c>
      <c r="AV1850" s="288">
        <v>1</v>
      </c>
      <c r="AW1850" s="288" t="s">
        <v>66</v>
      </c>
      <c r="AX1850" s="52"/>
      <c r="AY1850" s="52"/>
      <c r="AZ1850" s="52"/>
      <c r="BA1850" s="52"/>
    </row>
    <row r="1851" spans="1:53" x14ac:dyDescent="0.25">
      <c r="A1851" s="296">
        <v>565</v>
      </c>
      <c r="B1851" s="295">
        <v>44925.694444444445</v>
      </c>
      <c r="C1851" s="290">
        <v>0.69791666666666663</v>
      </c>
      <c r="D1851" s="290">
        <v>0.72222222222222221</v>
      </c>
      <c r="E1851" s="290">
        <v>0.79166666666666663</v>
      </c>
      <c r="F1851" s="291" t="s">
        <v>169</v>
      </c>
      <c r="G1851" s="291" t="s">
        <v>4649</v>
      </c>
      <c r="H1851" s="289" t="s">
        <v>305</v>
      </c>
      <c r="I1851" s="289" t="s">
        <v>407</v>
      </c>
      <c r="J1851" s="289" t="s">
        <v>41</v>
      </c>
      <c r="K1851" s="291" t="s">
        <v>241</v>
      </c>
      <c r="L1851" s="291" t="s">
        <v>325</v>
      </c>
      <c r="M1851" s="291" t="s">
        <v>4650</v>
      </c>
      <c r="N1851" s="291" t="s">
        <v>42</v>
      </c>
      <c r="O1851" s="291">
        <v>95002995</v>
      </c>
      <c r="P1851" s="291">
        <v>5032332</v>
      </c>
      <c r="Q1851" s="303">
        <f t="shared" si="161"/>
        <v>3</v>
      </c>
      <c r="R1851" s="303">
        <f t="shared" si="162"/>
        <v>13</v>
      </c>
      <c r="S1851" s="291">
        <v>3</v>
      </c>
      <c r="T1851" s="291">
        <v>13</v>
      </c>
      <c r="U1851" s="291">
        <v>0</v>
      </c>
      <c r="V1851" s="291">
        <v>0</v>
      </c>
      <c r="W1851" s="291">
        <v>7.14</v>
      </c>
      <c r="X1851" s="291">
        <v>59</v>
      </c>
      <c r="Y1851" s="291">
        <v>44</v>
      </c>
      <c r="Z1851" s="291">
        <v>14</v>
      </c>
      <c r="AA1851" s="291">
        <v>3</v>
      </c>
      <c r="AB1851" s="300">
        <f t="shared" si="163"/>
        <v>18.172000000000001</v>
      </c>
      <c r="AC1851" s="300">
        <f t="shared" si="164"/>
        <v>0.1094698795180723</v>
      </c>
      <c r="AD1851" s="291">
        <v>493.2</v>
      </c>
      <c r="AE1851" s="291" t="s">
        <v>109</v>
      </c>
      <c r="AF1851" s="291">
        <v>6559341</v>
      </c>
      <c r="AG1851" s="291" t="s">
        <v>4644</v>
      </c>
      <c r="AH1851" s="291">
        <v>0</v>
      </c>
      <c r="AI1851" s="309"/>
      <c r="AJ1851" s="309"/>
      <c r="AK1851" s="291" t="s">
        <v>48</v>
      </c>
      <c r="AL1851" s="291" t="s">
        <v>47</v>
      </c>
      <c r="AM1851" s="299">
        <f t="shared" ca="1" si="160"/>
        <v>0.79861111110949423</v>
      </c>
      <c r="AN1851" s="51"/>
      <c r="AO1851" s="288" t="s">
        <v>135</v>
      </c>
      <c r="AP1851" s="275" t="s">
        <v>4650</v>
      </c>
      <c r="AQ1851" s="288" t="s">
        <v>4724</v>
      </c>
      <c r="AR1851" s="277">
        <v>44926.493055555555</v>
      </c>
      <c r="AS1851" s="288" t="s">
        <v>3008</v>
      </c>
      <c r="AT1851" s="288" t="s">
        <v>65</v>
      </c>
      <c r="AU1851" s="276">
        <v>0.49305555555555558</v>
      </c>
      <c r="AV1851" s="288">
        <v>1</v>
      </c>
      <c r="AW1851" s="288" t="s">
        <v>66</v>
      </c>
      <c r="AX1851" s="52"/>
      <c r="AY1851" s="52"/>
      <c r="AZ1851" s="52"/>
      <c r="BA1851" s="52"/>
    </row>
    <row r="1852" spans="1:53" x14ac:dyDescent="0.25">
      <c r="A1852" s="296">
        <v>566</v>
      </c>
      <c r="B1852" s="295">
        <v>44925.694444444445</v>
      </c>
      <c r="C1852" s="290">
        <v>0.69791666666666663</v>
      </c>
      <c r="D1852" s="290">
        <v>0.72222222222222221</v>
      </c>
      <c r="E1852" s="290">
        <v>0.79166666666666663</v>
      </c>
      <c r="F1852" s="291" t="s">
        <v>169</v>
      </c>
      <c r="G1852" s="291" t="s">
        <v>4649</v>
      </c>
      <c r="H1852" s="289" t="s">
        <v>305</v>
      </c>
      <c r="I1852" s="289" t="s">
        <v>407</v>
      </c>
      <c r="J1852" s="289" t="s">
        <v>41</v>
      </c>
      <c r="K1852" s="291" t="s">
        <v>241</v>
      </c>
      <c r="L1852" s="291" t="s">
        <v>325</v>
      </c>
      <c r="M1852" s="291" t="s">
        <v>4650</v>
      </c>
      <c r="N1852" s="291" t="s">
        <v>42</v>
      </c>
      <c r="O1852" s="291">
        <v>95002976</v>
      </c>
      <c r="P1852" s="291">
        <v>5031199</v>
      </c>
      <c r="Q1852" s="303">
        <f t="shared" si="161"/>
        <v>17</v>
      </c>
      <c r="R1852" s="303">
        <f t="shared" si="162"/>
        <v>262</v>
      </c>
      <c r="S1852" s="291">
        <v>17</v>
      </c>
      <c r="T1852" s="292">
        <v>262</v>
      </c>
      <c r="U1852" s="291">
        <v>0</v>
      </c>
      <c r="V1852" s="291">
        <v>0</v>
      </c>
      <c r="W1852" s="292">
        <v>199.4</v>
      </c>
      <c r="X1852" s="291">
        <v>59</v>
      </c>
      <c r="Y1852" s="291">
        <v>44</v>
      </c>
      <c r="Z1852" s="291">
        <v>26</v>
      </c>
      <c r="AA1852" s="291">
        <v>16</v>
      </c>
      <c r="AB1852" s="300">
        <f t="shared" si="163"/>
        <v>179.98933333333332</v>
      </c>
      <c r="AC1852" s="300">
        <f t="shared" si="164"/>
        <v>1.0842730923694779</v>
      </c>
      <c r="AD1852" s="291">
        <v>11016.6</v>
      </c>
      <c r="AE1852" s="291" t="s">
        <v>109</v>
      </c>
      <c r="AF1852" s="291">
        <v>6567669</v>
      </c>
      <c r="AG1852" s="291" t="s">
        <v>4644</v>
      </c>
      <c r="AH1852" s="291" t="s">
        <v>4651</v>
      </c>
      <c r="AI1852" s="309"/>
      <c r="AJ1852" s="309"/>
      <c r="AK1852" s="291" t="s">
        <v>48</v>
      </c>
      <c r="AL1852" s="291" t="s">
        <v>47</v>
      </c>
      <c r="AM1852" s="299">
        <f t="shared" ca="1" si="160"/>
        <v>0.79861111110949423</v>
      </c>
      <c r="AN1852" s="51"/>
      <c r="AO1852" s="288" t="s">
        <v>135</v>
      </c>
      <c r="AP1852" s="275" t="s">
        <v>4650</v>
      </c>
      <c r="AQ1852" s="288" t="s">
        <v>4724</v>
      </c>
      <c r="AR1852" s="277">
        <v>44926.493055555555</v>
      </c>
      <c r="AS1852" s="288" t="s">
        <v>3008</v>
      </c>
      <c r="AT1852" s="288" t="s">
        <v>65</v>
      </c>
      <c r="AU1852" s="276">
        <v>0.49305555555555558</v>
      </c>
      <c r="AV1852" s="288">
        <v>1</v>
      </c>
      <c r="AW1852" s="288" t="s">
        <v>66</v>
      </c>
      <c r="AX1852" s="52"/>
      <c r="AY1852" s="52"/>
      <c r="AZ1852" s="52"/>
      <c r="BA1852" s="52"/>
    </row>
    <row r="1853" spans="1:53" x14ac:dyDescent="0.25">
      <c r="A1853" s="312">
        <v>566</v>
      </c>
      <c r="B1853" s="295">
        <v>44925.694444444445</v>
      </c>
      <c r="C1853" s="290">
        <v>0.69791666666666663</v>
      </c>
      <c r="D1853" s="290">
        <v>0.72222222222222221</v>
      </c>
      <c r="E1853" s="290">
        <v>0.79166666666666663</v>
      </c>
      <c r="F1853" s="291" t="s">
        <v>169</v>
      </c>
      <c r="G1853" s="291" t="s">
        <v>4649</v>
      </c>
      <c r="H1853" s="289" t="s">
        <v>305</v>
      </c>
      <c r="I1853" s="289" t="s">
        <v>407</v>
      </c>
      <c r="J1853" s="289" t="s">
        <v>41</v>
      </c>
      <c r="K1853" s="291" t="s">
        <v>241</v>
      </c>
      <c r="L1853" s="291" t="s">
        <v>325</v>
      </c>
      <c r="M1853" s="291" t="s">
        <v>4650</v>
      </c>
      <c r="N1853" s="291" t="s">
        <v>42</v>
      </c>
      <c r="O1853" s="291">
        <v>95002976</v>
      </c>
      <c r="P1853" s="291">
        <v>5031199</v>
      </c>
      <c r="Q1853" s="303">
        <f t="shared" si="161"/>
        <v>0</v>
      </c>
      <c r="R1853" s="303">
        <f t="shared" si="162"/>
        <v>0</v>
      </c>
      <c r="S1853" s="291">
        <v>0</v>
      </c>
      <c r="T1853" s="291">
        <v>0</v>
      </c>
      <c r="U1853" s="291">
        <v>0</v>
      </c>
      <c r="V1853" s="291">
        <v>0</v>
      </c>
      <c r="W1853" s="291">
        <v>0</v>
      </c>
      <c r="X1853" s="291">
        <v>59</v>
      </c>
      <c r="Y1853" s="291">
        <v>44</v>
      </c>
      <c r="Z1853" s="291">
        <v>14</v>
      </c>
      <c r="AA1853" s="291">
        <v>1</v>
      </c>
      <c r="AB1853" s="300">
        <f t="shared" si="163"/>
        <v>6.0573333333333332</v>
      </c>
      <c r="AC1853" s="300">
        <f t="shared" si="164"/>
        <v>3.6489959839357426E-2</v>
      </c>
      <c r="AD1853" s="291">
        <v>0</v>
      </c>
      <c r="AE1853" s="291">
        <v>0</v>
      </c>
      <c r="AF1853" s="291">
        <v>6567669</v>
      </c>
      <c r="AG1853" s="291" t="s">
        <v>4644</v>
      </c>
      <c r="AH1853" s="291" t="s">
        <v>4651</v>
      </c>
      <c r="AI1853" s="309"/>
      <c r="AJ1853" s="309"/>
      <c r="AK1853" s="291" t="s">
        <v>48</v>
      </c>
      <c r="AL1853" s="291" t="s">
        <v>47</v>
      </c>
      <c r="AM1853" s="299">
        <f t="shared" ca="1" si="160"/>
        <v>0.79861111110949423</v>
      </c>
      <c r="AN1853" s="51"/>
      <c r="AO1853" s="288" t="s">
        <v>135</v>
      </c>
      <c r="AP1853" s="275" t="s">
        <v>4650</v>
      </c>
      <c r="AQ1853" s="288" t="s">
        <v>4724</v>
      </c>
      <c r="AR1853" s="277">
        <v>44926.493055555555</v>
      </c>
      <c r="AS1853" s="288" t="s">
        <v>3008</v>
      </c>
      <c r="AT1853" s="288" t="s">
        <v>65</v>
      </c>
      <c r="AU1853" s="276">
        <v>0.49305555555555558</v>
      </c>
      <c r="AV1853" s="288">
        <v>1</v>
      </c>
      <c r="AW1853" s="288" t="s">
        <v>66</v>
      </c>
      <c r="AX1853" s="52"/>
      <c r="AY1853" s="52"/>
      <c r="AZ1853" s="52"/>
      <c r="BA1853" s="52"/>
    </row>
    <row r="1854" spans="1:53" x14ac:dyDescent="0.25">
      <c r="A1854" s="296">
        <v>567</v>
      </c>
      <c r="B1854" s="295">
        <v>44925.694444444445</v>
      </c>
      <c r="C1854" s="290">
        <v>0.69791666666666663</v>
      </c>
      <c r="D1854" s="290">
        <v>0.72222222222222221</v>
      </c>
      <c r="E1854" s="290">
        <v>0.79166666666666663</v>
      </c>
      <c r="F1854" s="291" t="s">
        <v>169</v>
      </c>
      <c r="G1854" s="291" t="s">
        <v>4649</v>
      </c>
      <c r="H1854" s="289" t="s">
        <v>305</v>
      </c>
      <c r="I1854" s="289" t="s">
        <v>407</v>
      </c>
      <c r="J1854" s="289" t="s">
        <v>41</v>
      </c>
      <c r="K1854" s="291" t="s">
        <v>241</v>
      </c>
      <c r="L1854" s="291" t="s">
        <v>325</v>
      </c>
      <c r="M1854" s="291" t="s">
        <v>4650</v>
      </c>
      <c r="N1854" s="291" t="s">
        <v>42</v>
      </c>
      <c r="O1854" s="291">
        <v>95002984</v>
      </c>
      <c r="P1854" s="291">
        <v>5031293</v>
      </c>
      <c r="Q1854" s="303">
        <f t="shared" si="161"/>
        <v>25</v>
      </c>
      <c r="R1854" s="303">
        <f t="shared" si="162"/>
        <v>390</v>
      </c>
      <c r="S1854" s="291">
        <v>25</v>
      </c>
      <c r="T1854" s="292">
        <v>390</v>
      </c>
      <c r="U1854" s="291">
        <v>0</v>
      </c>
      <c r="V1854" s="291">
        <v>0</v>
      </c>
      <c r="W1854" s="292">
        <v>249.77</v>
      </c>
      <c r="X1854" s="291">
        <v>59</v>
      </c>
      <c r="Y1854" s="291">
        <v>44</v>
      </c>
      <c r="Z1854" s="291">
        <v>26</v>
      </c>
      <c r="AA1854" s="291">
        <v>23</v>
      </c>
      <c r="AB1854" s="300">
        <f t="shared" si="163"/>
        <v>258.73466666666667</v>
      </c>
      <c r="AC1854" s="300">
        <f t="shared" si="164"/>
        <v>1.5586425702811244</v>
      </c>
      <c r="AD1854" s="291">
        <v>16970.060000000001</v>
      </c>
      <c r="AE1854" s="291" t="s">
        <v>109</v>
      </c>
      <c r="AF1854" s="291">
        <v>6562853</v>
      </c>
      <c r="AG1854" s="291" t="s">
        <v>4644</v>
      </c>
      <c r="AH1854" s="291" t="s">
        <v>4652</v>
      </c>
      <c r="AI1854" s="309"/>
      <c r="AJ1854" s="309"/>
      <c r="AK1854" s="291" t="s">
        <v>48</v>
      </c>
      <c r="AL1854" s="291" t="s">
        <v>47</v>
      </c>
      <c r="AM1854" s="299">
        <f t="shared" ca="1" si="160"/>
        <v>0.79861111110949423</v>
      </c>
      <c r="AN1854" s="51"/>
      <c r="AO1854" s="288" t="s">
        <v>135</v>
      </c>
      <c r="AP1854" s="275" t="s">
        <v>4650</v>
      </c>
      <c r="AQ1854" s="288" t="s">
        <v>4724</v>
      </c>
      <c r="AR1854" s="277">
        <v>44926.493055555555</v>
      </c>
      <c r="AS1854" s="288" t="s">
        <v>3008</v>
      </c>
      <c r="AT1854" s="288" t="s">
        <v>65</v>
      </c>
      <c r="AU1854" s="276">
        <v>0.49305555555555558</v>
      </c>
      <c r="AV1854" s="288">
        <v>1</v>
      </c>
      <c r="AW1854" s="288" t="s">
        <v>66</v>
      </c>
      <c r="AX1854" s="52"/>
      <c r="AY1854" s="52"/>
      <c r="AZ1854" s="52"/>
      <c r="BA1854" s="52"/>
    </row>
    <row r="1855" spans="1:53" x14ac:dyDescent="0.25">
      <c r="A1855" s="312">
        <v>567</v>
      </c>
      <c r="B1855" s="295">
        <v>44925.694444444445</v>
      </c>
      <c r="C1855" s="290">
        <v>0.69791666666666663</v>
      </c>
      <c r="D1855" s="290">
        <v>0.72222222222222221</v>
      </c>
      <c r="E1855" s="290">
        <v>0.79166666666666663</v>
      </c>
      <c r="F1855" s="291" t="s">
        <v>169</v>
      </c>
      <c r="G1855" s="291" t="s">
        <v>4649</v>
      </c>
      <c r="H1855" s="289" t="s">
        <v>305</v>
      </c>
      <c r="I1855" s="289" t="s">
        <v>407</v>
      </c>
      <c r="J1855" s="289" t="s">
        <v>41</v>
      </c>
      <c r="K1855" s="291" t="s">
        <v>241</v>
      </c>
      <c r="L1855" s="291" t="s">
        <v>325</v>
      </c>
      <c r="M1855" s="291" t="s">
        <v>4650</v>
      </c>
      <c r="N1855" s="291" t="s">
        <v>42</v>
      </c>
      <c r="O1855" s="291">
        <v>95002984</v>
      </c>
      <c r="P1855" s="291">
        <v>5031293</v>
      </c>
      <c r="Q1855" s="303">
        <f t="shared" si="161"/>
        <v>0</v>
      </c>
      <c r="R1855" s="303">
        <f t="shared" si="162"/>
        <v>0</v>
      </c>
      <c r="S1855" s="291">
        <v>0</v>
      </c>
      <c r="T1855" s="291">
        <v>0</v>
      </c>
      <c r="U1855" s="291">
        <v>0</v>
      </c>
      <c r="V1855" s="291">
        <v>0</v>
      </c>
      <c r="W1855" s="291">
        <v>0</v>
      </c>
      <c r="X1855" s="291">
        <v>59</v>
      </c>
      <c r="Y1855" s="291">
        <v>44</v>
      </c>
      <c r="Z1855" s="291">
        <v>14</v>
      </c>
      <c r="AA1855" s="291">
        <v>2</v>
      </c>
      <c r="AB1855" s="300">
        <f t="shared" si="163"/>
        <v>12.114666666666666</v>
      </c>
      <c r="AC1855" s="300">
        <f t="shared" si="164"/>
        <v>7.2979919678714852E-2</v>
      </c>
      <c r="AD1855" s="291">
        <v>0</v>
      </c>
      <c r="AE1855" s="291">
        <v>0</v>
      </c>
      <c r="AF1855" s="291">
        <v>6562853</v>
      </c>
      <c r="AG1855" s="291" t="s">
        <v>4644</v>
      </c>
      <c r="AH1855" s="291" t="s">
        <v>4652</v>
      </c>
      <c r="AI1855" s="309"/>
      <c r="AJ1855" s="309"/>
      <c r="AK1855" s="291" t="s">
        <v>48</v>
      </c>
      <c r="AL1855" s="291" t="s">
        <v>47</v>
      </c>
      <c r="AM1855" s="299">
        <f t="shared" ca="1" si="160"/>
        <v>0.79861111110949423</v>
      </c>
      <c r="AN1855" s="51"/>
      <c r="AO1855" s="288" t="s">
        <v>135</v>
      </c>
      <c r="AP1855" s="275" t="s">
        <v>4650</v>
      </c>
      <c r="AQ1855" s="288" t="s">
        <v>4724</v>
      </c>
      <c r="AR1855" s="277">
        <v>44926.493055555555</v>
      </c>
      <c r="AS1855" s="288" t="s">
        <v>3008</v>
      </c>
      <c r="AT1855" s="288" t="s">
        <v>65</v>
      </c>
      <c r="AU1855" s="276">
        <v>0.49305555555555558</v>
      </c>
      <c r="AV1855" s="288">
        <v>1</v>
      </c>
      <c r="AW1855" s="288" t="s">
        <v>66</v>
      </c>
      <c r="AX1855" s="52"/>
      <c r="AY1855" s="52"/>
      <c r="AZ1855" s="52"/>
      <c r="BA1855" s="52"/>
    </row>
    <row r="1856" spans="1:53" x14ac:dyDescent="0.25">
      <c r="A1856" s="296">
        <v>568</v>
      </c>
      <c r="B1856" s="295">
        <v>44925.694444444445</v>
      </c>
      <c r="C1856" s="290">
        <v>0.69791666666666663</v>
      </c>
      <c r="D1856" s="290">
        <v>0.72222222222222221</v>
      </c>
      <c r="E1856" s="290">
        <v>0.79166666666666663</v>
      </c>
      <c r="F1856" s="291" t="s">
        <v>169</v>
      </c>
      <c r="G1856" s="291" t="s">
        <v>4649</v>
      </c>
      <c r="H1856" s="289" t="s">
        <v>305</v>
      </c>
      <c r="I1856" s="289" t="s">
        <v>407</v>
      </c>
      <c r="J1856" s="289" t="s">
        <v>41</v>
      </c>
      <c r="K1856" s="291" t="s">
        <v>241</v>
      </c>
      <c r="L1856" s="291" t="s">
        <v>325</v>
      </c>
      <c r="M1856" s="291" t="s">
        <v>4650</v>
      </c>
      <c r="N1856" s="291" t="s">
        <v>42</v>
      </c>
      <c r="O1856" s="291">
        <v>95002985</v>
      </c>
      <c r="P1856" s="291">
        <v>5030803</v>
      </c>
      <c r="Q1856" s="303">
        <f t="shared" si="161"/>
        <v>84</v>
      </c>
      <c r="R1856" s="303">
        <f t="shared" si="162"/>
        <v>1365</v>
      </c>
      <c r="S1856" s="291">
        <v>84</v>
      </c>
      <c r="T1856" s="292">
        <v>1365</v>
      </c>
      <c r="U1856" s="291">
        <v>0</v>
      </c>
      <c r="V1856" s="291">
        <v>0</v>
      </c>
      <c r="W1856" s="292">
        <v>876.06</v>
      </c>
      <c r="X1856" s="291">
        <v>59</v>
      </c>
      <c r="Y1856" s="291">
        <v>44</v>
      </c>
      <c r="Z1856" s="291">
        <v>26</v>
      </c>
      <c r="AA1856" s="291">
        <v>79</v>
      </c>
      <c r="AB1856" s="300">
        <f t="shared" si="163"/>
        <v>888.69733333333329</v>
      </c>
      <c r="AC1856" s="300">
        <f t="shared" si="164"/>
        <v>5.3535983935742966</v>
      </c>
      <c r="AD1856" s="291">
        <v>54744.28</v>
      </c>
      <c r="AE1856" s="291" t="s">
        <v>109</v>
      </c>
      <c r="AF1856" s="291">
        <v>6562348</v>
      </c>
      <c r="AG1856" s="291" t="s">
        <v>4644</v>
      </c>
      <c r="AH1856" s="291" t="s">
        <v>4653</v>
      </c>
      <c r="AI1856" s="309"/>
      <c r="AJ1856" s="309"/>
      <c r="AK1856" s="291" t="s">
        <v>48</v>
      </c>
      <c r="AL1856" s="291" t="s">
        <v>47</v>
      </c>
      <c r="AM1856" s="299">
        <f t="shared" ca="1" si="160"/>
        <v>0.79861111110949423</v>
      </c>
      <c r="AN1856" s="51"/>
      <c r="AO1856" s="288" t="s">
        <v>135</v>
      </c>
      <c r="AP1856" s="275" t="s">
        <v>4650</v>
      </c>
      <c r="AQ1856" s="288" t="s">
        <v>4724</v>
      </c>
      <c r="AR1856" s="277">
        <v>44926.493055555555</v>
      </c>
      <c r="AS1856" s="288" t="s">
        <v>3008</v>
      </c>
      <c r="AT1856" s="288" t="s">
        <v>65</v>
      </c>
      <c r="AU1856" s="276">
        <v>0.49305555555555558</v>
      </c>
      <c r="AV1856" s="288">
        <v>1</v>
      </c>
      <c r="AW1856" s="288" t="s">
        <v>66</v>
      </c>
      <c r="AX1856" s="52"/>
      <c r="AY1856" s="52"/>
      <c r="AZ1856" s="52"/>
      <c r="BA1856" s="52"/>
    </row>
    <row r="1857" spans="1:53" x14ac:dyDescent="0.25">
      <c r="A1857" s="312">
        <v>568</v>
      </c>
      <c r="B1857" s="295">
        <v>44925.694444444445</v>
      </c>
      <c r="C1857" s="290">
        <v>0.69791666666666663</v>
      </c>
      <c r="D1857" s="290">
        <v>0.72222222222222221</v>
      </c>
      <c r="E1857" s="290">
        <v>0.79166666666666663</v>
      </c>
      <c r="F1857" s="291" t="s">
        <v>169</v>
      </c>
      <c r="G1857" s="291" t="s">
        <v>4649</v>
      </c>
      <c r="H1857" s="289" t="s">
        <v>305</v>
      </c>
      <c r="I1857" s="289" t="s">
        <v>407</v>
      </c>
      <c r="J1857" s="289" t="s">
        <v>41</v>
      </c>
      <c r="K1857" s="291" t="s">
        <v>241</v>
      </c>
      <c r="L1857" s="291" t="s">
        <v>325</v>
      </c>
      <c r="M1857" s="291" t="s">
        <v>4650</v>
      </c>
      <c r="N1857" s="291" t="s">
        <v>42</v>
      </c>
      <c r="O1857" s="291">
        <v>95002985</v>
      </c>
      <c r="P1857" s="291">
        <v>5030803</v>
      </c>
      <c r="Q1857" s="303">
        <f t="shared" si="161"/>
        <v>0</v>
      </c>
      <c r="R1857" s="303">
        <f t="shared" si="162"/>
        <v>0</v>
      </c>
      <c r="S1857" s="291">
        <v>0</v>
      </c>
      <c r="T1857" s="291">
        <v>0</v>
      </c>
      <c r="U1857" s="291">
        <v>0</v>
      </c>
      <c r="V1857" s="291">
        <v>0</v>
      </c>
      <c r="W1857" s="291">
        <v>0</v>
      </c>
      <c r="X1857" s="291">
        <v>59</v>
      </c>
      <c r="Y1857" s="291">
        <v>44</v>
      </c>
      <c r="Z1857" s="291">
        <v>14</v>
      </c>
      <c r="AA1857" s="291">
        <v>5</v>
      </c>
      <c r="AB1857" s="300">
        <f t="shared" si="163"/>
        <v>30.286666666666665</v>
      </c>
      <c r="AC1857" s="300">
        <f t="shared" si="164"/>
        <v>0.18244979919678714</v>
      </c>
      <c r="AD1857" s="291">
        <v>0</v>
      </c>
      <c r="AE1857" s="291">
        <v>0</v>
      </c>
      <c r="AF1857" s="291">
        <v>6562348</v>
      </c>
      <c r="AG1857" s="291" t="s">
        <v>4644</v>
      </c>
      <c r="AH1857" s="291" t="s">
        <v>4653</v>
      </c>
      <c r="AI1857" s="309"/>
      <c r="AJ1857" s="309"/>
      <c r="AK1857" s="291" t="s">
        <v>48</v>
      </c>
      <c r="AL1857" s="291" t="s">
        <v>47</v>
      </c>
      <c r="AM1857" s="299">
        <f t="shared" ca="1" si="160"/>
        <v>0.79861111110949423</v>
      </c>
      <c r="AN1857" s="51"/>
      <c r="AO1857" s="288" t="s">
        <v>135</v>
      </c>
      <c r="AP1857" s="275" t="s">
        <v>4650</v>
      </c>
      <c r="AQ1857" s="288" t="s">
        <v>4724</v>
      </c>
      <c r="AR1857" s="277">
        <v>44926.493055555555</v>
      </c>
      <c r="AS1857" s="288" t="s">
        <v>3008</v>
      </c>
      <c r="AT1857" s="288" t="s">
        <v>65</v>
      </c>
      <c r="AU1857" s="276">
        <v>0.49305555555555558</v>
      </c>
      <c r="AV1857" s="288">
        <v>1</v>
      </c>
      <c r="AW1857" s="288" t="s">
        <v>66</v>
      </c>
      <c r="AX1857" s="52"/>
      <c r="AY1857" s="52"/>
      <c r="AZ1857" s="52"/>
      <c r="BA1857" s="52"/>
    </row>
    <row r="1858" spans="1:53" x14ac:dyDescent="0.25">
      <c r="A1858" s="296">
        <v>569</v>
      </c>
      <c r="B1858" s="295">
        <v>44925.694444444445</v>
      </c>
      <c r="C1858" s="290">
        <v>0.69791666666666663</v>
      </c>
      <c r="D1858" s="290">
        <v>0.72222222222222221</v>
      </c>
      <c r="E1858" s="290">
        <v>0.79166666666666663</v>
      </c>
      <c r="F1858" s="291" t="s">
        <v>169</v>
      </c>
      <c r="G1858" s="291" t="s">
        <v>4649</v>
      </c>
      <c r="H1858" s="289" t="s">
        <v>305</v>
      </c>
      <c r="I1858" s="289" t="s">
        <v>407</v>
      </c>
      <c r="J1858" s="289" t="s">
        <v>41</v>
      </c>
      <c r="K1858" s="291" t="s">
        <v>241</v>
      </c>
      <c r="L1858" s="291" t="s">
        <v>325</v>
      </c>
      <c r="M1858" s="291" t="s">
        <v>4650</v>
      </c>
      <c r="N1858" s="291" t="s">
        <v>42</v>
      </c>
      <c r="O1858" s="291">
        <v>95002977</v>
      </c>
      <c r="P1858" s="291">
        <v>5031201</v>
      </c>
      <c r="Q1858" s="303">
        <f t="shared" si="161"/>
        <v>26</v>
      </c>
      <c r="R1858" s="303">
        <f t="shared" si="162"/>
        <v>418</v>
      </c>
      <c r="S1858" s="291">
        <v>26</v>
      </c>
      <c r="T1858" s="292">
        <v>418</v>
      </c>
      <c r="U1858" s="291">
        <v>0</v>
      </c>
      <c r="V1858" s="291">
        <v>0</v>
      </c>
      <c r="W1858" s="292">
        <v>329.65</v>
      </c>
      <c r="X1858" s="291">
        <v>59</v>
      </c>
      <c r="Y1858" s="291">
        <v>44</v>
      </c>
      <c r="Z1858" s="291">
        <v>26</v>
      </c>
      <c r="AA1858" s="291">
        <v>26</v>
      </c>
      <c r="AB1858" s="300">
        <f t="shared" si="163"/>
        <v>292.48266666666666</v>
      </c>
      <c r="AC1858" s="300">
        <f t="shared" si="164"/>
        <v>1.7619437751004015</v>
      </c>
      <c r="AD1858" s="291">
        <v>13612.7</v>
      </c>
      <c r="AE1858" s="291" t="s">
        <v>109</v>
      </c>
      <c r="AF1858" s="291">
        <v>6561085</v>
      </c>
      <c r="AG1858" s="291" t="s">
        <v>4644</v>
      </c>
      <c r="AH1858" s="291" t="s">
        <v>4654</v>
      </c>
      <c r="AI1858" s="309"/>
      <c r="AJ1858" s="309"/>
      <c r="AK1858" s="291" t="s">
        <v>48</v>
      </c>
      <c r="AL1858" s="291" t="s">
        <v>47</v>
      </c>
      <c r="AM1858" s="299">
        <f t="shared" ca="1" si="160"/>
        <v>0.79861111110949423</v>
      </c>
      <c r="AN1858" s="51"/>
      <c r="AO1858" s="288" t="s">
        <v>135</v>
      </c>
      <c r="AP1858" s="275" t="s">
        <v>4650</v>
      </c>
      <c r="AQ1858" s="288" t="s">
        <v>4724</v>
      </c>
      <c r="AR1858" s="277">
        <v>44926.493055555555</v>
      </c>
      <c r="AS1858" s="288" t="s">
        <v>3008</v>
      </c>
      <c r="AT1858" s="288" t="s">
        <v>65</v>
      </c>
      <c r="AU1858" s="276">
        <v>0.49305555555555558</v>
      </c>
      <c r="AV1858" s="288">
        <v>1</v>
      </c>
      <c r="AW1858" s="288" t="s">
        <v>66</v>
      </c>
      <c r="AX1858" s="52"/>
      <c r="AY1858" s="52"/>
      <c r="AZ1858" s="52"/>
      <c r="BA1858" s="52"/>
    </row>
    <row r="1859" spans="1:53" x14ac:dyDescent="0.25">
      <c r="A1859" s="296">
        <v>570</v>
      </c>
      <c r="B1859" s="295">
        <v>44925.694444444445</v>
      </c>
      <c r="C1859" s="290">
        <v>0.69791666666666663</v>
      </c>
      <c r="D1859" s="290">
        <v>0.72222222222222221</v>
      </c>
      <c r="E1859" s="290">
        <v>0.79166666666666663</v>
      </c>
      <c r="F1859" s="291" t="s">
        <v>169</v>
      </c>
      <c r="G1859" s="291" t="s">
        <v>4649</v>
      </c>
      <c r="H1859" s="289" t="s">
        <v>305</v>
      </c>
      <c r="I1859" s="289" t="s">
        <v>407</v>
      </c>
      <c r="J1859" s="289" t="s">
        <v>41</v>
      </c>
      <c r="K1859" s="291" t="s">
        <v>241</v>
      </c>
      <c r="L1859" s="291" t="s">
        <v>325</v>
      </c>
      <c r="M1859" s="291" t="s">
        <v>4650</v>
      </c>
      <c r="N1859" s="291" t="s">
        <v>42</v>
      </c>
      <c r="O1859" s="291">
        <v>95002981</v>
      </c>
      <c r="P1859" s="291">
        <v>5031216</v>
      </c>
      <c r="Q1859" s="303">
        <f t="shared" si="161"/>
        <v>27</v>
      </c>
      <c r="R1859" s="303">
        <f t="shared" si="162"/>
        <v>375</v>
      </c>
      <c r="S1859" s="291">
        <v>27</v>
      </c>
      <c r="T1859" s="291">
        <v>375</v>
      </c>
      <c r="U1859" s="291">
        <v>0</v>
      </c>
      <c r="V1859" s="291">
        <v>0</v>
      </c>
      <c r="W1859" s="291">
        <v>348.54</v>
      </c>
      <c r="X1859" s="291">
        <v>59</v>
      </c>
      <c r="Y1859" s="291">
        <v>44</v>
      </c>
      <c r="Z1859" s="291">
        <v>26</v>
      </c>
      <c r="AA1859" s="291">
        <v>23</v>
      </c>
      <c r="AB1859" s="300">
        <f t="shared" si="163"/>
        <v>258.73466666666667</v>
      </c>
      <c r="AC1859" s="300">
        <f t="shared" si="164"/>
        <v>1.5586425702811244</v>
      </c>
      <c r="AD1859" s="291">
        <v>10745.96</v>
      </c>
      <c r="AE1859" s="291" t="s">
        <v>109</v>
      </c>
      <c r="AF1859" s="291">
        <v>6561916</v>
      </c>
      <c r="AG1859" s="291" t="s">
        <v>4644</v>
      </c>
      <c r="AH1859" s="291" t="s">
        <v>4655</v>
      </c>
      <c r="AI1859" s="309"/>
      <c r="AJ1859" s="309"/>
      <c r="AK1859" s="291" t="s">
        <v>48</v>
      </c>
      <c r="AL1859" s="291" t="s">
        <v>47</v>
      </c>
      <c r="AM1859" s="299">
        <f t="shared" ca="1" si="160"/>
        <v>0.79861111110949423</v>
      </c>
      <c r="AN1859" s="51"/>
      <c r="AO1859" s="288" t="s">
        <v>135</v>
      </c>
      <c r="AP1859" s="275" t="s">
        <v>4650</v>
      </c>
      <c r="AQ1859" s="288" t="s">
        <v>4724</v>
      </c>
      <c r="AR1859" s="277">
        <v>44926.493055555555</v>
      </c>
      <c r="AS1859" s="288" t="s">
        <v>3008</v>
      </c>
      <c r="AT1859" s="288" t="s">
        <v>65</v>
      </c>
      <c r="AU1859" s="276">
        <v>0.49305555555555558</v>
      </c>
      <c r="AV1859" s="288">
        <v>1</v>
      </c>
      <c r="AW1859" s="288" t="s">
        <v>66</v>
      </c>
      <c r="AX1859" s="52"/>
      <c r="AY1859" s="52"/>
      <c r="AZ1859" s="52"/>
      <c r="BA1859" s="52"/>
    </row>
    <row r="1860" spans="1:53" x14ac:dyDescent="0.25">
      <c r="A1860" s="312">
        <v>570</v>
      </c>
      <c r="B1860" s="295">
        <v>44925.694444444445</v>
      </c>
      <c r="C1860" s="290">
        <v>0.69791666666666663</v>
      </c>
      <c r="D1860" s="290">
        <v>0.72222222222222221</v>
      </c>
      <c r="E1860" s="290">
        <v>0.79166666666666663</v>
      </c>
      <c r="F1860" s="291" t="s">
        <v>169</v>
      </c>
      <c r="G1860" s="291" t="s">
        <v>4649</v>
      </c>
      <c r="H1860" s="289" t="s">
        <v>305</v>
      </c>
      <c r="I1860" s="289" t="s">
        <v>407</v>
      </c>
      <c r="J1860" s="289" t="s">
        <v>41</v>
      </c>
      <c r="K1860" s="291" t="s">
        <v>241</v>
      </c>
      <c r="L1860" s="291" t="s">
        <v>325</v>
      </c>
      <c r="M1860" s="291" t="s">
        <v>4650</v>
      </c>
      <c r="N1860" s="291" t="s">
        <v>42</v>
      </c>
      <c r="O1860" s="291">
        <v>95002981</v>
      </c>
      <c r="P1860" s="291">
        <v>5031216</v>
      </c>
      <c r="Q1860" s="303">
        <f t="shared" si="161"/>
        <v>0</v>
      </c>
      <c r="R1860" s="303">
        <f t="shared" si="162"/>
        <v>0</v>
      </c>
      <c r="S1860" s="291">
        <v>0</v>
      </c>
      <c r="T1860" s="291">
        <v>0</v>
      </c>
      <c r="U1860" s="291">
        <v>0</v>
      </c>
      <c r="V1860" s="291">
        <v>0</v>
      </c>
      <c r="W1860" s="291">
        <v>0</v>
      </c>
      <c r="X1860" s="291">
        <v>59</v>
      </c>
      <c r="Y1860" s="291">
        <v>44</v>
      </c>
      <c r="Z1860" s="291">
        <v>14</v>
      </c>
      <c r="AA1860" s="291">
        <v>4</v>
      </c>
      <c r="AB1860" s="300">
        <f t="shared" si="163"/>
        <v>24.229333333333333</v>
      </c>
      <c r="AC1860" s="300">
        <f t="shared" si="164"/>
        <v>0.1459598393574297</v>
      </c>
      <c r="AD1860" s="291">
        <v>0</v>
      </c>
      <c r="AE1860" s="291">
        <v>0</v>
      </c>
      <c r="AF1860" s="291">
        <v>6561916</v>
      </c>
      <c r="AG1860" s="291" t="s">
        <v>4644</v>
      </c>
      <c r="AH1860" s="291" t="s">
        <v>4655</v>
      </c>
      <c r="AI1860" s="309"/>
      <c r="AJ1860" s="309"/>
      <c r="AK1860" s="291" t="s">
        <v>48</v>
      </c>
      <c r="AL1860" s="291" t="s">
        <v>47</v>
      </c>
      <c r="AM1860" s="299">
        <f t="shared" ca="1" si="160"/>
        <v>0.79861111110949423</v>
      </c>
      <c r="AN1860" s="51"/>
      <c r="AO1860" s="288" t="s">
        <v>135</v>
      </c>
      <c r="AP1860" s="275" t="s">
        <v>4650</v>
      </c>
      <c r="AQ1860" s="288" t="s">
        <v>4724</v>
      </c>
      <c r="AR1860" s="277">
        <v>44926.493055555555</v>
      </c>
      <c r="AS1860" s="288" t="s">
        <v>3008</v>
      </c>
      <c r="AT1860" s="288" t="s">
        <v>65</v>
      </c>
      <c r="AU1860" s="276">
        <v>0.49305555555555558</v>
      </c>
      <c r="AV1860" s="288">
        <v>1</v>
      </c>
      <c r="AW1860" s="288" t="s">
        <v>66</v>
      </c>
      <c r="AX1860" s="52"/>
      <c r="AY1860" s="52"/>
      <c r="AZ1860" s="52"/>
      <c r="BA1860" s="52"/>
    </row>
    <row r="1861" spans="1:53" x14ac:dyDescent="0.25">
      <c r="A1861" s="296">
        <v>571</v>
      </c>
      <c r="B1861" s="295">
        <v>44925.694444444445</v>
      </c>
      <c r="C1861" s="290">
        <v>0.69791666666666663</v>
      </c>
      <c r="D1861" s="290">
        <v>0.72222222222222221</v>
      </c>
      <c r="E1861" s="290">
        <v>0.79166666666666663</v>
      </c>
      <c r="F1861" s="291" t="s">
        <v>169</v>
      </c>
      <c r="G1861" s="291" t="s">
        <v>4649</v>
      </c>
      <c r="H1861" s="289" t="s">
        <v>305</v>
      </c>
      <c r="I1861" s="289" t="s">
        <v>407</v>
      </c>
      <c r="J1861" s="289" t="s">
        <v>41</v>
      </c>
      <c r="K1861" s="291" t="s">
        <v>241</v>
      </c>
      <c r="L1861" s="291" t="s">
        <v>325</v>
      </c>
      <c r="M1861" s="291" t="s">
        <v>4650</v>
      </c>
      <c r="N1861" s="291" t="s">
        <v>42</v>
      </c>
      <c r="O1861" s="291">
        <v>95002983</v>
      </c>
      <c r="P1861" s="291">
        <v>5030612</v>
      </c>
      <c r="Q1861" s="303">
        <f t="shared" si="161"/>
        <v>59</v>
      </c>
      <c r="R1861" s="303">
        <f t="shared" si="162"/>
        <v>967</v>
      </c>
      <c r="S1861" s="291">
        <v>59</v>
      </c>
      <c r="T1861" s="292">
        <v>967</v>
      </c>
      <c r="U1861" s="291">
        <v>0</v>
      </c>
      <c r="V1861" s="291">
        <v>0</v>
      </c>
      <c r="W1861" s="292">
        <v>652.84</v>
      </c>
      <c r="X1861" s="291">
        <v>59</v>
      </c>
      <c r="Y1861" s="291">
        <v>44</v>
      </c>
      <c r="Z1861" s="291">
        <v>26</v>
      </c>
      <c r="AA1861" s="291">
        <v>55</v>
      </c>
      <c r="AB1861" s="300">
        <f t="shared" si="163"/>
        <v>618.71333333333337</v>
      </c>
      <c r="AC1861" s="300">
        <f t="shared" si="164"/>
        <v>3.7271887550200806</v>
      </c>
      <c r="AD1861" s="291">
        <v>39824.629999999997</v>
      </c>
      <c r="AE1861" s="291" t="s">
        <v>109</v>
      </c>
      <c r="AF1861" s="291">
        <v>6562587</v>
      </c>
      <c r="AG1861" s="291" t="s">
        <v>4644</v>
      </c>
      <c r="AH1861" s="291" t="s">
        <v>4656</v>
      </c>
      <c r="AI1861" s="309"/>
      <c r="AJ1861" s="309"/>
      <c r="AK1861" s="291" t="s">
        <v>48</v>
      </c>
      <c r="AL1861" s="291" t="s">
        <v>47</v>
      </c>
      <c r="AM1861" s="299">
        <f t="shared" ca="1" si="160"/>
        <v>0.79861111110949423</v>
      </c>
      <c r="AN1861" s="51"/>
      <c r="AO1861" s="288" t="s">
        <v>135</v>
      </c>
      <c r="AP1861" s="275" t="s">
        <v>4650</v>
      </c>
      <c r="AQ1861" s="288" t="s">
        <v>4724</v>
      </c>
      <c r="AR1861" s="277">
        <v>44926.493055555555</v>
      </c>
      <c r="AS1861" s="288" t="s">
        <v>3008</v>
      </c>
      <c r="AT1861" s="288" t="s">
        <v>65</v>
      </c>
      <c r="AU1861" s="276">
        <v>0.49305555555555558</v>
      </c>
      <c r="AV1861" s="288">
        <v>1</v>
      </c>
      <c r="AW1861" s="288" t="s">
        <v>66</v>
      </c>
      <c r="AX1861" s="52"/>
      <c r="AY1861" s="52"/>
      <c r="AZ1861" s="52"/>
      <c r="BA1861" s="52"/>
    </row>
    <row r="1862" spans="1:53" x14ac:dyDescent="0.25">
      <c r="A1862" s="312">
        <v>571</v>
      </c>
      <c r="B1862" s="295">
        <v>44925.694444444445</v>
      </c>
      <c r="C1862" s="290">
        <v>0.69791666666666663</v>
      </c>
      <c r="D1862" s="290">
        <v>0.72222222222222221</v>
      </c>
      <c r="E1862" s="290">
        <v>0.79166666666666663</v>
      </c>
      <c r="F1862" s="291" t="s">
        <v>169</v>
      </c>
      <c r="G1862" s="291" t="s">
        <v>4649</v>
      </c>
      <c r="H1862" s="289" t="s">
        <v>305</v>
      </c>
      <c r="I1862" s="289" t="s">
        <v>407</v>
      </c>
      <c r="J1862" s="289" t="s">
        <v>41</v>
      </c>
      <c r="K1862" s="291" t="s">
        <v>241</v>
      </c>
      <c r="L1862" s="291" t="s">
        <v>325</v>
      </c>
      <c r="M1862" s="291" t="s">
        <v>4650</v>
      </c>
      <c r="N1862" s="291" t="s">
        <v>42</v>
      </c>
      <c r="O1862" s="291">
        <v>95002983</v>
      </c>
      <c r="P1862" s="291">
        <v>5030612</v>
      </c>
      <c r="Q1862" s="303">
        <f t="shared" si="161"/>
        <v>0</v>
      </c>
      <c r="R1862" s="303">
        <f t="shared" si="162"/>
        <v>0</v>
      </c>
      <c r="S1862" s="291">
        <v>0</v>
      </c>
      <c r="T1862" s="291">
        <v>0</v>
      </c>
      <c r="U1862" s="291">
        <v>0</v>
      </c>
      <c r="V1862" s="291">
        <v>0</v>
      </c>
      <c r="W1862" s="291">
        <v>0</v>
      </c>
      <c r="X1862" s="291">
        <v>59</v>
      </c>
      <c r="Y1862" s="291">
        <v>44</v>
      </c>
      <c r="Z1862" s="291">
        <v>14</v>
      </c>
      <c r="AA1862" s="291">
        <v>4</v>
      </c>
      <c r="AB1862" s="300">
        <f t="shared" si="163"/>
        <v>24.229333333333333</v>
      </c>
      <c r="AC1862" s="300">
        <f t="shared" si="164"/>
        <v>0.1459598393574297</v>
      </c>
      <c r="AD1862" s="291">
        <v>0</v>
      </c>
      <c r="AE1862" s="291">
        <v>0</v>
      </c>
      <c r="AF1862" s="291">
        <v>6562587</v>
      </c>
      <c r="AG1862" s="291" t="s">
        <v>4644</v>
      </c>
      <c r="AH1862" s="291" t="s">
        <v>4656</v>
      </c>
      <c r="AI1862" s="309"/>
      <c r="AJ1862" s="309"/>
      <c r="AK1862" s="291" t="s">
        <v>48</v>
      </c>
      <c r="AL1862" s="291" t="s">
        <v>47</v>
      </c>
      <c r="AM1862" s="299">
        <f t="shared" ca="1" si="160"/>
        <v>0.79861111110949423</v>
      </c>
      <c r="AN1862" s="51"/>
      <c r="AO1862" s="288" t="s">
        <v>135</v>
      </c>
      <c r="AP1862" s="275" t="s">
        <v>4650</v>
      </c>
      <c r="AQ1862" s="288" t="s">
        <v>4724</v>
      </c>
      <c r="AR1862" s="277">
        <v>44926.493055555555</v>
      </c>
      <c r="AS1862" s="288" t="s">
        <v>3008</v>
      </c>
      <c r="AT1862" s="288" t="s">
        <v>65</v>
      </c>
      <c r="AU1862" s="276">
        <v>0.49305555555555558</v>
      </c>
      <c r="AV1862" s="288">
        <v>1</v>
      </c>
      <c r="AW1862" s="288" t="s">
        <v>66</v>
      </c>
      <c r="AX1862" s="52"/>
      <c r="AY1862" s="52"/>
      <c r="AZ1862" s="52"/>
      <c r="BA1862" s="52"/>
    </row>
    <row r="1863" spans="1:53" x14ac:dyDescent="0.25">
      <c r="A1863" s="296">
        <v>572</v>
      </c>
      <c r="B1863" s="295">
        <v>44925.756944444445</v>
      </c>
      <c r="C1863" s="290">
        <v>0.76041666666666663</v>
      </c>
      <c r="D1863" s="290">
        <v>0.76388888888888884</v>
      </c>
      <c r="E1863" s="290">
        <v>0.77083333333333337</v>
      </c>
      <c r="F1863" s="291" t="s">
        <v>169</v>
      </c>
      <c r="G1863" s="291" t="s">
        <v>4657</v>
      </c>
      <c r="H1863" s="289" t="s">
        <v>4658</v>
      </c>
      <c r="I1863" s="289" t="s">
        <v>4658</v>
      </c>
      <c r="J1863" s="289" t="s">
        <v>37</v>
      </c>
      <c r="K1863" s="291" t="s">
        <v>241</v>
      </c>
      <c r="L1863" s="289" t="s">
        <v>206</v>
      </c>
      <c r="M1863" s="291" t="s">
        <v>4659</v>
      </c>
      <c r="N1863" s="291" t="s">
        <v>38</v>
      </c>
      <c r="O1863" s="291" t="s">
        <v>4660</v>
      </c>
      <c r="P1863" s="291">
        <v>5060530</v>
      </c>
      <c r="Q1863" s="303">
        <f t="shared" si="161"/>
        <v>1</v>
      </c>
      <c r="R1863" s="303">
        <f t="shared" si="162"/>
        <v>53</v>
      </c>
      <c r="S1863" s="291">
        <v>0</v>
      </c>
      <c r="T1863" s="291">
        <v>0</v>
      </c>
      <c r="U1863" s="291">
        <v>1</v>
      </c>
      <c r="V1863" s="291">
        <v>53</v>
      </c>
      <c r="W1863" s="291">
        <v>52</v>
      </c>
      <c r="X1863" s="291">
        <v>44</v>
      </c>
      <c r="Y1863" s="291">
        <v>33</v>
      </c>
      <c r="Z1863" s="291">
        <v>40</v>
      </c>
      <c r="AA1863" s="291">
        <v>1</v>
      </c>
      <c r="AB1863" s="300">
        <f t="shared" si="163"/>
        <v>9.68</v>
      </c>
      <c r="AC1863" s="300">
        <f t="shared" si="164"/>
        <v>5.8313253012048191E-2</v>
      </c>
      <c r="AD1863" s="291" t="s">
        <v>48</v>
      </c>
      <c r="AE1863" s="291" t="s">
        <v>48</v>
      </c>
      <c r="AF1863" s="291" t="s">
        <v>317</v>
      </c>
      <c r="AG1863" s="291" t="s">
        <v>317</v>
      </c>
      <c r="AH1863" s="291" t="s">
        <v>4661</v>
      </c>
      <c r="AI1863" s="309"/>
      <c r="AJ1863" s="309"/>
      <c r="AK1863" s="291" t="s">
        <v>37</v>
      </c>
      <c r="AL1863" s="291" t="s">
        <v>58</v>
      </c>
      <c r="AM1863" s="299">
        <f t="shared" ca="1" si="160"/>
        <v>2.7777777773735579E-2</v>
      </c>
      <c r="AN1863" s="51"/>
      <c r="AO1863" s="288" t="s">
        <v>427</v>
      </c>
      <c r="AP1863" s="275" t="s">
        <v>4659</v>
      </c>
      <c r="AQ1863" s="288" t="s">
        <v>4640</v>
      </c>
      <c r="AR1863" s="277">
        <v>44925.784722222219</v>
      </c>
      <c r="AS1863" s="272" t="s">
        <v>173</v>
      </c>
      <c r="AT1863" s="288" t="s">
        <v>225</v>
      </c>
      <c r="AU1863" s="276">
        <v>0.78472222222222221</v>
      </c>
      <c r="AV1863" s="288">
        <v>1</v>
      </c>
      <c r="AW1863" s="288" t="s">
        <v>66</v>
      </c>
      <c r="AX1863" s="52"/>
      <c r="AY1863" s="52"/>
      <c r="AZ1863" s="52"/>
      <c r="BA1863" s="52"/>
    </row>
    <row r="1864" spans="1:53" x14ac:dyDescent="0.25">
      <c r="A1864" s="296">
        <v>573</v>
      </c>
      <c r="B1864" s="295">
        <v>44925.767361111109</v>
      </c>
      <c r="C1864" s="290">
        <v>0.77083333333333337</v>
      </c>
      <c r="D1864" s="290">
        <v>0.77430555555555547</v>
      </c>
      <c r="E1864" s="290">
        <v>0.78125</v>
      </c>
      <c r="F1864" s="291" t="s">
        <v>171</v>
      </c>
      <c r="G1864" s="291" t="s">
        <v>2642</v>
      </c>
      <c r="H1864" s="289" t="s">
        <v>266</v>
      </c>
      <c r="I1864" s="289" t="s">
        <v>40</v>
      </c>
      <c r="J1864" s="289" t="s">
        <v>37</v>
      </c>
      <c r="K1864" s="289" t="s">
        <v>180</v>
      </c>
      <c r="L1864" s="289" t="s">
        <v>271</v>
      </c>
      <c r="M1864" s="291" t="s">
        <v>4662</v>
      </c>
      <c r="N1864" s="291" t="s">
        <v>38</v>
      </c>
      <c r="O1864" s="291" t="s">
        <v>4663</v>
      </c>
      <c r="P1864" s="291">
        <v>84818030</v>
      </c>
      <c r="Q1864" s="303">
        <f t="shared" si="161"/>
        <v>3</v>
      </c>
      <c r="R1864" s="303">
        <f t="shared" si="162"/>
        <v>634</v>
      </c>
      <c r="S1864" s="291">
        <v>0</v>
      </c>
      <c r="T1864" s="291">
        <v>0</v>
      </c>
      <c r="U1864" s="291">
        <v>3</v>
      </c>
      <c r="V1864" s="291">
        <v>634</v>
      </c>
      <c r="W1864" s="291">
        <v>616</v>
      </c>
      <c r="X1864" s="291">
        <v>86</v>
      </c>
      <c r="Y1864" s="291">
        <v>49</v>
      </c>
      <c r="Z1864" s="291">
        <v>87</v>
      </c>
      <c r="AA1864" s="291">
        <v>2</v>
      </c>
      <c r="AB1864" s="300">
        <f t="shared" si="163"/>
        <v>122.206</v>
      </c>
      <c r="AC1864" s="300">
        <f t="shared" si="164"/>
        <v>0.73618072289156633</v>
      </c>
      <c r="AD1864" s="291">
        <v>47027</v>
      </c>
      <c r="AE1864" s="291" t="s">
        <v>109</v>
      </c>
      <c r="AF1864" s="291" t="s">
        <v>1566</v>
      </c>
      <c r="AG1864" s="291" t="s">
        <v>1566</v>
      </c>
      <c r="AH1864" s="291" t="s">
        <v>4664</v>
      </c>
      <c r="AI1864" s="309"/>
      <c r="AJ1864" s="309"/>
      <c r="AK1864" s="291" t="s">
        <v>37</v>
      </c>
      <c r="AL1864" s="291" t="s">
        <v>54</v>
      </c>
      <c r="AM1864" s="299">
        <f t="shared" ca="1" si="160"/>
        <v>7.7847222222262644</v>
      </c>
      <c r="AN1864" s="51"/>
      <c r="AO1864" s="288" t="s">
        <v>5035</v>
      </c>
      <c r="AP1864" s="275" t="s">
        <v>5036</v>
      </c>
      <c r="AQ1864" s="288" t="s">
        <v>5037</v>
      </c>
      <c r="AR1864" s="277">
        <v>44933.552083333336</v>
      </c>
      <c r="AS1864" s="272" t="s">
        <v>297</v>
      </c>
      <c r="AT1864" s="288" t="s">
        <v>65</v>
      </c>
      <c r="AU1864" s="276">
        <v>0.55208333333333337</v>
      </c>
      <c r="AV1864" s="288">
        <v>1</v>
      </c>
      <c r="AW1864" s="288" t="s">
        <v>66</v>
      </c>
      <c r="AX1864" s="52"/>
      <c r="AY1864" s="52"/>
      <c r="AZ1864" s="52"/>
      <c r="BA1864" s="52"/>
    </row>
    <row r="1865" spans="1:53" x14ac:dyDescent="0.25">
      <c r="A1865" s="312">
        <v>573</v>
      </c>
      <c r="B1865" s="295">
        <v>44925.767361111109</v>
      </c>
      <c r="C1865" s="290">
        <v>0.77083333333333337</v>
      </c>
      <c r="D1865" s="290">
        <v>0.77430555555555547</v>
      </c>
      <c r="E1865" s="290">
        <v>0.78125</v>
      </c>
      <c r="F1865" s="291" t="s">
        <v>171</v>
      </c>
      <c r="G1865" s="291" t="s">
        <v>2642</v>
      </c>
      <c r="H1865" s="289" t="s">
        <v>266</v>
      </c>
      <c r="I1865" s="289" t="s">
        <v>40</v>
      </c>
      <c r="J1865" s="289" t="s">
        <v>37</v>
      </c>
      <c r="K1865" s="289" t="s">
        <v>180</v>
      </c>
      <c r="L1865" s="289" t="s">
        <v>271</v>
      </c>
      <c r="M1865" s="291" t="s">
        <v>4662</v>
      </c>
      <c r="N1865" s="291" t="s">
        <v>38</v>
      </c>
      <c r="O1865" s="291" t="s">
        <v>4663</v>
      </c>
      <c r="P1865" s="291">
        <v>84818030</v>
      </c>
      <c r="Q1865" s="303">
        <f t="shared" si="161"/>
        <v>0</v>
      </c>
      <c r="R1865" s="303">
        <f t="shared" si="162"/>
        <v>0</v>
      </c>
      <c r="S1865" s="291">
        <v>0</v>
      </c>
      <c r="T1865" s="291">
        <v>0</v>
      </c>
      <c r="U1865" s="291">
        <v>0</v>
      </c>
      <c r="V1865" s="291">
        <v>0</v>
      </c>
      <c r="W1865" s="291">
        <v>0</v>
      </c>
      <c r="X1865" s="291">
        <v>180</v>
      </c>
      <c r="Y1865" s="291">
        <v>56</v>
      </c>
      <c r="Z1865" s="291">
        <v>75</v>
      </c>
      <c r="AA1865" s="291">
        <v>1</v>
      </c>
      <c r="AB1865" s="300">
        <f t="shared" si="163"/>
        <v>126</v>
      </c>
      <c r="AC1865" s="300">
        <f t="shared" si="164"/>
        <v>0.75903614457831325</v>
      </c>
      <c r="AD1865" s="291">
        <v>0</v>
      </c>
      <c r="AE1865" s="291">
        <v>0</v>
      </c>
      <c r="AF1865" s="291" t="s">
        <v>1566</v>
      </c>
      <c r="AG1865" s="291" t="s">
        <v>1566</v>
      </c>
      <c r="AH1865" s="291" t="s">
        <v>4664</v>
      </c>
      <c r="AI1865" s="309"/>
      <c r="AJ1865" s="309"/>
      <c r="AK1865" s="291" t="s">
        <v>37</v>
      </c>
      <c r="AL1865" s="291" t="s">
        <v>54</v>
      </c>
      <c r="AM1865" s="299">
        <f t="shared" ca="1" si="160"/>
        <v>7.7847222222262644</v>
      </c>
      <c r="AN1865" s="51"/>
      <c r="AO1865" s="288" t="s">
        <v>5035</v>
      </c>
      <c r="AP1865" s="275" t="s">
        <v>5036</v>
      </c>
      <c r="AQ1865" s="288" t="s">
        <v>5037</v>
      </c>
      <c r="AR1865" s="277">
        <v>44933.552083333336</v>
      </c>
      <c r="AS1865" s="272" t="s">
        <v>297</v>
      </c>
      <c r="AT1865" s="288" t="s">
        <v>65</v>
      </c>
      <c r="AU1865" s="276">
        <v>0.55208333333333337</v>
      </c>
      <c r="AV1865" s="288">
        <v>1</v>
      </c>
      <c r="AW1865" s="288" t="s">
        <v>66</v>
      </c>
      <c r="AX1865" s="52"/>
      <c r="AY1865" s="52"/>
      <c r="AZ1865" s="52"/>
      <c r="BA1865" s="52"/>
    </row>
    <row r="1866" spans="1:53" x14ac:dyDescent="0.25">
      <c r="A1866" s="296">
        <v>574</v>
      </c>
      <c r="B1866" s="295">
        <v>44925.774305555555</v>
      </c>
      <c r="C1866" s="290">
        <v>0.77430555555555547</v>
      </c>
      <c r="D1866" s="290">
        <v>0.77777777777777779</v>
      </c>
      <c r="E1866" s="290">
        <v>0.79861111111111116</v>
      </c>
      <c r="F1866" s="291" t="s">
        <v>171</v>
      </c>
      <c r="G1866" s="291" t="s">
        <v>173</v>
      </c>
      <c r="H1866" s="289" t="s">
        <v>2643</v>
      </c>
      <c r="I1866" s="289" t="s">
        <v>201</v>
      </c>
      <c r="J1866" s="289" t="s">
        <v>37</v>
      </c>
      <c r="K1866" s="289" t="s">
        <v>180</v>
      </c>
      <c r="L1866" s="289" t="s">
        <v>206</v>
      </c>
      <c r="M1866" s="291" t="s">
        <v>4665</v>
      </c>
      <c r="N1866" s="291" t="s">
        <v>4666</v>
      </c>
      <c r="O1866" s="291" t="s">
        <v>4667</v>
      </c>
      <c r="P1866" s="291" t="s">
        <v>4668</v>
      </c>
      <c r="Q1866" s="303">
        <f t="shared" si="161"/>
        <v>2</v>
      </c>
      <c r="R1866" s="303">
        <f t="shared" si="162"/>
        <v>684</v>
      </c>
      <c r="S1866" s="291">
        <v>0</v>
      </c>
      <c r="T1866" s="291">
        <v>0</v>
      </c>
      <c r="U1866" s="291">
        <v>2</v>
      </c>
      <c r="V1866" s="291">
        <v>684</v>
      </c>
      <c r="W1866" s="291">
        <v>669</v>
      </c>
      <c r="X1866" s="291">
        <v>122</v>
      </c>
      <c r="Y1866" s="291">
        <v>102</v>
      </c>
      <c r="Z1866" s="291">
        <v>74</v>
      </c>
      <c r="AA1866" s="291">
        <v>2</v>
      </c>
      <c r="AB1866" s="300">
        <f t="shared" si="163"/>
        <v>306.952</v>
      </c>
      <c r="AC1866" s="300">
        <f t="shared" si="164"/>
        <v>1.8491084337349397</v>
      </c>
      <c r="AD1866" s="291" t="s">
        <v>48</v>
      </c>
      <c r="AE1866" s="291" t="s">
        <v>48</v>
      </c>
      <c r="AF1866" s="291" t="s">
        <v>1566</v>
      </c>
      <c r="AG1866" s="291" t="s">
        <v>1566</v>
      </c>
      <c r="AH1866" s="291" t="s">
        <v>4669</v>
      </c>
      <c r="AI1866" s="309"/>
      <c r="AJ1866" s="309"/>
      <c r="AK1866" s="291" t="s">
        <v>37</v>
      </c>
      <c r="AL1866" s="291" t="s">
        <v>54</v>
      </c>
      <c r="AM1866" s="299">
        <f t="shared" ca="1" si="160"/>
        <v>3.7118055555547471</v>
      </c>
      <c r="AN1866" s="51"/>
      <c r="AO1866" s="288" t="s">
        <v>142</v>
      </c>
      <c r="AP1866" s="275" t="s">
        <v>4665</v>
      </c>
      <c r="AQ1866" s="288" t="s">
        <v>4817</v>
      </c>
      <c r="AR1866" s="277">
        <v>44929.486111111109</v>
      </c>
      <c r="AS1866" s="272" t="s">
        <v>136</v>
      </c>
      <c r="AT1866" s="288" t="s">
        <v>225</v>
      </c>
      <c r="AU1866" s="276">
        <v>0.4861111111111111</v>
      </c>
      <c r="AV1866" s="288">
        <v>1</v>
      </c>
      <c r="AW1866" s="288" t="s">
        <v>66</v>
      </c>
      <c r="AX1866" s="52"/>
      <c r="AY1866" s="52"/>
      <c r="AZ1866" s="52"/>
      <c r="BA1866" s="52"/>
    </row>
    <row r="1867" spans="1:53" x14ac:dyDescent="0.25">
      <c r="A1867" s="296">
        <v>575</v>
      </c>
      <c r="B1867" s="295">
        <v>44925.774305555555</v>
      </c>
      <c r="C1867" s="290">
        <v>0.77430555555555547</v>
      </c>
      <c r="D1867" s="290">
        <v>0.77777777777777779</v>
      </c>
      <c r="E1867" s="290">
        <v>0.79861111111111116</v>
      </c>
      <c r="F1867" s="291" t="s">
        <v>171</v>
      </c>
      <c r="G1867" s="291" t="s">
        <v>173</v>
      </c>
      <c r="H1867" s="289" t="s">
        <v>2643</v>
      </c>
      <c r="I1867" s="289" t="s">
        <v>201</v>
      </c>
      <c r="J1867" s="289" t="s">
        <v>37</v>
      </c>
      <c r="K1867" s="289" t="s">
        <v>180</v>
      </c>
      <c r="L1867" s="289" t="s">
        <v>206</v>
      </c>
      <c r="M1867" s="291" t="s">
        <v>4670</v>
      </c>
      <c r="N1867" s="291" t="s">
        <v>186</v>
      </c>
      <c r="O1867" s="291">
        <v>22003628</v>
      </c>
      <c r="P1867" s="291" t="s">
        <v>4671</v>
      </c>
      <c r="Q1867" s="303">
        <f t="shared" si="161"/>
        <v>3</v>
      </c>
      <c r="R1867" s="303">
        <f t="shared" si="162"/>
        <v>149</v>
      </c>
      <c r="S1867" s="291">
        <v>2</v>
      </c>
      <c r="T1867" s="291">
        <v>10</v>
      </c>
      <c r="U1867" s="291">
        <v>1</v>
      </c>
      <c r="V1867" s="291">
        <v>139</v>
      </c>
      <c r="W1867" s="291">
        <v>149.5</v>
      </c>
      <c r="X1867" s="291">
        <v>27</v>
      </c>
      <c r="Y1867" s="291">
        <v>27</v>
      </c>
      <c r="Z1867" s="291">
        <v>14</v>
      </c>
      <c r="AA1867" s="291">
        <v>1</v>
      </c>
      <c r="AB1867" s="300">
        <f t="shared" si="163"/>
        <v>1.7010000000000001</v>
      </c>
      <c r="AC1867" s="300">
        <f t="shared" si="164"/>
        <v>1.0246987951807229E-2</v>
      </c>
      <c r="AD1867" s="291">
        <v>1266.8699999999999</v>
      </c>
      <c r="AE1867" s="291" t="s">
        <v>109</v>
      </c>
      <c r="AF1867" s="291" t="s">
        <v>1566</v>
      </c>
      <c r="AG1867" s="291" t="s">
        <v>1566</v>
      </c>
      <c r="AH1867" s="291" t="s">
        <v>4672</v>
      </c>
      <c r="AI1867" s="309"/>
      <c r="AJ1867" s="309"/>
      <c r="AK1867" s="291" t="s">
        <v>48</v>
      </c>
      <c r="AL1867" s="291" t="s">
        <v>54</v>
      </c>
      <c r="AM1867" s="299">
        <f t="shared" ca="1" si="160"/>
        <v>0.77083333333575865</v>
      </c>
      <c r="AN1867" s="51"/>
      <c r="AO1867" s="288" t="s">
        <v>131</v>
      </c>
      <c r="AP1867" s="275" t="s">
        <v>4670</v>
      </c>
      <c r="AQ1867" s="288" t="s">
        <v>4725</v>
      </c>
      <c r="AR1867" s="277">
        <v>44926.545138888891</v>
      </c>
      <c r="AS1867" s="288" t="s">
        <v>136</v>
      </c>
      <c r="AT1867" s="288" t="s">
        <v>225</v>
      </c>
      <c r="AU1867" s="276">
        <v>0.54513888888888895</v>
      </c>
      <c r="AV1867" s="288">
        <v>2</v>
      </c>
      <c r="AW1867" s="288" t="s">
        <v>66</v>
      </c>
      <c r="AX1867" s="52"/>
      <c r="AY1867" s="52"/>
      <c r="AZ1867" s="52"/>
      <c r="BA1867" s="52"/>
    </row>
    <row r="1868" spans="1:53" x14ac:dyDescent="0.25">
      <c r="A1868" s="312">
        <v>575</v>
      </c>
      <c r="B1868" s="295">
        <v>44925.774305555555</v>
      </c>
      <c r="C1868" s="290">
        <v>0.77430555555555547</v>
      </c>
      <c r="D1868" s="290">
        <v>0.77777777777777779</v>
      </c>
      <c r="E1868" s="290">
        <v>0.79861111111111116</v>
      </c>
      <c r="F1868" s="291" t="s">
        <v>171</v>
      </c>
      <c r="G1868" s="291" t="s">
        <v>173</v>
      </c>
      <c r="H1868" s="289" t="s">
        <v>2643</v>
      </c>
      <c r="I1868" s="289" t="s">
        <v>201</v>
      </c>
      <c r="J1868" s="289" t="s">
        <v>37</v>
      </c>
      <c r="K1868" s="289" t="s">
        <v>180</v>
      </c>
      <c r="L1868" s="289" t="s">
        <v>206</v>
      </c>
      <c r="M1868" s="291" t="s">
        <v>4670</v>
      </c>
      <c r="N1868" s="291" t="s">
        <v>186</v>
      </c>
      <c r="O1868" s="291">
        <v>22003628</v>
      </c>
      <c r="P1868" s="291" t="s">
        <v>4671</v>
      </c>
      <c r="Q1868" s="303">
        <f t="shared" si="161"/>
        <v>0</v>
      </c>
      <c r="R1868" s="303">
        <f t="shared" si="162"/>
        <v>0</v>
      </c>
      <c r="S1868" s="291">
        <v>0</v>
      </c>
      <c r="T1868" s="291">
        <v>0</v>
      </c>
      <c r="U1868" s="291">
        <v>0</v>
      </c>
      <c r="V1868" s="291">
        <v>0</v>
      </c>
      <c r="W1868" s="291">
        <v>0</v>
      </c>
      <c r="X1868" s="291">
        <v>82</v>
      </c>
      <c r="Y1868" s="291">
        <v>17</v>
      </c>
      <c r="Z1868" s="291">
        <v>10</v>
      </c>
      <c r="AA1868" s="291">
        <v>1</v>
      </c>
      <c r="AB1868" s="300">
        <f t="shared" si="163"/>
        <v>2.3233333333333333</v>
      </c>
      <c r="AC1868" s="300">
        <f t="shared" si="164"/>
        <v>1.3995983935742971E-2</v>
      </c>
      <c r="AD1868" s="291">
        <v>0</v>
      </c>
      <c r="AE1868" s="291">
        <v>0</v>
      </c>
      <c r="AF1868" s="291" t="s">
        <v>1566</v>
      </c>
      <c r="AG1868" s="291" t="s">
        <v>1566</v>
      </c>
      <c r="AH1868" s="291" t="s">
        <v>4672</v>
      </c>
      <c r="AI1868" s="309"/>
      <c r="AJ1868" s="309"/>
      <c r="AK1868" s="291" t="s">
        <v>48</v>
      </c>
      <c r="AL1868" s="291" t="s">
        <v>54</v>
      </c>
      <c r="AM1868" s="299">
        <f t="shared" ca="1" si="160"/>
        <v>0.77083333333575865</v>
      </c>
      <c r="AN1868" s="51"/>
      <c r="AO1868" s="288" t="s">
        <v>131</v>
      </c>
      <c r="AP1868" s="275" t="s">
        <v>4670</v>
      </c>
      <c r="AQ1868" s="288" t="s">
        <v>4725</v>
      </c>
      <c r="AR1868" s="277">
        <v>44926.545138888891</v>
      </c>
      <c r="AS1868" s="288" t="s">
        <v>136</v>
      </c>
      <c r="AT1868" s="288" t="s">
        <v>225</v>
      </c>
      <c r="AU1868" s="276">
        <v>0.54513888888888895</v>
      </c>
      <c r="AV1868" s="288">
        <v>2</v>
      </c>
      <c r="AW1868" s="288" t="s">
        <v>66</v>
      </c>
      <c r="AX1868" s="52"/>
      <c r="AY1868" s="52"/>
      <c r="AZ1868" s="52"/>
      <c r="BA1868" s="52"/>
    </row>
    <row r="1869" spans="1:53" x14ac:dyDescent="0.25">
      <c r="A1869" s="312">
        <v>575</v>
      </c>
      <c r="B1869" s="295">
        <v>44925.774305555555</v>
      </c>
      <c r="C1869" s="290">
        <v>0.77430555555555547</v>
      </c>
      <c r="D1869" s="290">
        <v>0.77777777777777779</v>
      </c>
      <c r="E1869" s="290">
        <v>0.79861111111111116</v>
      </c>
      <c r="F1869" s="291" t="s">
        <v>171</v>
      </c>
      <c r="G1869" s="291" t="s">
        <v>173</v>
      </c>
      <c r="H1869" s="289" t="s">
        <v>2643</v>
      </c>
      <c r="I1869" s="289" t="s">
        <v>201</v>
      </c>
      <c r="J1869" s="289" t="s">
        <v>37</v>
      </c>
      <c r="K1869" s="289" t="s">
        <v>180</v>
      </c>
      <c r="L1869" s="289" t="s">
        <v>206</v>
      </c>
      <c r="M1869" s="291" t="s">
        <v>4670</v>
      </c>
      <c r="N1869" s="291" t="s">
        <v>186</v>
      </c>
      <c r="O1869" s="291">
        <v>22003628</v>
      </c>
      <c r="P1869" s="291" t="s">
        <v>4671</v>
      </c>
      <c r="Q1869" s="303">
        <f t="shared" si="161"/>
        <v>0</v>
      </c>
      <c r="R1869" s="303">
        <f t="shared" si="162"/>
        <v>0</v>
      </c>
      <c r="S1869" s="291">
        <v>0</v>
      </c>
      <c r="T1869" s="291">
        <v>0</v>
      </c>
      <c r="U1869" s="291">
        <v>0</v>
      </c>
      <c r="V1869" s="291">
        <v>0</v>
      </c>
      <c r="W1869" s="291">
        <v>0</v>
      </c>
      <c r="X1869" s="291">
        <v>150</v>
      </c>
      <c r="Y1869" s="291">
        <v>41</v>
      </c>
      <c r="Z1869" s="291">
        <v>69</v>
      </c>
      <c r="AA1869" s="291">
        <v>1</v>
      </c>
      <c r="AB1869" s="300">
        <f t="shared" si="163"/>
        <v>70.724999999999994</v>
      </c>
      <c r="AC1869" s="300">
        <f t="shared" si="164"/>
        <v>0.42605421686746986</v>
      </c>
      <c r="AD1869" s="291">
        <v>0</v>
      </c>
      <c r="AE1869" s="291">
        <v>0</v>
      </c>
      <c r="AF1869" s="291" t="s">
        <v>1566</v>
      </c>
      <c r="AG1869" s="291" t="s">
        <v>1566</v>
      </c>
      <c r="AH1869" s="291" t="s">
        <v>4672</v>
      </c>
      <c r="AI1869" s="309"/>
      <c r="AJ1869" s="309"/>
      <c r="AK1869" s="291" t="s">
        <v>37</v>
      </c>
      <c r="AL1869" s="291" t="s">
        <v>54</v>
      </c>
      <c r="AM1869" s="299">
        <f t="shared" ca="1" si="160"/>
        <v>0.77083333333575865</v>
      </c>
      <c r="AN1869" s="51"/>
      <c r="AO1869" s="288" t="s">
        <v>131</v>
      </c>
      <c r="AP1869" s="275" t="s">
        <v>4670</v>
      </c>
      <c r="AQ1869" s="288" t="s">
        <v>4725</v>
      </c>
      <c r="AR1869" s="277">
        <v>44926.545138888891</v>
      </c>
      <c r="AS1869" s="288" t="s">
        <v>136</v>
      </c>
      <c r="AT1869" s="288" t="s">
        <v>225</v>
      </c>
      <c r="AU1869" s="276">
        <v>0.54513888888888895</v>
      </c>
      <c r="AV1869" s="288">
        <v>2</v>
      </c>
      <c r="AW1869" s="288" t="s">
        <v>66</v>
      </c>
      <c r="AX1869" s="52"/>
      <c r="AY1869" s="52"/>
      <c r="AZ1869" s="52"/>
      <c r="BA1869" s="52"/>
    </row>
    <row r="1870" spans="1:53" x14ac:dyDescent="0.25">
      <c r="A1870" s="296">
        <v>576</v>
      </c>
      <c r="B1870" s="295">
        <v>44925.777777777781</v>
      </c>
      <c r="C1870" s="290">
        <v>0.78125</v>
      </c>
      <c r="D1870" s="290">
        <v>0.78472222222222221</v>
      </c>
      <c r="E1870" s="290">
        <v>0.80208333333333337</v>
      </c>
      <c r="F1870" s="291" t="s">
        <v>171</v>
      </c>
      <c r="G1870" s="291" t="s">
        <v>811</v>
      </c>
      <c r="H1870" s="294" t="s">
        <v>75</v>
      </c>
      <c r="I1870" s="294" t="s">
        <v>166</v>
      </c>
      <c r="J1870" s="294" t="s">
        <v>37</v>
      </c>
      <c r="K1870" s="289" t="s">
        <v>180</v>
      </c>
      <c r="L1870" s="293" t="s">
        <v>209</v>
      </c>
      <c r="M1870" s="291" t="s">
        <v>4673</v>
      </c>
      <c r="N1870" s="291" t="s">
        <v>167</v>
      </c>
      <c r="O1870" s="291" t="s">
        <v>4674</v>
      </c>
      <c r="P1870" s="291">
        <v>17386</v>
      </c>
      <c r="Q1870" s="303">
        <f t="shared" si="161"/>
        <v>3</v>
      </c>
      <c r="R1870" s="303">
        <f t="shared" si="162"/>
        <v>154</v>
      </c>
      <c r="S1870" s="291">
        <v>2</v>
      </c>
      <c r="T1870" s="291">
        <v>61</v>
      </c>
      <c r="U1870" s="291">
        <v>1</v>
      </c>
      <c r="V1870" s="291">
        <v>93</v>
      </c>
      <c r="W1870" s="291">
        <v>152</v>
      </c>
      <c r="X1870" s="291">
        <v>72</v>
      </c>
      <c r="Y1870" s="291">
        <v>71</v>
      </c>
      <c r="Z1870" s="291">
        <v>13</v>
      </c>
      <c r="AA1870" s="291">
        <v>1</v>
      </c>
      <c r="AB1870" s="300">
        <f t="shared" si="163"/>
        <v>11.076000000000001</v>
      </c>
      <c r="AC1870" s="300">
        <f t="shared" si="164"/>
        <v>6.6722891566265069E-2</v>
      </c>
      <c r="AD1870" s="291">
        <v>2806</v>
      </c>
      <c r="AE1870" s="291" t="s">
        <v>109</v>
      </c>
      <c r="AF1870" s="291" t="s">
        <v>1566</v>
      </c>
      <c r="AG1870" s="291" t="s">
        <v>1566</v>
      </c>
      <c r="AH1870" s="291" t="s">
        <v>4675</v>
      </c>
      <c r="AI1870" s="309"/>
      <c r="AJ1870" s="309"/>
      <c r="AK1870" s="291" t="s">
        <v>48</v>
      </c>
      <c r="AL1870" s="291" t="s">
        <v>54</v>
      </c>
      <c r="AM1870" s="299">
        <f t="shared" ca="1" si="160"/>
        <v>0.68055555555474712</v>
      </c>
      <c r="AN1870" s="297"/>
      <c r="AO1870" s="288" t="s">
        <v>161</v>
      </c>
      <c r="AP1870" s="275" t="s">
        <v>4673</v>
      </c>
      <c r="AQ1870" s="288" t="s">
        <v>4720</v>
      </c>
      <c r="AR1870" s="277">
        <v>44926.458333333336</v>
      </c>
      <c r="AS1870" s="272" t="s">
        <v>483</v>
      </c>
      <c r="AT1870" s="288" t="s">
        <v>225</v>
      </c>
      <c r="AU1870" s="276">
        <v>0.45833333333333331</v>
      </c>
      <c r="AV1870" s="288">
        <v>1</v>
      </c>
      <c r="AW1870" s="288" t="s">
        <v>66</v>
      </c>
      <c r="AX1870" s="52"/>
      <c r="AY1870" s="52"/>
      <c r="AZ1870" s="52"/>
      <c r="BA1870" s="52"/>
    </row>
    <row r="1871" spans="1:53" x14ac:dyDescent="0.25">
      <c r="A1871" s="312">
        <v>576</v>
      </c>
      <c r="B1871" s="295">
        <v>44925.777777777781</v>
      </c>
      <c r="C1871" s="290">
        <v>0.78125</v>
      </c>
      <c r="D1871" s="290">
        <v>0.78472222222222221</v>
      </c>
      <c r="E1871" s="290">
        <v>0.80208333333333337</v>
      </c>
      <c r="F1871" s="291" t="s">
        <v>171</v>
      </c>
      <c r="G1871" s="291" t="s">
        <v>811</v>
      </c>
      <c r="H1871" s="289" t="s">
        <v>75</v>
      </c>
      <c r="I1871" s="289" t="s">
        <v>166</v>
      </c>
      <c r="J1871" s="289" t="s">
        <v>37</v>
      </c>
      <c r="K1871" s="289" t="s">
        <v>180</v>
      </c>
      <c r="L1871" s="293" t="s">
        <v>209</v>
      </c>
      <c r="M1871" s="291" t="s">
        <v>4673</v>
      </c>
      <c r="N1871" s="291" t="s">
        <v>167</v>
      </c>
      <c r="O1871" s="291" t="s">
        <v>4674</v>
      </c>
      <c r="P1871" s="291">
        <v>17386</v>
      </c>
      <c r="Q1871" s="303">
        <f t="shared" si="161"/>
        <v>0</v>
      </c>
      <c r="R1871" s="303">
        <f t="shared" si="162"/>
        <v>0</v>
      </c>
      <c r="S1871" s="291">
        <v>0</v>
      </c>
      <c r="T1871" s="291">
        <v>0</v>
      </c>
      <c r="U1871" s="291">
        <v>0</v>
      </c>
      <c r="V1871" s="291">
        <v>0</v>
      </c>
      <c r="W1871" s="291">
        <v>0</v>
      </c>
      <c r="X1871" s="291">
        <v>41</v>
      </c>
      <c r="Y1871" s="291">
        <v>41</v>
      </c>
      <c r="Z1871" s="291">
        <v>32</v>
      </c>
      <c r="AA1871" s="291">
        <v>1</v>
      </c>
      <c r="AB1871" s="300">
        <f t="shared" si="163"/>
        <v>8.9653333333333336</v>
      </c>
      <c r="AC1871" s="300">
        <f t="shared" si="164"/>
        <v>5.4008032128514058E-2</v>
      </c>
      <c r="AD1871" s="291">
        <v>0</v>
      </c>
      <c r="AE1871" s="291">
        <v>0</v>
      </c>
      <c r="AF1871" s="291" t="s">
        <v>1566</v>
      </c>
      <c r="AG1871" s="291" t="s">
        <v>1566</v>
      </c>
      <c r="AH1871" s="291" t="s">
        <v>4675</v>
      </c>
      <c r="AI1871" s="309"/>
      <c r="AJ1871" s="309"/>
      <c r="AK1871" s="291" t="s">
        <v>48</v>
      </c>
      <c r="AL1871" s="291" t="s">
        <v>54</v>
      </c>
      <c r="AM1871" s="299">
        <f t="shared" ca="1" si="160"/>
        <v>0.68055555555474712</v>
      </c>
      <c r="AN1871" s="297"/>
      <c r="AO1871" s="288" t="s">
        <v>161</v>
      </c>
      <c r="AP1871" s="275" t="s">
        <v>4673</v>
      </c>
      <c r="AQ1871" s="288" t="s">
        <v>4720</v>
      </c>
      <c r="AR1871" s="277">
        <v>44926.458333333336</v>
      </c>
      <c r="AS1871" s="272" t="s">
        <v>483</v>
      </c>
      <c r="AT1871" s="288" t="s">
        <v>225</v>
      </c>
      <c r="AU1871" s="276">
        <v>0.45833333333333331</v>
      </c>
      <c r="AV1871" s="288">
        <v>1</v>
      </c>
      <c r="AW1871" s="288" t="s">
        <v>66</v>
      </c>
      <c r="AX1871" s="52"/>
      <c r="AY1871" s="52"/>
      <c r="AZ1871" s="52"/>
      <c r="BA1871" s="52"/>
    </row>
    <row r="1872" spans="1:53" x14ac:dyDescent="0.25">
      <c r="A1872" s="312">
        <v>576</v>
      </c>
      <c r="B1872" s="295">
        <v>44925.777777777781</v>
      </c>
      <c r="C1872" s="290">
        <v>0.78125</v>
      </c>
      <c r="D1872" s="290">
        <v>0.78472222222222221</v>
      </c>
      <c r="E1872" s="290">
        <v>0.80208333333333337</v>
      </c>
      <c r="F1872" s="291" t="s">
        <v>171</v>
      </c>
      <c r="G1872" s="291" t="s">
        <v>811</v>
      </c>
      <c r="H1872" s="289" t="s">
        <v>75</v>
      </c>
      <c r="I1872" s="289" t="s">
        <v>166</v>
      </c>
      <c r="J1872" s="289" t="s">
        <v>37</v>
      </c>
      <c r="K1872" s="289" t="s">
        <v>180</v>
      </c>
      <c r="L1872" s="293" t="s">
        <v>209</v>
      </c>
      <c r="M1872" s="291" t="s">
        <v>4673</v>
      </c>
      <c r="N1872" s="291" t="s">
        <v>167</v>
      </c>
      <c r="O1872" s="291" t="s">
        <v>4674</v>
      </c>
      <c r="P1872" s="291">
        <v>17386</v>
      </c>
      <c r="Q1872" s="303">
        <f t="shared" si="161"/>
        <v>0</v>
      </c>
      <c r="R1872" s="303">
        <f t="shared" si="162"/>
        <v>0</v>
      </c>
      <c r="S1872" s="291">
        <v>0</v>
      </c>
      <c r="T1872" s="291">
        <v>0</v>
      </c>
      <c r="U1872" s="291">
        <v>0</v>
      </c>
      <c r="V1872" s="291">
        <v>0</v>
      </c>
      <c r="W1872" s="291">
        <v>0</v>
      </c>
      <c r="X1872" s="291">
        <v>57</v>
      </c>
      <c r="Y1872" s="291">
        <v>57</v>
      </c>
      <c r="Z1872" s="291">
        <v>67</v>
      </c>
      <c r="AA1872" s="291">
        <v>1</v>
      </c>
      <c r="AB1872" s="300">
        <f t="shared" si="163"/>
        <v>36.280500000000004</v>
      </c>
      <c r="AC1872" s="300">
        <f t="shared" si="164"/>
        <v>0.21855722891566268</v>
      </c>
      <c r="AD1872" s="291">
        <v>0</v>
      </c>
      <c r="AE1872" s="291">
        <v>0</v>
      </c>
      <c r="AF1872" s="291" t="s">
        <v>1566</v>
      </c>
      <c r="AG1872" s="291" t="s">
        <v>1566</v>
      </c>
      <c r="AH1872" s="291" t="s">
        <v>4675</v>
      </c>
      <c r="AI1872" s="309"/>
      <c r="AJ1872" s="309"/>
      <c r="AK1872" s="291" t="s">
        <v>37</v>
      </c>
      <c r="AL1872" s="291" t="s">
        <v>54</v>
      </c>
      <c r="AM1872" s="299">
        <f t="shared" ca="1" si="160"/>
        <v>0.68055555555474712</v>
      </c>
      <c r="AN1872" s="297"/>
      <c r="AO1872" s="288" t="s">
        <v>161</v>
      </c>
      <c r="AP1872" s="275" t="s">
        <v>4673</v>
      </c>
      <c r="AQ1872" s="288" t="s">
        <v>4720</v>
      </c>
      <c r="AR1872" s="277">
        <v>44926.458333333336</v>
      </c>
      <c r="AS1872" s="272" t="s">
        <v>483</v>
      </c>
      <c r="AT1872" s="288" t="s">
        <v>225</v>
      </c>
      <c r="AU1872" s="276">
        <v>0.45833333333333331</v>
      </c>
      <c r="AV1872" s="288">
        <v>1</v>
      </c>
      <c r="AW1872" s="288" t="s">
        <v>66</v>
      </c>
      <c r="AX1872" s="52"/>
      <c r="AY1872" s="52"/>
      <c r="AZ1872" s="52"/>
      <c r="BA1872" s="52"/>
    </row>
    <row r="1873" spans="1:53" x14ac:dyDescent="0.25">
      <c r="A1873" s="296">
        <v>577</v>
      </c>
      <c r="B1873" s="295">
        <v>44925.784722222219</v>
      </c>
      <c r="C1873" s="290">
        <v>0.78472222222222221</v>
      </c>
      <c r="D1873" s="290">
        <v>0.79166666666666663</v>
      </c>
      <c r="E1873" s="290">
        <v>0.80902777777777779</v>
      </c>
      <c r="F1873" s="291" t="s">
        <v>171</v>
      </c>
      <c r="G1873" s="291" t="s">
        <v>3008</v>
      </c>
      <c r="H1873" s="289" t="s">
        <v>342</v>
      </c>
      <c r="I1873" s="289" t="s">
        <v>342</v>
      </c>
      <c r="J1873" s="289" t="s">
        <v>37</v>
      </c>
      <c r="K1873" s="291" t="s">
        <v>180</v>
      </c>
      <c r="L1873" s="291">
        <v>0</v>
      </c>
      <c r="M1873" s="291" t="s">
        <v>4676</v>
      </c>
      <c r="N1873" s="291" t="s">
        <v>231</v>
      </c>
      <c r="O1873" s="291" t="s">
        <v>4677</v>
      </c>
      <c r="P1873" s="291">
        <v>29545469</v>
      </c>
      <c r="Q1873" s="303">
        <f t="shared" si="161"/>
        <v>4</v>
      </c>
      <c r="R1873" s="303">
        <f t="shared" si="162"/>
        <v>2317</v>
      </c>
      <c r="S1873" s="291">
        <v>0</v>
      </c>
      <c r="T1873" s="291">
        <v>0</v>
      </c>
      <c r="U1873" s="291">
        <v>4</v>
      </c>
      <c r="V1873" s="291">
        <v>2317</v>
      </c>
      <c r="W1873" s="291">
        <v>2400</v>
      </c>
      <c r="X1873" s="291">
        <v>99</v>
      </c>
      <c r="Y1873" s="291">
        <v>99</v>
      </c>
      <c r="Z1873" s="291">
        <v>75</v>
      </c>
      <c r="AA1873" s="291">
        <v>4</v>
      </c>
      <c r="AB1873" s="300">
        <f t="shared" si="163"/>
        <v>490.05</v>
      </c>
      <c r="AC1873" s="300">
        <f t="shared" si="164"/>
        <v>2.9521084337349399</v>
      </c>
      <c r="AD1873" s="291">
        <v>26499.84</v>
      </c>
      <c r="AE1873" s="291" t="s">
        <v>109</v>
      </c>
      <c r="AF1873" s="291" t="s">
        <v>1566</v>
      </c>
      <c r="AG1873" s="291" t="s">
        <v>1566</v>
      </c>
      <c r="AH1873" s="291" t="s">
        <v>4678</v>
      </c>
      <c r="AI1873" s="309"/>
      <c r="AJ1873" s="309"/>
      <c r="AK1873" s="291" t="s">
        <v>37</v>
      </c>
      <c r="AL1873" s="291" t="s">
        <v>54</v>
      </c>
      <c r="AM1873" s="299">
        <f t="shared" ca="1" si="160"/>
        <v>2.8368055555620231</v>
      </c>
      <c r="AN1873" s="297"/>
      <c r="AO1873" s="288" t="s">
        <v>53</v>
      </c>
      <c r="AP1873" s="275" t="s">
        <v>4676</v>
      </c>
      <c r="AQ1873" s="288" t="s">
        <v>4788</v>
      </c>
      <c r="AR1873" s="111">
        <v>44928.621527777781</v>
      </c>
      <c r="AS1873" s="272" t="s">
        <v>173</v>
      </c>
      <c r="AT1873" s="288" t="s">
        <v>225</v>
      </c>
      <c r="AU1873" s="276">
        <v>0.62152777777777779</v>
      </c>
      <c r="AV1873" s="288">
        <v>1</v>
      </c>
      <c r="AW1873" s="288" t="s">
        <v>66</v>
      </c>
      <c r="AX1873" s="52"/>
      <c r="AY1873" s="52"/>
      <c r="AZ1873" s="52"/>
      <c r="BA1873" s="52"/>
    </row>
    <row r="1874" spans="1:53" x14ac:dyDescent="0.25">
      <c r="A1874" s="296">
        <v>578</v>
      </c>
      <c r="B1874" s="295">
        <v>44925.784722222219</v>
      </c>
      <c r="C1874" s="290">
        <v>0.78472222222222221</v>
      </c>
      <c r="D1874" s="290">
        <v>0.79166666666666663</v>
      </c>
      <c r="E1874" s="290">
        <v>0.80902777777777779</v>
      </c>
      <c r="F1874" s="291" t="s">
        <v>171</v>
      </c>
      <c r="G1874" s="291" t="s">
        <v>3008</v>
      </c>
      <c r="H1874" s="289" t="s">
        <v>342</v>
      </c>
      <c r="I1874" s="289" t="s">
        <v>342</v>
      </c>
      <c r="J1874" s="289" t="s">
        <v>37</v>
      </c>
      <c r="K1874" s="291" t="s">
        <v>180</v>
      </c>
      <c r="L1874" s="291">
        <v>0</v>
      </c>
      <c r="M1874" s="291" t="s">
        <v>4679</v>
      </c>
      <c r="N1874" s="291" t="s">
        <v>42</v>
      </c>
      <c r="O1874" s="291" t="s">
        <v>4680</v>
      </c>
      <c r="P1874" s="291">
        <v>29545926</v>
      </c>
      <c r="Q1874" s="303">
        <f t="shared" si="161"/>
        <v>7</v>
      </c>
      <c r="R1874" s="303">
        <f t="shared" si="162"/>
        <v>2435</v>
      </c>
      <c r="S1874" s="291">
        <v>0</v>
      </c>
      <c r="T1874" s="291">
        <v>0</v>
      </c>
      <c r="U1874" s="291">
        <v>7</v>
      </c>
      <c r="V1874" s="291">
        <v>2435</v>
      </c>
      <c r="W1874" s="291">
        <v>2800</v>
      </c>
      <c r="X1874" s="291">
        <v>99</v>
      </c>
      <c r="Y1874" s="291">
        <v>99</v>
      </c>
      <c r="Z1874" s="291">
        <v>75</v>
      </c>
      <c r="AA1874" s="291">
        <v>7</v>
      </c>
      <c r="AB1874" s="300">
        <f t="shared" si="163"/>
        <v>857.58749999999998</v>
      </c>
      <c r="AC1874" s="300">
        <f t="shared" si="164"/>
        <v>5.1661897590361443</v>
      </c>
      <c r="AD1874" s="291">
        <v>17420.759999999998</v>
      </c>
      <c r="AE1874" s="291" t="s">
        <v>109</v>
      </c>
      <c r="AF1874" s="291" t="s">
        <v>1566</v>
      </c>
      <c r="AG1874" s="291" t="s">
        <v>1566</v>
      </c>
      <c r="AH1874" s="291" t="s">
        <v>4681</v>
      </c>
      <c r="AI1874" s="309"/>
      <c r="AJ1874" s="309"/>
      <c r="AK1874" s="291" t="s">
        <v>37</v>
      </c>
      <c r="AL1874" s="291" t="s">
        <v>54</v>
      </c>
      <c r="AM1874" s="299">
        <f t="shared" ca="1" si="160"/>
        <v>0.68402777778101154</v>
      </c>
      <c r="AN1874" s="297"/>
      <c r="AO1874" s="288" t="s">
        <v>107</v>
      </c>
      <c r="AP1874" s="275" t="s">
        <v>4679</v>
      </c>
      <c r="AQ1874" s="288" t="s">
        <v>4723</v>
      </c>
      <c r="AR1874" s="277">
        <v>44926.46875</v>
      </c>
      <c r="AS1874" s="288" t="s">
        <v>95</v>
      </c>
      <c r="AT1874" s="288" t="s">
        <v>225</v>
      </c>
      <c r="AU1874" s="59">
        <v>0.46875</v>
      </c>
      <c r="AV1874" s="288">
        <v>1</v>
      </c>
      <c r="AW1874" s="288" t="s">
        <v>66</v>
      </c>
      <c r="AX1874" s="52"/>
      <c r="AY1874" s="52"/>
      <c r="AZ1874" s="52"/>
      <c r="BA1874" s="52"/>
    </row>
    <row r="1875" spans="1:53" x14ac:dyDescent="0.25">
      <c r="A1875" s="312">
        <v>579</v>
      </c>
      <c r="B1875" s="311">
        <v>44925.815972222219</v>
      </c>
      <c r="C1875" s="308">
        <v>0.81597222222222221</v>
      </c>
      <c r="D1875" s="308">
        <v>0.81944444444444453</v>
      </c>
      <c r="E1875" s="308">
        <v>0.82291666666666663</v>
      </c>
      <c r="F1875" s="309" t="s">
        <v>171</v>
      </c>
      <c r="G1875" s="309" t="s">
        <v>101</v>
      </c>
      <c r="H1875" s="303" t="s">
        <v>2313</v>
      </c>
      <c r="I1875" s="303" t="s">
        <v>4682</v>
      </c>
      <c r="J1875" s="303" t="s">
        <v>37</v>
      </c>
      <c r="K1875" s="307" t="s">
        <v>180</v>
      </c>
      <c r="L1875" s="307" t="s">
        <v>206</v>
      </c>
      <c r="M1875" s="309" t="s">
        <v>4683</v>
      </c>
      <c r="N1875" s="309" t="s">
        <v>175</v>
      </c>
      <c r="O1875" s="309">
        <v>65101610</v>
      </c>
      <c r="P1875" s="309" t="s">
        <v>4684</v>
      </c>
      <c r="Q1875" s="303">
        <f t="shared" si="161"/>
        <v>13</v>
      </c>
      <c r="R1875" s="303">
        <f t="shared" si="162"/>
        <v>141</v>
      </c>
      <c r="S1875" s="309">
        <v>13</v>
      </c>
      <c r="T1875" s="309">
        <v>141</v>
      </c>
      <c r="U1875" s="309">
        <v>0</v>
      </c>
      <c r="V1875" s="309">
        <v>0</v>
      </c>
      <c r="W1875" s="309">
        <v>180.3</v>
      </c>
      <c r="X1875" s="309">
        <v>54</v>
      </c>
      <c r="Y1875" s="309">
        <v>37</v>
      </c>
      <c r="Z1875" s="309">
        <v>25</v>
      </c>
      <c r="AA1875" s="309">
        <v>11</v>
      </c>
      <c r="AB1875" s="300">
        <f t="shared" si="163"/>
        <v>91.575000000000003</v>
      </c>
      <c r="AC1875" s="300">
        <f t="shared" si="164"/>
        <v>0.55165662650602409</v>
      </c>
      <c r="AD1875" s="309">
        <v>1683.05</v>
      </c>
      <c r="AE1875" s="309" t="s">
        <v>111</v>
      </c>
      <c r="AF1875" s="309" t="s">
        <v>1566</v>
      </c>
      <c r="AG1875" s="309" t="s">
        <v>1566</v>
      </c>
      <c r="AH1875" s="309" t="s">
        <v>4685</v>
      </c>
      <c r="AI1875" s="309"/>
      <c r="AJ1875" s="309"/>
      <c r="AK1875" s="309" t="s">
        <v>48</v>
      </c>
      <c r="AL1875" s="309" t="s">
        <v>47</v>
      </c>
      <c r="AM1875" s="299">
        <f t="shared" ca="1" si="160"/>
        <v>0.87152777778101154</v>
      </c>
      <c r="AN1875" s="313"/>
      <c r="AO1875" s="288" t="s">
        <v>181</v>
      </c>
      <c r="AP1875" s="275" t="s">
        <v>4683</v>
      </c>
      <c r="AQ1875" s="288" t="s">
        <v>4730</v>
      </c>
      <c r="AR1875" s="277">
        <v>44926.6875</v>
      </c>
      <c r="AS1875" s="288" t="s">
        <v>95</v>
      </c>
      <c r="AT1875" s="288" t="s">
        <v>225</v>
      </c>
      <c r="AU1875" s="59">
        <v>0.6875</v>
      </c>
      <c r="AV1875" s="288">
        <v>2</v>
      </c>
      <c r="AW1875" s="288" t="s">
        <v>66</v>
      </c>
      <c r="AX1875" s="314"/>
      <c r="AY1875" s="314"/>
      <c r="AZ1875" s="314"/>
      <c r="BA1875" s="314"/>
    </row>
    <row r="1876" spans="1:53" x14ac:dyDescent="0.25">
      <c r="A1876" s="312">
        <v>579</v>
      </c>
      <c r="B1876" s="311">
        <v>44925.815972222219</v>
      </c>
      <c r="C1876" s="308">
        <v>0.81597222222222221</v>
      </c>
      <c r="D1876" s="308">
        <v>0.81944444444444453</v>
      </c>
      <c r="E1876" s="308">
        <v>0.82291666666666663</v>
      </c>
      <c r="F1876" s="309" t="s">
        <v>171</v>
      </c>
      <c r="G1876" s="309" t="s">
        <v>101</v>
      </c>
      <c r="H1876" s="303" t="s">
        <v>2313</v>
      </c>
      <c r="I1876" s="303" t="s">
        <v>4682</v>
      </c>
      <c r="J1876" s="303" t="s">
        <v>37</v>
      </c>
      <c r="K1876" s="307" t="s">
        <v>180</v>
      </c>
      <c r="L1876" s="307" t="s">
        <v>206</v>
      </c>
      <c r="M1876" s="309" t="s">
        <v>4683</v>
      </c>
      <c r="N1876" s="309" t="s">
        <v>175</v>
      </c>
      <c r="O1876" s="309">
        <v>65101610</v>
      </c>
      <c r="P1876" s="309" t="s">
        <v>4684</v>
      </c>
      <c r="Q1876" s="303">
        <f t="shared" si="161"/>
        <v>0</v>
      </c>
      <c r="R1876" s="303">
        <f t="shared" si="162"/>
        <v>0</v>
      </c>
      <c r="S1876" s="309">
        <v>0</v>
      </c>
      <c r="T1876" s="309">
        <v>0</v>
      </c>
      <c r="U1876" s="309">
        <v>0</v>
      </c>
      <c r="V1876" s="309">
        <v>0</v>
      </c>
      <c r="W1876" s="309">
        <v>0</v>
      </c>
      <c r="X1876" s="309">
        <v>54</v>
      </c>
      <c r="Y1876" s="309">
        <v>37</v>
      </c>
      <c r="Z1876" s="309">
        <v>16</v>
      </c>
      <c r="AA1876" s="309">
        <v>2</v>
      </c>
      <c r="AB1876" s="300">
        <f t="shared" si="163"/>
        <v>10.656000000000001</v>
      </c>
      <c r="AC1876" s="300">
        <f t="shared" si="164"/>
        <v>6.4192771084337352E-2</v>
      </c>
      <c r="AD1876" s="309">
        <v>0</v>
      </c>
      <c r="AE1876" s="309">
        <v>0</v>
      </c>
      <c r="AF1876" s="309" t="s">
        <v>1566</v>
      </c>
      <c r="AG1876" s="309" t="s">
        <v>1566</v>
      </c>
      <c r="AH1876" s="309" t="s">
        <v>4685</v>
      </c>
      <c r="AI1876" s="309"/>
      <c r="AJ1876" s="309"/>
      <c r="AK1876" s="309" t="s">
        <v>48</v>
      </c>
      <c r="AL1876" s="309" t="s">
        <v>47</v>
      </c>
      <c r="AM1876" s="299">
        <f t="shared" ca="1" si="160"/>
        <v>0.87152777778101154</v>
      </c>
      <c r="AN1876" s="313"/>
      <c r="AO1876" s="288" t="s">
        <v>181</v>
      </c>
      <c r="AP1876" s="275" t="s">
        <v>4683</v>
      </c>
      <c r="AQ1876" s="288" t="s">
        <v>4730</v>
      </c>
      <c r="AR1876" s="277">
        <v>44926.6875</v>
      </c>
      <c r="AS1876" s="288" t="s">
        <v>95</v>
      </c>
      <c r="AT1876" s="288" t="s">
        <v>225</v>
      </c>
      <c r="AU1876" s="59">
        <v>0.6875</v>
      </c>
      <c r="AV1876" s="288">
        <v>2</v>
      </c>
      <c r="AW1876" s="288" t="s">
        <v>66</v>
      </c>
      <c r="AX1876" s="314"/>
      <c r="AY1876" s="314"/>
      <c r="AZ1876" s="314"/>
      <c r="BA1876" s="314"/>
    </row>
    <row r="1877" spans="1:53" x14ac:dyDescent="0.25">
      <c r="A1877" s="312">
        <v>580</v>
      </c>
      <c r="B1877" s="311">
        <v>44925.815972222219</v>
      </c>
      <c r="C1877" s="308">
        <v>0.81597222222222221</v>
      </c>
      <c r="D1877" s="308">
        <v>0.81944444444444453</v>
      </c>
      <c r="E1877" s="308">
        <v>0.82291666666666663</v>
      </c>
      <c r="F1877" s="309" t="s">
        <v>171</v>
      </c>
      <c r="G1877" s="309" t="s">
        <v>101</v>
      </c>
      <c r="H1877" s="303" t="s">
        <v>2313</v>
      </c>
      <c r="I1877" s="303" t="s">
        <v>4682</v>
      </c>
      <c r="J1877" s="303" t="s">
        <v>37</v>
      </c>
      <c r="K1877" s="307" t="s">
        <v>180</v>
      </c>
      <c r="L1877" s="307" t="s">
        <v>206</v>
      </c>
      <c r="M1877" s="309" t="s">
        <v>4683</v>
      </c>
      <c r="N1877" s="309" t="s">
        <v>175</v>
      </c>
      <c r="O1877" s="309">
        <v>65101612</v>
      </c>
      <c r="P1877" s="309" t="s">
        <v>4686</v>
      </c>
      <c r="Q1877" s="303">
        <f t="shared" si="161"/>
        <v>1</v>
      </c>
      <c r="R1877" s="303">
        <f t="shared" si="162"/>
        <v>15</v>
      </c>
      <c r="S1877" s="309">
        <v>1</v>
      </c>
      <c r="T1877" s="309">
        <v>15</v>
      </c>
      <c r="U1877" s="309">
        <v>0</v>
      </c>
      <c r="V1877" s="309">
        <v>0</v>
      </c>
      <c r="W1877" s="309">
        <v>10.7</v>
      </c>
      <c r="X1877" s="309">
        <v>54</v>
      </c>
      <c r="Y1877" s="309">
        <v>37</v>
      </c>
      <c r="Z1877" s="309">
        <v>25</v>
      </c>
      <c r="AA1877" s="309">
        <v>1</v>
      </c>
      <c r="AB1877" s="300">
        <f t="shared" si="163"/>
        <v>8.3249999999999993</v>
      </c>
      <c r="AC1877" s="300">
        <f t="shared" si="164"/>
        <v>5.0150602409638548E-2</v>
      </c>
      <c r="AD1877" s="309">
        <v>25.38</v>
      </c>
      <c r="AE1877" s="309" t="s">
        <v>111</v>
      </c>
      <c r="AF1877" s="309" t="s">
        <v>1566</v>
      </c>
      <c r="AG1877" s="309" t="s">
        <v>1566</v>
      </c>
      <c r="AH1877" s="309" t="s">
        <v>4687</v>
      </c>
      <c r="AI1877" s="309"/>
      <c r="AJ1877" s="309"/>
      <c r="AK1877" s="309" t="s">
        <v>48</v>
      </c>
      <c r="AL1877" s="309" t="s">
        <v>47</v>
      </c>
      <c r="AM1877" s="299">
        <f t="shared" ca="1" si="160"/>
        <v>0.87152777778101154</v>
      </c>
      <c r="AN1877" s="313"/>
      <c r="AO1877" s="288" t="s">
        <v>181</v>
      </c>
      <c r="AP1877" s="275" t="s">
        <v>4683</v>
      </c>
      <c r="AQ1877" s="288" t="s">
        <v>4730</v>
      </c>
      <c r="AR1877" s="277">
        <v>44926.6875</v>
      </c>
      <c r="AS1877" s="288" t="s">
        <v>95</v>
      </c>
      <c r="AT1877" s="288" t="s">
        <v>225</v>
      </c>
      <c r="AU1877" s="59">
        <v>0.6875</v>
      </c>
      <c r="AV1877" s="288">
        <v>2</v>
      </c>
      <c r="AW1877" s="288" t="s">
        <v>66</v>
      </c>
      <c r="AX1877" s="314"/>
      <c r="AY1877" s="314"/>
      <c r="AZ1877" s="314"/>
      <c r="BA1877" s="314"/>
    </row>
    <row r="1878" spans="1:53" x14ac:dyDescent="0.25">
      <c r="A1878" s="312">
        <v>581</v>
      </c>
      <c r="B1878" s="311">
        <v>44925.815972222219</v>
      </c>
      <c r="C1878" s="308">
        <v>0.81597222222222221</v>
      </c>
      <c r="D1878" s="308">
        <v>0.81944444444444453</v>
      </c>
      <c r="E1878" s="308">
        <v>0.82291666666666663</v>
      </c>
      <c r="F1878" s="309" t="s">
        <v>171</v>
      </c>
      <c r="G1878" s="309" t="s">
        <v>101</v>
      </c>
      <c r="H1878" s="303" t="s">
        <v>2313</v>
      </c>
      <c r="I1878" s="303" t="s">
        <v>4682</v>
      </c>
      <c r="J1878" s="303" t="s">
        <v>37</v>
      </c>
      <c r="K1878" s="307" t="s">
        <v>180</v>
      </c>
      <c r="L1878" s="307" t="s">
        <v>206</v>
      </c>
      <c r="M1878" s="309" t="s">
        <v>4683</v>
      </c>
      <c r="N1878" s="309" t="s">
        <v>175</v>
      </c>
      <c r="O1878" s="309">
        <v>65101611</v>
      </c>
      <c r="P1878" s="309" t="s">
        <v>4688</v>
      </c>
      <c r="Q1878" s="303">
        <f t="shared" si="161"/>
        <v>1</v>
      </c>
      <c r="R1878" s="303">
        <f t="shared" si="162"/>
        <v>15</v>
      </c>
      <c r="S1878" s="309">
        <v>1</v>
      </c>
      <c r="T1878" s="309">
        <v>15</v>
      </c>
      <c r="U1878" s="309">
        <v>0</v>
      </c>
      <c r="V1878" s="309">
        <v>0</v>
      </c>
      <c r="W1878" s="309">
        <v>4.5</v>
      </c>
      <c r="X1878" s="309">
        <v>54</v>
      </c>
      <c r="Y1878" s="309">
        <v>37</v>
      </c>
      <c r="Z1878" s="309">
        <v>25</v>
      </c>
      <c r="AA1878" s="309">
        <v>1</v>
      </c>
      <c r="AB1878" s="300">
        <f t="shared" si="163"/>
        <v>8.3249999999999993</v>
      </c>
      <c r="AC1878" s="300">
        <f t="shared" si="164"/>
        <v>5.0150602409638548E-2</v>
      </c>
      <c r="AD1878" s="309">
        <v>38.590000000000003</v>
      </c>
      <c r="AE1878" s="309" t="s">
        <v>111</v>
      </c>
      <c r="AF1878" s="309" t="s">
        <v>1566</v>
      </c>
      <c r="AG1878" s="309" t="s">
        <v>1566</v>
      </c>
      <c r="AH1878" s="309" t="s">
        <v>4689</v>
      </c>
      <c r="AI1878" s="309"/>
      <c r="AJ1878" s="309"/>
      <c r="AK1878" s="309" t="s">
        <v>48</v>
      </c>
      <c r="AL1878" s="309" t="s">
        <v>47</v>
      </c>
      <c r="AM1878" s="299">
        <f t="shared" ca="1" si="160"/>
        <v>0.87152777778101154</v>
      </c>
      <c r="AN1878" s="313"/>
      <c r="AO1878" s="288" t="s">
        <v>181</v>
      </c>
      <c r="AP1878" s="275" t="s">
        <v>4683</v>
      </c>
      <c r="AQ1878" s="288" t="s">
        <v>4730</v>
      </c>
      <c r="AR1878" s="277">
        <v>44926.6875</v>
      </c>
      <c r="AS1878" s="288" t="s">
        <v>95</v>
      </c>
      <c r="AT1878" s="288" t="s">
        <v>225</v>
      </c>
      <c r="AU1878" s="59">
        <v>0.6875</v>
      </c>
      <c r="AV1878" s="288">
        <v>2</v>
      </c>
      <c r="AW1878" s="288" t="s">
        <v>66</v>
      </c>
      <c r="AX1878" s="314"/>
      <c r="AY1878" s="314"/>
      <c r="AZ1878" s="314"/>
      <c r="BA1878" s="314"/>
    </row>
    <row r="1879" spans="1:53" x14ac:dyDescent="0.25">
      <c r="A1879" s="312">
        <v>582</v>
      </c>
      <c r="B1879" s="311">
        <v>44926.381944444445</v>
      </c>
      <c r="C1879" s="308">
        <v>0.38541666666666669</v>
      </c>
      <c r="D1879" s="308">
        <v>0.3888888888888889</v>
      </c>
      <c r="E1879" s="308">
        <v>0.39583333333333331</v>
      </c>
      <c r="F1879" s="309" t="s">
        <v>171</v>
      </c>
      <c r="G1879" s="309" t="s">
        <v>289</v>
      </c>
      <c r="H1879" s="303" t="s">
        <v>149</v>
      </c>
      <c r="I1879" s="303" t="s">
        <v>149</v>
      </c>
      <c r="J1879" s="303" t="s">
        <v>37</v>
      </c>
      <c r="K1879" s="307" t="s">
        <v>180</v>
      </c>
      <c r="L1879" s="307" t="s">
        <v>206</v>
      </c>
      <c r="M1879" s="309" t="s">
        <v>4691</v>
      </c>
      <c r="N1879" s="309" t="s">
        <v>53</v>
      </c>
      <c r="O1879" s="309">
        <v>2340195</v>
      </c>
      <c r="P1879" s="309">
        <v>66914</v>
      </c>
      <c r="Q1879" s="303">
        <f t="shared" si="161"/>
        <v>1</v>
      </c>
      <c r="R1879" s="303">
        <f t="shared" si="162"/>
        <v>75</v>
      </c>
      <c r="S1879" s="309">
        <v>0</v>
      </c>
      <c r="T1879" s="309">
        <v>0</v>
      </c>
      <c r="U1879" s="309">
        <v>1</v>
      </c>
      <c r="V1879" s="309">
        <v>75</v>
      </c>
      <c r="W1879" s="309">
        <v>65</v>
      </c>
      <c r="X1879" s="309">
        <v>56</v>
      </c>
      <c r="Y1879" s="309">
        <v>56</v>
      </c>
      <c r="Z1879" s="309">
        <v>65</v>
      </c>
      <c r="AA1879" s="309">
        <v>1</v>
      </c>
      <c r="AB1879" s="300">
        <f t="shared" si="163"/>
        <v>33.973333333333336</v>
      </c>
      <c r="AC1879" s="300">
        <f t="shared" si="164"/>
        <v>0.20465863453815264</v>
      </c>
      <c r="AD1879" s="309">
        <v>804</v>
      </c>
      <c r="AE1879" s="309" t="s">
        <v>109</v>
      </c>
      <c r="AF1879" s="309" t="s">
        <v>317</v>
      </c>
      <c r="AG1879" s="309" t="s">
        <v>317</v>
      </c>
      <c r="AH1879" s="309" t="s">
        <v>4690</v>
      </c>
      <c r="AI1879" s="309"/>
      <c r="AJ1879" s="309"/>
      <c r="AK1879" s="309" t="s">
        <v>37</v>
      </c>
      <c r="AL1879" s="309" t="s">
        <v>49</v>
      </c>
      <c r="AM1879" s="299">
        <f t="shared" ca="1" si="160"/>
        <v>2.2395833333357587</v>
      </c>
      <c r="AN1879" s="313"/>
      <c r="AO1879" s="288" t="s">
        <v>196</v>
      </c>
      <c r="AP1879" s="275" t="s">
        <v>4691</v>
      </c>
      <c r="AQ1879" s="288" t="s">
        <v>4789</v>
      </c>
      <c r="AR1879" s="111">
        <v>44928.621527777781</v>
      </c>
      <c r="AS1879" s="272" t="s">
        <v>173</v>
      </c>
      <c r="AT1879" s="288" t="s">
        <v>225</v>
      </c>
      <c r="AU1879" s="276">
        <v>0.62152777777777779</v>
      </c>
      <c r="AV1879" s="288">
        <v>1</v>
      </c>
      <c r="AW1879" s="288" t="s">
        <v>66</v>
      </c>
      <c r="AX1879" s="314"/>
      <c r="AY1879" s="314"/>
      <c r="AZ1879" s="314"/>
      <c r="BA1879" s="314"/>
    </row>
    <row r="1880" spans="1:53" x14ac:dyDescent="0.25">
      <c r="A1880" s="48">
        <v>583</v>
      </c>
      <c r="B1880" s="311">
        <v>44926.510416666664</v>
      </c>
      <c r="C1880" s="36">
        <v>0.51388888888888895</v>
      </c>
      <c r="D1880" s="36">
        <v>0.52777777777777779</v>
      </c>
      <c r="E1880" s="36">
        <v>0.54166666666666663</v>
      </c>
      <c r="F1880" s="37" t="s">
        <v>169</v>
      </c>
      <c r="G1880" s="37" t="s">
        <v>4692</v>
      </c>
      <c r="H1880" s="26" t="s">
        <v>230</v>
      </c>
      <c r="I1880" s="26" t="s">
        <v>407</v>
      </c>
      <c r="J1880" s="26" t="s">
        <v>37</v>
      </c>
      <c r="K1880" s="26" t="s">
        <v>241</v>
      </c>
      <c r="L1880" s="214" t="s">
        <v>224</v>
      </c>
      <c r="M1880" s="37" t="s">
        <v>4693</v>
      </c>
      <c r="N1880" s="37" t="s">
        <v>42</v>
      </c>
      <c r="O1880" s="37">
        <v>184</v>
      </c>
      <c r="P1880" s="37">
        <v>5031109</v>
      </c>
      <c r="Q1880" s="303">
        <f t="shared" si="161"/>
        <v>100</v>
      </c>
      <c r="R1880" s="303">
        <f t="shared" si="162"/>
        <v>1483</v>
      </c>
      <c r="S1880" s="37">
        <v>100</v>
      </c>
      <c r="T1880" s="37">
        <f>365+397+402+403-84</f>
        <v>1483</v>
      </c>
      <c r="U1880" s="37">
        <v>0</v>
      </c>
      <c r="V1880" s="37">
        <v>0</v>
      </c>
      <c r="W1880" s="37">
        <v>1583</v>
      </c>
      <c r="X1880" s="37">
        <v>58</v>
      </c>
      <c r="Y1880" s="37">
        <v>45</v>
      </c>
      <c r="Z1880" s="37">
        <v>26</v>
      </c>
      <c r="AA1880" s="37">
        <v>98</v>
      </c>
      <c r="AB1880" s="35">
        <f t="shared" si="163"/>
        <v>1108.3800000000001</v>
      </c>
      <c r="AC1880" s="35">
        <f t="shared" si="164"/>
        <v>6.6769879518072299</v>
      </c>
      <c r="AD1880" s="37">
        <v>46728</v>
      </c>
      <c r="AE1880" s="37" t="s">
        <v>109</v>
      </c>
      <c r="AF1880" s="37">
        <v>6589415</v>
      </c>
      <c r="AG1880" s="37" t="s">
        <v>4694</v>
      </c>
      <c r="AH1880" s="37" t="s">
        <v>4695</v>
      </c>
      <c r="AI1880" s="309"/>
      <c r="AJ1880" s="309"/>
      <c r="AK1880" s="37" t="s">
        <v>48</v>
      </c>
      <c r="AL1880" s="37" t="s">
        <v>50</v>
      </c>
      <c r="AM1880" s="299">
        <f t="shared" ca="1" si="160"/>
        <v>3.9930555555547471</v>
      </c>
      <c r="AN1880" s="51"/>
      <c r="AO1880" s="288" t="s">
        <v>135</v>
      </c>
      <c r="AP1880" s="275" t="s">
        <v>4693</v>
      </c>
      <c r="AQ1880" s="288" t="s">
        <v>4883</v>
      </c>
      <c r="AR1880" s="277">
        <v>44930.503472222219</v>
      </c>
      <c r="AS1880" s="272" t="s">
        <v>173</v>
      </c>
      <c r="AT1880" s="288" t="s">
        <v>225</v>
      </c>
      <c r="AU1880" s="276">
        <v>0.50347222222222221</v>
      </c>
      <c r="AV1880" s="288">
        <v>1</v>
      </c>
      <c r="AW1880" s="288" t="s">
        <v>66</v>
      </c>
      <c r="AX1880" s="52"/>
      <c r="AY1880" s="52"/>
      <c r="AZ1880" s="52"/>
      <c r="BA1880" s="52"/>
    </row>
    <row r="1881" spans="1:53" x14ac:dyDescent="0.25">
      <c r="A1881" s="312">
        <v>583</v>
      </c>
      <c r="B1881" s="311">
        <v>44926.510416666664</v>
      </c>
      <c r="C1881" s="308">
        <v>0.51388888888888895</v>
      </c>
      <c r="D1881" s="308">
        <v>0.52777777777777779</v>
      </c>
      <c r="E1881" s="308">
        <v>0.54166666666666663</v>
      </c>
      <c r="F1881" s="309" t="s">
        <v>169</v>
      </c>
      <c r="G1881" s="309" t="s">
        <v>4692</v>
      </c>
      <c r="H1881" s="303" t="s">
        <v>230</v>
      </c>
      <c r="I1881" s="303" t="s">
        <v>407</v>
      </c>
      <c r="J1881" s="303" t="s">
        <v>37</v>
      </c>
      <c r="K1881" s="303" t="s">
        <v>241</v>
      </c>
      <c r="L1881" s="214" t="s">
        <v>224</v>
      </c>
      <c r="M1881" s="309" t="s">
        <v>4693</v>
      </c>
      <c r="N1881" s="309" t="s">
        <v>42</v>
      </c>
      <c r="O1881" s="309">
        <v>184</v>
      </c>
      <c r="P1881" s="309">
        <v>5031109</v>
      </c>
      <c r="Q1881" s="303">
        <f t="shared" ref="Q1881:Q1882" si="165">S1881+U1881</f>
        <v>0</v>
      </c>
      <c r="R1881" s="303">
        <f t="shared" ref="R1881:R1882" si="166">T1881+V1881</f>
        <v>0</v>
      </c>
      <c r="S1881" s="37">
        <v>0</v>
      </c>
      <c r="T1881" s="37">
        <v>0</v>
      </c>
      <c r="U1881" s="37">
        <v>0</v>
      </c>
      <c r="V1881" s="37">
        <v>0</v>
      </c>
      <c r="W1881" s="37">
        <v>0</v>
      </c>
      <c r="X1881" s="37">
        <v>59</v>
      </c>
      <c r="Y1881" s="37">
        <v>45</v>
      </c>
      <c r="Z1881" s="37">
        <v>13</v>
      </c>
      <c r="AA1881" s="37">
        <v>2</v>
      </c>
      <c r="AB1881" s="35">
        <f t="shared" si="163"/>
        <v>11.505000000000001</v>
      </c>
      <c r="AC1881" s="35">
        <f t="shared" si="164"/>
        <v>6.9307228915662655E-2</v>
      </c>
      <c r="AD1881" s="37">
        <v>0</v>
      </c>
      <c r="AE1881" s="37">
        <v>0</v>
      </c>
      <c r="AF1881" s="37">
        <v>0</v>
      </c>
      <c r="AG1881" s="37">
        <v>0</v>
      </c>
      <c r="AH1881" s="37">
        <v>0</v>
      </c>
      <c r="AI1881" s="309"/>
      <c r="AJ1881" s="309"/>
      <c r="AK1881" s="309" t="s">
        <v>48</v>
      </c>
      <c r="AL1881" s="309" t="s">
        <v>50</v>
      </c>
      <c r="AM1881" s="299">
        <f t="shared" ca="1" si="160"/>
        <v>3.9930555555547471</v>
      </c>
      <c r="AN1881" s="51"/>
      <c r="AO1881" s="288" t="s">
        <v>135</v>
      </c>
      <c r="AP1881" s="275" t="s">
        <v>4693</v>
      </c>
      <c r="AQ1881" s="288" t="s">
        <v>4883</v>
      </c>
      <c r="AR1881" s="277">
        <v>44930.503472222219</v>
      </c>
      <c r="AS1881" s="272" t="s">
        <v>173</v>
      </c>
      <c r="AT1881" s="288" t="s">
        <v>225</v>
      </c>
      <c r="AU1881" s="276">
        <v>0.50347222222222221</v>
      </c>
      <c r="AV1881" s="288">
        <v>1</v>
      </c>
      <c r="AW1881" s="288" t="s">
        <v>66</v>
      </c>
      <c r="AX1881" s="52"/>
      <c r="AY1881" s="52"/>
      <c r="AZ1881" s="52"/>
      <c r="BA1881" s="52"/>
    </row>
    <row r="1882" spans="1:53" x14ac:dyDescent="0.25">
      <c r="A1882" s="48">
        <v>584</v>
      </c>
      <c r="B1882" s="311">
        <v>44926.53125</v>
      </c>
      <c r="C1882" s="36">
        <v>0.53125</v>
      </c>
      <c r="D1882" s="36">
        <v>0.53472222222222221</v>
      </c>
      <c r="E1882" s="36">
        <v>0.54861111111111105</v>
      </c>
      <c r="F1882" s="37" t="s">
        <v>170</v>
      </c>
      <c r="G1882" s="37" t="s">
        <v>4696</v>
      </c>
      <c r="H1882" s="26" t="s">
        <v>227</v>
      </c>
      <c r="I1882" s="26" t="s">
        <v>189</v>
      </c>
      <c r="J1882" s="26" t="s">
        <v>37</v>
      </c>
      <c r="K1882" s="26" t="s">
        <v>63</v>
      </c>
      <c r="L1882" s="26" t="s">
        <v>206</v>
      </c>
      <c r="M1882" s="37" t="s">
        <v>4703</v>
      </c>
      <c r="N1882" s="37" t="s">
        <v>43</v>
      </c>
      <c r="O1882" s="37" t="s">
        <v>4704</v>
      </c>
      <c r="P1882" s="37" t="s">
        <v>4697</v>
      </c>
      <c r="Q1882" s="303">
        <f t="shared" si="165"/>
        <v>6</v>
      </c>
      <c r="R1882" s="303">
        <f t="shared" si="166"/>
        <v>1089</v>
      </c>
      <c r="S1882" s="37">
        <v>0</v>
      </c>
      <c r="T1882" s="37">
        <v>0</v>
      </c>
      <c r="U1882" s="37">
        <v>6</v>
      </c>
      <c r="V1882" s="37">
        <f>228+180+298+296+125+159-(62+68+67)</f>
        <v>1089</v>
      </c>
      <c r="W1882" s="37">
        <v>1178</v>
      </c>
      <c r="X1882" s="37">
        <v>104</v>
      </c>
      <c r="Y1882" s="37">
        <v>44</v>
      </c>
      <c r="Z1882" s="37">
        <v>45</v>
      </c>
      <c r="AA1882" s="37">
        <v>3</v>
      </c>
      <c r="AB1882" s="35">
        <f t="shared" si="163"/>
        <v>102.96</v>
      </c>
      <c r="AC1882" s="35">
        <f t="shared" si="164"/>
        <v>0.6202409638554216</v>
      </c>
      <c r="AD1882" s="37" t="s">
        <v>48</v>
      </c>
      <c r="AE1882" s="37" t="s">
        <v>48</v>
      </c>
      <c r="AF1882" s="37" t="s">
        <v>317</v>
      </c>
      <c r="AG1882" s="37" t="s">
        <v>317</v>
      </c>
      <c r="AH1882" s="37" t="s">
        <v>4698</v>
      </c>
      <c r="AI1882" s="309"/>
      <c r="AJ1882" s="309"/>
      <c r="AK1882" s="37" t="s">
        <v>406</v>
      </c>
      <c r="AL1882" s="37" t="s">
        <v>49</v>
      </c>
      <c r="AM1882" s="299">
        <f t="shared" ca="1" si="160"/>
        <v>0.14583333333575865</v>
      </c>
      <c r="AN1882" s="51"/>
      <c r="AO1882" s="288" t="s">
        <v>179</v>
      </c>
      <c r="AP1882" s="275" t="s">
        <v>4728</v>
      </c>
      <c r="AQ1882" s="288" t="s">
        <v>4729</v>
      </c>
      <c r="AR1882" s="277">
        <v>44926.677083333336</v>
      </c>
      <c r="AS1882" s="272" t="s">
        <v>483</v>
      </c>
      <c r="AT1882" s="288" t="s">
        <v>225</v>
      </c>
      <c r="AU1882" s="276">
        <v>0.67708333333333337</v>
      </c>
      <c r="AV1882" s="288">
        <v>2</v>
      </c>
      <c r="AW1882" s="288" t="s">
        <v>66</v>
      </c>
      <c r="AX1882" s="52"/>
      <c r="AY1882" s="52"/>
      <c r="AZ1882" s="52"/>
      <c r="BA1882" s="52"/>
    </row>
    <row r="1883" spans="1:53" x14ac:dyDescent="0.25">
      <c r="A1883" s="312">
        <v>584</v>
      </c>
      <c r="B1883" s="311">
        <v>44926.53125</v>
      </c>
      <c r="C1883" s="308">
        <v>0.53125</v>
      </c>
      <c r="D1883" s="308">
        <v>0.53472222222222221</v>
      </c>
      <c r="E1883" s="308">
        <v>0.54861111111111105</v>
      </c>
      <c r="F1883" s="309" t="s">
        <v>170</v>
      </c>
      <c r="G1883" s="309" t="s">
        <v>4696</v>
      </c>
      <c r="H1883" s="303" t="s">
        <v>227</v>
      </c>
      <c r="I1883" s="303" t="s">
        <v>189</v>
      </c>
      <c r="J1883" s="303" t="s">
        <v>37</v>
      </c>
      <c r="K1883" s="303" t="s">
        <v>63</v>
      </c>
      <c r="L1883" s="303" t="s">
        <v>206</v>
      </c>
      <c r="M1883" s="309" t="s">
        <v>4703</v>
      </c>
      <c r="N1883" s="309" t="s">
        <v>43</v>
      </c>
      <c r="O1883" s="309" t="s">
        <v>4704</v>
      </c>
      <c r="P1883" s="309" t="s">
        <v>4697</v>
      </c>
      <c r="Q1883" s="303">
        <f t="shared" ref="Q1883:Q1887" si="167">S1883+U1883</f>
        <v>0</v>
      </c>
      <c r="R1883" s="303">
        <f t="shared" ref="R1883:R1887" si="168">T1883+V1883</f>
        <v>0</v>
      </c>
      <c r="S1883" s="309">
        <v>0</v>
      </c>
      <c r="T1883" s="309">
        <v>0</v>
      </c>
      <c r="U1883" s="309">
        <v>0</v>
      </c>
      <c r="V1883" s="309">
        <v>0</v>
      </c>
      <c r="W1883" s="309">
        <v>0</v>
      </c>
      <c r="X1883" s="37">
        <v>158</v>
      </c>
      <c r="Y1883" s="37">
        <v>70</v>
      </c>
      <c r="Z1883" s="37">
        <v>49</v>
      </c>
      <c r="AA1883" s="37">
        <v>2</v>
      </c>
      <c r="AB1883" s="35">
        <f t="shared" si="163"/>
        <v>180.64666666666668</v>
      </c>
      <c r="AC1883" s="35">
        <f t="shared" si="164"/>
        <v>1.0882329317269077</v>
      </c>
      <c r="AD1883" s="309">
        <v>0</v>
      </c>
      <c r="AE1883" s="309">
        <v>0</v>
      </c>
      <c r="AF1883" s="309">
        <v>0</v>
      </c>
      <c r="AG1883" s="309">
        <v>0</v>
      </c>
      <c r="AH1883" s="37">
        <v>0</v>
      </c>
      <c r="AI1883" s="309"/>
      <c r="AJ1883" s="309"/>
      <c r="AK1883" s="309" t="s">
        <v>406</v>
      </c>
      <c r="AL1883" s="309" t="s">
        <v>49</v>
      </c>
      <c r="AM1883" s="299">
        <f t="shared" ca="1" si="160"/>
        <v>0.14583333333575865</v>
      </c>
      <c r="AN1883" s="51"/>
      <c r="AO1883" s="288" t="s">
        <v>179</v>
      </c>
      <c r="AP1883" s="275" t="s">
        <v>4728</v>
      </c>
      <c r="AQ1883" s="288" t="s">
        <v>4729</v>
      </c>
      <c r="AR1883" s="277">
        <v>44926.677083333336</v>
      </c>
      <c r="AS1883" s="272" t="s">
        <v>483</v>
      </c>
      <c r="AT1883" s="288" t="s">
        <v>225</v>
      </c>
      <c r="AU1883" s="276">
        <v>0.67708333333333337</v>
      </c>
      <c r="AV1883" s="288">
        <v>2</v>
      </c>
      <c r="AW1883" s="288" t="s">
        <v>66</v>
      </c>
      <c r="AX1883" s="52"/>
      <c r="AY1883" s="52"/>
      <c r="AZ1883" s="52"/>
      <c r="BA1883" s="52"/>
    </row>
    <row r="1884" spans="1:53" x14ac:dyDescent="0.25">
      <c r="A1884" s="312">
        <v>584</v>
      </c>
      <c r="B1884" s="311">
        <v>44926.53125</v>
      </c>
      <c r="C1884" s="308">
        <v>0.53125</v>
      </c>
      <c r="D1884" s="308">
        <v>0.53472222222222221</v>
      </c>
      <c r="E1884" s="308">
        <v>0.54861111111111105</v>
      </c>
      <c r="F1884" s="309" t="s">
        <v>170</v>
      </c>
      <c r="G1884" s="309" t="s">
        <v>4696</v>
      </c>
      <c r="H1884" s="303" t="s">
        <v>227</v>
      </c>
      <c r="I1884" s="303" t="s">
        <v>189</v>
      </c>
      <c r="J1884" s="303" t="s">
        <v>37</v>
      </c>
      <c r="K1884" s="303" t="s">
        <v>63</v>
      </c>
      <c r="L1884" s="303" t="s">
        <v>206</v>
      </c>
      <c r="M1884" s="309" t="s">
        <v>4703</v>
      </c>
      <c r="N1884" s="309" t="s">
        <v>43</v>
      </c>
      <c r="O1884" s="309" t="s">
        <v>4704</v>
      </c>
      <c r="P1884" s="309" t="s">
        <v>4697</v>
      </c>
      <c r="Q1884" s="303">
        <f t="shared" si="167"/>
        <v>0</v>
      </c>
      <c r="R1884" s="303">
        <f t="shared" si="168"/>
        <v>0</v>
      </c>
      <c r="S1884" s="309">
        <v>0</v>
      </c>
      <c r="T1884" s="309">
        <v>0</v>
      </c>
      <c r="U1884" s="309">
        <v>0</v>
      </c>
      <c r="V1884" s="309">
        <v>0</v>
      </c>
      <c r="W1884" s="309">
        <v>0</v>
      </c>
      <c r="X1884" s="37">
        <v>158</v>
      </c>
      <c r="Y1884" s="37">
        <v>135</v>
      </c>
      <c r="Z1884" s="37">
        <v>79</v>
      </c>
      <c r="AA1884" s="37">
        <v>1</v>
      </c>
      <c r="AB1884" s="35">
        <f t="shared" si="163"/>
        <v>280.84500000000003</v>
      </c>
      <c r="AC1884" s="35">
        <f t="shared" si="164"/>
        <v>1.6918373493975905</v>
      </c>
      <c r="AD1884" s="309">
        <v>0</v>
      </c>
      <c r="AE1884" s="309">
        <v>0</v>
      </c>
      <c r="AF1884" s="309">
        <v>0</v>
      </c>
      <c r="AG1884" s="309">
        <v>0</v>
      </c>
      <c r="AH1884" s="309">
        <v>0</v>
      </c>
      <c r="AI1884" s="309"/>
      <c r="AJ1884" s="309"/>
      <c r="AK1884" s="309" t="s">
        <v>406</v>
      </c>
      <c r="AL1884" s="309" t="s">
        <v>49</v>
      </c>
      <c r="AM1884" s="299">
        <f t="shared" ca="1" si="160"/>
        <v>0.14583333333575865</v>
      </c>
      <c r="AN1884" s="51"/>
      <c r="AO1884" s="288" t="s">
        <v>179</v>
      </c>
      <c r="AP1884" s="275" t="s">
        <v>4728</v>
      </c>
      <c r="AQ1884" s="288" t="s">
        <v>4729</v>
      </c>
      <c r="AR1884" s="277">
        <v>44926.677083333336</v>
      </c>
      <c r="AS1884" s="272" t="s">
        <v>483</v>
      </c>
      <c r="AT1884" s="288" t="s">
        <v>225</v>
      </c>
      <c r="AU1884" s="276">
        <v>0.67708333333333337</v>
      </c>
      <c r="AV1884" s="288">
        <v>2</v>
      </c>
      <c r="AW1884" s="288" t="s">
        <v>66</v>
      </c>
      <c r="AX1884" s="52"/>
      <c r="AY1884" s="52"/>
      <c r="AZ1884" s="52"/>
      <c r="BA1884" s="52"/>
    </row>
    <row r="1885" spans="1:53" x14ac:dyDescent="0.25">
      <c r="A1885" s="48">
        <v>585</v>
      </c>
      <c r="B1885" s="311">
        <v>44926.53125</v>
      </c>
      <c r="C1885" s="308">
        <v>0.53125</v>
      </c>
      <c r="D1885" s="308">
        <v>0.53472222222222221</v>
      </c>
      <c r="E1885" s="308">
        <v>0.54861111111111105</v>
      </c>
      <c r="F1885" s="309" t="s">
        <v>170</v>
      </c>
      <c r="G1885" s="309" t="s">
        <v>4696</v>
      </c>
      <c r="H1885" s="303" t="s">
        <v>227</v>
      </c>
      <c r="I1885" s="303" t="s">
        <v>189</v>
      </c>
      <c r="J1885" s="303" t="s">
        <v>37</v>
      </c>
      <c r="K1885" s="303" t="s">
        <v>63</v>
      </c>
      <c r="L1885" s="303" t="s">
        <v>206</v>
      </c>
      <c r="M1885" s="37" t="s">
        <v>4702</v>
      </c>
      <c r="N1885" s="37" t="s">
        <v>42</v>
      </c>
      <c r="O1885" s="37" t="s">
        <v>4699</v>
      </c>
      <c r="P1885" s="37" t="s">
        <v>4700</v>
      </c>
      <c r="Q1885" s="303">
        <f t="shared" si="167"/>
        <v>2</v>
      </c>
      <c r="R1885" s="303">
        <f t="shared" si="168"/>
        <v>673</v>
      </c>
      <c r="S1885" s="37">
        <v>0</v>
      </c>
      <c r="T1885" s="37">
        <v>0</v>
      </c>
      <c r="U1885" s="37">
        <v>2</v>
      </c>
      <c r="V1885" s="37">
        <f>340+333</f>
        <v>673</v>
      </c>
      <c r="W1885" s="37">
        <v>539</v>
      </c>
      <c r="X1885" s="37">
        <v>160</v>
      </c>
      <c r="Y1885" s="37">
        <v>138</v>
      </c>
      <c r="Z1885" s="37">
        <v>80</v>
      </c>
      <c r="AA1885" s="37">
        <v>2</v>
      </c>
      <c r="AB1885" s="35">
        <f t="shared" si="163"/>
        <v>588.79999999999995</v>
      </c>
      <c r="AC1885" s="35">
        <f t="shared" si="164"/>
        <v>3.5469879518072287</v>
      </c>
      <c r="AD1885" s="37">
        <v>5544</v>
      </c>
      <c r="AE1885" s="37" t="s">
        <v>109</v>
      </c>
      <c r="AF1885" s="37" t="s">
        <v>317</v>
      </c>
      <c r="AG1885" s="37" t="s">
        <v>317</v>
      </c>
      <c r="AH1885" s="37" t="s">
        <v>4701</v>
      </c>
      <c r="AI1885" s="309"/>
      <c r="AJ1885" s="309"/>
      <c r="AK1885" s="37" t="s">
        <v>37</v>
      </c>
      <c r="AL1885" s="37" t="s">
        <v>49</v>
      </c>
      <c r="AM1885" s="299">
        <f t="shared" ca="1" si="160"/>
        <v>0.14583333333575865</v>
      </c>
      <c r="AN1885" s="51"/>
      <c r="AO1885" s="288" t="s">
        <v>89</v>
      </c>
      <c r="AP1885" s="275" t="s">
        <v>4726</v>
      </c>
      <c r="AQ1885" s="288" t="s">
        <v>4727</v>
      </c>
      <c r="AR1885" s="277">
        <v>44926.677083333336</v>
      </c>
      <c r="AS1885" s="272" t="s">
        <v>483</v>
      </c>
      <c r="AT1885" s="288" t="s">
        <v>225</v>
      </c>
      <c r="AU1885" s="276">
        <v>0.67708333333333337</v>
      </c>
      <c r="AV1885" s="288">
        <v>2</v>
      </c>
      <c r="AW1885" s="288" t="s">
        <v>66</v>
      </c>
      <c r="AX1885" s="52"/>
      <c r="AY1885" s="52"/>
      <c r="AZ1885" s="52"/>
      <c r="BA1885" s="52"/>
    </row>
    <row r="1886" spans="1:53" x14ac:dyDescent="0.25">
      <c r="A1886" s="48">
        <v>586</v>
      </c>
      <c r="B1886" s="311">
        <v>44926.53125</v>
      </c>
      <c r="C1886" s="36">
        <v>0.53819444444444442</v>
      </c>
      <c r="D1886" s="36">
        <v>0.54513888888888895</v>
      </c>
      <c r="E1886" s="36">
        <v>0.55208333333333337</v>
      </c>
      <c r="F1886" s="309" t="s">
        <v>170</v>
      </c>
      <c r="G1886" s="37" t="s">
        <v>235</v>
      </c>
      <c r="H1886" s="26" t="s">
        <v>57</v>
      </c>
      <c r="I1886" s="26" t="s">
        <v>160</v>
      </c>
      <c r="J1886" s="303" t="s">
        <v>37</v>
      </c>
      <c r="K1886" s="303" t="s">
        <v>63</v>
      </c>
      <c r="L1886" s="26" t="s">
        <v>209</v>
      </c>
      <c r="M1886" s="37" t="s">
        <v>4710</v>
      </c>
      <c r="N1886" s="37" t="s">
        <v>160</v>
      </c>
      <c r="O1886" s="37" t="s">
        <v>4705</v>
      </c>
      <c r="P1886" s="37">
        <v>81991655</v>
      </c>
      <c r="Q1886" s="303">
        <f t="shared" si="167"/>
        <v>1</v>
      </c>
      <c r="R1886" s="303">
        <f t="shared" si="168"/>
        <v>366</v>
      </c>
      <c r="S1886" s="37">
        <v>0</v>
      </c>
      <c r="T1886" s="37">
        <v>0</v>
      </c>
      <c r="U1886" s="37">
        <v>1</v>
      </c>
      <c r="V1886" s="37">
        <f>433-67</f>
        <v>366</v>
      </c>
      <c r="W1886" s="37">
        <v>382</v>
      </c>
      <c r="X1886" s="37">
        <v>183</v>
      </c>
      <c r="Y1886" s="37">
        <v>83</v>
      </c>
      <c r="Z1886" s="37">
        <v>76</v>
      </c>
      <c r="AA1886" s="37">
        <v>1</v>
      </c>
      <c r="AB1886" s="35">
        <f t="shared" si="163"/>
        <v>192.39400000000001</v>
      </c>
      <c r="AC1886" s="35">
        <f t="shared" si="164"/>
        <v>1.159</v>
      </c>
      <c r="AD1886" s="37">
        <v>15849</v>
      </c>
      <c r="AE1886" s="37" t="s">
        <v>109</v>
      </c>
      <c r="AF1886" s="37" t="s">
        <v>317</v>
      </c>
      <c r="AG1886" s="37" t="s">
        <v>317</v>
      </c>
      <c r="AH1886" s="37" t="s">
        <v>4706</v>
      </c>
      <c r="AI1886" s="309"/>
      <c r="AJ1886" s="309"/>
      <c r="AK1886" s="37" t="s">
        <v>37</v>
      </c>
      <c r="AL1886" s="37" t="s">
        <v>39</v>
      </c>
      <c r="AM1886" s="299">
        <f t="shared" ca="1" si="160"/>
        <v>2.9548611111094942</v>
      </c>
      <c r="AN1886" s="51"/>
      <c r="AO1886" s="288" t="s">
        <v>474</v>
      </c>
      <c r="AP1886" s="275" t="s">
        <v>4710</v>
      </c>
      <c r="AQ1886" s="288" t="s">
        <v>4819</v>
      </c>
      <c r="AR1886" s="277">
        <v>44929.486111111109</v>
      </c>
      <c r="AS1886" s="272" t="s">
        <v>136</v>
      </c>
      <c r="AT1886" s="288" t="s">
        <v>225</v>
      </c>
      <c r="AU1886" s="276">
        <v>0.4861111111111111</v>
      </c>
      <c r="AV1886" s="288">
        <v>1</v>
      </c>
      <c r="AW1886" s="288" t="s">
        <v>66</v>
      </c>
      <c r="AX1886" s="52"/>
      <c r="AY1886" s="52"/>
      <c r="AZ1886" s="52"/>
      <c r="BA1886" s="52"/>
    </row>
    <row r="1887" spans="1:53" x14ac:dyDescent="0.25">
      <c r="A1887" s="48">
        <v>587</v>
      </c>
      <c r="B1887" s="311">
        <v>44926.53125</v>
      </c>
      <c r="C1887" s="308">
        <v>0.53819444444444442</v>
      </c>
      <c r="D1887" s="308">
        <v>0.54513888888888895</v>
      </c>
      <c r="E1887" s="308">
        <v>0.55208333333333337</v>
      </c>
      <c r="F1887" s="309" t="s">
        <v>170</v>
      </c>
      <c r="G1887" s="309" t="s">
        <v>235</v>
      </c>
      <c r="H1887" s="303" t="s">
        <v>57</v>
      </c>
      <c r="I1887" s="26" t="s">
        <v>110</v>
      </c>
      <c r="J1887" s="303" t="s">
        <v>37</v>
      </c>
      <c r="K1887" s="303" t="s">
        <v>63</v>
      </c>
      <c r="L1887" s="303" t="s">
        <v>209</v>
      </c>
      <c r="M1887" s="37" t="s">
        <v>4709</v>
      </c>
      <c r="N1887" s="37" t="s">
        <v>4322</v>
      </c>
      <c r="O1887" s="37" t="s">
        <v>4707</v>
      </c>
      <c r="P1887" s="37">
        <v>81990386</v>
      </c>
      <c r="Q1887" s="303">
        <f t="shared" si="167"/>
        <v>3</v>
      </c>
      <c r="R1887" s="303">
        <f t="shared" si="168"/>
        <v>1178</v>
      </c>
      <c r="S1887" s="37">
        <v>0</v>
      </c>
      <c r="T1887" s="37">
        <v>0</v>
      </c>
      <c r="U1887" s="37">
        <v>3</v>
      </c>
      <c r="V1887" s="37">
        <f>875+196+174-67</f>
        <v>1178</v>
      </c>
      <c r="W1887" s="37">
        <v>1163</v>
      </c>
      <c r="X1887" s="37">
        <v>186</v>
      </c>
      <c r="Y1887" s="37">
        <v>84</v>
      </c>
      <c r="Z1887" s="37">
        <v>92</v>
      </c>
      <c r="AA1887" s="37">
        <v>1</v>
      </c>
      <c r="AB1887" s="35">
        <f t="shared" si="163"/>
        <v>239.56800000000001</v>
      </c>
      <c r="AC1887" s="35">
        <f t="shared" si="164"/>
        <v>1.4431807228915663</v>
      </c>
      <c r="AD1887" s="37">
        <v>10050</v>
      </c>
      <c r="AE1887" s="37" t="s">
        <v>109</v>
      </c>
      <c r="AF1887" s="309" t="s">
        <v>317</v>
      </c>
      <c r="AG1887" s="309" t="s">
        <v>317</v>
      </c>
      <c r="AH1887" s="37" t="s">
        <v>4708</v>
      </c>
      <c r="AI1887" s="309"/>
      <c r="AJ1887" s="309"/>
      <c r="AK1887" s="309" t="s">
        <v>37</v>
      </c>
      <c r="AL1887" s="309" t="s">
        <v>39</v>
      </c>
      <c r="AM1887" s="299">
        <f t="shared" ca="1" si="160"/>
        <v>2.9548611111094942</v>
      </c>
      <c r="AN1887" s="51"/>
      <c r="AO1887" s="288" t="s">
        <v>4372</v>
      </c>
      <c r="AP1887" s="275" t="s">
        <v>4709</v>
      </c>
      <c r="AQ1887" s="288" t="s">
        <v>4818</v>
      </c>
      <c r="AR1887" s="277">
        <v>44929.486111111109</v>
      </c>
      <c r="AS1887" s="272" t="s">
        <v>136</v>
      </c>
      <c r="AT1887" s="288" t="s">
        <v>225</v>
      </c>
      <c r="AU1887" s="276">
        <v>0.4861111111111111</v>
      </c>
      <c r="AV1887" s="288">
        <v>1</v>
      </c>
      <c r="AW1887" s="288" t="s">
        <v>66</v>
      </c>
      <c r="AX1887" s="52"/>
      <c r="AY1887" s="52"/>
      <c r="AZ1887" s="52"/>
      <c r="BA1887" s="52"/>
    </row>
    <row r="1888" spans="1:53" x14ac:dyDescent="0.25">
      <c r="A1888" s="312">
        <v>587</v>
      </c>
      <c r="B1888" s="311">
        <v>44926.53125</v>
      </c>
      <c r="C1888" s="308">
        <v>0.53819444444444442</v>
      </c>
      <c r="D1888" s="308">
        <v>0.54513888888888895</v>
      </c>
      <c r="E1888" s="308">
        <v>0.55208333333333337</v>
      </c>
      <c r="F1888" s="309" t="s">
        <v>170</v>
      </c>
      <c r="G1888" s="309" t="s">
        <v>235</v>
      </c>
      <c r="H1888" s="303" t="s">
        <v>57</v>
      </c>
      <c r="I1888" s="303" t="s">
        <v>110</v>
      </c>
      <c r="J1888" s="303" t="s">
        <v>37</v>
      </c>
      <c r="K1888" s="303" t="s">
        <v>63</v>
      </c>
      <c r="L1888" s="303" t="s">
        <v>209</v>
      </c>
      <c r="M1888" s="309" t="s">
        <v>4709</v>
      </c>
      <c r="N1888" s="309" t="s">
        <v>4322</v>
      </c>
      <c r="O1888" s="309" t="s">
        <v>4707</v>
      </c>
      <c r="P1888" s="309">
        <v>81990386</v>
      </c>
      <c r="Q1888" s="303">
        <f t="shared" ref="Q1888:Q1889" si="169">S1888+U1888</f>
        <v>0</v>
      </c>
      <c r="R1888" s="303">
        <f t="shared" ref="R1888:R1889" si="170">T1888+V1888</f>
        <v>0</v>
      </c>
      <c r="S1888" s="309">
        <v>0</v>
      </c>
      <c r="T1888" s="309">
        <v>0</v>
      </c>
      <c r="U1888" s="309">
        <v>0</v>
      </c>
      <c r="V1888" s="309">
        <v>0</v>
      </c>
      <c r="W1888" s="309">
        <v>0</v>
      </c>
      <c r="X1888" s="37">
        <v>95</v>
      </c>
      <c r="Y1888" s="37">
        <v>68</v>
      </c>
      <c r="Z1888" s="37">
        <v>77</v>
      </c>
      <c r="AA1888" s="37">
        <v>1</v>
      </c>
      <c r="AB1888" s="35">
        <f t="shared" si="163"/>
        <v>82.903333333333336</v>
      </c>
      <c r="AC1888" s="35">
        <f t="shared" si="164"/>
        <v>0.49941767068273096</v>
      </c>
      <c r="AD1888" s="309">
        <v>0</v>
      </c>
      <c r="AE1888" s="309">
        <v>0</v>
      </c>
      <c r="AF1888" s="309">
        <v>0</v>
      </c>
      <c r="AG1888" s="309">
        <v>0</v>
      </c>
      <c r="AH1888" s="37">
        <v>0</v>
      </c>
      <c r="AI1888" s="309"/>
      <c r="AJ1888" s="309"/>
      <c r="AK1888" s="309" t="s">
        <v>37</v>
      </c>
      <c r="AL1888" s="309" t="s">
        <v>39</v>
      </c>
      <c r="AM1888" s="299">
        <f t="shared" ca="1" si="160"/>
        <v>2.9548611111094942</v>
      </c>
      <c r="AN1888" s="51"/>
      <c r="AO1888" s="288" t="s">
        <v>4372</v>
      </c>
      <c r="AP1888" s="275" t="s">
        <v>4709</v>
      </c>
      <c r="AQ1888" s="288" t="s">
        <v>4818</v>
      </c>
      <c r="AR1888" s="277">
        <v>44929.486111111109</v>
      </c>
      <c r="AS1888" s="272" t="s">
        <v>136</v>
      </c>
      <c r="AT1888" s="288" t="s">
        <v>225</v>
      </c>
      <c r="AU1888" s="276">
        <v>0.4861111111111111</v>
      </c>
      <c r="AV1888" s="288">
        <v>1</v>
      </c>
      <c r="AW1888" s="288" t="s">
        <v>66</v>
      </c>
      <c r="AX1888" s="52"/>
      <c r="AY1888" s="52"/>
      <c r="AZ1888" s="52"/>
      <c r="BA1888" s="52"/>
    </row>
    <row r="1889" spans="1:53" x14ac:dyDescent="0.25">
      <c r="A1889" s="312">
        <v>587</v>
      </c>
      <c r="B1889" s="311">
        <v>44926.53125</v>
      </c>
      <c r="C1889" s="308">
        <v>0.53819444444444442</v>
      </c>
      <c r="D1889" s="308">
        <v>0.54513888888888895</v>
      </c>
      <c r="E1889" s="308">
        <v>0.55208333333333337</v>
      </c>
      <c r="F1889" s="309" t="s">
        <v>170</v>
      </c>
      <c r="G1889" s="309" t="s">
        <v>235</v>
      </c>
      <c r="H1889" s="303" t="s">
        <v>57</v>
      </c>
      <c r="I1889" s="303" t="s">
        <v>110</v>
      </c>
      <c r="J1889" s="303" t="s">
        <v>37</v>
      </c>
      <c r="K1889" s="303" t="s">
        <v>63</v>
      </c>
      <c r="L1889" s="303" t="s">
        <v>209</v>
      </c>
      <c r="M1889" s="309" t="s">
        <v>4709</v>
      </c>
      <c r="N1889" s="309" t="s">
        <v>4322</v>
      </c>
      <c r="O1889" s="309" t="s">
        <v>4707</v>
      </c>
      <c r="P1889" s="309">
        <v>81990386</v>
      </c>
      <c r="Q1889" s="303">
        <f t="shared" si="169"/>
        <v>0</v>
      </c>
      <c r="R1889" s="303">
        <f t="shared" si="170"/>
        <v>0</v>
      </c>
      <c r="S1889" s="309">
        <v>0</v>
      </c>
      <c r="T1889" s="309">
        <v>0</v>
      </c>
      <c r="U1889" s="309">
        <v>0</v>
      </c>
      <c r="V1889" s="309">
        <v>0</v>
      </c>
      <c r="W1889" s="309">
        <v>0</v>
      </c>
      <c r="X1889" s="37">
        <v>96</v>
      </c>
      <c r="Y1889" s="37">
        <v>68</v>
      </c>
      <c r="Z1889" s="37">
        <v>65</v>
      </c>
      <c r="AA1889" s="37">
        <v>1</v>
      </c>
      <c r="AB1889" s="35">
        <f t="shared" si="163"/>
        <v>70.72</v>
      </c>
      <c r="AC1889" s="35">
        <f t="shared" si="164"/>
        <v>0.42602409638554217</v>
      </c>
      <c r="AD1889" s="309">
        <v>0</v>
      </c>
      <c r="AE1889" s="309">
        <v>0</v>
      </c>
      <c r="AF1889" s="309">
        <v>0</v>
      </c>
      <c r="AG1889" s="309">
        <v>0</v>
      </c>
      <c r="AH1889" s="309">
        <v>0</v>
      </c>
      <c r="AI1889" s="309"/>
      <c r="AJ1889" s="309"/>
      <c r="AK1889" s="309" t="s">
        <v>37</v>
      </c>
      <c r="AL1889" s="309" t="s">
        <v>39</v>
      </c>
      <c r="AM1889" s="299">
        <f t="shared" ca="1" si="160"/>
        <v>2.9548611111094942</v>
      </c>
      <c r="AN1889" s="51"/>
      <c r="AO1889" s="288" t="s">
        <v>4372</v>
      </c>
      <c r="AP1889" s="275" t="s">
        <v>4709</v>
      </c>
      <c r="AQ1889" s="288" t="s">
        <v>4818</v>
      </c>
      <c r="AR1889" s="277">
        <v>44929.486111111109</v>
      </c>
      <c r="AS1889" s="272" t="s">
        <v>136</v>
      </c>
      <c r="AT1889" s="288" t="s">
        <v>225</v>
      </c>
      <c r="AU1889" s="276">
        <v>0.4861111111111111</v>
      </c>
      <c r="AV1889" s="288">
        <v>1</v>
      </c>
      <c r="AW1889" s="288" t="s">
        <v>66</v>
      </c>
      <c r="AX1889" s="52"/>
      <c r="AY1889" s="52"/>
      <c r="AZ1889" s="52"/>
      <c r="BA1889" s="52"/>
    </row>
    <row r="1890" spans="1:53" x14ac:dyDescent="0.25">
      <c r="A1890" s="48">
        <v>588</v>
      </c>
      <c r="B1890" s="311">
        <v>44926.625</v>
      </c>
      <c r="C1890" s="36">
        <v>0.625</v>
      </c>
      <c r="D1890" s="36">
        <v>0.63194444444444442</v>
      </c>
      <c r="E1890" s="36">
        <v>0.64583333333333337</v>
      </c>
      <c r="F1890" s="37" t="s">
        <v>170</v>
      </c>
      <c r="G1890" s="37" t="s">
        <v>1448</v>
      </c>
      <c r="H1890" s="26" t="s">
        <v>2708</v>
      </c>
      <c r="I1890" s="26" t="s">
        <v>4711</v>
      </c>
      <c r="J1890" s="26" t="s">
        <v>37</v>
      </c>
      <c r="K1890" s="303" t="s">
        <v>63</v>
      </c>
      <c r="L1890" s="303" t="s">
        <v>209</v>
      </c>
      <c r="M1890" s="37" t="s">
        <v>4712</v>
      </c>
      <c r="N1890" s="309" t="s">
        <v>59</v>
      </c>
      <c r="O1890" s="37" t="s">
        <v>4790</v>
      </c>
      <c r="P1890" s="37">
        <v>311189</v>
      </c>
      <c r="Q1890" s="303">
        <f t="shared" ref="Q1890" si="171">S1890+U1890</f>
        <v>6</v>
      </c>
      <c r="R1890" s="303">
        <f t="shared" ref="R1890" si="172">T1890+V1890</f>
        <v>1141</v>
      </c>
      <c r="S1890" s="37">
        <v>0</v>
      </c>
      <c r="T1890" s="37">
        <v>0</v>
      </c>
      <c r="U1890" s="37">
        <v>6</v>
      </c>
      <c r="V1890" s="37">
        <f>273+274+266+265+63</f>
        <v>1141</v>
      </c>
      <c r="W1890" s="37">
        <v>1046</v>
      </c>
      <c r="X1890" s="37">
        <v>122</v>
      </c>
      <c r="Y1890" s="37">
        <v>117</v>
      </c>
      <c r="Z1890" s="37">
        <v>94</v>
      </c>
      <c r="AA1890" s="37">
        <v>4</v>
      </c>
      <c r="AB1890" s="35">
        <f t="shared" si="163"/>
        <v>894.50400000000002</v>
      </c>
      <c r="AC1890" s="35">
        <f t="shared" si="164"/>
        <v>5.3885783132530118</v>
      </c>
      <c r="AD1890" s="37">
        <v>0</v>
      </c>
      <c r="AE1890" s="37" t="s">
        <v>109</v>
      </c>
      <c r="AF1890" s="309" t="s">
        <v>317</v>
      </c>
      <c r="AG1890" s="309" t="s">
        <v>317</v>
      </c>
      <c r="AH1890" s="37" t="s">
        <v>4713</v>
      </c>
      <c r="AI1890" s="309"/>
      <c r="AJ1890" s="309"/>
      <c r="AK1890" s="309" t="s">
        <v>37</v>
      </c>
      <c r="AL1890" s="37" t="s">
        <v>58</v>
      </c>
      <c r="AM1890" s="299">
        <f t="shared" ca="1" si="160"/>
        <v>2.8784722222189885</v>
      </c>
      <c r="AN1890" s="51"/>
      <c r="AO1890" s="288" t="s">
        <v>2737</v>
      </c>
      <c r="AP1890" s="275" t="s">
        <v>4712</v>
      </c>
      <c r="AQ1890" s="288" t="s">
        <v>4820</v>
      </c>
      <c r="AR1890" s="277">
        <v>44929.503472222219</v>
      </c>
      <c r="AS1890" s="272" t="s">
        <v>173</v>
      </c>
      <c r="AT1890" s="288" t="s">
        <v>225</v>
      </c>
      <c r="AU1890" s="276">
        <v>0.50347222222222221</v>
      </c>
      <c r="AV1890" s="288">
        <v>1</v>
      </c>
      <c r="AW1890" s="288" t="s">
        <v>66</v>
      </c>
      <c r="AX1890" s="52"/>
      <c r="AY1890" s="52"/>
      <c r="AZ1890" s="52"/>
      <c r="BA1890" s="52"/>
    </row>
    <row r="1891" spans="1:53" x14ac:dyDescent="0.25">
      <c r="A1891" s="312">
        <v>588</v>
      </c>
      <c r="B1891" s="311">
        <v>44926.625</v>
      </c>
      <c r="C1891" s="308">
        <v>0.625</v>
      </c>
      <c r="D1891" s="308">
        <v>0.63194444444444442</v>
      </c>
      <c r="E1891" s="308">
        <v>0.64583333333333337</v>
      </c>
      <c r="F1891" s="309" t="s">
        <v>170</v>
      </c>
      <c r="G1891" s="309" t="s">
        <v>1448</v>
      </c>
      <c r="H1891" s="303" t="s">
        <v>2708</v>
      </c>
      <c r="I1891" s="303" t="s">
        <v>4711</v>
      </c>
      <c r="J1891" s="303" t="s">
        <v>37</v>
      </c>
      <c r="K1891" s="303" t="s">
        <v>63</v>
      </c>
      <c r="L1891" s="303" t="s">
        <v>209</v>
      </c>
      <c r="M1891" s="309" t="s">
        <v>4712</v>
      </c>
      <c r="N1891" s="309" t="s">
        <v>59</v>
      </c>
      <c r="O1891" s="309" t="s">
        <v>4790</v>
      </c>
      <c r="P1891" s="309">
        <v>311189</v>
      </c>
      <c r="Q1891" s="303">
        <f t="shared" ref="Q1891:Q1892" si="173">S1891+U1891</f>
        <v>0</v>
      </c>
      <c r="R1891" s="303">
        <f t="shared" ref="R1891:R1892" si="174">T1891+V1891</f>
        <v>0</v>
      </c>
      <c r="S1891" s="309">
        <v>0</v>
      </c>
      <c r="T1891" s="309">
        <v>0</v>
      </c>
      <c r="U1891" s="309">
        <v>0</v>
      </c>
      <c r="V1891" s="309">
        <v>0</v>
      </c>
      <c r="W1891" s="37">
        <v>0</v>
      </c>
      <c r="X1891" s="37">
        <v>164</v>
      </c>
      <c r="Y1891" s="37">
        <v>29</v>
      </c>
      <c r="Z1891" s="37">
        <v>40</v>
      </c>
      <c r="AA1891" s="37">
        <v>1</v>
      </c>
      <c r="AB1891" s="35">
        <f t="shared" si="163"/>
        <v>31.706666666666667</v>
      </c>
      <c r="AC1891" s="35">
        <f t="shared" si="164"/>
        <v>0.19100401606425704</v>
      </c>
      <c r="AD1891" s="37">
        <v>0</v>
      </c>
      <c r="AE1891" s="309">
        <v>0</v>
      </c>
      <c r="AF1891" s="37">
        <v>0</v>
      </c>
      <c r="AG1891" s="309">
        <v>0</v>
      </c>
      <c r="AH1891" s="309">
        <v>0</v>
      </c>
      <c r="AI1891" s="309"/>
      <c r="AJ1891" s="309"/>
      <c r="AK1891" s="37" t="s">
        <v>41</v>
      </c>
      <c r="AL1891" s="309" t="s">
        <v>58</v>
      </c>
      <c r="AM1891" s="299">
        <f t="shared" ca="1" si="160"/>
        <v>2.8784722222189885</v>
      </c>
      <c r="AN1891" s="51"/>
      <c r="AO1891" s="288" t="s">
        <v>2737</v>
      </c>
      <c r="AP1891" s="275" t="s">
        <v>4712</v>
      </c>
      <c r="AQ1891" s="288" t="s">
        <v>4820</v>
      </c>
      <c r="AR1891" s="277">
        <v>44929.503472222219</v>
      </c>
      <c r="AS1891" s="272" t="s">
        <v>173</v>
      </c>
      <c r="AT1891" s="288" t="s">
        <v>225</v>
      </c>
      <c r="AU1891" s="276">
        <v>0.50347222222222221</v>
      </c>
      <c r="AV1891" s="288">
        <v>1</v>
      </c>
      <c r="AW1891" s="288" t="s">
        <v>66</v>
      </c>
      <c r="AX1891" s="52"/>
      <c r="AY1891" s="52"/>
      <c r="AZ1891" s="52"/>
      <c r="BA1891" s="52"/>
    </row>
    <row r="1892" spans="1:53" x14ac:dyDescent="0.25">
      <c r="A1892" s="312">
        <v>588</v>
      </c>
      <c r="B1892" s="311">
        <v>44926.625</v>
      </c>
      <c r="C1892" s="308">
        <v>0.625</v>
      </c>
      <c r="D1892" s="308">
        <v>0.63194444444444442</v>
      </c>
      <c r="E1892" s="308">
        <v>0.64583333333333337</v>
      </c>
      <c r="F1892" s="309" t="s">
        <v>170</v>
      </c>
      <c r="G1892" s="309" t="s">
        <v>1448</v>
      </c>
      <c r="H1892" s="303" t="s">
        <v>2708</v>
      </c>
      <c r="I1892" s="303" t="s">
        <v>4711</v>
      </c>
      <c r="J1892" s="303" t="s">
        <v>37</v>
      </c>
      <c r="K1892" s="303" t="s">
        <v>63</v>
      </c>
      <c r="L1892" s="303" t="s">
        <v>209</v>
      </c>
      <c r="M1892" s="309" t="s">
        <v>4712</v>
      </c>
      <c r="N1892" s="309" t="s">
        <v>59</v>
      </c>
      <c r="O1892" s="309" t="s">
        <v>4790</v>
      </c>
      <c r="P1892" s="309">
        <v>311189</v>
      </c>
      <c r="Q1892" s="303">
        <f t="shared" si="173"/>
        <v>0</v>
      </c>
      <c r="R1892" s="303">
        <f t="shared" si="174"/>
        <v>0</v>
      </c>
      <c r="S1892" s="309">
        <v>0</v>
      </c>
      <c r="T1892" s="309">
        <v>0</v>
      </c>
      <c r="U1892" s="309">
        <v>0</v>
      </c>
      <c r="V1892" s="309">
        <v>0</v>
      </c>
      <c r="W1892" s="37">
        <v>0</v>
      </c>
      <c r="X1892" s="37">
        <v>165</v>
      </c>
      <c r="Y1892" s="37">
        <v>28</v>
      </c>
      <c r="Z1892" s="37">
        <v>38</v>
      </c>
      <c r="AA1892" s="37">
        <v>1</v>
      </c>
      <c r="AB1892" s="35">
        <f t="shared" si="163"/>
        <v>29.26</v>
      </c>
      <c r="AC1892" s="35">
        <f t="shared" si="164"/>
        <v>0.17626506024096386</v>
      </c>
      <c r="AD1892" s="309">
        <v>0</v>
      </c>
      <c r="AE1892" s="309">
        <v>0</v>
      </c>
      <c r="AF1892" s="309">
        <v>0</v>
      </c>
      <c r="AG1892" s="309">
        <v>0</v>
      </c>
      <c r="AH1892" s="309">
        <v>0</v>
      </c>
      <c r="AI1892" s="309"/>
      <c r="AJ1892" s="309"/>
      <c r="AK1892" s="309" t="s">
        <v>41</v>
      </c>
      <c r="AL1892" s="309" t="s">
        <v>58</v>
      </c>
      <c r="AM1892" s="299">
        <f t="shared" ca="1" si="160"/>
        <v>2.8784722222189885</v>
      </c>
      <c r="AN1892" s="51"/>
      <c r="AO1892" s="288" t="s">
        <v>2737</v>
      </c>
      <c r="AP1892" s="275" t="s">
        <v>4712</v>
      </c>
      <c r="AQ1892" s="288" t="s">
        <v>4820</v>
      </c>
      <c r="AR1892" s="277">
        <v>44929.503472222219</v>
      </c>
      <c r="AS1892" s="272" t="s">
        <v>173</v>
      </c>
      <c r="AT1892" s="288" t="s">
        <v>225</v>
      </c>
      <c r="AU1892" s="276">
        <v>0.50347222222222221</v>
      </c>
      <c r="AV1892" s="288">
        <v>1</v>
      </c>
      <c r="AW1892" s="288" t="s">
        <v>66</v>
      </c>
      <c r="AX1892" s="52"/>
      <c r="AY1892" s="52"/>
      <c r="AZ1892" s="52"/>
      <c r="BA1892" s="52"/>
    </row>
    <row r="1893" spans="1:53" x14ac:dyDescent="0.25">
      <c r="A1893" s="48">
        <v>589</v>
      </c>
      <c r="B1893" s="311">
        <v>44926.625</v>
      </c>
      <c r="C1893" s="308">
        <v>0.625</v>
      </c>
      <c r="D1893" s="308">
        <v>0.63194444444444442</v>
      </c>
      <c r="E1893" s="308">
        <v>0.64583333333333337</v>
      </c>
      <c r="F1893" s="309" t="s">
        <v>170</v>
      </c>
      <c r="G1893" s="309" t="s">
        <v>1448</v>
      </c>
      <c r="H1893" s="26" t="s">
        <v>46</v>
      </c>
      <c r="I1893" s="26" t="s">
        <v>124</v>
      </c>
      <c r="J1893" s="307" t="s">
        <v>41</v>
      </c>
      <c r="K1893" s="307" t="s">
        <v>63</v>
      </c>
      <c r="L1893" s="307" t="s">
        <v>214</v>
      </c>
      <c r="M1893" s="37" t="s">
        <v>4714</v>
      </c>
      <c r="N1893" s="37" t="s">
        <v>59</v>
      </c>
      <c r="O1893" s="37" t="s">
        <v>4715</v>
      </c>
      <c r="P1893" s="37">
        <v>6425</v>
      </c>
      <c r="Q1893" s="303">
        <f t="shared" ref="Q1893" si="175">S1893+U1893</f>
        <v>1</v>
      </c>
      <c r="R1893" s="303">
        <f t="shared" ref="R1893" si="176">T1893+V1893</f>
        <v>366</v>
      </c>
      <c r="S1893" s="37">
        <v>0</v>
      </c>
      <c r="T1893" s="37">
        <v>0</v>
      </c>
      <c r="U1893" s="37">
        <v>1</v>
      </c>
      <c r="V1893" s="37">
        <v>366</v>
      </c>
      <c r="W1893" s="37">
        <v>365.5</v>
      </c>
      <c r="X1893" s="37">
        <v>70</v>
      </c>
      <c r="Y1893" s="37">
        <v>69</v>
      </c>
      <c r="Z1893" s="37">
        <v>72</v>
      </c>
      <c r="AA1893" s="37">
        <v>1</v>
      </c>
      <c r="AB1893" s="35">
        <f t="shared" si="163"/>
        <v>57.96</v>
      </c>
      <c r="AC1893" s="35">
        <f t="shared" si="164"/>
        <v>0.34915662650602408</v>
      </c>
      <c r="AD1893" s="37">
        <v>0</v>
      </c>
      <c r="AE1893" s="309" t="s">
        <v>109</v>
      </c>
      <c r="AF1893" s="309" t="s">
        <v>317</v>
      </c>
      <c r="AG1893" s="309" t="s">
        <v>317</v>
      </c>
      <c r="AH1893" s="37" t="s">
        <v>4716</v>
      </c>
      <c r="AI1893" s="309"/>
      <c r="AJ1893" s="309"/>
      <c r="AK1893" s="309" t="s">
        <v>41</v>
      </c>
      <c r="AL1893" s="309" t="s">
        <v>58</v>
      </c>
      <c r="AM1893" s="299">
        <v>4</v>
      </c>
      <c r="AN1893" s="51"/>
      <c r="AO1893" s="288" t="s">
        <v>70</v>
      </c>
      <c r="AP1893" s="275" t="s">
        <v>4714</v>
      </c>
      <c r="AQ1893" s="288" t="s">
        <v>4905</v>
      </c>
      <c r="AR1893" s="277">
        <v>44931.472222222219</v>
      </c>
      <c r="AS1893" s="272" t="s">
        <v>173</v>
      </c>
      <c r="AT1893" s="288" t="s">
        <v>225</v>
      </c>
      <c r="AU1893" s="276">
        <v>0.47222222222222227</v>
      </c>
      <c r="AV1893" s="288">
        <v>1</v>
      </c>
      <c r="AW1893" s="288" t="s">
        <v>66</v>
      </c>
      <c r="AX1893" s="52"/>
      <c r="AY1893" s="52"/>
      <c r="AZ1893" s="52"/>
      <c r="BA1893" s="52"/>
    </row>
    <row r="1894" spans="1:53" x14ac:dyDescent="0.25">
      <c r="A1894" s="48">
        <v>590</v>
      </c>
      <c r="B1894" s="311">
        <v>44926.666666666664</v>
      </c>
      <c r="C1894" s="36">
        <v>0.69791666666666663</v>
      </c>
      <c r="D1894" s="36">
        <v>0.70486111111111116</v>
      </c>
      <c r="E1894" s="36">
        <v>0.72222222222222221</v>
      </c>
      <c r="F1894" s="37" t="s">
        <v>169</v>
      </c>
      <c r="G1894" s="37" t="s">
        <v>478</v>
      </c>
      <c r="H1894" s="307" t="s">
        <v>479</v>
      </c>
      <c r="I1894" s="307" t="s">
        <v>80</v>
      </c>
      <c r="J1894" s="307" t="s">
        <v>37</v>
      </c>
      <c r="K1894" s="307" t="s">
        <v>241</v>
      </c>
      <c r="L1894" s="26" t="s">
        <v>1407</v>
      </c>
      <c r="M1894" s="37" t="s">
        <v>4731</v>
      </c>
      <c r="N1894" s="37" t="s">
        <v>42</v>
      </c>
      <c r="O1894" s="37" t="s">
        <v>4732</v>
      </c>
      <c r="P1894" s="37">
        <v>10261380</v>
      </c>
      <c r="Q1894" s="303">
        <f t="shared" ref="Q1894" si="177">S1894+U1894</f>
        <v>96</v>
      </c>
      <c r="R1894" s="303">
        <f t="shared" ref="R1894" si="178">T1894+V1894</f>
        <v>344</v>
      </c>
      <c r="S1894" s="37">
        <v>96</v>
      </c>
      <c r="T1894" s="37">
        <f>183-16+193-16</f>
        <v>344</v>
      </c>
      <c r="U1894" s="37">
        <v>0</v>
      </c>
      <c r="V1894" s="37">
        <v>0</v>
      </c>
      <c r="W1894" s="37">
        <v>331.23</v>
      </c>
      <c r="X1894" s="37">
        <v>36</v>
      </c>
      <c r="Y1894" s="37">
        <v>29</v>
      </c>
      <c r="Z1894" s="37">
        <v>16</v>
      </c>
      <c r="AA1894" s="37">
        <v>59</v>
      </c>
      <c r="AB1894" s="35">
        <f t="shared" si="163"/>
        <v>164.256</v>
      </c>
      <c r="AC1894" s="35">
        <f t="shared" si="164"/>
        <v>0.98949397590361443</v>
      </c>
      <c r="AD1894" s="37">
        <v>9894.2999999999993</v>
      </c>
      <c r="AE1894" s="309" t="s">
        <v>109</v>
      </c>
      <c r="AF1894" s="37">
        <v>6601787</v>
      </c>
      <c r="AG1894" s="37" t="s">
        <v>4733</v>
      </c>
      <c r="AH1894" s="37" t="s">
        <v>4734</v>
      </c>
      <c r="AI1894" s="309"/>
      <c r="AJ1894" s="309"/>
      <c r="AK1894" s="37" t="s">
        <v>48</v>
      </c>
      <c r="AL1894" s="37" t="s">
        <v>50</v>
      </c>
      <c r="AM1894" s="299">
        <f t="shared" ref="AM1894:AM1957" ca="1" si="179">IF(AP1894="",NOW()-B1894,AR1894-B1894)</f>
        <v>3.8958333333357587</v>
      </c>
      <c r="AN1894" s="51"/>
      <c r="AO1894" s="288" t="s">
        <v>259</v>
      </c>
      <c r="AP1894" s="275" t="s">
        <v>4731</v>
      </c>
      <c r="AQ1894" s="288" t="s">
        <v>4888</v>
      </c>
      <c r="AR1894" s="277">
        <v>44930.5625</v>
      </c>
      <c r="AS1894" s="272" t="s">
        <v>136</v>
      </c>
      <c r="AT1894" s="288" t="s">
        <v>225</v>
      </c>
      <c r="AU1894" s="276">
        <v>0.5625</v>
      </c>
      <c r="AV1894" s="288">
        <v>1</v>
      </c>
      <c r="AW1894" s="288" t="s">
        <v>66</v>
      </c>
      <c r="AX1894" s="52"/>
      <c r="AY1894" s="52"/>
      <c r="AZ1894" s="52"/>
      <c r="BA1894" s="52"/>
    </row>
    <row r="1895" spans="1:53" x14ac:dyDescent="0.25">
      <c r="A1895" s="312">
        <v>590</v>
      </c>
      <c r="B1895" s="311">
        <v>44926.666666666664</v>
      </c>
      <c r="C1895" s="308">
        <v>0.69791666666666663</v>
      </c>
      <c r="D1895" s="308">
        <v>0.70486111111111116</v>
      </c>
      <c r="E1895" s="308">
        <v>0.72222222222222221</v>
      </c>
      <c r="F1895" s="309" t="s">
        <v>169</v>
      </c>
      <c r="G1895" s="309" t="s">
        <v>478</v>
      </c>
      <c r="H1895" s="307" t="s">
        <v>479</v>
      </c>
      <c r="I1895" s="307" t="s">
        <v>80</v>
      </c>
      <c r="J1895" s="307" t="s">
        <v>37</v>
      </c>
      <c r="K1895" s="307" t="s">
        <v>241</v>
      </c>
      <c r="L1895" s="303" t="s">
        <v>1407</v>
      </c>
      <c r="M1895" s="309" t="s">
        <v>4731</v>
      </c>
      <c r="N1895" s="309" t="s">
        <v>42</v>
      </c>
      <c r="O1895" s="309" t="s">
        <v>4732</v>
      </c>
      <c r="P1895" s="309">
        <v>10261380</v>
      </c>
      <c r="Q1895" s="303">
        <f t="shared" ref="Q1895" si="180">S1895+U1895</f>
        <v>0</v>
      </c>
      <c r="R1895" s="303">
        <f t="shared" ref="R1895" si="181">T1895+V1895</f>
        <v>0</v>
      </c>
      <c r="S1895" s="37">
        <v>0</v>
      </c>
      <c r="T1895" s="37">
        <v>0</v>
      </c>
      <c r="U1895" s="37">
        <v>0</v>
      </c>
      <c r="V1895" s="37">
        <v>0</v>
      </c>
      <c r="W1895" s="37">
        <v>0</v>
      </c>
      <c r="X1895" s="37">
        <v>36</v>
      </c>
      <c r="Y1895" s="37">
        <v>29</v>
      </c>
      <c r="Z1895" s="37">
        <v>18</v>
      </c>
      <c r="AA1895" s="37">
        <v>37</v>
      </c>
      <c r="AB1895" s="35">
        <f t="shared" si="163"/>
        <v>115.884</v>
      </c>
      <c r="AC1895" s="35">
        <f t="shared" si="164"/>
        <v>0.69809638554216868</v>
      </c>
      <c r="AD1895" s="37">
        <v>0</v>
      </c>
      <c r="AE1895" s="37">
        <v>0</v>
      </c>
      <c r="AF1895" s="309">
        <v>6601787</v>
      </c>
      <c r="AG1895" s="309" t="s">
        <v>4733</v>
      </c>
      <c r="AH1895" s="37">
        <v>0</v>
      </c>
      <c r="AI1895" s="309"/>
      <c r="AJ1895" s="309"/>
      <c r="AK1895" s="309" t="s">
        <v>48</v>
      </c>
      <c r="AL1895" s="309" t="s">
        <v>50</v>
      </c>
      <c r="AM1895" s="299">
        <f t="shared" ca="1" si="179"/>
        <v>3.8958333333357587</v>
      </c>
      <c r="AN1895" s="51"/>
      <c r="AO1895" s="288" t="s">
        <v>259</v>
      </c>
      <c r="AP1895" s="275" t="s">
        <v>4731</v>
      </c>
      <c r="AQ1895" s="288" t="s">
        <v>4888</v>
      </c>
      <c r="AR1895" s="277">
        <v>44930.5625</v>
      </c>
      <c r="AS1895" s="272" t="s">
        <v>136</v>
      </c>
      <c r="AT1895" s="288" t="s">
        <v>225</v>
      </c>
      <c r="AU1895" s="276">
        <v>0.5625</v>
      </c>
      <c r="AV1895" s="288">
        <v>1</v>
      </c>
      <c r="AW1895" s="288" t="s">
        <v>66</v>
      </c>
      <c r="AX1895" s="52"/>
      <c r="AY1895" s="52"/>
      <c r="AZ1895" s="52"/>
      <c r="BA1895" s="52"/>
    </row>
    <row r="1896" spans="1:53" x14ac:dyDescent="0.25">
      <c r="A1896" s="48">
        <v>591</v>
      </c>
      <c r="B1896" s="311">
        <v>44926.666666666664</v>
      </c>
      <c r="C1896" s="36">
        <v>0.6875</v>
      </c>
      <c r="D1896" s="36">
        <v>0.69097222222222221</v>
      </c>
      <c r="E1896" s="36">
        <v>0.72916666666666663</v>
      </c>
      <c r="F1896" s="37" t="s">
        <v>169</v>
      </c>
      <c r="G1896" s="37" t="s">
        <v>454</v>
      </c>
      <c r="H1896" s="26" t="s">
        <v>4735</v>
      </c>
      <c r="I1896" s="26" t="s">
        <v>4381</v>
      </c>
      <c r="J1896" s="26" t="s">
        <v>41</v>
      </c>
      <c r="K1896" s="307" t="s">
        <v>241</v>
      </c>
      <c r="L1896" s="26" t="s">
        <v>4736</v>
      </c>
      <c r="M1896" s="37" t="s">
        <v>4737</v>
      </c>
      <c r="N1896" s="37" t="s">
        <v>44</v>
      </c>
      <c r="O1896" s="37" t="s">
        <v>4738</v>
      </c>
      <c r="P1896" s="37" t="s">
        <v>4739</v>
      </c>
      <c r="Q1896" s="303">
        <f t="shared" ref="Q1896" si="182">S1896+U1896</f>
        <v>10</v>
      </c>
      <c r="R1896" s="303">
        <f t="shared" ref="R1896" si="183">T1896+V1896</f>
        <v>73</v>
      </c>
      <c r="S1896" s="37">
        <v>10</v>
      </c>
      <c r="T1896" s="37">
        <f>90-17</f>
        <v>73</v>
      </c>
      <c r="U1896" s="37">
        <v>0</v>
      </c>
      <c r="V1896" s="37">
        <v>0</v>
      </c>
      <c r="W1896" s="37">
        <v>72.78</v>
      </c>
      <c r="X1896" s="37">
        <v>48</v>
      </c>
      <c r="Y1896" s="37">
        <v>44</v>
      </c>
      <c r="Z1896" s="37">
        <v>22</v>
      </c>
      <c r="AA1896" s="37">
        <v>7</v>
      </c>
      <c r="AB1896" s="35">
        <f t="shared" si="163"/>
        <v>54.207999999999998</v>
      </c>
      <c r="AC1896" s="35">
        <f t="shared" si="164"/>
        <v>0.32655421686746988</v>
      </c>
      <c r="AD1896" s="37">
        <v>821.41</v>
      </c>
      <c r="AE1896" s="37" t="s">
        <v>109</v>
      </c>
      <c r="AF1896" s="37">
        <v>6574384</v>
      </c>
      <c r="AG1896" s="37" t="s">
        <v>4740</v>
      </c>
      <c r="AH1896" s="37" t="s">
        <v>4741</v>
      </c>
      <c r="AI1896" s="309"/>
      <c r="AJ1896" s="309"/>
      <c r="AK1896" s="309" t="s">
        <v>48</v>
      </c>
      <c r="AL1896" s="309" t="s">
        <v>50</v>
      </c>
      <c r="AM1896" s="299">
        <f t="shared" ca="1" si="179"/>
        <v>7.0069444444452529</v>
      </c>
      <c r="AN1896" s="51"/>
      <c r="AO1896" s="288" t="s">
        <v>53</v>
      </c>
      <c r="AP1896" s="275" t="s">
        <v>4737</v>
      </c>
      <c r="AQ1896" s="288" t="s">
        <v>5044</v>
      </c>
      <c r="AR1896" s="277">
        <v>44933.673611111109</v>
      </c>
      <c r="AS1896" s="272" t="s">
        <v>438</v>
      </c>
      <c r="AT1896" s="288" t="s">
        <v>65</v>
      </c>
      <c r="AU1896" s="276">
        <v>0.67361111111111116</v>
      </c>
      <c r="AV1896" s="288">
        <v>1</v>
      </c>
      <c r="AW1896" s="288" t="s">
        <v>66</v>
      </c>
      <c r="AX1896" s="52"/>
      <c r="AY1896" s="52"/>
      <c r="AZ1896" s="52"/>
      <c r="BA1896" s="52"/>
    </row>
    <row r="1897" spans="1:53" x14ac:dyDescent="0.25">
      <c r="A1897" s="312">
        <v>591</v>
      </c>
      <c r="B1897" s="311">
        <v>44926.666666666664</v>
      </c>
      <c r="C1897" s="308">
        <v>0.6875</v>
      </c>
      <c r="D1897" s="308">
        <v>0.69097222222222221</v>
      </c>
      <c r="E1897" s="308">
        <v>0.72916666666666663</v>
      </c>
      <c r="F1897" s="309" t="s">
        <v>169</v>
      </c>
      <c r="G1897" s="309" t="s">
        <v>454</v>
      </c>
      <c r="H1897" s="303" t="s">
        <v>4735</v>
      </c>
      <c r="I1897" s="303" t="s">
        <v>4381</v>
      </c>
      <c r="J1897" s="303" t="s">
        <v>41</v>
      </c>
      <c r="K1897" s="307" t="s">
        <v>241</v>
      </c>
      <c r="L1897" s="303" t="s">
        <v>4736</v>
      </c>
      <c r="M1897" s="309" t="s">
        <v>4737</v>
      </c>
      <c r="N1897" s="309" t="s">
        <v>44</v>
      </c>
      <c r="O1897" s="309" t="s">
        <v>4738</v>
      </c>
      <c r="P1897" s="309" t="s">
        <v>4739</v>
      </c>
      <c r="Q1897" s="303">
        <f t="shared" ref="Q1897" si="184">S1897+U1897</f>
        <v>0</v>
      </c>
      <c r="R1897" s="303">
        <f t="shared" ref="R1897" si="185">T1897+V1897</f>
        <v>0</v>
      </c>
      <c r="S1897" s="37">
        <v>0</v>
      </c>
      <c r="T1897" s="37">
        <v>0</v>
      </c>
      <c r="U1897" s="37">
        <v>0</v>
      </c>
      <c r="V1897" s="37">
        <v>0</v>
      </c>
      <c r="W1897" s="37">
        <v>0</v>
      </c>
      <c r="X1897" s="37">
        <v>51</v>
      </c>
      <c r="Y1897" s="37">
        <v>38</v>
      </c>
      <c r="Z1897" s="37">
        <v>28</v>
      </c>
      <c r="AA1897" s="37">
        <v>3</v>
      </c>
      <c r="AB1897" s="35">
        <f t="shared" si="163"/>
        <v>27.132000000000001</v>
      </c>
      <c r="AC1897" s="35">
        <f t="shared" si="164"/>
        <v>0.16344578313253014</v>
      </c>
      <c r="AD1897" s="37">
        <v>0</v>
      </c>
      <c r="AE1897" s="37">
        <v>0</v>
      </c>
      <c r="AF1897" s="309">
        <v>6574384</v>
      </c>
      <c r="AG1897" s="309" t="s">
        <v>4740</v>
      </c>
      <c r="AH1897" s="37">
        <v>0</v>
      </c>
      <c r="AI1897" s="309"/>
      <c r="AJ1897" s="309"/>
      <c r="AK1897" s="309" t="s">
        <v>48</v>
      </c>
      <c r="AL1897" s="309" t="s">
        <v>50</v>
      </c>
      <c r="AM1897" s="299">
        <f t="shared" ca="1" si="179"/>
        <v>7.0069444444452529</v>
      </c>
      <c r="AN1897" s="51"/>
      <c r="AO1897" s="288" t="s">
        <v>53</v>
      </c>
      <c r="AP1897" s="275" t="s">
        <v>4737</v>
      </c>
      <c r="AQ1897" s="288" t="s">
        <v>5044</v>
      </c>
      <c r="AR1897" s="277">
        <v>44933.673611111109</v>
      </c>
      <c r="AS1897" s="272" t="s">
        <v>438</v>
      </c>
      <c r="AT1897" s="288" t="s">
        <v>65</v>
      </c>
      <c r="AU1897" s="276">
        <v>0.67361111111111116</v>
      </c>
      <c r="AV1897" s="288">
        <v>1</v>
      </c>
      <c r="AW1897" s="288" t="s">
        <v>66</v>
      </c>
      <c r="AX1897" s="52"/>
      <c r="AY1897" s="52"/>
      <c r="AZ1897" s="52"/>
      <c r="BA1897" s="52"/>
    </row>
    <row r="1898" spans="1:53" x14ac:dyDescent="0.25">
      <c r="A1898" s="48">
        <v>592</v>
      </c>
      <c r="B1898" s="311">
        <v>44926.666666666664</v>
      </c>
      <c r="C1898" s="308">
        <v>0.6875</v>
      </c>
      <c r="D1898" s="308">
        <v>0.69097222222222221</v>
      </c>
      <c r="E1898" s="308">
        <v>0.72916666666666663</v>
      </c>
      <c r="F1898" s="309" t="s">
        <v>169</v>
      </c>
      <c r="G1898" s="309" t="s">
        <v>454</v>
      </c>
      <c r="H1898" s="303" t="s">
        <v>4735</v>
      </c>
      <c r="I1898" s="303" t="s">
        <v>4381</v>
      </c>
      <c r="J1898" s="303" t="s">
        <v>41</v>
      </c>
      <c r="K1898" s="307" t="s">
        <v>241</v>
      </c>
      <c r="L1898" s="303" t="s">
        <v>4736</v>
      </c>
      <c r="M1898" s="309" t="s">
        <v>4737</v>
      </c>
      <c r="N1898" s="309" t="s">
        <v>44</v>
      </c>
      <c r="O1898" s="309" t="s">
        <v>4742</v>
      </c>
      <c r="P1898" s="309" t="s">
        <v>4743</v>
      </c>
      <c r="Q1898" s="303">
        <f t="shared" ref="Q1898" si="186">S1898+U1898</f>
        <v>10</v>
      </c>
      <c r="R1898" s="303">
        <f t="shared" ref="R1898" si="187">T1898+V1898</f>
        <v>24</v>
      </c>
      <c r="S1898" s="37">
        <v>10</v>
      </c>
      <c r="T1898" s="37">
        <f>41-17</f>
        <v>24</v>
      </c>
      <c r="U1898" s="37">
        <v>0</v>
      </c>
      <c r="V1898" s="37">
        <v>0</v>
      </c>
      <c r="W1898" s="37">
        <v>23.94</v>
      </c>
      <c r="X1898" s="37">
        <v>41</v>
      </c>
      <c r="Y1898" s="37">
        <v>31</v>
      </c>
      <c r="Z1898" s="37">
        <v>17</v>
      </c>
      <c r="AA1898" s="37">
        <v>10</v>
      </c>
      <c r="AB1898" s="35">
        <f t="shared" si="163"/>
        <v>36.011666666666663</v>
      </c>
      <c r="AC1898" s="35">
        <f t="shared" si="164"/>
        <v>0.21693775100401605</v>
      </c>
      <c r="AD1898" s="37">
        <v>234.15</v>
      </c>
      <c r="AE1898" s="37" t="s">
        <v>109</v>
      </c>
      <c r="AF1898" s="37">
        <v>6574384</v>
      </c>
      <c r="AG1898" s="37" t="s">
        <v>4744</v>
      </c>
      <c r="AH1898" s="37" t="s">
        <v>4745</v>
      </c>
      <c r="AI1898" s="309"/>
      <c r="AJ1898" s="309"/>
      <c r="AK1898" s="309" t="s">
        <v>48</v>
      </c>
      <c r="AL1898" s="309" t="s">
        <v>50</v>
      </c>
      <c r="AM1898" s="299">
        <f t="shared" ca="1" si="179"/>
        <v>7.0069444444452529</v>
      </c>
      <c r="AN1898" s="51"/>
      <c r="AO1898" s="288" t="s">
        <v>53</v>
      </c>
      <c r="AP1898" s="275" t="s">
        <v>4737</v>
      </c>
      <c r="AQ1898" s="288" t="s">
        <v>5044</v>
      </c>
      <c r="AR1898" s="277">
        <v>44933.673611111109</v>
      </c>
      <c r="AS1898" s="272" t="s">
        <v>438</v>
      </c>
      <c r="AT1898" s="288" t="s">
        <v>65</v>
      </c>
      <c r="AU1898" s="276">
        <v>0.67361111111111116</v>
      </c>
      <c r="AV1898" s="288">
        <v>1</v>
      </c>
      <c r="AW1898" s="288" t="s">
        <v>66</v>
      </c>
      <c r="AX1898" s="52"/>
      <c r="AY1898" s="52"/>
      <c r="AZ1898" s="52"/>
      <c r="BA1898" s="52"/>
    </row>
    <row r="1899" spans="1:53" x14ac:dyDescent="0.25">
      <c r="A1899" s="48">
        <v>593</v>
      </c>
      <c r="B1899" s="311">
        <v>44926.708333333336</v>
      </c>
      <c r="C1899" s="36">
        <v>0.71527777777777779</v>
      </c>
      <c r="D1899" s="36">
        <v>0.72222222222222221</v>
      </c>
      <c r="E1899" s="36">
        <v>0.73611111111111116</v>
      </c>
      <c r="F1899" s="37" t="s">
        <v>169</v>
      </c>
      <c r="G1899" s="37" t="s">
        <v>4746</v>
      </c>
      <c r="H1899" s="309" t="s">
        <v>410</v>
      </c>
      <c r="I1899" s="309" t="s">
        <v>411</v>
      </c>
      <c r="J1899" s="309" t="s">
        <v>37</v>
      </c>
      <c r="K1899" s="309" t="s">
        <v>233</v>
      </c>
      <c r="L1899" s="309" t="s">
        <v>208</v>
      </c>
      <c r="M1899" s="37" t="s">
        <v>4747</v>
      </c>
      <c r="N1899" s="37" t="s">
        <v>38</v>
      </c>
      <c r="O1899" s="37" t="s">
        <v>4748</v>
      </c>
      <c r="P1899" s="37">
        <v>10100918</v>
      </c>
      <c r="Q1899" s="303">
        <f t="shared" ref="Q1899" si="188">S1899+U1899</f>
        <v>36</v>
      </c>
      <c r="R1899" s="303">
        <f t="shared" ref="R1899" si="189">T1899+V1899</f>
        <v>494</v>
      </c>
      <c r="S1899" s="37">
        <v>36</v>
      </c>
      <c r="T1899" s="37">
        <f>288-22+248-20</f>
        <v>494</v>
      </c>
      <c r="U1899" s="37">
        <v>0</v>
      </c>
      <c r="V1899" s="37">
        <v>0</v>
      </c>
      <c r="W1899" s="37">
        <v>365</v>
      </c>
      <c r="X1899" s="37">
        <v>70</v>
      </c>
      <c r="Y1899" s="37">
        <v>46</v>
      </c>
      <c r="Z1899" s="37">
        <v>38</v>
      </c>
      <c r="AA1899" s="37">
        <v>27</v>
      </c>
      <c r="AB1899" s="35">
        <f t="shared" si="163"/>
        <v>550.62</v>
      </c>
      <c r="AC1899" s="35">
        <f t="shared" si="164"/>
        <v>3.3169879518072292</v>
      </c>
      <c r="AD1899" s="37">
        <v>14404.36</v>
      </c>
      <c r="AE1899" s="309" t="s">
        <v>109</v>
      </c>
      <c r="AF1899" s="37">
        <v>6602278</v>
      </c>
      <c r="AG1899" s="37" t="s">
        <v>4733</v>
      </c>
      <c r="AH1899" s="37" t="s">
        <v>4749</v>
      </c>
      <c r="AI1899" s="309"/>
      <c r="AJ1899" s="309"/>
      <c r="AK1899" s="309" t="s">
        <v>48</v>
      </c>
      <c r="AL1899" s="309" t="s">
        <v>50</v>
      </c>
      <c r="AM1899" s="299">
        <f t="shared" ca="1" si="179"/>
        <v>3.9444444444452529</v>
      </c>
      <c r="AN1899" s="51"/>
      <c r="AO1899" s="288" t="s">
        <v>427</v>
      </c>
      <c r="AP1899" s="275" t="s">
        <v>4747</v>
      </c>
      <c r="AQ1899" s="288" t="s">
        <v>4893</v>
      </c>
      <c r="AR1899" s="277">
        <v>44930.652777777781</v>
      </c>
      <c r="AS1899" s="276" t="s">
        <v>3968</v>
      </c>
      <c r="AT1899" s="288" t="s">
        <v>225</v>
      </c>
      <c r="AU1899" s="276">
        <v>0.65277777777777779</v>
      </c>
      <c r="AV1899" s="288">
        <v>1</v>
      </c>
      <c r="AW1899" s="288" t="s">
        <v>66</v>
      </c>
      <c r="AX1899" s="52"/>
      <c r="AY1899" s="52"/>
      <c r="AZ1899" s="52"/>
      <c r="BA1899" s="52"/>
    </row>
    <row r="1900" spans="1:53" x14ac:dyDescent="0.25">
      <c r="A1900" s="312">
        <v>593</v>
      </c>
      <c r="B1900" s="311">
        <v>44926.708333333336</v>
      </c>
      <c r="C1900" s="308">
        <v>0.71527777777777779</v>
      </c>
      <c r="D1900" s="308">
        <v>0.72222222222222221</v>
      </c>
      <c r="E1900" s="308">
        <v>0.73611111111111116</v>
      </c>
      <c r="F1900" s="309" t="s">
        <v>169</v>
      </c>
      <c r="G1900" s="309" t="s">
        <v>4746</v>
      </c>
      <c r="H1900" s="309" t="s">
        <v>410</v>
      </c>
      <c r="I1900" s="309" t="s">
        <v>411</v>
      </c>
      <c r="J1900" s="309" t="s">
        <v>37</v>
      </c>
      <c r="K1900" s="309" t="s">
        <v>233</v>
      </c>
      <c r="L1900" s="309" t="s">
        <v>208</v>
      </c>
      <c r="M1900" s="309" t="s">
        <v>4747</v>
      </c>
      <c r="N1900" s="309" t="s">
        <v>38</v>
      </c>
      <c r="O1900" s="309" t="s">
        <v>4748</v>
      </c>
      <c r="P1900" s="309">
        <v>10100918</v>
      </c>
      <c r="Q1900" s="303">
        <f t="shared" ref="Q1900:Q1904" si="190">S1900+U1900</f>
        <v>0</v>
      </c>
      <c r="R1900" s="303">
        <f t="shared" ref="R1900:R1904" si="191">T1900+V1900</f>
        <v>0</v>
      </c>
      <c r="S1900" s="309">
        <v>0</v>
      </c>
      <c r="T1900" s="309">
        <v>0</v>
      </c>
      <c r="U1900" s="309">
        <v>0</v>
      </c>
      <c r="V1900" s="309">
        <v>0</v>
      </c>
      <c r="W1900" s="37">
        <v>0</v>
      </c>
      <c r="X1900" s="37">
        <v>23</v>
      </c>
      <c r="Y1900" s="37">
        <v>16</v>
      </c>
      <c r="Z1900" s="37">
        <v>39</v>
      </c>
      <c r="AA1900" s="37">
        <v>4</v>
      </c>
      <c r="AB1900" s="35">
        <f t="shared" si="163"/>
        <v>9.5679999999999996</v>
      </c>
      <c r="AC1900" s="35">
        <f t="shared" si="164"/>
        <v>5.763855421686747E-2</v>
      </c>
      <c r="AD1900" s="37">
        <v>0</v>
      </c>
      <c r="AE1900" s="309" t="s">
        <v>109</v>
      </c>
      <c r="AF1900" s="309">
        <v>6602278</v>
      </c>
      <c r="AG1900" s="309" t="s">
        <v>4733</v>
      </c>
      <c r="AH1900" s="37">
        <v>0</v>
      </c>
      <c r="AI1900" s="309"/>
      <c r="AJ1900" s="309"/>
      <c r="AK1900" s="309" t="s">
        <v>48</v>
      </c>
      <c r="AL1900" s="309" t="s">
        <v>50</v>
      </c>
      <c r="AM1900" s="299">
        <f t="shared" ca="1" si="179"/>
        <v>3.9444444444452529</v>
      </c>
      <c r="AN1900" s="51"/>
      <c r="AO1900" s="288" t="s">
        <v>427</v>
      </c>
      <c r="AP1900" s="275" t="s">
        <v>4747</v>
      </c>
      <c r="AQ1900" s="288" t="s">
        <v>4893</v>
      </c>
      <c r="AR1900" s="277">
        <v>44930.652777777781</v>
      </c>
      <c r="AS1900" s="276" t="s">
        <v>3968</v>
      </c>
      <c r="AT1900" s="288" t="s">
        <v>225</v>
      </c>
      <c r="AU1900" s="276">
        <v>0.65277777777777779</v>
      </c>
      <c r="AV1900" s="288">
        <v>1</v>
      </c>
      <c r="AW1900" s="288" t="s">
        <v>66</v>
      </c>
      <c r="AX1900" s="52"/>
      <c r="AY1900" s="52"/>
      <c r="AZ1900" s="52"/>
      <c r="BA1900" s="52"/>
    </row>
    <row r="1901" spans="1:53" x14ac:dyDescent="0.25">
      <c r="A1901" s="312">
        <v>593</v>
      </c>
      <c r="B1901" s="311">
        <v>44926.708333333336</v>
      </c>
      <c r="C1901" s="308">
        <v>0.71527777777777779</v>
      </c>
      <c r="D1901" s="308">
        <v>0.72222222222222221</v>
      </c>
      <c r="E1901" s="308">
        <v>0.73611111111111116</v>
      </c>
      <c r="F1901" s="309" t="s">
        <v>169</v>
      </c>
      <c r="G1901" s="309" t="s">
        <v>4746</v>
      </c>
      <c r="H1901" s="309" t="s">
        <v>410</v>
      </c>
      <c r="I1901" s="309" t="s">
        <v>411</v>
      </c>
      <c r="J1901" s="309" t="s">
        <v>37</v>
      </c>
      <c r="K1901" s="309" t="s">
        <v>233</v>
      </c>
      <c r="L1901" s="309" t="s">
        <v>208</v>
      </c>
      <c r="M1901" s="309" t="s">
        <v>4747</v>
      </c>
      <c r="N1901" s="309" t="s">
        <v>38</v>
      </c>
      <c r="O1901" s="309" t="s">
        <v>4748</v>
      </c>
      <c r="P1901" s="309">
        <v>10100918</v>
      </c>
      <c r="Q1901" s="303">
        <f t="shared" si="190"/>
        <v>0</v>
      </c>
      <c r="R1901" s="303">
        <f t="shared" si="191"/>
        <v>0</v>
      </c>
      <c r="S1901" s="309">
        <v>0</v>
      </c>
      <c r="T1901" s="309">
        <v>0</v>
      </c>
      <c r="U1901" s="309">
        <v>0</v>
      </c>
      <c r="V1901" s="309">
        <v>0</v>
      </c>
      <c r="W1901" s="309">
        <v>0</v>
      </c>
      <c r="X1901" s="37">
        <v>56</v>
      </c>
      <c r="Y1901" s="37">
        <v>47</v>
      </c>
      <c r="Z1901" s="37">
        <v>38</v>
      </c>
      <c r="AA1901" s="37">
        <v>1</v>
      </c>
      <c r="AB1901" s="35">
        <f t="shared" si="163"/>
        <v>16.669333333333334</v>
      </c>
      <c r="AC1901" s="35">
        <f t="shared" si="164"/>
        <v>0.10041767068273093</v>
      </c>
      <c r="AD1901" s="37">
        <v>0</v>
      </c>
      <c r="AE1901" s="309" t="s">
        <v>109</v>
      </c>
      <c r="AF1901" s="309">
        <v>6602278</v>
      </c>
      <c r="AG1901" s="309" t="s">
        <v>4733</v>
      </c>
      <c r="AH1901" s="37">
        <v>0</v>
      </c>
      <c r="AI1901" s="309"/>
      <c r="AJ1901" s="309"/>
      <c r="AK1901" s="309" t="s">
        <v>48</v>
      </c>
      <c r="AL1901" s="309" t="s">
        <v>50</v>
      </c>
      <c r="AM1901" s="299">
        <f t="shared" ca="1" si="179"/>
        <v>3.9444444444452529</v>
      </c>
      <c r="AN1901" s="51"/>
      <c r="AO1901" s="288" t="s">
        <v>427</v>
      </c>
      <c r="AP1901" s="275" t="s">
        <v>4747</v>
      </c>
      <c r="AQ1901" s="288" t="s">
        <v>4893</v>
      </c>
      <c r="AR1901" s="277">
        <v>44930.652777777781</v>
      </c>
      <c r="AS1901" s="276" t="s">
        <v>3968</v>
      </c>
      <c r="AT1901" s="288" t="s">
        <v>225</v>
      </c>
      <c r="AU1901" s="276">
        <v>0.65277777777777779</v>
      </c>
      <c r="AV1901" s="288">
        <v>1</v>
      </c>
      <c r="AW1901" s="288" t="s">
        <v>66</v>
      </c>
      <c r="AX1901" s="52"/>
      <c r="AY1901" s="52"/>
      <c r="AZ1901" s="52"/>
      <c r="BA1901" s="52"/>
    </row>
    <row r="1902" spans="1:53" x14ac:dyDescent="0.25">
      <c r="A1902" s="312">
        <v>593</v>
      </c>
      <c r="B1902" s="311">
        <v>44926.708333333336</v>
      </c>
      <c r="C1902" s="308">
        <v>0.71527777777777779</v>
      </c>
      <c r="D1902" s="308">
        <v>0.72222222222222221</v>
      </c>
      <c r="E1902" s="308">
        <v>0.73611111111111116</v>
      </c>
      <c r="F1902" s="309" t="s">
        <v>169</v>
      </c>
      <c r="G1902" s="309" t="s">
        <v>4746</v>
      </c>
      <c r="H1902" s="309" t="s">
        <v>410</v>
      </c>
      <c r="I1902" s="309" t="s">
        <v>411</v>
      </c>
      <c r="J1902" s="309" t="s">
        <v>37</v>
      </c>
      <c r="K1902" s="309" t="s">
        <v>233</v>
      </c>
      <c r="L1902" s="309" t="s">
        <v>208</v>
      </c>
      <c r="M1902" s="309" t="s">
        <v>4747</v>
      </c>
      <c r="N1902" s="309" t="s">
        <v>38</v>
      </c>
      <c r="O1902" s="309" t="s">
        <v>4748</v>
      </c>
      <c r="P1902" s="309">
        <v>10100918</v>
      </c>
      <c r="Q1902" s="303">
        <f t="shared" si="190"/>
        <v>0</v>
      </c>
      <c r="R1902" s="303">
        <f t="shared" si="191"/>
        <v>0</v>
      </c>
      <c r="S1902" s="309">
        <v>0</v>
      </c>
      <c r="T1902" s="309">
        <v>0</v>
      </c>
      <c r="U1902" s="309">
        <v>0</v>
      </c>
      <c r="V1902" s="309">
        <v>0</v>
      </c>
      <c r="W1902" s="309">
        <v>0</v>
      </c>
      <c r="X1902" s="37">
        <v>29</v>
      </c>
      <c r="Y1902" s="37">
        <v>29</v>
      </c>
      <c r="Z1902" s="37">
        <v>38</v>
      </c>
      <c r="AA1902" s="37">
        <v>1</v>
      </c>
      <c r="AB1902" s="35">
        <f t="shared" si="163"/>
        <v>5.3263333333333334</v>
      </c>
      <c r="AC1902" s="35">
        <f t="shared" si="164"/>
        <v>3.2086345381526105E-2</v>
      </c>
      <c r="AD1902" s="37">
        <v>0</v>
      </c>
      <c r="AE1902" s="309" t="s">
        <v>109</v>
      </c>
      <c r="AF1902" s="309">
        <v>6602278</v>
      </c>
      <c r="AG1902" s="309" t="s">
        <v>4733</v>
      </c>
      <c r="AH1902" s="37">
        <v>0</v>
      </c>
      <c r="AI1902" s="309"/>
      <c r="AJ1902" s="309"/>
      <c r="AK1902" s="309" t="s">
        <v>48</v>
      </c>
      <c r="AL1902" s="309" t="s">
        <v>50</v>
      </c>
      <c r="AM1902" s="299">
        <f t="shared" ca="1" si="179"/>
        <v>3.9444444444452529</v>
      </c>
      <c r="AN1902" s="51"/>
      <c r="AO1902" s="288" t="s">
        <v>427</v>
      </c>
      <c r="AP1902" s="275" t="s">
        <v>4747</v>
      </c>
      <c r="AQ1902" s="288" t="s">
        <v>4893</v>
      </c>
      <c r="AR1902" s="277">
        <v>44930.652777777781</v>
      </c>
      <c r="AS1902" s="276" t="s">
        <v>3968</v>
      </c>
      <c r="AT1902" s="288" t="s">
        <v>225</v>
      </c>
      <c r="AU1902" s="276">
        <v>0.65277777777777779</v>
      </c>
      <c r="AV1902" s="288">
        <v>1</v>
      </c>
      <c r="AW1902" s="288" t="s">
        <v>66</v>
      </c>
      <c r="AX1902" s="52"/>
      <c r="AY1902" s="52"/>
      <c r="AZ1902" s="52"/>
      <c r="BA1902" s="52"/>
    </row>
    <row r="1903" spans="1:53" x14ac:dyDescent="0.25">
      <c r="A1903" s="312">
        <v>593</v>
      </c>
      <c r="B1903" s="311">
        <v>44926.708333333336</v>
      </c>
      <c r="C1903" s="308">
        <v>0.71527777777777779</v>
      </c>
      <c r="D1903" s="308">
        <v>0.72222222222222221</v>
      </c>
      <c r="E1903" s="308">
        <v>0.73611111111111116</v>
      </c>
      <c r="F1903" s="309" t="s">
        <v>169</v>
      </c>
      <c r="G1903" s="309" t="s">
        <v>4746</v>
      </c>
      <c r="H1903" s="309" t="s">
        <v>410</v>
      </c>
      <c r="I1903" s="309" t="s">
        <v>411</v>
      </c>
      <c r="J1903" s="309" t="s">
        <v>37</v>
      </c>
      <c r="K1903" s="309" t="s">
        <v>233</v>
      </c>
      <c r="L1903" s="309" t="s">
        <v>208</v>
      </c>
      <c r="M1903" s="309" t="s">
        <v>4747</v>
      </c>
      <c r="N1903" s="309" t="s">
        <v>38</v>
      </c>
      <c r="O1903" s="309" t="s">
        <v>4748</v>
      </c>
      <c r="P1903" s="309">
        <v>10100918</v>
      </c>
      <c r="Q1903" s="303">
        <f t="shared" si="190"/>
        <v>0</v>
      </c>
      <c r="R1903" s="303">
        <f t="shared" si="191"/>
        <v>0</v>
      </c>
      <c r="S1903" s="309">
        <v>0</v>
      </c>
      <c r="T1903" s="309">
        <v>0</v>
      </c>
      <c r="U1903" s="309">
        <v>0</v>
      </c>
      <c r="V1903" s="309">
        <v>0</v>
      </c>
      <c r="W1903" s="309">
        <v>0</v>
      </c>
      <c r="X1903" s="37">
        <v>45</v>
      </c>
      <c r="Y1903" s="37">
        <v>42</v>
      </c>
      <c r="Z1903" s="37">
        <v>38</v>
      </c>
      <c r="AA1903" s="37">
        <v>1</v>
      </c>
      <c r="AB1903" s="35">
        <f t="shared" si="163"/>
        <v>11.97</v>
      </c>
      <c r="AC1903" s="35">
        <f t="shared" si="164"/>
        <v>7.2108433734939761E-2</v>
      </c>
      <c r="AD1903" s="37">
        <v>0</v>
      </c>
      <c r="AE1903" s="309" t="s">
        <v>109</v>
      </c>
      <c r="AF1903" s="309">
        <v>6602278</v>
      </c>
      <c r="AG1903" s="309" t="s">
        <v>4733</v>
      </c>
      <c r="AH1903" s="37">
        <v>0</v>
      </c>
      <c r="AI1903" s="309"/>
      <c r="AJ1903" s="309"/>
      <c r="AK1903" s="309" t="s">
        <v>48</v>
      </c>
      <c r="AL1903" s="309" t="s">
        <v>50</v>
      </c>
      <c r="AM1903" s="299">
        <f t="shared" ca="1" si="179"/>
        <v>3.9444444444452529</v>
      </c>
      <c r="AN1903" s="51"/>
      <c r="AO1903" s="288" t="s">
        <v>427</v>
      </c>
      <c r="AP1903" s="275" t="s">
        <v>4747</v>
      </c>
      <c r="AQ1903" s="288" t="s">
        <v>4893</v>
      </c>
      <c r="AR1903" s="277">
        <v>44930.652777777781</v>
      </c>
      <c r="AS1903" s="276" t="s">
        <v>3968</v>
      </c>
      <c r="AT1903" s="288" t="s">
        <v>225</v>
      </c>
      <c r="AU1903" s="276">
        <v>0.65277777777777779</v>
      </c>
      <c r="AV1903" s="288">
        <v>1</v>
      </c>
      <c r="AW1903" s="288" t="s">
        <v>66</v>
      </c>
      <c r="AX1903" s="52"/>
      <c r="AY1903" s="52"/>
      <c r="AZ1903" s="52"/>
      <c r="BA1903" s="52"/>
    </row>
    <row r="1904" spans="1:53" x14ac:dyDescent="0.25">
      <c r="A1904" s="312">
        <v>593</v>
      </c>
      <c r="B1904" s="311">
        <v>44926.708333333336</v>
      </c>
      <c r="C1904" s="308">
        <v>0.71527777777777779</v>
      </c>
      <c r="D1904" s="308">
        <v>0.72222222222222221</v>
      </c>
      <c r="E1904" s="308">
        <v>0.73611111111111116</v>
      </c>
      <c r="F1904" s="309" t="s">
        <v>169</v>
      </c>
      <c r="G1904" s="309" t="s">
        <v>4746</v>
      </c>
      <c r="H1904" s="309" t="s">
        <v>410</v>
      </c>
      <c r="I1904" s="309" t="s">
        <v>411</v>
      </c>
      <c r="J1904" s="309" t="s">
        <v>37</v>
      </c>
      <c r="K1904" s="309" t="s">
        <v>233</v>
      </c>
      <c r="L1904" s="309" t="s">
        <v>208</v>
      </c>
      <c r="M1904" s="309" t="s">
        <v>4747</v>
      </c>
      <c r="N1904" s="309" t="s">
        <v>38</v>
      </c>
      <c r="O1904" s="309" t="s">
        <v>4748</v>
      </c>
      <c r="P1904" s="309">
        <v>10100918</v>
      </c>
      <c r="Q1904" s="303">
        <f t="shared" si="190"/>
        <v>0</v>
      </c>
      <c r="R1904" s="303">
        <f t="shared" si="191"/>
        <v>0</v>
      </c>
      <c r="S1904" s="309">
        <v>0</v>
      </c>
      <c r="T1904" s="309">
        <v>0</v>
      </c>
      <c r="U1904" s="309">
        <v>0</v>
      </c>
      <c r="V1904" s="309">
        <v>0</v>
      </c>
      <c r="W1904" s="309">
        <v>0</v>
      </c>
      <c r="X1904" s="37">
        <v>44</v>
      </c>
      <c r="Y1904" s="37">
        <v>28</v>
      </c>
      <c r="Z1904" s="37">
        <v>39</v>
      </c>
      <c r="AA1904" s="37">
        <v>2</v>
      </c>
      <c r="AB1904" s="35">
        <f t="shared" si="163"/>
        <v>16.015999999999998</v>
      </c>
      <c r="AC1904" s="35">
        <f t="shared" si="164"/>
        <v>9.6481927710843365E-2</v>
      </c>
      <c r="AD1904" s="37">
        <v>0</v>
      </c>
      <c r="AE1904" s="309" t="s">
        <v>109</v>
      </c>
      <c r="AF1904" s="309">
        <v>6602278</v>
      </c>
      <c r="AG1904" s="309" t="s">
        <v>4733</v>
      </c>
      <c r="AH1904" s="37">
        <v>0</v>
      </c>
      <c r="AI1904" s="309"/>
      <c r="AJ1904" s="309"/>
      <c r="AK1904" s="309" t="s">
        <v>48</v>
      </c>
      <c r="AL1904" s="309" t="s">
        <v>50</v>
      </c>
      <c r="AM1904" s="299">
        <f t="shared" ca="1" si="179"/>
        <v>3.9444444444452529</v>
      </c>
      <c r="AN1904" s="51"/>
      <c r="AO1904" s="288" t="s">
        <v>427</v>
      </c>
      <c r="AP1904" s="275" t="s">
        <v>4747</v>
      </c>
      <c r="AQ1904" s="288" t="s">
        <v>4893</v>
      </c>
      <c r="AR1904" s="277">
        <v>44930.652777777781</v>
      </c>
      <c r="AS1904" s="276" t="s">
        <v>3968</v>
      </c>
      <c r="AT1904" s="288" t="s">
        <v>225</v>
      </c>
      <c r="AU1904" s="276">
        <v>0.65277777777777779</v>
      </c>
      <c r="AV1904" s="288">
        <v>1</v>
      </c>
      <c r="AW1904" s="288" t="s">
        <v>66</v>
      </c>
      <c r="AX1904" s="52"/>
      <c r="AY1904" s="52"/>
      <c r="AZ1904" s="52"/>
      <c r="BA1904" s="52"/>
    </row>
    <row r="1905" spans="1:53" x14ac:dyDescent="0.25">
      <c r="A1905" s="48">
        <v>594</v>
      </c>
      <c r="B1905" s="311">
        <v>44926.708333333336</v>
      </c>
      <c r="C1905" s="36">
        <v>0.72569444444444453</v>
      </c>
      <c r="D1905" s="36">
        <v>0.72916666666666663</v>
      </c>
      <c r="E1905" s="36">
        <v>0.74652777777777779</v>
      </c>
      <c r="F1905" s="37" t="s">
        <v>171</v>
      </c>
      <c r="G1905" s="37" t="s">
        <v>173</v>
      </c>
      <c r="H1905" s="309" t="s">
        <v>339</v>
      </c>
      <c r="I1905" s="309" t="s">
        <v>91</v>
      </c>
      <c r="J1905" s="307" t="s">
        <v>37</v>
      </c>
      <c r="K1905" s="307" t="s">
        <v>180</v>
      </c>
      <c r="L1905" s="26" t="s">
        <v>206</v>
      </c>
      <c r="M1905" s="37" t="s">
        <v>4750</v>
      </c>
      <c r="N1905" s="37" t="s">
        <v>44</v>
      </c>
      <c r="O1905" s="37" t="s">
        <v>4751</v>
      </c>
      <c r="P1905" s="37">
        <v>4501937906</v>
      </c>
      <c r="Q1905" s="303">
        <f t="shared" ref="Q1905" si="192">S1905+U1905</f>
        <v>1</v>
      </c>
      <c r="R1905" s="303">
        <f t="shared" ref="R1905" si="193">T1905+V1905</f>
        <v>73</v>
      </c>
      <c r="S1905" s="37">
        <v>0</v>
      </c>
      <c r="T1905" s="37">
        <v>0</v>
      </c>
      <c r="U1905" s="37">
        <v>1</v>
      </c>
      <c r="V1905" s="37">
        <v>73</v>
      </c>
      <c r="W1905" s="37">
        <v>74</v>
      </c>
      <c r="X1905" s="37">
        <v>120</v>
      </c>
      <c r="Y1905" s="37">
        <v>80</v>
      </c>
      <c r="Z1905" s="37">
        <v>81</v>
      </c>
      <c r="AA1905" s="37">
        <v>1</v>
      </c>
      <c r="AB1905" s="35">
        <f t="shared" si="163"/>
        <v>129.6</v>
      </c>
      <c r="AC1905" s="35">
        <f t="shared" si="164"/>
        <v>0.78072289156626506</v>
      </c>
      <c r="AD1905" s="37">
        <v>93861</v>
      </c>
      <c r="AE1905" s="309" t="s">
        <v>109</v>
      </c>
      <c r="AF1905" s="37" t="s">
        <v>317</v>
      </c>
      <c r="AG1905" s="37" t="s">
        <v>317</v>
      </c>
      <c r="AH1905" s="37" t="s">
        <v>4752</v>
      </c>
      <c r="AI1905" s="309"/>
      <c r="AJ1905" s="309"/>
      <c r="AK1905" s="37" t="s">
        <v>37</v>
      </c>
      <c r="AL1905" s="37" t="s">
        <v>39</v>
      </c>
      <c r="AM1905" s="299">
        <f t="shared" ca="1" si="179"/>
        <v>1.9131944444452529</v>
      </c>
      <c r="AN1905" s="51"/>
      <c r="AO1905" s="288" t="s">
        <v>323</v>
      </c>
      <c r="AP1905" s="275" t="s">
        <v>4750</v>
      </c>
      <c r="AQ1905" s="288" t="s">
        <v>4788</v>
      </c>
      <c r="AR1905" s="111">
        <v>44928.621527777781</v>
      </c>
      <c r="AS1905" s="272" t="s">
        <v>173</v>
      </c>
      <c r="AT1905" s="288" t="s">
        <v>225</v>
      </c>
      <c r="AU1905" s="276">
        <v>0.62152777777777779</v>
      </c>
      <c r="AV1905" s="288">
        <v>1</v>
      </c>
      <c r="AW1905" s="288" t="s">
        <v>66</v>
      </c>
      <c r="AX1905" s="52"/>
      <c r="AY1905" s="52"/>
      <c r="AZ1905" s="52"/>
      <c r="BA1905" s="52"/>
    </row>
    <row r="1906" spans="1:53" x14ac:dyDescent="0.25">
      <c r="A1906" s="48">
        <v>595</v>
      </c>
      <c r="B1906" s="311">
        <v>44926.708333333336</v>
      </c>
      <c r="C1906" s="308">
        <v>0.72569444444444453</v>
      </c>
      <c r="D1906" s="308">
        <v>0.72916666666666663</v>
      </c>
      <c r="E1906" s="308">
        <v>0.74652777777777779</v>
      </c>
      <c r="F1906" s="309" t="s">
        <v>171</v>
      </c>
      <c r="G1906" s="309" t="s">
        <v>173</v>
      </c>
      <c r="H1906" s="309" t="s">
        <v>339</v>
      </c>
      <c r="I1906" s="309" t="s">
        <v>91</v>
      </c>
      <c r="J1906" s="307" t="s">
        <v>37</v>
      </c>
      <c r="K1906" s="307" t="s">
        <v>180</v>
      </c>
      <c r="L1906" s="303" t="s">
        <v>206</v>
      </c>
      <c r="M1906" s="309" t="s">
        <v>4750</v>
      </c>
      <c r="N1906" s="309" t="s">
        <v>44</v>
      </c>
      <c r="O1906" s="309" t="s">
        <v>4753</v>
      </c>
      <c r="P1906" s="37">
        <v>4501937905</v>
      </c>
      <c r="Q1906" s="303">
        <f t="shared" ref="Q1906" si="194">S1906+U1906</f>
        <v>1</v>
      </c>
      <c r="R1906" s="303">
        <f t="shared" ref="R1906" si="195">T1906+V1906</f>
        <v>72</v>
      </c>
      <c r="S1906" s="37">
        <v>0</v>
      </c>
      <c r="T1906" s="37">
        <v>0</v>
      </c>
      <c r="U1906" s="37">
        <v>1</v>
      </c>
      <c r="V1906" s="37">
        <v>72</v>
      </c>
      <c r="W1906" s="37">
        <v>74</v>
      </c>
      <c r="X1906" s="37">
        <v>120</v>
      </c>
      <c r="Y1906" s="37">
        <v>80</v>
      </c>
      <c r="Z1906" s="37">
        <v>81</v>
      </c>
      <c r="AA1906" s="37">
        <v>1</v>
      </c>
      <c r="AB1906" s="35">
        <f t="shared" si="163"/>
        <v>129.6</v>
      </c>
      <c r="AC1906" s="35">
        <f t="shared" si="164"/>
        <v>0.78072289156626506</v>
      </c>
      <c r="AD1906" s="37">
        <v>93861</v>
      </c>
      <c r="AE1906" s="309" t="s">
        <v>109</v>
      </c>
      <c r="AF1906" s="309" t="s">
        <v>317</v>
      </c>
      <c r="AG1906" s="309" t="s">
        <v>317</v>
      </c>
      <c r="AH1906" s="309" t="s">
        <v>4754</v>
      </c>
      <c r="AI1906" s="309"/>
      <c r="AJ1906" s="309"/>
      <c r="AK1906" s="309" t="s">
        <v>37</v>
      </c>
      <c r="AL1906" s="309" t="s">
        <v>39</v>
      </c>
      <c r="AM1906" s="299">
        <f t="shared" ca="1" si="179"/>
        <v>1.9131944444452529</v>
      </c>
      <c r="AN1906" s="51"/>
      <c r="AO1906" s="288" t="s">
        <v>323</v>
      </c>
      <c r="AP1906" s="275" t="s">
        <v>4750</v>
      </c>
      <c r="AQ1906" s="288" t="s">
        <v>4788</v>
      </c>
      <c r="AR1906" s="111">
        <v>44928.621527777781</v>
      </c>
      <c r="AS1906" s="272" t="s">
        <v>173</v>
      </c>
      <c r="AT1906" s="288" t="s">
        <v>225</v>
      </c>
      <c r="AU1906" s="276">
        <v>0.62152777777777779</v>
      </c>
      <c r="AV1906" s="288">
        <v>1</v>
      </c>
      <c r="AW1906" s="288" t="s">
        <v>66</v>
      </c>
      <c r="AX1906" s="52"/>
      <c r="AY1906" s="52"/>
      <c r="AZ1906" s="52"/>
      <c r="BA1906" s="52"/>
    </row>
    <row r="1907" spans="1:53" x14ac:dyDescent="0.25">
      <c r="A1907" s="48">
        <v>596</v>
      </c>
      <c r="B1907" s="311">
        <v>44926.798611111109</v>
      </c>
      <c r="C1907" s="36">
        <v>0.79861111111111116</v>
      </c>
      <c r="D1907" s="36">
        <v>0.80208333333333337</v>
      </c>
      <c r="E1907" s="36">
        <v>0.80555555555555547</v>
      </c>
      <c r="F1907" s="37" t="s">
        <v>171</v>
      </c>
      <c r="G1907" s="37" t="s">
        <v>289</v>
      </c>
      <c r="H1907" s="303" t="s">
        <v>3898</v>
      </c>
      <c r="I1907" s="303" t="s">
        <v>3899</v>
      </c>
      <c r="J1907" s="303" t="s">
        <v>37</v>
      </c>
      <c r="K1907" s="303" t="s">
        <v>180</v>
      </c>
      <c r="L1907" s="303" t="s">
        <v>206</v>
      </c>
      <c r="M1907" s="37" t="s">
        <v>4756</v>
      </c>
      <c r="N1907" s="37" t="s">
        <v>42</v>
      </c>
      <c r="O1907" s="37" t="s">
        <v>4755</v>
      </c>
      <c r="P1907" s="37">
        <v>4861143389</v>
      </c>
      <c r="Q1907" s="303">
        <f t="shared" ref="Q1907" si="196">S1907+U1907</f>
        <v>1</v>
      </c>
      <c r="R1907" s="303">
        <f t="shared" ref="R1907" si="197">T1907+V1907</f>
        <v>57</v>
      </c>
      <c r="S1907" s="37">
        <v>0</v>
      </c>
      <c r="T1907" s="37">
        <v>0</v>
      </c>
      <c r="U1907" s="37">
        <v>1</v>
      </c>
      <c r="V1907" s="37">
        <v>57</v>
      </c>
      <c r="W1907" s="37">
        <v>54</v>
      </c>
      <c r="X1907" s="37">
        <v>120</v>
      </c>
      <c r="Y1907" s="37">
        <v>45</v>
      </c>
      <c r="Z1907" s="37">
        <v>59</v>
      </c>
      <c r="AA1907" s="37">
        <v>1</v>
      </c>
      <c r="AB1907" s="35">
        <f t="shared" si="163"/>
        <v>53.1</v>
      </c>
      <c r="AC1907" s="35">
        <f t="shared" si="164"/>
        <v>0.31987951807228915</v>
      </c>
      <c r="AD1907" s="37">
        <v>1762</v>
      </c>
      <c r="AE1907" s="309" t="s">
        <v>109</v>
      </c>
      <c r="AF1907" s="37">
        <v>6601225</v>
      </c>
      <c r="AG1907" s="37" t="s">
        <v>4694</v>
      </c>
      <c r="AH1907" s="37" t="s">
        <v>4757</v>
      </c>
      <c r="AI1907" s="309"/>
      <c r="AJ1907" s="309"/>
      <c r="AK1907" s="37" t="s">
        <v>41</v>
      </c>
      <c r="AL1907" s="309" t="s">
        <v>49</v>
      </c>
      <c r="AM1907" s="299">
        <f t="shared" ca="1" si="179"/>
        <v>3.7638888888905058</v>
      </c>
      <c r="AN1907" s="51"/>
      <c r="AO1907" s="288" t="s">
        <v>134</v>
      </c>
      <c r="AP1907" s="275" t="s">
        <v>4756</v>
      </c>
      <c r="AQ1907" s="288" t="s">
        <v>4888</v>
      </c>
      <c r="AR1907" s="277">
        <v>44930.5625</v>
      </c>
      <c r="AS1907" s="272" t="s">
        <v>136</v>
      </c>
      <c r="AT1907" s="288" t="s">
        <v>225</v>
      </c>
      <c r="AU1907" s="276">
        <v>0.5625</v>
      </c>
      <c r="AV1907" s="288">
        <v>1</v>
      </c>
      <c r="AW1907" s="288" t="s">
        <v>66</v>
      </c>
      <c r="AX1907" s="52"/>
      <c r="AY1907" s="52"/>
      <c r="AZ1907" s="52"/>
      <c r="BA1907" s="52"/>
    </row>
    <row r="1908" spans="1:53" x14ac:dyDescent="0.25">
      <c r="A1908" s="48">
        <v>1</v>
      </c>
      <c r="B1908" s="311">
        <v>44928.381944444445</v>
      </c>
      <c r="C1908" s="308">
        <v>0.3888888888888889</v>
      </c>
      <c r="D1908" s="308">
        <v>0.3923611111111111</v>
      </c>
      <c r="E1908" s="308">
        <v>0.4236111111111111</v>
      </c>
      <c r="F1908" s="309" t="s">
        <v>170</v>
      </c>
      <c r="G1908" s="309" t="s">
        <v>4758</v>
      </c>
      <c r="H1908" s="310" t="s">
        <v>296</v>
      </c>
      <c r="I1908" s="310" t="s">
        <v>4759</v>
      </c>
      <c r="J1908" s="310" t="s">
        <v>37</v>
      </c>
      <c r="K1908" s="293" t="s">
        <v>63</v>
      </c>
      <c r="L1908" s="293" t="s">
        <v>206</v>
      </c>
      <c r="M1908" s="309" t="s">
        <v>4760</v>
      </c>
      <c r="N1908" s="309" t="s">
        <v>42</v>
      </c>
      <c r="O1908" s="309" t="s">
        <v>4761</v>
      </c>
      <c r="P1908" s="309">
        <v>100366</v>
      </c>
      <c r="Q1908" s="303">
        <f t="shared" ref="Q1908" si="198">S1908+U1908</f>
        <v>2</v>
      </c>
      <c r="R1908" s="303">
        <f t="shared" ref="R1908" si="199">T1908+V1908</f>
        <v>419</v>
      </c>
      <c r="S1908" s="309">
        <v>0</v>
      </c>
      <c r="T1908" s="309">
        <v>0</v>
      </c>
      <c r="U1908" s="309">
        <v>2</v>
      </c>
      <c r="V1908" s="309">
        <v>419</v>
      </c>
      <c r="W1908" s="309">
        <v>411</v>
      </c>
      <c r="X1908" s="309">
        <v>125</v>
      </c>
      <c r="Y1908" s="309">
        <v>110</v>
      </c>
      <c r="Z1908" s="309">
        <v>115</v>
      </c>
      <c r="AA1908" s="309">
        <v>2</v>
      </c>
      <c r="AB1908" s="307">
        <f t="shared" ref="AB1908" si="200">X1908*Y1908*Z1908*AA1908/6000</f>
        <v>527.08333333333337</v>
      </c>
      <c r="AC1908" s="307">
        <f t="shared" ref="AC1908" si="201">AB1908/166</f>
        <v>3.1752008032128516</v>
      </c>
      <c r="AD1908" s="309">
        <v>14590.8</v>
      </c>
      <c r="AE1908" s="309" t="s">
        <v>109</v>
      </c>
      <c r="AF1908" s="309" t="s">
        <v>317</v>
      </c>
      <c r="AG1908" s="309" t="s">
        <v>317</v>
      </c>
      <c r="AH1908" s="309" t="s">
        <v>4762</v>
      </c>
      <c r="AI1908" s="309"/>
      <c r="AJ1908" s="309"/>
      <c r="AK1908" s="309" t="s">
        <v>37</v>
      </c>
      <c r="AL1908" s="309" t="s">
        <v>39</v>
      </c>
      <c r="AM1908" s="299">
        <f t="shared" ca="1" si="179"/>
        <v>1.2465277777737356</v>
      </c>
      <c r="AN1908" s="51"/>
      <c r="AO1908" s="288" t="s">
        <v>242</v>
      </c>
      <c r="AP1908" s="275" t="s">
        <v>4760</v>
      </c>
      <c r="AQ1908" s="288" t="s">
        <v>4821</v>
      </c>
      <c r="AR1908" s="277">
        <v>44929.628472222219</v>
      </c>
      <c r="AS1908" s="276" t="s">
        <v>95</v>
      </c>
      <c r="AT1908" s="288" t="s">
        <v>225</v>
      </c>
      <c r="AU1908" s="276">
        <v>0.62847222222222221</v>
      </c>
      <c r="AV1908" s="288">
        <v>2</v>
      </c>
      <c r="AW1908" s="288" t="s">
        <v>66</v>
      </c>
      <c r="AX1908" s="52"/>
      <c r="AY1908" s="52"/>
      <c r="AZ1908" s="52"/>
      <c r="BA1908" s="52"/>
    </row>
    <row r="1909" spans="1:53" x14ac:dyDescent="0.25">
      <c r="A1909" s="312">
        <v>2</v>
      </c>
      <c r="B1909" s="311">
        <v>44928.434027777781</v>
      </c>
      <c r="C1909" s="308">
        <v>0.4375</v>
      </c>
      <c r="D1909" s="308">
        <v>0.44097222222222227</v>
      </c>
      <c r="E1909" s="308">
        <v>0.45833333333333331</v>
      </c>
      <c r="F1909" s="309" t="s">
        <v>170</v>
      </c>
      <c r="G1909" s="309" t="s">
        <v>4764</v>
      </c>
      <c r="H1909" s="310" t="s">
        <v>332</v>
      </c>
      <c r="I1909" s="310" t="s">
        <v>429</v>
      </c>
      <c r="J1909" s="310" t="s">
        <v>37</v>
      </c>
      <c r="K1909" s="310" t="s">
        <v>63</v>
      </c>
      <c r="L1909" s="156" t="s">
        <v>206</v>
      </c>
      <c r="M1909" s="309" t="s">
        <v>4765</v>
      </c>
      <c r="N1909" s="309" t="s">
        <v>42</v>
      </c>
      <c r="O1909" s="309">
        <v>2053092629</v>
      </c>
      <c r="P1909" s="309">
        <v>1052088756</v>
      </c>
      <c r="Q1909" s="303">
        <f t="shared" ref="Q1909:Q1918" si="202">S1909+U1909</f>
        <v>8</v>
      </c>
      <c r="R1909" s="303">
        <f t="shared" ref="R1909:R1918" si="203">T1909+V1909</f>
        <v>180</v>
      </c>
      <c r="S1909" s="309">
        <v>0</v>
      </c>
      <c r="T1909" s="309">
        <v>0</v>
      </c>
      <c r="U1909" s="309">
        <v>8</v>
      </c>
      <c r="V1909" s="309">
        <v>180</v>
      </c>
      <c r="W1909" s="309">
        <v>175</v>
      </c>
      <c r="X1909" s="309">
        <v>51</v>
      </c>
      <c r="Y1909" s="309">
        <v>41</v>
      </c>
      <c r="Z1909" s="309">
        <v>40</v>
      </c>
      <c r="AA1909" s="309">
        <v>2</v>
      </c>
      <c r="AB1909" s="307">
        <f t="shared" ref="AB1909:AB1918" si="204">X1909*Y1909*Z1909*AA1909/6000</f>
        <v>27.88</v>
      </c>
      <c r="AC1909" s="307">
        <f t="shared" ref="AC1909:AC1918" si="205">AB1909/166</f>
        <v>0.16795180722891564</v>
      </c>
      <c r="AD1909" s="309">
        <v>1850.7</v>
      </c>
      <c r="AE1909" s="309" t="s">
        <v>109</v>
      </c>
      <c r="AF1909" s="309" t="s">
        <v>317</v>
      </c>
      <c r="AG1909" s="309" t="s">
        <v>317</v>
      </c>
      <c r="AH1909" s="309" t="s">
        <v>4766</v>
      </c>
      <c r="AI1909" s="309"/>
      <c r="AJ1909" s="309"/>
      <c r="AK1909" s="309" t="s">
        <v>41</v>
      </c>
      <c r="AL1909" s="309" t="s">
        <v>56</v>
      </c>
      <c r="AM1909" s="299">
        <f t="shared" ca="1" si="179"/>
        <v>3.0381944444379769</v>
      </c>
      <c r="AN1909" s="51"/>
      <c r="AO1909" s="288" t="s">
        <v>120</v>
      </c>
      <c r="AP1909" s="275" t="s">
        <v>4765</v>
      </c>
      <c r="AQ1909" s="288" t="s">
        <v>4906</v>
      </c>
      <c r="AR1909" s="277">
        <v>44931.472222222219</v>
      </c>
      <c r="AS1909" s="272" t="s">
        <v>173</v>
      </c>
      <c r="AT1909" s="288" t="s">
        <v>225</v>
      </c>
      <c r="AU1909" s="276">
        <v>0.47222222222222227</v>
      </c>
      <c r="AV1909" s="288">
        <v>1</v>
      </c>
      <c r="AW1909" s="288" t="s">
        <v>66</v>
      </c>
      <c r="AX1909" s="52"/>
      <c r="AY1909" s="52"/>
      <c r="AZ1909" s="52"/>
      <c r="BA1909" s="52"/>
    </row>
    <row r="1910" spans="1:53" x14ac:dyDescent="0.25">
      <c r="A1910" s="312">
        <v>2</v>
      </c>
      <c r="B1910" s="311">
        <v>44928.434027777781</v>
      </c>
      <c r="C1910" s="308">
        <v>0.4375</v>
      </c>
      <c r="D1910" s="308">
        <v>0.44097222222222227</v>
      </c>
      <c r="E1910" s="308">
        <v>0.45833333333333331</v>
      </c>
      <c r="F1910" s="309" t="s">
        <v>170</v>
      </c>
      <c r="G1910" s="309" t="s">
        <v>4764</v>
      </c>
      <c r="H1910" s="307" t="s">
        <v>332</v>
      </c>
      <c r="I1910" s="307" t="s">
        <v>429</v>
      </c>
      <c r="J1910" s="307" t="s">
        <v>37</v>
      </c>
      <c r="K1910" s="307" t="s">
        <v>63</v>
      </c>
      <c r="L1910" s="293" t="s">
        <v>206</v>
      </c>
      <c r="M1910" s="309" t="s">
        <v>4765</v>
      </c>
      <c r="N1910" s="309" t="s">
        <v>42</v>
      </c>
      <c r="O1910" s="309">
        <v>2053092629</v>
      </c>
      <c r="P1910" s="309">
        <v>1052088756</v>
      </c>
      <c r="Q1910" s="303">
        <f t="shared" si="202"/>
        <v>0</v>
      </c>
      <c r="R1910" s="303">
        <f t="shared" si="203"/>
        <v>0</v>
      </c>
      <c r="S1910" s="309">
        <v>0</v>
      </c>
      <c r="T1910" s="309">
        <v>0</v>
      </c>
      <c r="U1910" s="309">
        <v>0</v>
      </c>
      <c r="V1910" s="309">
        <v>0</v>
      </c>
      <c r="W1910" s="309">
        <v>0</v>
      </c>
      <c r="X1910" s="309">
        <v>41</v>
      </c>
      <c r="Y1910" s="309">
        <v>25</v>
      </c>
      <c r="Z1910" s="309">
        <v>33</v>
      </c>
      <c r="AA1910" s="309">
        <v>4</v>
      </c>
      <c r="AB1910" s="307">
        <f t="shared" si="204"/>
        <v>22.55</v>
      </c>
      <c r="AC1910" s="307">
        <f t="shared" si="205"/>
        <v>0.13584337349397591</v>
      </c>
      <c r="AD1910" s="309">
        <v>0</v>
      </c>
      <c r="AE1910" s="309">
        <v>0</v>
      </c>
      <c r="AF1910" s="309" t="s">
        <v>317</v>
      </c>
      <c r="AG1910" s="309" t="s">
        <v>317</v>
      </c>
      <c r="AH1910" s="309" t="s">
        <v>4766</v>
      </c>
      <c r="AI1910" s="309"/>
      <c r="AJ1910" s="309"/>
      <c r="AK1910" s="309" t="s">
        <v>41</v>
      </c>
      <c r="AL1910" s="309" t="s">
        <v>56</v>
      </c>
      <c r="AM1910" s="299">
        <f t="shared" ca="1" si="179"/>
        <v>3.0381944444379769</v>
      </c>
      <c r="AN1910" s="51"/>
      <c r="AO1910" s="288" t="s">
        <v>120</v>
      </c>
      <c r="AP1910" s="275" t="s">
        <v>4765</v>
      </c>
      <c r="AQ1910" s="288" t="s">
        <v>4906</v>
      </c>
      <c r="AR1910" s="277">
        <v>44931.472222222219</v>
      </c>
      <c r="AS1910" s="272" t="s">
        <v>173</v>
      </c>
      <c r="AT1910" s="288" t="s">
        <v>225</v>
      </c>
      <c r="AU1910" s="276">
        <v>0.47222222222222227</v>
      </c>
      <c r="AV1910" s="288">
        <v>1</v>
      </c>
      <c r="AW1910" s="288" t="s">
        <v>66</v>
      </c>
      <c r="AX1910" s="52"/>
      <c r="AY1910" s="52"/>
      <c r="AZ1910" s="52"/>
      <c r="BA1910" s="52"/>
    </row>
    <row r="1911" spans="1:53" x14ac:dyDescent="0.25">
      <c r="A1911" s="312">
        <v>2</v>
      </c>
      <c r="B1911" s="311">
        <v>44928.434027777781</v>
      </c>
      <c r="C1911" s="308">
        <v>0.4375</v>
      </c>
      <c r="D1911" s="308">
        <v>0.44097222222222227</v>
      </c>
      <c r="E1911" s="308">
        <v>0.45833333333333331</v>
      </c>
      <c r="F1911" s="309" t="s">
        <v>170</v>
      </c>
      <c r="G1911" s="309" t="s">
        <v>4764</v>
      </c>
      <c r="H1911" s="307" t="s">
        <v>332</v>
      </c>
      <c r="I1911" s="307" t="s">
        <v>429</v>
      </c>
      <c r="J1911" s="307" t="s">
        <v>37</v>
      </c>
      <c r="K1911" s="307" t="s">
        <v>63</v>
      </c>
      <c r="L1911" s="293" t="s">
        <v>206</v>
      </c>
      <c r="M1911" s="309" t="s">
        <v>4765</v>
      </c>
      <c r="N1911" s="309" t="s">
        <v>42</v>
      </c>
      <c r="O1911" s="309">
        <v>2053092629</v>
      </c>
      <c r="P1911" s="309">
        <v>1052088756</v>
      </c>
      <c r="Q1911" s="303">
        <f t="shared" si="202"/>
        <v>0</v>
      </c>
      <c r="R1911" s="303">
        <f t="shared" si="203"/>
        <v>0</v>
      </c>
      <c r="S1911" s="309">
        <v>0</v>
      </c>
      <c r="T1911" s="309">
        <v>0</v>
      </c>
      <c r="U1911" s="309">
        <v>0</v>
      </c>
      <c r="V1911" s="309">
        <v>0</v>
      </c>
      <c r="W1911" s="309">
        <v>0</v>
      </c>
      <c r="X1911" s="309">
        <v>30</v>
      </c>
      <c r="Y1911" s="309">
        <v>30</v>
      </c>
      <c r="Z1911" s="309">
        <v>33</v>
      </c>
      <c r="AA1911" s="309">
        <v>2</v>
      </c>
      <c r="AB1911" s="307">
        <f t="shared" si="204"/>
        <v>9.9</v>
      </c>
      <c r="AC1911" s="307">
        <f t="shared" si="205"/>
        <v>5.9638554216867472E-2</v>
      </c>
      <c r="AD1911" s="309">
        <v>0</v>
      </c>
      <c r="AE1911" s="309">
        <v>0</v>
      </c>
      <c r="AF1911" s="309" t="s">
        <v>317</v>
      </c>
      <c r="AG1911" s="309" t="s">
        <v>317</v>
      </c>
      <c r="AH1911" s="309" t="s">
        <v>4766</v>
      </c>
      <c r="AI1911" s="309"/>
      <c r="AJ1911" s="309"/>
      <c r="AK1911" s="309" t="s">
        <v>41</v>
      </c>
      <c r="AL1911" s="309" t="s">
        <v>56</v>
      </c>
      <c r="AM1911" s="299">
        <f t="shared" ca="1" si="179"/>
        <v>3.0381944444379769</v>
      </c>
      <c r="AN1911" s="51"/>
      <c r="AO1911" s="288" t="s">
        <v>120</v>
      </c>
      <c r="AP1911" s="275" t="s">
        <v>4765</v>
      </c>
      <c r="AQ1911" s="288" t="s">
        <v>4906</v>
      </c>
      <c r="AR1911" s="277">
        <v>44931.472222222219</v>
      </c>
      <c r="AS1911" s="272" t="s">
        <v>173</v>
      </c>
      <c r="AT1911" s="288" t="s">
        <v>225</v>
      </c>
      <c r="AU1911" s="276">
        <v>0.47222222222222227</v>
      </c>
      <c r="AV1911" s="288">
        <v>1</v>
      </c>
      <c r="AW1911" s="288" t="s">
        <v>66</v>
      </c>
      <c r="AX1911" s="52"/>
      <c r="AY1911" s="52"/>
      <c r="AZ1911" s="52"/>
      <c r="BA1911" s="52"/>
    </row>
    <row r="1912" spans="1:53" x14ac:dyDescent="0.25">
      <c r="A1912" s="312">
        <v>3</v>
      </c>
      <c r="B1912" s="311">
        <v>44928.434027777781</v>
      </c>
      <c r="C1912" s="308">
        <v>0.4375</v>
      </c>
      <c r="D1912" s="308">
        <v>0.44097222222222227</v>
      </c>
      <c r="E1912" s="308">
        <v>0.45833333333333331</v>
      </c>
      <c r="F1912" s="309" t="s">
        <v>170</v>
      </c>
      <c r="G1912" s="309" t="s">
        <v>4764</v>
      </c>
      <c r="H1912" s="307" t="s">
        <v>332</v>
      </c>
      <c r="I1912" s="307" t="s">
        <v>429</v>
      </c>
      <c r="J1912" s="307" t="s">
        <v>37</v>
      </c>
      <c r="K1912" s="307" t="s">
        <v>63</v>
      </c>
      <c r="L1912" s="293" t="s">
        <v>206</v>
      </c>
      <c r="M1912" s="309" t="s">
        <v>4765</v>
      </c>
      <c r="N1912" s="309" t="s">
        <v>42</v>
      </c>
      <c r="O1912" s="309">
        <v>2053092630</v>
      </c>
      <c r="P1912" s="309">
        <v>1052088757</v>
      </c>
      <c r="Q1912" s="303">
        <f t="shared" si="202"/>
        <v>1</v>
      </c>
      <c r="R1912" s="303">
        <f t="shared" si="203"/>
        <v>43</v>
      </c>
      <c r="S1912" s="309">
        <v>0</v>
      </c>
      <c r="T1912" s="309">
        <v>0</v>
      </c>
      <c r="U1912" s="309">
        <v>1</v>
      </c>
      <c r="V1912" s="309">
        <v>43</v>
      </c>
      <c r="W1912" s="309">
        <v>43.6</v>
      </c>
      <c r="X1912" s="309">
        <v>46</v>
      </c>
      <c r="Y1912" s="309">
        <v>43</v>
      </c>
      <c r="Z1912" s="309">
        <v>38</v>
      </c>
      <c r="AA1912" s="309">
        <v>1</v>
      </c>
      <c r="AB1912" s="307">
        <f t="shared" si="204"/>
        <v>12.527333333333333</v>
      </c>
      <c r="AC1912" s="307">
        <f t="shared" si="205"/>
        <v>7.5465863453815257E-2</v>
      </c>
      <c r="AD1912" s="309">
        <v>109.48</v>
      </c>
      <c r="AE1912" s="309" t="s">
        <v>109</v>
      </c>
      <c r="AF1912" s="309" t="s">
        <v>317</v>
      </c>
      <c r="AG1912" s="309" t="s">
        <v>317</v>
      </c>
      <c r="AH1912" s="309" t="s">
        <v>4767</v>
      </c>
      <c r="AI1912" s="309"/>
      <c r="AJ1912" s="309"/>
      <c r="AK1912" s="309" t="s">
        <v>41</v>
      </c>
      <c r="AL1912" s="309" t="s">
        <v>56</v>
      </c>
      <c r="AM1912" s="299">
        <f t="shared" ca="1" si="179"/>
        <v>3.0381944444379769</v>
      </c>
      <c r="AN1912" s="51"/>
      <c r="AO1912" s="288" t="s">
        <v>120</v>
      </c>
      <c r="AP1912" s="275" t="s">
        <v>4765</v>
      </c>
      <c r="AQ1912" s="288" t="s">
        <v>4906</v>
      </c>
      <c r="AR1912" s="277">
        <v>44931.472222222219</v>
      </c>
      <c r="AS1912" s="272" t="s">
        <v>173</v>
      </c>
      <c r="AT1912" s="288" t="s">
        <v>225</v>
      </c>
      <c r="AU1912" s="276">
        <v>0.47222222222222227</v>
      </c>
      <c r="AV1912" s="288">
        <v>1</v>
      </c>
      <c r="AW1912" s="288" t="s">
        <v>66</v>
      </c>
      <c r="AX1912" s="52"/>
      <c r="AY1912" s="52"/>
      <c r="AZ1912" s="52"/>
      <c r="BA1912" s="52"/>
    </row>
    <row r="1913" spans="1:53" x14ac:dyDescent="0.25">
      <c r="A1913" s="312">
        <v>4</v>
      </c>
      <c r="B1913" s="311">
        <v>44928.434027777781</v>
      </c>
      <c r="C1913" s="308">
        <v>0.4375</v>
      </c>
      <c r="D1913" s="308">
        <v>0.44097222222222227</v>
      </c>
      <c r="E1913" s="308">
        <v>0.45833333333333331</v>
      </c>
      <c r="F1913" s="309" t="s">
        <v>170</v>
      </c>
      <c r="G1913" s="309" t="s">
        <v>4764</v>
      </c>
      <c r="H1913" s="307" t="s">
        <v>332</v>
      </c>
      <c r="I1913" s="307" t="s">
        <v>429</v>
      </c>
      <c r="J1913" s="307" t="s">
        <v>37</v>
      </c>
      <c r="K1913" s="307" t="s">
        <v>63</v>
      </c>
      <c r="L1913" s="293" t="s">
        <v>206</v>
      </c>
      <c r="M1913" s="309" t="s">
        <v>4765</v>
      </c>
      <c r="N1913" s="309" t="s">
        <v>42</v>
      </c>
      <c r="O1913" s="309">
        <v>2053092632</v>
      </c>
      <c r="P1913" s="309">
        <v>1052088789</v>
      </c>
      <c r="Q1913" s="303">
        <f t="shared" si="202"/>
        <v>1</v>
      </c>
      <c r="R1913" s="303">
        <f t="shared" si="203"/>
        <v>56</v>
      </c>
      <c r="S1913" s="309">
        <v>0</v>
      </c>
      <c r="T1913" s="309">
        <v>0</v>
      </c>
      <c r="U1913" s="309">
        <v>1</v>
      </c>
      <c r="V1913" s="309">
        <v>56</v>
      </c>
      <c r="W1913" s="309">
        <v>58</v>
      </c>
      <c r="X1913" s="309">
        <v>61</v>
      </c>
      <c r="Y1913" s="309">
        <v>46</v>
      </c>
      <c r="Z1913" s="309">
        <v>51</v>
      </c>
      <c r="AA1913" s="309">
        <v>1</v>
      </c>
      <c r="AB1913" s="307">
        <f t="shared" si="204"/>
        <v>23.850999999999999</v>
      </c>
      <c r="AC1913" s="307">
        <f t="shared" si="205"/>
        <v>0.14368072289156625</v>
      </c>
      <c r="AD1913" s="309">
        <v>528.36</v>
      </c>
      <c r="AE1913" s="309" t="s">
        <v>109</v>
      </c>
      <c r="AF1913" s="309" t="s">
        <v>317</v>
      </c>
      <c r="AG1913" s="309" t="s">
        <v>317</v>
      </c>
      <c r="AH1913" s="309" t="s">
        <v>4768</v>
      </c>
      <c r="AI1913" s="309"/>
      <c r="AJ1913" s="309"/>
      <c r="AK1913" s="309" t="s">
        <v>41</v>
      </c>
      <c r="AL1913" s="309" t="s">
        <v>56</v>
      </c>
      <c r="AM1913" s="299">
        <f t="shared" ca="1" si="179"/>
        <v>3.0381944444379769</v>
      </c>
      <c r="AN1913" s="51"/>
      <c r="AO1913" s="288" t="s">
        <v>120</v>
      </c>
      <c r="AP1913" s="275" t="s">
        <v>4765</v>
      </c>
      <c r="AQ1913" s="288" t="s">
        <v>4906</v>
      </c>
      <c r="AR1913" s="277">
        <v>44931.472222222219</v>
      </c>
      <c r="AS1913" s="272" t="s">
        <v>173</v>
      </c>
      <c r="AT1913" s="288" t="s">
        <v>225</v>
      </c>
      <c r="AU1913" s="276">
        <v>0.47222222222222227</v>
      </c>
      <c r="AV1913" s="288">
        <v>1</v>
      </c>
      <c r="AW1913" s="288" t="s">
        <v>66</v>
      </c>
      <c r="AX1913" s="52"/>
      <c r="AY1913" s="52"/>
      <c r="AZ1913" s="52"/>
      <c r="BA1913" s="52"/>
    </row>
    <row r="1914" spans="1:53" x14ac:dyDescent="0.25">
      <c r="A1914" s="312">
        <v>5</v>
      </c>
      <c r="B1914" s="311">
        <v>44928.434027777781</v>
      </c>
      <c r="C1914" s="308">
        <v>0.4375</v>
      </c>
      <c r="D1914" s="308">
        <v>0.44097222222222227</v>
      </c>
      <c r="E1914" s="308">
        <v>0.45833333333333331</v>
      </c>
      <c r="F1914" s="309" t="s">
        <v>170</v>
      </c>
      <c r="G1914" s="309" t="s">
        <v>4764</v>
      </c>
      <c r="H1914" s="307" t="s">
        <v>332</v>
      </c>
      <c r="I1914" s="307" t="s">
        <v>429</v>
      </c>
      <c r="J1914" s="307" t="s">
        <v>37</v>
      </c>
      <c r="K1914" s="307" t="s">
        <v>63</v>
      </c>
      <c r="L1914" s="293" t="s">
        <v>206</v>
      </c>
      <c r="M1914" s="309" t="s">
        <v>4765</v>
      </c>
      <c r="N1914" s="309" t="s">
        <v>42</v>
      </c>
      <c r="O1914" s="309">
        <v>2053092631</v>
      </c>
      <c r="P1914" s="309">
        <v>1052088760</v>
      </c>
      <c r="Q1914" s="303">
        <f t="shared" si="202"/>
        <v>1</v>
      </c>
      <c r="R1914" s="303">
        <f t="shared" si="203"/>
        <v>45</v>
      </c>
      <c r="S1914" s="309">
        <v>0</v>
      </c>
      <c r="T1914" s="309">
        <v>0</v>
      </c>
      <c r="U1914" s="309">
        <v>1</v>
      </c>
      <c r="V1914" s="309">
        <v>45</v>
      </c>
      <c r="W1914" s="309">
        <v>45</v>
      </c>
      <c r="X1914" s="309">
        <v>51</v>
      </c>
      <c r="Y1914" s="309">
        <v>41</v>
      </c>
      <c r="Z1914" s="309">
        <v>40</v>
      </c>
      <c r="AA1914" s="309">
        <v>1</v>
      </c>
      <c r="AB1914" s="307">
        <f t="shared" si="204"/>
        <v>13.94</v>
      </c>
      <c r="AC1914" s="307">
        <f t="shared" si="205"/>
        <v>8.3975903614457822E-2</v>
      </c>
      <c r="AD1914" s="309">
        <v>236.66</v>
      </c>
      <c r="AE1914" s="309" t="s">
        <v>109</v>
      </c>
      <c r="AF1914" s="309" t="s">
        <v>317</v>
      </c>
      <c r="AG1914" s="309" t="s">
        <v>317</v>
      </c>
      <c r="AH1914" s="309" t="s">
        <v>4769</v>
      </c>
      <c r="AI1914" s="309"/>
      <c r="AJ1914" s="309"/>
      <c r="AK1914" s="309" t="s">
        <v>41</v>
      </c>
      <c r="AL1914" s="309" t="s">
        <v>56</v>
      </c>
      <c r="AM1914" s="299">
        <f t="shared" ca="1" si="179"/>
        <v>3.0381944444379769</v>
      </c>
      <c r="AN1914" s="51"/>
      <c r="AO1914" s="288" t="s">
        <v>120</v>
      </c>
      <c r="AP1914" s="275" t="s">
        <v>4765</v>
      </c>
      <c r="AQ1914" s="288" t="s">
        <v>4906</v>
      </c>
      <c r="AR1914" s="277">
        <v>44931.472222222219</v>
      </c>
      <c r="AS1914" s="272" t="s">
        <v>173</v>
      </c>
      <c r="AT1914" s="288" t="s">
        <v>225</v>
      </c>
      <c r="AU1914" s="276">
        <v>0.47222222222222227</v>
      </c>
      <c r="AV1914" s="288">
        <v>1</v>
      </c>
      <c r="AW1914" s="288" t="s">
        <v>66</v>
      </c>
      <c r="AX1914" s="52"/>
      <c r="AY1914" s="52"/>
      <c r="AZ1914" s="52"/>
      <c r="BA1914" s="52"/>
    </row>
    <row r="1915" spans="1:53" x14ac:dyDescent="0.25">
      <c r="A1915" s="312">
        <v>6</v>
      </c>
      <c r="B1915" s="311">
        <v>44928.440972222219</v>
      </c>
      <c r="C1915" s="308">
        <v>0.44444444444444442</v>
      </c>
      <c r="D1915" s="308">
        <v>0.4513888888888889</v>
      </c>
      <c r="E1915" s="308">
        <v>0.46527777777777773</v>
      </c>
      <c r="F1915" s="309" t="s">
        <v>170</v>
      </c>
      <c r="G1915" s="309" t="s">
        <v>4315</v>
      </c>
      <c r="H1915" s="307" t="s">
        <v>227</v>
      </c>
      <c r="I1915" s="307" t="s">
        <v>189</v>
      </c>
      <c r="J1915" s="307" t="s">
        <v>37</v>
      </c>
      <c r="K1915" s="307" t="s">
        <v>63</v>
      </c>
      <c r="L1915" s="293" t="s">
        <v>206</v>
      </c>
      <c r="M1915" s="309" t="s">
        <v>4770</v>
      </c>
      <c r="N1915" s="309" t="s">
        <v>42</v>
      </c>
      <c r="O1915" s="309" t="s">
        <v>4771</v>
      </c>
      <c r="P1915" s="309">
        <v>3729</v>
      </c>
      <c r="Q1915" s="303">
        <f t="shared" si="202"/>
        <v>4</v>
      </c>
      <c r="R1915" s="303">
        <f t="shared" si="203"/>
        <v>740</v>
      </c>
      <c r="S1915" s="309">
        <v>0</v>
      </c>
      <c r="T1915" s="309">
        <v>0</v>
      </c>
      <c r="U1915" s="309">
        <v>4</v>
      </c>
      <c r="V1915" s="309">
        <v>740</v>
      </c>
      <c r="W1915" s="309">
        <v>732</v>
      </c>
      <c r="X1915" s="309">
        <v>170</v>
      </c>
      <c r="Y1915" s="309">
        <v>98</v>
      </c>
      <c r="Z1915" s="309">
        <v>94</v>
      </c>
      <c r="AA1915" s="309">
        <v>2</v>
      </c>
      <c r="AB1915" s="307">
        <f t="shared" si="204"/>
        <v>522.01333333333332</v>
      </c>
      <c r="AC1915" s="307">
        <f t="shared" si="205"/>
        <v>3.1446586345381524</v>
      </c>
      <c r="AD1915" s="309" t="s">
        <v>48</v>
      </c>
      <c r="AE1915" s="309" t="s">
        <v>48</v>
      </c>
      <c r="AF1915" s="309" t="s">
        <v>317</v>
      </c>
      <c r="AG1915" s="309" t="s">
        <v>317</v>
      </c>
      <c r="AH1915" s="309" t="s">
        <v>4772</v>
      </c>
      <c r="AI1915" s="309"/>
      <c r="AJ1915" s="309"/>
      <c r="AK1915" s="309" t="s">
        <v>37</v>
      </c>
      <c r="AL1915" s="309" t="s">
        <v>49</v>
      </c>
      <c r="AM1915" s="299">
        <f t="shared" ca="1" si="179"/>
        <v>0.28819444444525288</v>
      </c>
      <c r="AN1915" s="51"/>
      <c r="AO1915" s="288" t="s">
        <v>89</v>
      </c>
      <c r="AP1915" s="275" t="s">
        <v>4770</v>
      </c>
      <c r="AQ1915" s="288" t="s">
        <v>4791</v>
      </c>
      <c r="AR1915" s="129">
        <v>44928.729166666664</v>
      </c>
      <c r="AS1915" s="272" t="s">
        <v>95</v>
      </c>
      <c r="AT1915" s="288" t="s">
        <v>225</v>
      </c>
      <c r="AU1915" s="276">
        <v>0.72916666666666663</v>
      </c>
      <c r="AV1915" s="288">
        <v>1</v>
      </c>
      <c r="AW1915" s="288" t="s">
        <v>66</v>
      </c>
      <c r="AX1915" s="52"/>
      <c r="AY1915" s="52"/>
      <c r="AZ1915" s="52"/>
      <c r="BA1915" s="52"/>
    </row>
    <row r="1916" spans="1:53" x14ac:dyDescent="0.25">
      <c r="A1916" s="312">
        <v>6</v>
      </c>
      <c r="B1916" s="311">
        <v>44928.440972222219</v>
      </c>
      <c r="C1916" s="308">
        <v>0.44444444444444442</v>
      </c>
      <c r="D1916" s="308">
        <v>0.4513888888888889</v>
      </c>
      <c r="E1916" s="308">
        <v>0.46527777777777773</v>
      </c>
      <c r="F1916" s="309" t="s">
        <v>170</v>
      </c>
      <c r="G1916" s="309" t="s">
        <v>4315</v>
      </c>
      <c r="H1916" s="307" t="s">
        <v>227</v>
      </c>
      <c r="I1916" s="307" t="s">
        <v>189</v>
      </c>
      <c r="J1916" s="307" t="s">
        <v>37</v>
      </c>
      <c r="K1916" s="307" t="s">
        <v>63</v>
      </c>
      <c r="L1916" s="293" t="s">
        <v>206</v>
      </c>
      <c r="M1916" s="309" t="s">
        <v>4770</v>
      </c>
      <c r="N1916" s="309" t="s">
        <v>42</v>
      </c>
      <c r="O1916" s="309" t="s">
        <v>4771</v>
      </c>
      <c r="P1916" s="309">
        <v>3729</v>
      </c>
      <c r="Q1916" s="303">
        <f t="shared" si="202"/>
        <v>0</v>
      </c>
      <c r="R1916" s="303">
        <f t="shared" si="203"/>
        <v>0</v>
      </c>
      <c r="S1916" s="309">
        <v>0</v>
      </c>
      <c r="T1916" s="309">
        <v>0</v>
      </c>
      <c r="U1916" s="309">
        <v>0</v>
      </c>
      <c r="V1916" s="309">
        <v>0</v>
      </c>
      <c r="W1916" s="309">
        <v>0</v>
      </c>
      <c r="X1916" s="309">
        <v>158</v>
      </c>
      <c r="Y1916" s="309">
        <v>135</v>
      </c>
      <c r="Z1916" s="309">
        <v>80</v>
      </c>
      <c r="AA1916" s="309">
        <v>2</v>
      </c>
      <c r="AB1916" s="307">
        <f t="shared" si="204"/>
        <v>568.79999999999995</v>
      </c>
      <c r="AC1916" s="307">
        <f t="shared" si="205"/>
        <v>3.4265060240963852</v>
      </c>
      <c r="AD1916" s="309">
        <v>0</v>
      </c>
      <c r="AE1916" s="309">
        <v>0</v>
      </c>
      <c r="AF1916" s="309" t="s">
        <v>317</v>
      </c>
      <c r="AG1916" s="309" t="s">
        <v>317</v>
      </c>
      <c r="AH1916" s="309" t="s">
        <v>4772</v>
      </c>
      <c r="AI1916" s="309"/>
      <c r="AJ1916" s="309"/>
      <c r="AK1916" s="309" t="s">
        <v>37</v>
      </c>
      <c r="AL1916" s="309" t="s">
        <v>49</v>
      </c>
      <c r="AM1916" s="299">
        <f t="shared" ca="1" si="179"/>
        <v>0.28819444444525288</v>
      </c>
      <c r="AN1916" s="51"/>
      <c r="AO1916" s="288" t="s">
        <v>89</v>
      </c>
      <c r="AP1916" s="275" t="s">
        <v>4770</v>
      </c>
      <c r="AQ1916" s="288" t="s">
        <v>4791</v>
      </c>
      <c r="AR1916" s="129">
        <v>44928.729166666664</v>
      </c>
      <c r="AS1916" s="272" t="s">
        <v>95</v>
      </c>
      <c r="AT1916" s="288" t="s">
        <v>225</v>
      </c>
      <c r="AU1916" s="276">
        <v>0.72916666666666663</v>
      </c>
      <c r="AV1916" s="288">
        <v>1</v>
      </c>
      <c r="AW1916" s="288" t="s">
        <v>66</v>
      </c>
      <c r="AX1916" s="52"/>
      <c r="AY1916" s="52"/>
      <c r="AZ1916" s="52"/>
      <c r="BA1916" s="52"/>
    </row>
    <row r="1917" spans="1:53" x14ac:dyDescent="0.25">
      <c r="A1917" s="312">
        <v>7</v>
      </c>
      <c r="B1917" s="311">
        <v>44928.458333333336</v>
      </c>
      <c r="C1917" s="308">
        <v>0.46527777777777773</v>
      </c>
      <c r="D1917" s="308">
        <v>0.47222222222222227</v>
      </c>
      <c r="E1917" s="308">
        <v>0.48958333333333331</v>
      </c>
      <c r="F1917" s="309" t="s">
        <v>171</v>
      </c>
      <c r="G1917" s="309" t="s">
        <v>4773</v>
      </c>
      <c r="H1917" s="307" t="s">
        <v>199</v>
      </c>
      <c r="I1917" s="307" t="s">
        <v>174</v>
      </c>
      <c r="J1917" s="307" t="s">
        <v>37</v>
      </c>
      <c r="K1917" s="307" t="s">
        <v>180</v>
      </c>
      <c r="L1917" s="293" t="s">
        <v>206</v>
      </c>
      <c r="M1917" s="309" t="s">
        <v>4774</v>
      </c>
      <c r="N1917" s="309" t="s">
        <v>42</v>
      </c>
      <c r="O1917" s="309">
        <v>274010905</v>
      </c>
      <c r="P1917" s="309" t="s">
        <v>4775</v>
      </c>
      <c r="Q1917" s="303">
        <f t="shared" si="202"/>
        <v>6</v>
      </c>
      <c r="R1917" s="303">
        <f t="shared" si="203"/>
        <v>1018</v>
      </c>
      <c r="S1917" s="309">
        <v>0</v>
      </c>
      <c r="T1917" s="309">
        <v>0</v>
      </c>
      <c r="U1917" s="309">
        <v>6</v>
      </c>
      <c r="V1917" s="309">
        <v>1018</v>
      </c>
      <c r="W1917" s="309">
        <v>1016.08</v>
      </c>
      <c r="X1917" s="309">
        <v>125</v>
      </c>
      <c r="Y1917" s="309">
        <v>83</v>
      </c>
      <c r="Z1917" s="309">
        <v>75</v>
      </c>
      <c r="AA1917" s="309">
        <v>6</v>
      </c>
      <c r="AB1917" s="307">
        <f t="shared" si="204"/>
        <v>778.125</v>
      </c>
      <c r="AC1917" s="307">
        <f t="shared" si="205"/>
        <v>4.6875</v>
      </c>
      <c r="AD1917" s="309">
        <v>23865.24</v>
      </c>
      <c r="AE1917" s="309" t="s">
        <v>109</v>
      </c>
      <c r="AF1917" s="309" t="s">
        <v>4776</v>
      </c>
      <c r="AG1917" s="309" t="s">
        <v>4694</v>
      </c>
      <c r="AH1917" s="309" t="s">
        <v>4777</v>
      </c>
      <c r="AI1917" s="309"/>
      <c r="AJ1917" s="309"/>
      <c r="AK1917" s="309" t="s">
        <v>37</v>
      </c>
      <c r="AL1917" s="309" t="s">
        <v>54</v>
      </c>
      <c r="AM1917" s="299">
        <f t="shared" ca="1" si="179"/>
        <v>1.1666666666642413</v>
      </c>
      <c r="AN1917" s="51"/>
      <c r="AO1917" s="288" t="s">
        <v>232</v>
      </c>
      <c r="AP1917" s="288" t="s">
        <v>4774</v>
      </c>
      <c r="AQ1917" s="288" t="s">
        <v>4821</v>
      </c>
      <c r="AR1917" s="277">
        <v>44929.625</v>
      </c>
      <c r="AS1917" s="276" t="s">
        <v>3968</v>
      </c>
      <c r="AT1917" s="288" t="s">
        <v>225</v>
      </c>
      <c r="AU1917" s="276">
        <v>0.625</v>
      </c>
      <c r="AV1917" s="288">
        <v>1</v>
      </c>
      <c r="AW1917" s="288" t="s">
        <v>66</v>
      </c>
      <c r="AX1917" s="52"/>
      <c r="AY1917" s="52"/>
      <c r="AZ1917" s="52"/>
      <c r="BA1917" s="52"/>
    </row>
    <row r="1918" spans="1:53" x14ac:dyDescent="0.25">
      <c r="A1918" s="312">
        <v>8</v>
      </c>
      <c r="B1918" s="311">
        <v>44928.458333333336</v>
      </c>
      <c r="C1918" s="308">
        <v>0.46527777777777773</v>
      </c>
      <c r="D1918" s="308">
        <v>0.47222222222222227</v>
      </c>
      <c r="E1918" s="308">
        <v>0.48958333333333331</v>
      </c>
      <c r="F1918" s="309" t="s">
        <v>171</v>
      </c>
      <c r="G1918" s="309" t="s">
        <v>4773</v>
      </c>
      <c r="H1918" s="307" t="s">
        <v>199</v>
      </c>
      <c r="I1918" s="307" t="s">
        <v>174</v>
      </c>
      <c r="J1918" s="307" t="s">
        <v>37</v>
      </c>
      <c r="K1918" s="307" t="s">
        <v>180</v>
      </c>
      <c r="L1918" s="293" t="s">
        <v>206</v>
      </c>
      <c r="M1918" s="309" t="s">
        <v>4774</v>
      </c>
      <c r="N1918" s="309" t="s">
        <v>42</v>
      </c>
      <c r="O1918" s="309">
        <v>274010904</v>
      </c>
      <c r="P1918" s="309" t="s">
        <v>4778</v>
      </c>
      <c r="Q1918" s="303">
        <f t="shared" si="202"/>
        <v>5</v>
      </c>
      <c r="R1918" s="303">
        <f t="shared" si="203"/>
        <v>796</v>
      </c>
      <c r="S1918" s="309">
        <v>0</v>
      </c>
      <c r="T1918" s="309">
        <v>0</v>
      </c>
      <c r="U1918" s="309">
        <v>5</v>
      </c>
      <c r="V1918" s="309">
        <v>796</v>
      </c>
      <c r="W1918" s="309">
        <v>810.07</v>
      </c>
      <c r="X1918" s="309">
        <v>125</v>
      </c>
      <c r="Y1918" s="309">
        <v>83</v>
      </c>
      <c r="Z1918" s="309">
        <v>75</v>
      </c>
      <c r="AA1918" s="309">
        <v>5</v>
      </c>
      <c r="AB1918" s="307">
        <f t="shared" si="204"/>
        <v>648.4375</v>
      </c>
      <c r="AC1918" s="307">
        <f t="shared" si="205"/>
        <v>3.90625</v>
      </c>
      <c r="AD1918" s="309">
        <v>18148.8</v>
      </c>
      <c r="AE1918" s="309" t="s">
        <v>109</v>
      </c>
      <c r="AF1918" s="309" t="s">
        <v>4779</v>
      </c>
      <c r="AG1918" s="309" t="s">
        <v>4694</v>
      </c>
      <c r="AH1918" s="309" t="s">
        <v>4780</v>
      </c>
      <c r="AI1918" s="309"/>
      <c r="AJ1918" s="309"/>
      <c r="AK1918" s="309" t="s">
        <v>37</v>
      </c>
      <c r="AL1918" s="309" t="s">
        <v>54</v>
      </c>
      <c r="AM1918" s="299">
        <f t="shared" ca="1" si="179"/>
        <v>1.1666666666642413</v>
      </c>
      <c r="AN1918" s="313"/>
      <c r="AO1918" s="288" t="s">
        <v>232</v>
      </c>
      <c r="AP1918" s="288" t="s">
        <v>4774</v>
      </c>
      <c r="AQ1918" s="288" t="s">
        <v>4821</v>
      </c>
      <c r="AR1918" s="277">
        <v>44929.625</v>
      </c>
      <c r="AS1918" s="276" t="s">
        <v>3968</v>
      </c>
      <c r="AT1918" s="288" t="s">
        <v>225</v>
      </c>
      <c r="AU1918" s="276">
        <v>0.625</v>
      </c>
      <c r="AV1918" s="288">
        <v>1</v>
      </c>
      <c r="AW1918" s="288" t="s">
        <v>66</v>
      </c>
      <c r="AX1918" s="52"/>
      <c r="AY1918" s="52"/>
      <c r="AZ1918" s="52"/>
      <c r="BA1918" s="52"/>
    </row>
    <row r="1919" spans="1:53" x14ac:dyDescent="0.25">
      <c r="A1919" s="312">
        <v>9</v>
      </c>
      <c r="B1919" s="311">
        <v>44928.541666666664</v>
      </c>
      <c r="C1919" s="308">
        <v>0.54513888888888895</v>
      </c>
      <c r="D1919" s="308">
        <v>0.54861111111111105</v>
      </c>
      <c r="E1919" s="308">
        <v>0.60416666666666663</v>
      </c>
      <c r="F1919" s="309" t="s">
        <v>169</v>
      </c>
      <c r="G1919" s="309" t="s">
        <v>3959</v>
      </c>
      <c r="H1919" s="307" t="s">
        <v>130</v>
      </c>
      <c r="I1919" s="307" t="s">
        <v>100</v>
      </c>
      <c r="J1919" s="307" t="s">
        <v>37</v>
      </c>
      <c r="K1919" s="307" t="s">
        <v>82</v>
      </c>
      <c r="L1919" s="293" t="s">
        <v>206</v>
      </c>
      <c r="M1919" s="309" t="s">
        <v>4781</v>
      </c>
      <c r="N1919" s="309" t="s">
        <v>68</v>
      </c>
      <c r="O1919" s="309" t="s">
        <v>4782</v>
      </c>
      <c r="P1919" s="309">
        <v>1682403</v>
      </c>
      <c r="Q1919" s="303">
        <f t="shared" ref="Q1919:Q1921" si="206">S1919+U1919</f>
        <v>23</v>
      </c>
      <c r="R1919" s="303">
        <f t="shared" ref="R1919:R1921" si="207">T1919+V1919</f>
        <v>114</v>
      </c>
      <c r="S1919" s="309">
        <v>23</v>
      </c>
      <c r="T1919" s="309">
        <v>114</v>
      </c>
      <c r="U1919" s="309">
        <v>0</v>
      </c>
      <c r="V1919" s="309">
        <v>0</v>
      </c>
      <c r="W1919" s="309">
        <v>0</v>
      </c>
      <c r="X1919" s="309">
        <v>39</v>
      </c>
      <c r="Y1919" s="309">
        <v>30</v>
      </c>
      <c r="Z1919" s="309">
        <v>15</v>
      </c>
      <c r="AA1919" s="309">
        <v>11</v>
      </c>
      <c r="AB1919" s="307">
        <f t="shared" ref="AB1919:AB1923" si="208">X1919*Y1919*Z1919*AA1919/6000</f>
        <v>32.174999999999997</v>
      </c>
      <c r="AC1919" s="307">
        <f t="shared" ref="AC1919:AC1923" si="209">AB1919/166</f>
        <v>0.19382530120481925</v>
      </c>
      <c r="AD1919" s="309" t="s">
        <v>4783</v>
      </c>
      <c r="AE1919" s="309" t="s">
        <v>109</v>
      </c>
      <c r="AF1919" s="309" t="s">
        <v>82</v>
      </c>
      <c r="AG1919" s="309" t="s">
        <v>82</v>
      </c>
      <c r="AH1919" s="309" t="s">
        <v>4784</v>
      </c>
      <c r="AI1919" s="309"/>
      <c r="AJ1919" s="309"/>
      <c r="AK1919" s="309" t="s">
        <v>48</v>
      </c>
      <c r="AL1919" s="309" t="s">
        <v>56</v>
      </c>
      <c r="AM1919" s="299">
        <f t="shared" ca="1" si="179"/>
        <v>0.94444444444525288</v>
      </c>
      <c r="AN1919" s="313"/>
      <c r="AO1919" s="288" t="s">
        <v>68</v>
      </c>
      <c r="AP1919" s="275" t="s">
        <v>4781</v>
      </c>
      <c r="AQ1919" s="288" t="s">
        <v>4817</v>
      </c>
      <c r="AR1919" s="277">
        <v>44929.486111111109</v>
      </c>
      <c r="AS1919" s="272" t="s">
        <v>136</v>
      </c>
      <c r="AT1919" s="288" t="s">
        <v>225</v>
      </c>
      <c r="AU1919" s="276">
        <v>0.4861111111111111</v>
      </c>
      <c r="AV1919" s="288">
        <v>1</v>
      </c>
      <c r="AW1919" s="288" t="s">
        <v>66</v>
      </c>
      <c r="AX1919" s="52"/>
      <c r="AY1919" s="52"/>
      <c r="AZ1919" s="52"/>
      <c r="BA1919" s="52"/>
    </row>
    <row r="1920" spans="1:53" x14ac:dyDescent="0.25">
      <c r="A1920" s="312">
        <v>9</v>
      </c>
      <c r="B1920" s="311">
        <v>44928.541666666664</v>
      </c>
      <c r="C1920" s="308">
        <v>0.54513888888888895</v>
      </c>
      <c r="D1920" s="308">
        <v>0.54861111111111105</v>
      </c>
      <c r="E1920" s="308">
        <v>0.60416666666666663</v>
      </c>
      <c r="F1920" s="309" t="s">
        <v>169</v>
      </c>
      <c r="G1920" s="309" t="s">
        <v>3959</v>
      </c>
      <c r="H1920" s="307" t="s">
        <v>130</v>
      </c>
      <c r="I1920" s="307" t="s">
        <v>100</v>
      </c>
      <c r="J1920" s="307" t="s">
        <v>37</v>
      </c>
      <c r="K1920" s="307" t="s">
        <v>82</v>
      </c>
      <c r="L1920" s="293" t="s">
        <v>206</v>
      </c>
      <c r="M1920" s="309" t="s">
        <v>4781</v>
      </c>
      <c r="N1920" s="309" t="s">
        <v>68</v>
      </c>
      <c r="O1920" s="309" t="s">
        <v>4782</v>
      </c>
      <c r="P1920" s="309">
        <v>1682403</v>
      </c>
      <c r="Q1920" s="303">
        <f t="shared" si="206"/>
        <v>0</v>
      </c>
      <c r="R1920" s="303">
        <f t="shared" si="207"/>
        <v>0</v>
      </c>
      <c r="S1920" s="309">
        <v>0</v>
      </c>
      <c r="T1920" s="309">
        <v>0</v>
      </c>
      <c r="U1920" s="309">
        <v>0</v>
      </c>
      <c r="V1920" s="309">
        <v>0</v>
      </c>
      <c r="W1920" s="309">
        <v>0</v>
      </c>
      <c r="X1920" s="309">
        <v>58</v>
      </c>
      <c r="Y1920" s="309">
        <v>39</v>
      </c>
      <c r="Z1920" s="309">
        <v>15</v>
      </c>
      <c r="AA1920" s="309">
        <v>6</v>
      </c>
      <c r="AB1920" s="307">
        <f t="shared" si="208"/>
        <v>33.93</v>
      </c>
      <c r="AC1920" s="307">
        <f t="shared" si="209"/>
        <v>0.20439759036144578</v>
      </c>
      <c r="AD1920" s="309">
        <v>0</v>
      </c>
      <c r="AE1920" s="309" t="s">
        <v>109</v>
      </c>
      <c r="AF1920" s="309" t="s">
        <v>82</v>
      </c>
      <c r="AG1920" s="309" t="s">
        <v>82</v>
      </c>
      <c r="AH1920" s="309">
        <v>0</v>
      </c>
      <c r="AI1920" s="309"/>
      <c r="AJ1920" s="309"/>
      <c r="AK1920" s="309" t="s">
        <v>48</v>
      </c>
      <c r="AL1920" s="309" t="s">
        <v>56</v>
      </c>
      <c r="AM1920" s="299">
        <f t="shared" ca="1" si="179"/>
        <v>0.94444444444525288</v>
      </c>
      <c r="AN1920" s="313"/>
      <c r="AO1920" s="288" t="s">
        <v>68</v>
      </c>
      <c r="AP1920" s="275" t="s">
        <v>4781</v>
      </c>
      <c r="AQ1920" s="288" t="s">
        <v>4817</v>
      </c>
      <c r="AR1920" s="277">
        <v>44929.486111111109</v>
      </c>
      <c r="AS1920" s="272" t="s">
        <v>136</v>
      </c>
      <c r="AT1920" s="288" t="s">
        <v>225</v>
      </c>
      <c r="AU1920" s="276">
        <v>0.4861111111111111</v>
      </c>
      <c r="AV1920" s="288">
        <v>1</v>
      </c>
      <c r="AW1920" s="288" t="s">
        <v>66</v>
      </c>
      <c r="AX1920" s="52"/>
      <c r="AY1920" s="52"/>
      <c r="AZ1920" s="52"/>
      <c r="BA1920" s="52"/>
    </row>
    <row r="1921" spans="1:53" x14ac:dyDescent="0.25">
      <c r="A1921" s="312">
        <v>9</v>
      </c>
      <c r="B1921" s="311">
        <v>44928.541666666664</v>
      </c>
      <c r="C1921" s="308">
        <v>0.54513888888888895</v>
      </c>
      <c r="D1921" s="308">
        <v>0.54861111111111105</v>
      </c>
      <c r="E1921" s="308">
        <v>0.60416666666666663</v>
      </c>
      <c r="F1921" s="309" t="s">
        <v>169</v>
      </c>
      <c r="G1921" s="309" t="s">
        <v>3959</v>
      </c>
      <c r="H1921" s="307" t="s">
        <v>130</v>
      </c>
      <c r="I1921" s="307" t="s">
        <v>100</v>
      </c>
      <c r="J1921" s="307" t="s">
        <v>37</v>
      </c>
      <c r="K1921" s="307" t="s">
        <v>82</v>
      </c>
      <c r="L1921" s="293" t="s">
        <v>206</v>
      </c>
      <c r="M1921" s="309" t="s">
        <v>4781</v>
      </c>
      <c r="N1921" s="309" t="s">
        <v>68</v>
      </c>
      <c r="O1921" s="309" t="s">
        <v>4782</v>
      </c>
      <c r="P1921" s="309">
        <v>1682403</v>
      </c>
      <c r="Q1921" s="303">
        <f t="shared" si="206"/>
        <v>0</v>
      </c>
      <c r="R1921" s="303">
        <f t="shared" si="207"/>
        <v>0</v>
      </c>
      <c r="S1921" s="309">
        <v>0</v>
      </c>
      <c r="T1921" s="309">
        <v>0</v>
      </c>
      <c r="U1921" s="309">
        <v>0</v>
      </c>
      <c r="V1921" s="309">
        <v>0</v>
      </c>
      <c r="W1921" s="309">
        <v>0</v>
      </c>
      <c r="X1921" s="309">
        <v>58</v>
      </c>
      <c r="Y1921" s="309">
        <v>38</v>
      </c>
      <c r="Z1921" s="309">
        <v>29</v>
      </c>
      <c r="AA1921" s="309">
        <v>6</v>
      </c>
      <c r="AB1921" s="307">
        <f t="shared" si="208"/>
        <v>63.915999999999997</v>
      </c>
      <c r="AC1921" s="307">
        <f t="shared" si="209"/>
        <v>0.38503614457831326</v>
      </c>
      <c r="AD1921" s="309">
        <v>0</v>
      </c>
      <c r="AE1921" s="309" t="s">
        <v>109</v>
      </c>
      <c r="AF1921" s="309" t="s">
        <v>82</v>
      </c>
      <c r="AG1921" s="309" t="s">
        <v>82</v>
      </c>
      <c r="AH1921" s="309">
        <v>0</v>
      </c>
      <c r="AI1921" s="309"/>
      <c r="AJ1921" s="309"/>
      <c r="AK1921" s="309" t="s">
        <v>48</v>
      </c>
      <c r="AL1921" s="309" t="s">
        <v>56</v>
      </c>
      <c r="AM1921" s="299">
        <f t="shared" ca="1" si="179"/>
        <v>0.94444444444525288</v>
      </c>
      <c r="AN1921" s="313"/>
      <c r="AO1921" s="288" t="s">
        <v>68</v>
      </c>
      <c r="AP1921" s="275" t="s">
        <v>4781</v>
      </c>
      <c r="AQ1921" s="288" t="s">
        <v>4817</v>
      </c>
      <c r="AR1921" s="277">
        <v>44929.486111111109</v>
      </c>
      <c r="AS1921" s="272" t="s">
        <v>136</v>
      </c>
      <c r="AT1921" s="288" t="s">
        <v>225</v>
      </c>
      <c r="AU1921" s="276">
        <v>0.4861111111111111</v>
      </c>
      <c r="AV1921" s="288">
        <v>1</v>
      </c>
      <c r="AW1921" s="288" t="s">
        <v>66</v>
      </c>
      <c r="AX1921" s="52"/>
      <c r="AY1921" s="52"/>
      <c r="AZ1921" s="52"/>
      <c r="BA1921" s="52"/>
    </row>
    <row r="1922" spans="1:53" x14ac:dyDescent="0.25">
      <c r="A1922" s="48">
        <v>10</v>
      </c>
      <c r="B1922" s="311">
        <v>44928.618055555555</v>
      </c>
      <c r="C1922" s="36">
        <v>0.625</v>
      </c>
      <c r="D1922" s="36">
        <v>0.63194444444444442</v>
      </c>
      <c r="E1922" s="36">
        <v>0.63888888888888895</v>
      </c>
      <c r="F1922" s="37" t="s">
        <v>169</v>
      </c>
      <c r="G1922" s="37" t="s">
        <v>193</v>
      </c>
      <c r="H1922" s="307" t="s">
        <v>191</v>
      </c>
      <c r="I1922" s="307" t="s">
        <v>192</v>
      </c>
      <c r="J1922" s="307" t="s">
        <v>37</v>
      </c>
      <c r="K1922" s="307" t="s">
        <v>180</v>
      </c>
      <c r="L1922" s="293" t="s">
        <v>206</v>
      </c>
      <c r="M1922" s="37" t="s">
        <v>4785</v>
      </c>
      <c r="N1922" s="309" t="s">
        <v>68</v>
      </c>
      <c r="O1922" s="37" t="s">
        <v>4786</v>
      </c>
      <c r="P1922" s="37">
        <v>1683728</v>
      </c>
      <c r="Q1922" s="303">
        <f t="shared" ref="Q1922" si="210">S1922+U1922</f>
        <v>37</v>
      </c>
      <c r="R1922" s="303">
        <f t="shared" ref="R1922" si="211">T1922+V1922</f>
        <v>438</v>
      </c>
      <c r="S1922" s="37">
        <v>37</v>
      </c>
      <c r="T1922" s="37">
        <f>165-20+312-19</f>
        <v>438</v>
      </c>
      <c r="U1922" s="37">
        <v>0</v>
      </c>
      <c r="V1922" s="37">
        <v>0</v>
      </c>
      <c r="W1922" s="37">
        <v>435.39</v>
      </c>
      <c r="X1922" s="37">
        <v>38</v>
      </c>
      <c r="Y1922" s="37">
        <v>30</v>
      </c>
      <c r="Z1922" s="37">
        <v>15</v>
      </c>
      <c r="AA1922" s="37">
        <v>5</v>
      </c>
      <c r="AB1922" s="35">
        <f t="shared" si="208"/>
        <v>14.25</v>
      </c>
      <c r="AC1922" s="35">
        <f t="shared" si="209"/>
        <v>8.5843373493975902E-2</v>
      </c>
      <c r="AD1922" s="37">
        <v>740919</v>
      </c>
      <c r="AE1922" s="309" t="s">
        <v>109</v>
      </c>
      <c r="AF1922" s="309" t="s">
        <v>82</v>
      </c>
      <c r="AG1922" s="309" t="s">
        <v>82</v>
      </c>
      <c r="AH1922" s="37" t="s">
        <v>4787</v>
      </c>
      <c r="AI1922" s="309"/>
      <c r="AJ1922" s="309"/>
      <c r="AK1922" s="309" t="s">
        <v>48</v>
      </c>
      <c r="AL1922" s="309" t="s">
        <v>47</v>
      </c>
      <c r="AM1922" s="299">
        <f t="shared" ca="1" si="179"/>
        <v>0.86805555555474712</v>
      </c>
      <c r="AN1922" s="313"/>
      <c r="AO1922" s="288" t="s">
        <v>68</v>
      </c>
      <c r="AP1922" s="275" t="s">
        <v>4785</v>
      </c>
      <c r="AQ1922" s="288" t="s">
        <v>4817</v>
      </c>
      <c r="AR1922" s="277">
        <v>44929.486111111109</v>
      </c>
      <c r="AS1922" s="272" t="s">
        <v>136</v>
      </c>
      <c r="AT1922" s="288" t="s">
        <v>225</v>
      </c>
      <c r="AU1922" s="276">
        <v>0.4861111111111111</v>
      </c>
      <c r="AV1922" s="288">
        <v>1</v>
      </c>
      <c r="AW1922" s="288" t="s">
        <v>66</v>
      </c>
      <c r="AX1922" s="52"/>
      <c r="AY1922" s="52"/>
      <c r="AZ1922" s="52"/>
      <c r="BA1922" s="52"/>
    </row>
    <row r="1923" spans="1:53" x14ac:dyDescent="0.25">
      <c r="A1923" s="312">
        <v>10</v>
      </c>
      <c r="B1923" s="311">
        <v>44928.618055555555</v>
      </c>
      <c r="C1923" s="308">
        <v>0.625</v>
      </c>
      <c r="D1923" s="308">
        <v>0.63194444444444442</v>
      </c>
      <c r="E1923" s="308">
        <v>0.63888888888888895</v>
      </c>
      <c r="F1923" s="309" t="s">
        <v>169</v>
      </c>
      <c r="G1923" s="309" t="s">
        <v>193</v>
      </c>
      <c r="H1923" s="307" t="s">
        <v>191</v>
      </c>
      <c r="I1923" s="307" t="s">
        <v>192</v>
      </c>
      <c r="J1923" s="307" t="s">
        <v>37</v>
      </c>
      <c r="K1923" s="307" t="s">
        <v>180</v>
      </c>
      <c r="L1923" s="293" t="s">
        <v>206</v>
      </c>
      <c r="M1923" s="309" t="s">
        <v>4785</v>
      </c>
      <c r="N1923" s="309" t="s">
        <v>68</v>
      </c>
      <c r="O1923" s="309" t="s">
        <v>4786</v>
      </c>
      <c r="P1923" s="309">
        <v>1683728</v>
      </c>
      <c r="Q1923" s="303">
        <f t="shared" ref="Q1923:Q1925" si="212">S1923+U1923</f>
        <v>0</v>
      </c>
      <c r="R1923" s="303">
        <f t="shared" ref="R1923:R1925" si="213">T1923+V1923</f>
        <v>0</v>
      </c>
      <c r="S1923" s="309">
        <v>0</v>
      </c>
      <c r="T1923" s="309">
        <v>0</v>
      </c>
      <c r="U1923" s="309">
        <v>0</v>
      </c>
      <c r="V1923" s="309">
        <v>0</v>
      </c>
      <c r="W1923" s="37">
        <v>0</v>
      </c>
      <c r="X1923" s="37">
        <v>58</v>
      </c>
      <c r="Y1923" s="37">
        <v>39</v>
      </c>
      <c r="Z1923" s="37">
        <v>29</v>
      </c>
      <c r="AA1923" s="37">
        <v>26</v>
      </c>
      <c r="AB1923" s="35">
        <f t="shared" si="208"/>
        <v>284.25799999999998</v>
      </c>
      <c r="AC1923" s="35">
        <f t="shared" si="209"/>
        <v>1.7123975903614457</v>
      </c>
      <c r="AD1923" s="37">
        <v>0</v>
      </c>
      <c r="AE1923" s="37">
        <v>0</v>
      </c>
      <c r="AF1923" s="309" t="s">
        <v>82</v>
      </c>
      <c r="AG1923" s="309" t="s">
        <v>82</v>
      </c>
      <c r="AH1923" s="37">
        <v>0</v>
      </c>
      <c r="AI1923" s="309"/>
      <c r="AJ1923" s="309"/>
      <c r="AK1923" s="309" t="s">
        <v>48</v>
      </c>
      <c r="AL1923" s="309" t="s">
        <v>47</v>
      </c>
      <c r="AM1923" s="299">
        <f t="shared" ca="1" si="179"/>
        <v>0.86805555555474712</v>
      </c>
      <c r="AN1923" s="313"/>
      <c r="AO1923" s="288" t="s">
        <v>68</v>
      </c>
      <c r="AP1923" s="275" t="s">
        <v>4785</v>
      </c>
      <c r="AQ1923" s="288" t="s">
        <v>4817</v>
      </c>
      <c r="AR1923" s="277">
        <v>44929.486111111109</v>
      </c>
      <c r="AS1923" s="272" t="s">
        <v>136</v>
      </c>
      <c r="AT1923" s="288" t="s">
        <v>225</v>
      </c>
      <c r="AU1923" s="276">
        <v>0.4861111111111111</v>
      </c>
      <c r="AV1923" s="288">
        <v>1</v>
      </c>
      <c r="AW1923" s="288" t="s">
        <v>66</v>
      </c>
      <c r="AX1923" s="52"/>
      <c r="AY1923" s="52"/>
      <c r="AZ1923" s="52"/>
      <c r="BA1923" s="52"/>
    </row>
    <row r="1924" spans="1:53" x14ac:dyDescent="0.25">
      <c r="A1924" s="312">
        <v>10</v>
      </c>
      <c r="B1924" s="311">
        <v>44928.618055555555</v>
      </c>
      <c r="C1924" s="308">
        <v>0.625</v>
      </c>
      <c r="D1924" s="308">
        <v>0.63194444444444442</v>
      </c>
      <c r="E1924" s="308">
        <v>0.63888888888888895</v>
      </c>
      <c r="F1924" s="309" t="s">
        <v>169</v>
      </c>
      <c r="G1924" s="309" t="s">
        <v>193</v>
      </c>
      <c r="H1924" s="307" t="s">
        <v>191</v>
      </c>
      <c r="I1924" s="307" t="s">
        <v>192</v>
      </c>
      <c r="J1924" s="307" t="s">
        <v>37</v>
      </c>
      <c r="K1924" s="307" t="s">
        <v>180</v>
      </c>
      <c r="L1924" s="293" t="s">
        <v>206</v>
      </c>
      <c r="M1924" s="309" t="s">
        <v>4785</v>
      </c>
      <c r="N1924" s="309" t="s">
        <v>68</v>
      </c>
      <c r="O1924" s="309" t="s">
        <v>4786</v>
      </c>
      <c r="P1924" s="309">
        <v>1683728</v>
      </c>
      <c r="Q1924" s="303">
        <f t="shared" si="212"/>
        <v>0</v>
      </c>
      <c r="R1924" s="303">
        <f t="shared" si="213"/>
        <v>0</v>
      </c>
      <c r="S1924" s="309">
        <v>0</v>
      </c>
      <c r="T1924" s="309">
        <v>0</v>
      </c>
      <c r="U1924" s="309">
        <v>0</v>
      </c>
      <c r="V1924" s="309">
        <v>0</v>
      </c>
      <c r="W1924" s="309">
        <v>0</v>
      </c>
      <c r="X1924" s="37">
        <v>58</v>
      </c>
      <c r="Y1924" s="37">
        <v>39</v>
      </c>
      <c r="Z1924" s="37">
        <v>21</v>
      </c>
      <c r="AA1924" s="37">
        <v>5</v>
      </c>
      <c r="AB1924" s="307">
        <f t="shared" ref="AB1924:AB1936" si="214">X1924*Y1924*Z1924*AA1924/6000</f>
        <v>39.585000000000001</v>
      </c>
      <c r="AC1924" s="307">
        <f t="shared" ref="AC1924:AC1936" si="215">AB1924/166</f>
        <v>0.23846385542168674</v>
      </c>
      <c r="AD1924" s="37">
        <v>0</v>
      </c>
      <c r="AE1924" s="37">
        <v>0</v>
      </c>
      <c r="AF1924" s="309" t="s">
        <v>82</v>
      </c>
      <c r="AG1924" s="309" t="s">
        <v>82</v>
      </c>
      <c r="AH1924" s="37">
        <v>0</v>
      </c>
      <c r="AI1924" s="309"/>
      <c r="AJ1924" s="309"/>
      <c r="AK1924" s="309" t="s">
        <v>48</v>
      </c>
      <c r="AL1924" s="309" t="s">
        <v>47</v>
      </c>
      <c r="AM1924" s="299">
        <f t="shared" ca="1" si="179"/>
        <v>0.86805555555474712</v>
      </c>
      <c r="AN1924" s="313"/>
      <c r="AO1924" s="288" t="s">
        <v>68</v>
      </c>
      <c r="AP1924" s="275" t="s">
        <v>4785</v>
      </c>
      <c r="AQ1924" s="288" t="s">
        <v>4817</v>
      </c>
      <c r="AR1924" s="277">
        <v>44929.486111111109</v>
      </c>
      <c r="AS1924" s="272" t="s">
        <v>136</v>
      </c>
      <c r="AT1924" s="288" t="s">
        <v>225</v>
      </c>
      <c r="AU1924" s="276">
        <v>0.4861111111111111</v>
      </c>
      <c r="AV1924" s="288">
        <v>1</v>
      </c>
      <c r="AW1924" s="288" t="s">
        <v>66</v>
      </c>
      <c r="AX1924" s="52"/>
      <c r="AY1924" s="52"/>
      <c r="AZ1924" s="52"/>
      <c r="BA1924" s="52"/>
    </row>
    <row r="1925" spans="1:53" x14ac:dyDescent="0.25">
      <c r="A1925" s="312">
        <v>10</v>
      </c>
      <c r="B1925" s="311">
        <v>44928.618055555555</v>
      </c>
      <c r="C1925" s="308">
        <v>0.625</v>
      </c>
      <c r="D1925" s="308">
        <v>0.63194444444444442</v>
      </c>
      <c r="E1925" s="308">
        <v>0.63888888888888895</v>
      </c>
      <c r="F1925" s="309" t="s">
        <v>169</v>
      </c>
      <c r="G1925" s="309" t="s">
        <v>193</v>
      </c>
      <c r="H1925" s="307" t="s">
        <v>191</v>
      </c>
      <c r="I1925" s="307" t="s">
        <v>192</v>
      </c>
      <c r="J1925" s="307" t="s">
        <v>37</v>
      </c>
      <c r="K1925" s="307" t="s">
        <v>180</v>
      </c>
      <c r="L1925" s="293" t="s">
        <v>206</v>
      </c>
      <c r="M1925" s="309" t="s">
        <v>4785</v>
      </c>
      <c r="N1925" s="309" t="s">
        <v>68</v>
      </c>
      <c r="O1925" s="309" t="s">
        <v>4786</v>
      </c>
      <c r="P1925" s="309">
        <v>1683728</v>
      </c>
      <c r="Q1925" s="303">
        <f t="shared" si="212"/>
        <v>0</v>
      </c>
      <c r="R1925" s="303">
        <f t="shared" si="213"/>
        <v>0</v>
      </c>
      <c r="S1925" s="309">
        <v>0</v>
      </c>
      <c r="T1925" s="309">
        <v>0</v>
      </c>
      <c r="U1925" s="309">
        <v>0</v>
      </c>
      <c r="V1925" s="309">
        <v>0</v>
      </c>
      <c r="W1925" s="309">
        <v>0</v>
      </c>
      <c r="X1925" s="37">
        <v>58</v>
      </c>
      <c r="Y1925" s="37">
        <v>39</v>
      </c>
      <c r="Z1925" s="37">
        <v>14</v>
      </c>
      <c r="AA1925" s="37">
        <v>1</v>
      </c>
      <c r="AB1925" s="307">
        <f t="shared" si="214"/>
        <v>5.2779999999999996</v>
      </c>
      <c r="AC1925" s="307">
        <f t="shared" si="215"/>
        <v>3.1795180722891565E-2</v>
      </c>
      <c r="AD1925" s="37">
        <v>0</v>
      </c>
      <c r="AE1925" s="37">
        <v>0</v>
      </c>
      <c r="AF1925" s="309" t="s">
        <v>82</v>
      </c>
      <c r="AG1925" s="309" t="s">
        <v>82</v>
      </c>
      <c r="AH1925" s="37">
        <v>0</v>
      </c>
      <c r="AI1925" s="309"/>
      <c r="AJ1925" s="309"/>
      <c r="AK1925" s="309" t="s">
        <v>48</v>
      </c>
      <c r="AL1925" s="309" t="s">
        <v>47</v>
      </c>
      <c r="AM1925" s="299">
        <f t="shared" ca="1" si="179"/>
        <v>0.86805555555474712</v>
      </c>
      <c r="AN1925" s="313"/>
      <c r="AO1925" s="288" t="s">
        <v>68</v>
      </c>
      <c r="AP1925" s="275" t="s">
        <v>4785</v>
      </c>
      <c r="AQ1925" s="288" t="s">
        <v>4817</v>
      </c>
      <c r="AR1925" s="277">
        <v>44929.486111111109</v>
      </c>
      <c r="AS1925" s="272" t="s">
        <v>136</v>
      </c>
      <c r="AT1925" s="288" t="s">
        <v>225</v>
      </c>
      <c r="AU1925" s="276">
        <v>0.4861111111111111</v>
      </c>
      <c r="AV1925" s="288">
        <v>1</v>
      </c>
      <c r="AW1925" s="288" t="s">
        <v>66</v>
      </c>
      <c r="AX1925" s="52"/>
      <c r="AY1925" s="52"/>
      <c r="AZ1925" s="52"/>
      <c r="BA1925" s="52"/>
    </row>
    <row r="1926" spans="1:53" x14ac:dyDescent="0.25">
      <c r="A1926" s="48">
        <v>11</v>
      </c>
      <c r="B1926" s="311">
        <v>44929.434027777781</v>
      </c>
      <c r="C1926" s="308">
        <v>0.4375</v>
      </c>
      <c r="D1926" s="308">
        <v>0.44097222222222227</v>
      </c>
      <c r="E1926" s="308">
        <v>0.44444444444444442</v>
      </c>
      <c r="F1926" s="309" t="s">
        <v>171</v>
      </c>
      <c r="G1926" s="309" t="s">
        <v>2085</v>
      </c>
      <c r="H1926" s="307" t="s">
        <v>85</v>
      </c>
      <c r="I1926" s="307" t="s">
        <v>86</v>
      </c>
      <c r="J1926" s="307" t="s">
        <v>37</v>
      </c>
      <c r="K1926" s="307" t="s">
        <v>233</v>
      </c>
      <c r="L1926" s="293" t="s">
        <v>206</v>
      </c>
      <c r="M1926" s="309" t="s">
        <v>4792</v>
      </c>
      <c r="N1926" s="309" t="s">
        <v>42</v>
      </c>
      <c r="O1926" s="309" t="s">
        <v>4793</v>
      </c>
      <c r="P1926" s="309" t="s">
        <v>4794</v>
      </c>
      <c r="Q1926" s="303">
        <f t="shared" ref="Q1926:Q1929" si="216">S1926+U1926</f>
        <v>3</v>
      </c>
      <c r="R1926" s="303">
        <f t="shared" ref="R1926:R1929" si="217">T1926+V1926</f>
        <v>841</v>
      </c>
      <c r="S1926" s="309">
        <v>0</v>
      </c>
      <c r="T1926" s="309">
        <v>0</v>
      </c>
      <c r="U1926" s="309">
        <v>3</v>
      </c>
      <c r="V1926" s="309">
        <v>841</v>
      </c>
      <c r="W1926" s="309">
        <v>819</v>
      </c>
      <c r="X1926" s="309">
        <v>120</v>
      </c>
      <c r="Y1926" s="309">
        <v>80</v>
      </c>
      <c r="Z1926" s="309">
        <v>69</v>
      </c>
      <c r="AA1926" s="309">
        <v>2</v>
      </c>
      <c r="AB1926" s="307">
        <f t="shared" si="214"/>
        <v>220.8</v>
      </c>
      <c r="AC1926" s="307">
        <f t="shared" si="215"/>
        <v>1.3301204819277108</v>
      </c>
      <c r="AD1926" s="309">
        <v>14205.65</v>
      </c>
      <c r="AE1926" s="309" t="s">
        <v>109</v>
      </c>
      <c r="AF1926" s="309" t="s">
        <v>1566</v>
      </c>
      <c r="AG1926" s="309" t="s">
        <v>1566</v>
      </c>
      <c r="AH1926" s="309" t="s">
        <v>4795</v>
      </c>
      <c r="AI1926" s="309"/>
      <c r="AJ1926" s="309"/>
      <c r="AK1926" s="309" t="s">
        <v>37</v>
      </c>
      <c r="AL1926" s="309" t="s">
        <v>39</v>
      </c>
      <c r="AM1926" s="299">
        <f t="shared" ca="1" si="179"/>
        <v>1.1284722222189885</v>
      </c>
      <c r="AN1926" s="313"/>
      <c r="AO1926" s="288" t="s">
        <v>87</v>
      </c>
      <c r="AP1926" s="275" t="s">
        <v>4792</v>
      </c>
      <c r="AQ1926" s="288" t="s">
        <v>4888</v>
      </c>
      <c r="AR1926" s="277">
        <v>44930.5625</v>
      </c>
      <c r="AS1926" s="272" t="s">
        <v>136</v>
      </c>
      <c r="AT1926" s="288" t="s">
        <v>225</v>
      </c>
      <c r="AU1926" s="276">
        <v>0.5625</v>
      </c>
      <c r="AV1926" s="288">
        <v>1</v>
      </c>
      <c r="AW1926" s="288" t="s">
        <v>66</v>
      </c>
      <c r="AX1926" s="52"/>
      <c r="AY1926" s="52"/>
      <c r="AZ1926" s="52"/>
      <c r="BA1926" s="52"/>
    </row>
    <row r="1927" spans="1:53" x14ac:dyDescent="0.25">
      <c r="A1927" s="312">
        <v>11</v>
      </c>
      <c r="B1927" s="311">
        <v>44929.434027777781</v>
      </c>
      <c r="C1927" s="308">
        <v>0.4375</v>
      </c>
      <c r="D1927" s="308">
        <v>0.44097222222222227</v>
      </c>
      <c r="E1927" s="308">
        <v>0.44444444444444442</v>
      </c>
      <c r="F1927" s="309" t="s">
        <v>171</v>
      </c>
      <c r="G1927" s="309" t="s">
        <v>2085</v>
      </c>
      <c r="H1927" s="307" t="s">
        <v>85</v>
      </c>
      <c r="I1927" s="307" t="s">
        <v>86</v>
      </c>
      <c r="J1927" s="307" t="s">
        <v>37</v>
      </c>
      <c r="K1927" s="307" t="s">
        <v>233</v>
      </c>
      <c r="L1927" s="293" t="s">
        <v>206</v>
      </c>
      <c r="M1927" s="309" t="s">
        <v>4792</v>
      </c>
      <c r="N1927" s="309" t="s">
        <v>42</v>
      </c>
      <c r="O1927" s="309" t="s">
        <v>4793</v>
      </c>
      <c r="P1927" s="309" t="s">
        <v>4794</v>
      </c>
      <c r="Q1927" s="303">
        <f t="shared" si="216"/>
        <v>0</v>
      </c>
      <c r="R1927" s="303">
        <f t="shared" si="217"/>
        <v>0</v>
      </c>
      <c r="S1927" s="309">
        <v>0</v>
      </c>
      <c r="T1927" s="309">
        <v>0</v>
      </c>
      <c r="U1927" s="309">
        <v>0</v>
      </c>
      <c r="V1927" s="309">
        <v>0</v>
      </c>
      <c r="W1927" s="309">
        <v>0</v>
      </c>
      <c r="X1927" s="309">
        <v>120</v>
      </c>
      <c r="Y1927" s="309">
        <v>80</v>
      </c>
      <c r="Z1927" s="309">
        <v>92</v>
      </c>
      <c r="AA1927" s="309">
        <v>1</v>
      </c>
      <c r="AB1927" s="307">
        <f t="shared" si="214"/>
        <v>147.19999999999999</v>
      </c>
      <c r="AC1927" s="307">
        <f t="shared" si="215"/>
        <v>0.88674698795180718</v>
      </c>
      <c r="AD1927" s="309">
        <v>0</v>
      </c>
      <c r="AE1927" s="309">
        <v>0</v>
      </c>
      <c r="AF1927" s="309" t="s">
        <v>1566</v>
      </c>
      <c r="AG1927" s="309" t="s">
        <v>1566</v>
      </c>
      <c r="AH1927" s="309" t="s">
        <v>4795</v>
      </c>
      <c r="AI1927" s="309"/>
      <c r="AJ1927" s="309"/>
      <c r="AK1927" s="309" t="s">
        <v>37</v>
      </c>
      <c r="AL1927" s="309" t="s">
        <v>39</v>
      </c>
      <c r="AM1927" s="299">
        <f t="shared" ca="1" si="179"/>
        <v>1.1284722222189885</v>
      </c>
      <c r="AN1927" s="313"/>
      <c r="AO1927" s="288" t="s">
        <v>87</v>
      </c>
      <c r="AP1927" s="275" t="s">
        <v>4792</v>
      </c>
      <c r="AQ1927" s="288" t="s">
        <v>4888</v>
      </c>
      <c r="AR1927" s="277">
        <v>44930.5625</v>
      </c>
      <c r="AS1927" s="272" t="s">
        <v>136</v>
      </c>
      <c r="AT1927" s="288" t="s">
        <v>225</v>
      </c>
      <c r="AU1927" s="276">
        <v>0.5625</v>
      </c>
      <c r="AV1927" s="288">
        <v>1</v>
      </c>
      <c r="AW1927" s="288" t="s">
        <v>66</v>
      </c>
      <c r="AX1927" s="52"/>
      <c r="AY1927" s="52"/>
      <c r="AZ1927" s="52"/>
      <c r="BA1927" s="52"/>
    </row>
    <row r="1928" spans="1:53" x14ac:dyDescent="0.25">
      <c r="A1928" s="48">
        <v>12</v>
      </c>
      <c r="B1928" s="311">
        <v>44929.489583333336</v>
      </c>
      <c r="C1928" s="308">
        <v>0.49305555555555558</v>
      </c>
      <c r="D1928" s="308">
        <v>0.49652777777777773</v>
      </c>
      <c r="E1928" s="308">
        <v>0.5</v>
      </c>
      <c r="F1928" s="309" t="s">
        <v>170</v>
      </c>
      <c r="G1928" s="309" t="s">
        <v>378</v>
      </c>
      <c r="H1928" s="309" t="s">
        <v>204</v>
      </c>
      <c r="I1928" s="309" t="s">
        <v>73</v>
      </c>
      <c r="J1928" s="309" t="s">
        <v>37</v>
      </c>
      <c r="K1928" s="309" t="s">
        <v>63</v>
      </c>
      <c r="L1928" s="309" t="s">
        <v>212</v>
      </c>
      <c r="M1928" s="309" t="s">
        <v>4796</v>
      </c>
      <c r="N1928" s="309" t="s">
        <v>59</v>
      </c>
      <c r="O1928" s="309" t="s">
        <v>4797</v>
      </c>
      <c r="P1928" s="309">
        <v>5051999934</v>
      </c>
      <c r="Q1928" s="303">
        <f t="shared" si="216"/>
        <v>1</v>
      </c>
      <c r="R1928" s="303">
        <f t="shared" si="217"/>
        <v>116</v>
      </c>
      <c r="S1928" s="309">
        <v>0</v>
      </c>
      <c r="T1928" s="309">
        <v>0</v>
      </c>
      <c r="U1928" s="309">
        <v>1</v>
      </c>
      <c r="V1928" s="309">
        <v>116</v>
      </c>
      <c r="W1928" s="309">
        <v>122</v>
      </c>
      <c r="X1928" s="309">
        <v>57</v>
      </c>
      <c r="Y1928" s="309">
        <v>55</v>
      </c>
      <c r="Z1928" s="309">
        <v>53</v>
      </c>
      <c r="AA1928" s="309">
        <v>1</v>
      </c>
      <c r="AB1928" s="307">
        <f t="shared" si="214"/>
        <v>27.692499999999999</v>
      </c>
      <c r="AC1928" s="307">
        <f t="shared" si="215"/>
        <v>0.1668222891566265</v>
      </c>
      <c r="AD1928" s="309">
        <v>1364</v>
      </c>
      <c r="AE1928" s="309" t="s">
        <v>109</v>
      </c>
      <c r="AF1928" s="309" t="s">
        <v>317</v>
      </c>
      <c r="AG1928" s="309" t="s">
        <v>317</v>
      </c>
      <c r="AH1928" s="309" t="s">
        <v>4798</v>
      </c>
      <c r="AI1928" s="309"/>
      <c r="AJ1928" s="309"/>
      <c r="AK1928" s="309" t="s">
        <v>37</v>
      </c>
      <c r="AL1928" s="309" t="s">
        <v>94</v>
      </c>
      <c r="AM1928" s="299">
        <f t="shared" ca="1" si="179"/>
        <v>1.9826388888832298</v>
      </c>
      <c r="AN1928" s="313"/>
      <c r="AO1928" s="288" t="s">
        <v>70</v>
      </c>
      <c r="AP1928" s="275" t="s">
        <v>4796</v>
      </c>
      <c r="AQ1928" s="288" t="s">
        <v>4905</v>
      </c>
      <c r="AR1928" s="277">
        <v>44931.472222222219</v>
      </c>
      <c r="AS1928" s="272" t="s">
        <v>173</v>
      </c>
      <c r="AT1928" s="288" t="s">
        <v>225</v>
      </c>
      <c r="AU1928" s="276">
        <v>0.47222222222222227</v>
      </c>
      <c r="AV1928" s="288">
        <v>1</v>
      </c>
      <c r="AW1928" s="288" t="s">
        <v>66</v>
      </c>
      <c r="AX1928" s="52"/>
      <c r="AY1928" s="52"/>
      <c r="AZ1928" s="52"/>
      <c r="BA1928" s="52"/>
    </row>
    <row r="1929" spans="1:53" x14ac:dyDescent="0.25">
      <c r="A1929" s="48">
        <v>13</v>
      </c>
      <c r="B1929" s="46">
        <v>44929.5</v>
      </c>
      <c r="C1929" s="36">
        <v>0.5</v>
      </c>
      <c r="D1929" s="36">
        <v>0.50347222222222221</v>
      </c>
      <c r="E1929" s="36">
        <v>0.54166666666666663</v>
      </c>
      <c r="F1929" s="309" t="s">
        <v>170</v>
      </c>
      <c r="G1929" s="37" t="s">
        <v>4800</v>
      </c>
      <c r="H1929" s="26" t="s">
        <v>227</v>
      </c>
      <c r="I1929" s="26" t="s">
        <v>189</v>
      </c>
      <c r="J1929" s="309" t="s">
        <v>37</v>
      </c>
      <c r="K1929" s="307" t="s">
        <v>63</v>
      </c>
      <c r="L1929" s="293" t="s">
        <v>206</v>
      </c>
      <c r="M1929" s="37" t="s">
        <v>4801</v>
      </c>
      <c r="N1929" s="37" t="s">
        <v>42</v>
      </c>
      <c r="O1929" s="37">
        <v>1203</v>
      </c>
      <c r="P1929" s="37">
        <v>3728</v>
      </c>
      <c r="Q1929" s="303">
        <f t="shared" si="216"/>
        <v>6</v>
      </c>
      <c r="R1929" s="303">
        <f t="shared" si="217"/>
        <v>1190</v>
      </c>
      <c r="S1929" s="309">
        <v>0</v>
      </c>
      <c r="T1929" s="309">
        <v>0</v>
      </c>
      <c r="U1929" s="37">
        <v>6</v>
      </c>
      <c r="V1929" s="37">
        <f>197+197+198+197+201+200</f>
        <v>1190</v>
      </c>
      <c r="W1929" s="37">
        <v>1170</v>
      </c>
      <c r="X1929" s="37">
        <v>170</v>
      </c>
      <c r="Y1929" s="37">
        <v>97</v>
      </c>
      <c r="Z1929" s="37">
        <v>95</v>
      </c>
      <c r="AA1929" s="37">
        <v>6</v>
      </c>
      <c r="AB1929" s="307">
        <f t="shared" si="214"/>
        <v>1566.55</v>
      </c>
      <c r="AC1929" s="307">
        <f t="shared" si="215"/>
        <v>9.4370481927710834</v>
      </c>
      <c r="AD1929" s="37">
        <v>10950</v>
      </c>
      <c r="AE1929" s="37" t="s">
        <v>109</v>
      </c>
      <c r="AF1929" s="309" t="s">
        <v>317</v>
      </c>
      <c r="AG1929" s="309" t="s">
        <v>317</v>
      </c>
      <c r="AH1929" s="37" t="s">
        <v>4802</v>
      </c>
      <c r="AI1929" s="309"/>
      <c r="AJ1929" s="309"/>
      <c r="AK1929" s="309" t="s">
        <v>37</v>
      </c>
      <c r="AL1929" s="37" t="s">
        <v>54</v>
      </c>
      <c r="AM1929" s="299">
        <f t="shared" ca="1" si="179"/>
        <v>0.15625</v>
      </c>
      <c r="AN1929" s="313"/>
      <c r="AO1929" s="288" t="s">
        <v>89</v>
      </c>
      <c r="AP1929" s="275" t="s">
        <v>4801</v>
      </c>
      <c r="AQ1929" s="288" t="s">
        <v>4822</v>
      </c>
      <c r="AR1929" s="277">
        <v>44929.65625</v>
      </c>
      <c r="AS1929" s="272" t="s">
        <v>136</v>
      </c>
      <c r="AT1929" s="288" t="s">
        <v>225</v>
      </c>
      <c r="AU1929" s="276">
        <v>0.65625</v>
      </c>
      <c r="AV1929" s="288">
        <v>2</v>
      </c>
      <c r="AW1929" s="288" t="s">
        <v>66</v>
      </c>
      <c r="AX1929" s="52"/>
      <c r="AY1929" s="52"/>
      <c r="AZ1929" s="52"/>
      <c r="BA1929" s="52"/>
    </row>
    <row r="1930" spans="1:53" x14ac:dyDescent="0.25">
      <c r="A1930" s="48">
        <v>14</v>
      </c>
      <c r="B1930" s="46">
        <v>44929.503472222219</v>
      </c>
      <c r="C1930" s="36">
        <v>0.50694444444444442</v>
      </c>
      <c r="D1930" s="36">
        <v>0.51388888888888895</v>
      </c>
      <c r="E1930" s="308">
        <v>0.54166666666666663</v>
      </c>
      <c r="F1930" s="309" t="s">
        <v>170</v>
      </c>
      <c r="G1930" s="37" t="s">
        <v>4799</v>
      </c>
      <c r="H1930" s="26" t="s">
        <v>227</v>
      </c>
      <c r="I1930" s="303" t="s">
        <v>189</v>
      </c>
      <c r="J1930" s="309" t="s">
        <v>37</v>
      </c>
      <c r="K1930" s="307" t="s">
        <v>63</v>
      </c>
      <c r="L1930" s="293" t="s">
        <v>206</v>
      </c>
      <c r="M1930" s="309" t="s">
        <v>4801</v>
      </c>
      <c r="N1930" s="309" t="s">
        <v>42</v>
      </c>
      <c r="O1930" s="37" t="s">
        <v>4803</v>
      </c>
      <c r="P1930" s="37">
        <v>6175</v>
      </c>
      <c r="Q1930" s="303">
        <f t="shared" ref="Q1930:Q1941" si="218">S1930+U1930</f>
        <v>2</v>
      </c>
      <c r="R1930" s="303">
        <f t="shared" ref="R1930:R1941" si="219">T1930+V1930</f>
        <v>1026</v>
      </c>
      <c r="S1930" s="37">
        <v>0</v>
      </c>
      <c r="T1930" s="37">
        <v>0</v>
      </c>
      <c r="U1930" s="37">
        <v>2</v>
      </c>
      <c r="V1930" s="37">
        <f>740+286</f>
        <v>1026</v>
      </c>
      <c r="W1930" s="37">
        <v>903.2</v>
      </c>
      <c r="X1930" s="37">
        <v>160</v>
      </c>
      <c r="Y1930" s="37">
        <v>138</v>
      </c>
      <c r="Z1930" s="37">
        <v>79</v>
      </c>
      <c r="AA1930" s="37">
        <v>2</v>
      </c>
      <c r="AB1930" s="307">
        <f t="shared" si="214"/>
        <v>581.44000000000005</v>
      </c>
      <c r="AC1930" s="307">
        <f t="shared" si="215"/>
        <v>3.5026506024096391</v>
      </c>
      <c r="AD1930" s="37" t="s">
        <v>48</v>
      </c>
      <c r="AE1930" s="309" t="s">
        <v>48</v>
      </c>
      <c r="AF1930" s="309" t="s">
        <v>317</v>
      </c>
      <c r="AG1930" s="309" t="s">
        <v>317</v>
      </c>
      <c r="AH1930" s="37" t="s">
        <v>4804</v>
      </c>
      <c r="AI1930" s="309"/>
      <c r="AJ1930" s="309"/>
      <c r="AK1930" s="309" t="s">
        <v>37</v>
      </c>
      <c r="AL1930" s="309" t="s">
        <v>54</v>
      </c>
      <c r="AM1930" s="299">
        <f t="shared" ca="1" si="179"/>
        <v>0.15277777778101154</v>
      </c>
      <c r="AN1930" s="313"/>
      <c r="AO1930" s="288" t="s">
        <v>89</v>
      </c>
      <c r="AP1930" s="288" t="s">
        <v>4801</v>
      </c>
      <c r="AQ1930" s="288" t="s">
        <v>4822</v>
      </c>
      <c r="AR1930" s="277">
        <v>44929.65625</v>
      </c>
      <c r="AS1930" s="272" t="s">
        <v>173</v>
      </c>
      <c r="AT1930" s="288" t="s">
        <v>225</v>
      </c>
      <c r="AU1930" s="276">
        <v>0.65625</v>
      </c>
      <c r="AV1930" s="288">
        <v>2</v>
      </c>
      <c r="AW1930" s="288" t="s">
        <v>66</v>
      </c>
      <c r="AX1930" s="52"/>
      <c r="AY1930" s="52"/>
      <c r="AZ1930" s="52"/>
      <c r="BA1930" s="52"/>
    </row>
    <row r="1931" spans="1:53" x14ac:dyDescent="0.25">
      <c r="A1931" s="48">
        <v>15</v>
      </c>
      <c r="B1931" s="311">
        <v>44929.503472222219</v>
      </c>
      <c r="C1931" s="308">
        <v>0.50694444444444442</v>
      </c>
      <c r="D1931" s="308">
        <v>0.51388888888888895</v>
      </c>
      <c r="E1931" s="308">
        <v>0.54166666666666663</v>
      </c>
      <c r="F1931" s="309" t="s">
        <v>170</v>
      </c>
      <c r="G1931" s="309" t="s">
        <v>4799</v>
      </c>
      <c r="H1931" s="303" t="s">
        <v>227</v>
      </c>
      <c r="I1931" s="303" t="s">
        <v>189</v>
      </c>
      <c r="J1931" s="309" t="s">
        <v>37</v>
      </c>
      <c r="K1931" s="307" t="s">
        <v>63</v>
      </c>
      <c r="L1931" s="293" t="s">
        <v>206</v>
      </c>
      <c r="M1931" s="309" t="s">
        <v>4801</v>
      </c>
      <c r="N1931" s="309" t="s">
        <v>42</v>
      </c>
      <c r="O1931" s="37">
        <v>1202</v>
      </c>
      <c r="P1931" s="37">
        <v>3719</v>
      </c>
      <c r="Q1931" s="303">
        <f t="shared" si="218"/>
        <v>21</v>
      </c>
      <c r="R1931" s="303">
        <f t="shared" si="219"/>
        <v>374</v>
      </c>
      <c r="S1931" s="37">
        <v>21</v>
      </c>
      <c r="T1931" s="292">
        <f>189-21+118-20+127-19</f>
        <v>374</v>
      </c>
      <c r="U1931" s="37">
        <v>0</v>
      </c>
      <c r="V1931" s="37">
        <v>0</v>
      </c>
      <c r="W1931" s="292">
        <v>214.12</v>
      </c>
      <c r="X1931" s="37">
        <v>83</v>
      </c>
      <c r="Y1931" s="37">
        <v>53</v>
      </c>
      <c r="Z1931" s="37">
        <v>62</v>
      </c>
      <c r="AA1931" s="37">
        <v>19</v>
      </c>
      <c r="AB1931" s="307">
        <f t="shared" si="214"/>
        <v>863.67033333333336</v>
      </c>
      <c r="AC1931" s="307">
        <f t="shared" si="215"/>
        <v>5.2028333333333334</v>
      </c>
      <c r="AD1931" s="37" t="s">
        <v>48</v>
      </c>
      <c r="AE1931" s="309" t="s">
        <v>48</v>
      </c>
      <c r="AF1931" s="309" t="s">
        <v>317</v>
      </c>
      <c r="AG1931" s="309" t="s">
        <v>317</v>
      </c>
      <c r="AH1931" s="37" t="s">
        <v>4805</v>
      </c>
      <c r="AI1931" s="309"/>
      <c r="AJ1931" s="309"/>
      <c r="AK1931" s="37" t="s">
        <v>48</v>
      </c>
      <c r="AL1931" s="309" t="s">
        <v>54</v>
      </c>
      <c r="AM1931" s="299">
        <f t="shared" ca="1" si="179"/>
        <v>0.15277777778101154</v>
      </c>
      <c r="AN1931" s="313"/>
      <c r="AO1931" s="288" t="s">
        <v>89</v>
      </c>
      <c r="AP1931" s="288" t="s">
        <v>4801</v>
      </c>
      <c r="AQ1931" s="288" t="s">
        <v>4822</v>
      </c>
      <c r="AR1931" s="277">
        <v>44929.65625</v>
      </c>
      <c r="AS1931" s="272" t="s">
        <v>173</v>
      </c>
      <c r="AT1931" s="288" t="s">
        <v>225</v>
      </c>
      <c r="AU1931" s="276">
        <v>0.65625</v>
      </c>
      <c r="AV1931" s="288">
        <v>2</v>
      </c>
      <c r="AW1931" s="288" t="s">
        <v>66</v>
      </c>
      <c r="AX1931" s="52"/>
      <c r="AY1931" s="52"/>
      <c r="AZ1931" s="52"/>
      <c r="BA1931" s="52"/>
    </row>
    <row r="1932" spans="1:53" x14ac:dyDescent="0.25">
      <c r="A1932" s="312">
        <v>15</v>
      </c>
      <c r="B1932" s="311">
        <v>44929.503472222219</v>
      </c>
      <c r="C1932" s="308">
        <v>0.50694444444444442</v>
      </c>
      <c r="D1932" s="308">
        <v>0.51388888888888895</v>
      </c>
      <c r="E1932" s="308">
        <v>0.54166666666666663</v>
      </c>
      <c r="F1932" s="309" t="s">
        <v>170</v>
      </c>
      <c r="G1932" s="309" t="s">
        <v>4799</v>
      </c>
      <c r="H1932" s="303" t="s">
        <v>227</v>
      </c>
      <c r="I1932" s="303" t="s">
        <v>189</v>
      </c>
      <c r="J1932" s="309" t="s">
        <v>37</v>
      </c>
      <c r="K1932" s="307" t="s">
        <v>63</v>
      </c>
      <c r="L1932" s="293" t="s">
        <v>206</v>
      </c>
      <c r="M1932" s="309" t="s">
        <v>4801</v>
      </c>
      <c r="N1932" s="309" t="s">
        <v>42</v>
      </c>
      <c r="O1932" s="309">
        <v>1202</v>
      </c>
      <c r="P1932" s="309">
        <v>3719</v>
      </c>
      <c r="Q1932" s="303">
        <f t="shared" si="218"/>
        <v>0</v>
      </c>
      <c r="R1932" s="303">
        <f t="shared" si="219"/>
        <v>0</v>
      </c>
      <c r="S1932" s="309">
        <v>0</v>
      </c>
      <c r="T1932" s="309">
        <v>0</v>
      </c>
      <c r="U1932" s="309">
        <v>0</v>
      </c>
      <c r="V1932" s="309">
        <v>0</v>
      </c>
      <c r="W1932" s="309">
        <v>0</v>
      </c>
      <c r="X1932" s="37">
        <v>90</v>
      </c>
      <c r="Y1932" s="37">
        <v>36</v>
      </c>
      <c r="Z1932" s="37">
        <v>51</v>
      </c>
      <c r="AA1932" s="37">
        <v>2</v>
      </c>
      <c r="AB1932" s="307">
        <f t="shared" si="214"/>
        <v>55.08</v>
      </c>
      <c r="AC1932" s="307">
        <f t="shared" si="215"/>
        <v>0.33180722891566267</v>
      </c>
      <c r="AD1932" s="37">
        <v>0</v>
      </c>
      <c r="AE1932" s="309">
        <v>0</v>
      </c>
      <c r="AF1932" s="309" t="s">
        <v>317</v>
      </c>
      <c r="AG1932" s="309" t="s">
        <v>317</v>
      </c>
      <c r="AH1932" s="309" t="s">
        <v>4805</v>
      </c>
      <c r="AI1932" s="309"/>
      <c r="AJ1932" s="309"/>
      <c r="AK1932" s="309" t="s">
        <v>48</v>
      </c>
      <c r="AL1932" s="309" t="s">
        <v>54</v>
      </c>
      <c r="AM1932" s="299">
        <f t="shared" ca="1" si="179"/>
        <v>0.15277777778101154</v>
      </c>
      <c r="AN1932" s="313"/>
      <c r="AO1932" s="288" t="s">
        <v>89</v>
      </c>
      <c r="AP1932" s="288" t="s">
        <v>4801</v>
      </c>
      <c r="AQ1932" s="288" t="s">
        <v>4822</v>
      </c>
      <c r="AR1932" s="277">
        <v>44929.65625</v>
      </c>
      <c r="AS1932" s="272" t="s">
        <v>173</v>
      </c>
      <c r="AT1932" s="288" t="s">
        <v>225</v>
      </c>
      <c r="AU1932" s="276">
        <v>0.65625</v>
      </c>
      <c r="AV1932" s="288">
        <v>2</v>
      </c>
      <c r="AW1932" s="288" t="s">
        <v>66</v>
      </c>
      <c r="AX1932" s="52"/>
      <c r="AY1932" s="52"/>
      <c r="AZ1932" s="52"/>
      <c r="BA1932" s="52"/>
    </row>
    <row r="1933" spans="1:53" x14ac:dyDescent="0.25">
      <c r="A1933" s="312">
        <v>16</v>
      </c>
      <c r="B1933" s="311">
        <v>44929.583333333336</v>
      </c>
      <c r="C1933" s="308">
        <v>0.59027777777777779</v>
      </c>
      <c r="D1933" s="308">
        <v>0.59722222222222221</v>
      </c>
      <c r="E1933" s="308">
        <v>0.60416666666666663</v>
      </c>
      <c r="F1933" s="309" t="s">
        <v>169</v>
      </c>
      <c r="G1933" s="309" t="s">
        <v>461</v>
      </c>
      <c r="H1933" s="310" t="s">
        <v>184</v>
      </c>
      <c r="I1933" s="310" t="s">
        <v>2905</v>
      </c>
      <c r="J1933" s="310" t="s">
        <v>41</v>
      </c>
      <c r="K1933" s="307" t="s">
        <v>82</v>
      </c>
      <c r="L1933" s="307" t="s">
        <v>220</v>
      </c>
      <c r="M1933" s="309" t="s">
        <v>4806</v>
      </c>
      <c r="N1933" s="309" t="s">
        <v>340</v>
      </c>
      <c r="O1933" s="309">
        <v>2363</v>
      </c>
      <c r="P1933" s="309">
        <v>4400142270</v>
      </c>
      <c r="Q1933" s="303">
        <f t="shared" si="218"/>
        <v>3</v>
      </c>
      <c r="R1933" s="303">
        <f t="shared" si="219"/>
        <v>39</v>
      </c>
      <c r="S1933" s="309">
        <v>3</v>
      </c>
      <c r="T1933" s="309">
        <v>39</v>
      </c>
      <c r="U1933" s="309">
        <v>0</v>
      </c>
      <c r="V1933" s="309">
        <v>0</v>
      </c>
      <c r="W1933" s="309">
        <v>37.549999999999997</v>
      </c>
      <c r="X1933" s="309">
        <v>56</v>
      </c>
      <c r="Y1933" s="309">
        <v>39</v>
      </c>
      <c r="Z1933" s="309">
        <v>41</v>
      </c>
      <c r="AA1933" s="309">
        <v>2</v>
      </c>
      <c r="AB1933" s="307">
        <f t="shared" si="214"/>
        <v>29.847999999999999</v>
      </c>
      <c r="AC1933" s="307">
        <f t="shared" si="215"/>
        <v>0.17980722891566264</v>
      </c>
      <c r="AD1933" s="309">
        <v>5063.24</v>
      </c>
      <c r="AE1933" s="309" t="s">
        <v>109</v>
      </c>
      <c r="AF1933" s="309" t="s">
        <v>82</v>
      </c>
      <c r="AG1933" s="309" t="s">
        <v>82</v>
      </c>
      <c r="AH1933" s="309" t="s">
        <v>4807</v>
      </c>
      <c r="AI1933" s="309"/>
      <c r="AJ1933" s="309"/>
      <c r="AK1933" s="309" t="s">
        <v>48</v>
      </c>
      <c r="AL1933" s="309" t="s">
        <v>56</v>
      </c>
      <c r="AM1933" s="299">
        <f t="shared" ca="1" si="179"/>
        <v>0.92013888888322981</v>
      </c>
      <c r="AN1933" s="51"/>
      <c r="AO1933" s="288" t="s">
        <v>81</v>
      </c>
      <c r="AP1933" s="275" t="s">
        <v>4806</v>
      </c>
      <c r="AQ1933" s="288" t="s">
        <v>4887</v>
      </c>
      <c r="AR1933" s="277">
        <v>44930.503472222219</v>
      </c>
      <c r="AS1933" s="272" t="s">
        <v>173</v>
      </c>
      <c r="AT1933" s="288" t="s">
        <v>225</v>
      </c>
      <c r="AU1933" s="276">
        <v>0.50347222222222221</v>
      </c>
      <c r="AV1933" s="288">
        <v>1</v>
      </c>
      <c r="AW1933" s="288" t="s">
        <v>66</v>
      </c>
      <c r="AX1933" s="52"/>
      <c r="AY1933" s="52"/>
      <c r="AZ1933" s="52"/>
      <c r="BA1933" s="52"/>
    </row>
    <row r="1934" spans="1:53" x14ac:dyDescent="0.25">
      <c r="A1934" s="312">
        <v>16</v>
      </c>
      <c r="B1934" s="311">
        <v>44929.583333333336</v>
      </c>
      <c r="C1934" s="308">
        <v>0.59027777777777779</v>
      </c>
      <c r="D1934" s="308">
        <v>0.59722222222222221</v>
      </c>
      <c r="E1934" s="308">
        <v>0.60416666666666663</v>
      </c>
      <c r="F1934" s="309" t="s">
        <v>169</v>
      </c>
      <c r="G1934" s="309" t="s">
        <v>461</v>
      </c>
      <c r="H1934" s="307" t="s">
        <v>184</v>
      </c>
      <c r="I1934" s="307" t="s">
        <v>2905</v>
      </c>
      <c r="J1934" s="307" t="s">
        <v>41</v>
      </c>
      <c r="K1934" s="307" t="s">
        <v>82</v>
      </c>
      <c r="L1934" s="307" t="s">
        <v>220</v>
      </c>
      <c r="M1934" s="309" t="s">
        <v>4806</v>
      </c>
      <c r="N1934" s="309" t="s">
        <v>340</v>
      </c>
      <c r="O1934" s="309">
        <v>2363</v>
      </c>
      <c r="P1934" s="309">
        <v>4400142270</v>
      </c>
      <c r="Q1934" s="303">
        <f t="shared" si="218"/>
        <v>0</v>
      </c>
      <c r="R1934" s="303">
        <f t="shared" si="219"/>
        <v>0</v>
      </c>
      <c r="S1934" s="309">
        <v>0</v>
      </c>
      <c r="T1934" s="309">
        <v>0</v>
      </c>
      <c r="U1934" s="309">
        <v>0</v>
      </c>
      <c r="V1934" s="309">
        <v>0</v>
      </c>
      <c r="W1934" s="309">
        <v>0</v>
      </c>
      <c r="X1934" s="309">
        <v>40</v>
      </c>
      <c r="Y1934" s="309">
        <v>31</v>
      </c>
      <c r="Z1934" s="309">
        <v>21</v>
      </c>
      <c r="AA1934" s="309">
        <v>1</v>
      </c>
      <c r="AB1934" s="307">
        <f t="shared" si="214"/>
        <v>4.34</v>
      </c>
      <c r="AC1934" s="307">
        <f t="shared" si="215"/>
        <v>2.6144578313253012E-2</v>
      </c>
      <c r="AD1934" s="309">
        <v>0</v>
      </c>
      <c r="AE1934" s="309">
        <v>0</v>
      </c>
      <c r="AF1934" s="309" t="s">
        <v>82</v>
      </c>
      <c r="AG1934" s="309" t="s">
        <v>82</v>
      </c>
      <c r="AH1934" s="309" t="s">
        <v>4807</v>
      </c>
      <c r="AI1934" s="309"/>
      <c r="AJ1934" s="309"/>
      <c r="AK1934" s="309" t="s">
        <v>48</v>
      </c>
      <c r="AL1934" s="309" t="s">
        <v>56</v>
      </c>
      <c r="AM1934" s="299">
        <f t="shared" ca="1" si="179"/>
        <v>0.92013888888322981</v>
      </c>
      <c r="AN1934" s="51"/>
      <c r="AO1934" s="288" t="s">
        <v>81</v>
      </c>
      <c r="AP1934" s="275" t="s">
        <v>4806</v>
      </c>
      <c r="AQ1934" s="288" t="s">
        <v>4887</v>
      </c>
      <c r="AR1934" s="277">
        <v>44930.503472222219</v>
      </c>
      <c r="AS1934" s="272" t="s">
        <v>173</v>
      </c>
      <c r="AT1934" s="288" t="s">
        <v>225</v>
      </c>
      <c r="AU1934" s="276">
        <v>0.50347222222222221</v>
      </c>
      <c r="AV1934" s="288">
        <v>1</v>
      </c>
      <c r="AW1934" s="288" t="s">
        <v>66</v>
      </c>
      <c r="AX1934" s="52"/>
      <c r="AY1934" s="52"/>
      <c r="AZ1934" s="52"/>
      <c r="BA1934" s="52"/>
    </row>
    <row r="1935" spans="1:53" x14ac:dyDescent="0.25">
      <c r="A1935" s="312">
        <v>17</v>
      </c>
      <c r="B1935" s="311">
        <v>44929.583333333336</v>
      </c>
      <c r="C1935" s="308">
        <v>0.59027777777777779</v>
      </c>
      <c r="D1935" s="308">
        <v>0.59722222222222221</v>
      </c>
      <c r="E1935" s="308">
        <v>0.60416666666666663</v>
      </c>
      <c r="F1935" s="309" t="s">
        <v>169</v>
      </c>
      <c r="G1935" s="309" t="s">
        <v>461</v>
      </c>
      <c r="H1935" s="307" t="s">
        <v>184</v>
      </c>
      <c r="I1935" s="307" t="s">
        <v>2905</v>
      </c>
      <c r="J1935" s="307" t="s">
        <v>41</v>
      </c>
      <c r="K1935" s="307" t="s">
        <v>82</v>
      </c>
      <c r="L1935" s="307" t="s">
        <v>220</v>
      </c>
      <c r="M1935" s="309" t="s">
        <v>4806</v>
      </c>
      <c r="N1935" s="309" t="s">
        <v>340</v>
      </c>
      <c r="O1935" s="309">
        <v>2364</v>
      </c>
      <c r="P1935" s="309">
        <v>4400142270</v>
      </c>
      <c r="Q1935" s="303">
        <f t="shared" si="218"/>
        <v>3</v>
      </c>
      <c r="R1935" s="303">
        <f t="shared" si="219"/>
        <v>51</v>
      </c>
      <c r="S1935" s="309">
        <v>3</v>
      </c>
      <c r="T1935" s="309">
        <v>51</v>
      </c>
      <c r="U1935" s="309">
        <v>0</v>
      </c>
      <c r="V1935" s="309">
        <v>0</v>
      </c>
      <c r="W1935" s="309">
        <v>50.05</v>
      </c>
      <c r="X1935" s="309">
        <v>56</v>
      </c>
      <c r="Y1935" s="309">
        <v>39</v>
      </c>
      <c r="Z1935" s="309">
        <v>41</v>
      </c>
      <c r="AA1935" s="309">
        <v>3</v>
      </c>
      <c r="AB1935" s="307">
        <f t="shared" si="214"/>
        <v>44.771999999999998</v>
      </c>
      <c r="AC1935" s="307">
        <f t="shared" si="215"/>
        <v>0.26971084337349399</v>
      </c>
      <c r="AD1935" s="309">
        <v>6815.9</v>
      </c>
      <c r="AE1935" s="309" t="s">
        <v>109</v>
      </c>
      <c r="AF1935" s="309" t="s">
        <v>82</v>
      </c>
      <c r="AG1935" s="309" t="s">
        <v>82</v>
      </c>
      <c r="AH1935" s="309" t="s">
        <v>4808</v>
      </c>
      <c r="AI1935" s="309"/>
      <c r="AJ1935" s="309"/>
      <c r="AK1935" s="309" t="s">
        <v>48</v>
      </c>
      <c r="AL1935" s="309" t="s">
        <v>56</v>
      </c>
      <c r="AM1935" s="299">
        <f t="shared" ca="1" si="179"/>
        <v>0.92013888888322981</v>
      </c>
      <c r="AN1935" s="51"/>
      <c r="AO1935" s="288" t="s">
        <v>81</v>
      </c>
      <c r="AP1935" s="275" t="s">
        <v>4806</v>
      </c>
      <c r="AQ1935" s="288" t="s">
        <v>4887</v>
      </c>
      <c r="AR1935" s="277">
        <v>44930.503472222219</v>
      </c>
      <c r="AS1935" s="272" t="s">
        <v>173</v>
      </c>
      <c r="AT1935" s="288" t="s">
        <v>225</v>
      </c>
      <c r="AU1935" s="276">
        <v>0.50347222222222221</v>
      </c>
      <c r="AV1935" s="288">
        <v>1</v>
      </c>
      <c r="AW1935" s="288" t="s">
        <v>66</v>
      </c>
      <c r="AX1935" s="52"/>
      <c r="AY1935" s="52"/>
      <c r="AZ1935" s="52"/>
      <c r="BA1935" s="52"/>
    </row>
    <row r="1936" spans="1:53" x14ac:dyDescent="0.25">
      <c r="A1936" s="312">
        <v>18</v>
      </c>
      <c r="B1936" s="311">
        <v>44929.600694444445</v>
      </c>
      <c r="C1936" s="308">
        <v>0.60416666666666663</v>
      </c>
      <c r="D1936" s="308">
        <v>0.61111111111111105</v>
      </c>
      <c r="E1936" s="308">
        <v>0.61805555555555558</v>
      </c>
      <c r="F1936" s="309" t="s">
        <v>169</v>
      </c>
      <c r="G1936" s="309" t="s">
        <v>4809</v>
      </c>
      <c r="H1936" s="307" t="s">
        <v>248</v>
      </c>
      <c r="I1936" s="307" t="s">
        <v>4810</v>
      </c>
      <c r="J1936" s="307" t="s">
        <v>41</v>
      </c>
      <c r="K1936" s="307" t="s">
        <v>241</v>
      </c>
      <c r="L1936" s="307" t="s">
        <v>249</v>
      </c>
      <c r="M1936" s="309" t="s">
        <v>4811</v>
      </c>
      <c r="N1936" s="309" t="s">
        <v>4812</v>
      </c>
      <c r="O1936" s="309">
        <v>911</v>
      </c>
      <c r="P1936" s="309" t="s">
        <v>4813</v>
      </c>
      <c r="Q1936" s="303">
        <f t="shared" si="218"/>
        <v>39</v>
      </c>
      <c r="R1936" s="303">
        <f t="shared" si="219"/>
        <v>556</v>
      </c>
      <c r="S1936" s="309">
        <v>39</v>
      </c>
      <c r="T1936" s="309">
        <v>556</v>
      </c>
      <c r="U1936" s="309">
        <v>0</v>
      </c>
      <c r="V1936" s="309">
        <v>0</v>
      </c>
      <c r="W1936" s="309">
        <v>574.41999999999996</v>
      </c>
      <c r="X1936" s="309">
        <v>61</v>
      </c>
      <c r="Y1936" s="309">
        <v>39</v>
      </c>
      <c r="Z1936" s="309">
        <v>35</v>
      </c>
      <c r="AA1936" s="309">
        <v>36</v>
      </c>
      <c r="AB1936" s="307">
        <f t="shared" si="214"/>
        <v>499.59</v>
      </c>
      <c r="AC1936" s="307">
        <f t="shared" si="215"/>
        <v>3.0095783132530118</v>
      </c>
      <c r="AD1936" s="309">
        <v>16178.4</v>
      </c>
      <c r="AE1936" s="309" t="s">
        <v>109</v>
      </c>
      <c r="AF1936" s="309" t="s">
        <v>4814</v>
      </c>
      <c r="AG1936" s="309" t="s">
        <v>4815</v>
      </c>
      <c r="AH1936" s="309" t="s">
        <v>4816</v>
      </c>
      <c r="AI1936" s="309"/>
      <c r="AJ1936" s="309"/>
      <c r="AK1936" s="309" t="s">
        <v>48</v>
      </c>
      <c r="AL1936" s="309" t="s">
        <v>47</v>
      </c>
      <c r="AM1936" s="299">
        <f t="shared" ca="1" si="179"/>
        <v>0.96180555555474712</v>
      </c>
      <c r="AN1936" s="51"/>
      <c r="AO1936" s="288" t="s">
        <v>93</v>
      </c>
      <c r="AP1936" s="275" t="s">
        <v>4811</v>
      </c>
      <c r="AQ1936" s="288" t="s">
        <v>4888</v>
      </c>
      <c r="AR1936" s="277">
        <v>44930.5625</v>
      </c>
      <c r="AS1936" s="272" t="s">
        <v>136</v>
      </c>
      <c r="AT1936" s="288" t="s">
        <v>225</v>
      </c>
      <c r="AU1936" s="276">
        <v>0.5625</v>
      </c>
      <c r="AV1936" s="288">
        <v>1</v>
      </c>
      <c r="AW1936" s="288" t="s">
        <v>66</v>
      </c>
      <c r="AX1936" s="52"/>
      <c r="AY1936" s="52"/>
      <c r="AZ1936" s="52"/>
      <c r="BA1936" s="52"/>
    </row>
    <row r="1937" spans="1:53" x14ac:dyDescent="0.25">
      <c r="A1937" s="312">
        <v>18</v>
      </c>
      <c r="B1937" s="311">
        <v>44929.600694444445</v>
      </c>
      <c r="C1937" s="308">
        <v>0.60416666666666663</v>
      </c>
      <c r="D1937" s="308">
        <v>0.61111111111111105</v>
      </c>
      <c r="E1937" s="308">
        <v>0.61805555555555558</v>
      </c>
      <c r="F1937" s="309" t="s">
        <v>169</v>
      </c>
      <c r="G1937" s="309" t="s">
        <v>4809</v>
      </c>
      <c r="H1937" s="307" t="s">
        <v>248</v>
      </c>
      <c r="I1937" s="307" t="s">
        <v>4810</v>
      </c>
      <c r="J1937" s="307" t="s">
        <v>41</v>
      </c>
      <c r="K1937" s="307" t="s">
        <v>241</v>
      </c>
      <c r="L1937" s="307" t="s">
        <v>249</v>
      </c>
      <c r="M1937" s="309" t="s">
        <v>4811</v>
      </c>
      <c r="N1937" s="309" t="s">
        <v>4812</v>
      </c>
      <c r="O1937" s="309">
        <v>911</v>
      </c>
      <c r="P1937" s="309" t="s">
        <v>4813</v>
      </c>
      <c r="Q1937" s="303">
        <f t="shared" si="218"/>
        <v>0</v>
      </c>
      <c r="R1937" s="303">
        <f t="shared" si="219"/>
        <v>0</v>
      </c>
      <c r="S1937" s="309">
        <v>0</v>
      </c>
      <c r="T1937" s="309">
        <v>0</v>
      </c>
      <c r="U1937" s="309">
        <v>0</v>
      </c>
      <c r="V1937" s="309">
        <v>0</v>
      </c>
      <c r="W1937" s="309">
        <v>0</v>
      </c>
      <c r="X1937" s="309">
        <v>61</v>
      </c>
      <c r="Y1937" s="309">
        <v>39</v>
      </c>
      <c r="Z1937" s="309">
        <v>20</v>
      </c>
      <c r="AA1937" s="309">
        <v>3</v>
      </c>
      <c r="AB1937" s="307">
        <f t="shared" ref="AB1937:AB1941" si="220">X1937*Y1937*Z1937*AA1937/6000</f>
        <v>23.79</v>
      </c>
      <c r="AC1937" s="307">
        <f t="shared" ref="AC1937:AC1941" si="221">AB1937/166</f>
        <v>0.1433132530120482</v>
      </c>
      <c r="AD1937" s="309">
        <v>0</v>
      </c>
      <c r="AE1937" s="309">
        <v>0</v>
      </c>
      <c r="AF1937" s="309" t="s">
        <v>4814</v>
      </c>
      <c r="AG1937" s="309" t="s">
        <v>4815</v>
      </c>
      <c r="AH1937" s="309" t="s">
        <v>4816</v>
      </c>
      <c r="AI1937" s="309"/>
      <c r="AJ1937" s="309"/>
      <c r="AK1937" s="309" t="s">
        <v>48</v>
      </c>
      <c r="AL1937" s="309" t="s">
        <v>47</v>
      </c>
      <c r="AM1937" s="299">
        <f t="shared" ca="1" si="179"/>
        <v>0.96180555555474712</v>
      </c>
      <c r="AN1937" s="51"/>
      <c r="AO1937" s="288" t="s">
        <v>93</v>
      </c>
      <c r="AP1937" s="275" t="s">
        <v>4811</v>
      </c>
      <c r="AQ1937" s="288" t="s">
        <v>4888</v>
      </c>
      <c r="AR1937" s="277">
        <v>44930.5625</v>
      </c>
      <c r="AS1937" s="272" t="s">
        <v>136</v>
      </c>
      <c r="AT1937" s="288" t="s">
        <v>225</v>
      </c>
      <c r="AU1937" s="276">
        <v>0.5625</v>
      </c>
      <c r="AV1937" s="288">
        <v>1</v>
      </c>
      <c r="AW1937" s="288" t="s">
        <v>66</v>
      </c>
      <c r="AX1937" s="52"/>
      <c r="AY1937" s="52"/>
      <c r="AZ1937" s="52"/>
      <c r="BA1937" s="52"/>
    </row>
    <row r="1938" spans="1:53" x14ac:dyDescent="0.25">
      <c r="A1938" s="48">
        <v>19</v>
      </c>
      <c r="B1938" s="311">
        <v>44929.739583333336</v>
      </c>
      <c r="C1938" s="308">
        <v>0.74305555555555547</v>
      </c>
      <c r="D1938" s="308">
        <v>0.75</v>
      </c>
      <c r="E1938" s="308">
        <v>0.75694444444444453</v>
      </c>
      <c r="F1938" s="309" t="s">
        <v>171</v>
      </c>
      <c r="G1938" s="309" t="s">
        <v>151</v>
      </c>
      <c r="H1938" s="309" t="s">
        <v>75</v>
      </c>
      <c r="I1938" s="309" t="s">
        <v>166</v>
      </c>
      <c r="J1938" s="309" t="s">
        <v>37</v>
      </c>
      <c r="K1938" s="309" t="s">
        <v>180</v>
      </c>
      <c r="L1938" s="237" t="s">
        <v>209</v>
      </c>
      <c r="M1938" s="309" t="s">
        <v>4824</v>
      </c>
      <c r="N1938" s="309" t="s">
        <v>167</v>
      </c>
      <c r="O1938" s="309" t="s">
        <v>4825</v>
      </c>
      <c r="P1938" s="309">
        <v>17438</v>
      </c>
      <c r="Q1938" s="303">
        <f t="shared" si="218"/>
        <v>1</v>
      </c>
      <c r="R1938" s="303">
        <f t="shared" si="219"/>
        <v>233</v>
      </c>
      <c r="S1938" s="309">
        <v>0</v>
      </c>
      <c r="T1938" s="309">
        <v>0</v>
      </c>
      <c r="U1938" s="309">
        <v>1</v>
      </c>
      <c r="V1938" s="309">
        <v>233</v>
      </c>
      <c r="W1938" s="309">
        <v>229</v>
      </c>
      <c r="X1938" s="309">
        <v>107</v>
      </c>
      <c r="Y1938" s="309">
        <v>107</v>
      </c>
      <c r="Z1938" s="309">
        <v>52</v>
      </c>
      <c r="AA1938" s="309">
        <v>1</v>
      </c>
      <c r="AB1938" s="307">
        <f t="shared" si="220"/>
        <v>99.224666666666664</v>
      </c>
      <c r="AC1938" s="307">
        <f t="shared" si="221"/>
        <v>0.59773895582329317</v>
      </c>
      <c r="AD1938" s="309">
        <v>1865.21</v>
      </c>
      <c r="AE1938" s="309" t="s">
        <v>109</v>
      </c>
      <c r="AF1938" s="309">
        <v>6657911</v>
      </c>
      <c r="AG1938" s="309" t="s">
        <v>4815</v>
      </c>
      <c r="AH1938" s="309" t="s">
        <v>4826</v>
      </c>
      <c r="AI1938" s="309"/>
      <c r="AJ1938" s="309"/>
      <c r="AK1938" s="309" t="s">
        <v>37</v>
      </c>
      <c r="AL1938" s="309" t="s">
        <v>49</v>
      </c>
      <c r="AM1938" s="299">
        <f t="shared" ca="1" si="179"/>
        <v>0.76388888888322981</v>
      </c>
      <c r="AN1938" s="51"/>
      <c r="AO1938" s="288" t="s">
        <v>161</v>
      </c>
      <c r="AP1938" s="275" t="s">
        <v>4824</v>
      </c>
      <c r="AQ1938" s="288" t="s">
        <v>4884</v>
      </c>
      <c r="AR1938" s="277">
        <v>44930.503472222219</v>
      </c>
      <c r="AS1938" s="272" t="s">
        <v>173</v>
      </c>
      <c r="AT1938" s="288" t="s">
        <v>225</v>
      </c>
      <c r="AU1938" s="276">
        <v>0.50347222222222221</v>
      </c>
      <c r="AV1938" s="288">
        <v>1</v>
      </c>
      <c r="AW1938" s="288" t="s">
        <v>66</v>
      </c>
      <c r="AX1938" s="52"/>
      <c r="AY1938" s="52"/>
      <c r="AZ1938" s="52"/>
      <c r="BA1938" s="52"/>
    </row>
    <row r="1939" spans="1:53" x14ac:dyDescent="0.25">
      <c r="A1939" s="48">
        <v>20</v>
      </c>
      <c r="B1939" s="311">
        <v>44929.774305555555</v>
      </c>
      <c r="C1939" s="308">
        <v>0.77777777777777779</v>
      </c>
      <c r="D1939" s="308">
        <v>0.78125</v>
      </c>
      <c r="E1939" s="308">
        <v>0.78819444444444453</v>
      </c>
      <c r="F1939" s="309" t="s">
        <v>171</v>
      </c>
      <c r="G1939" s="309" t="s">
        <v>148</v>
      </c>
      <c r="H1939" s="309" t="s">
        <v>3119</v>
      </c>
      <c r="I1939" s="309" t="s">
        <v>162</v>
      </c>
      <c r="J1939" s="309" t="s">
        <v>37</v>
      </c>
      <c r="K1939" s="309" t="s">
        <v>180</v>
      </c>
      <c r="L1939" s="309" t="s">
        <v>206</v>
      </c>
      <c r="M1939" s="309" t="s">
        <v>4827</v>
      </c>
      <c r="N1939" s="309" t="s">
        <v>158</v>
      </c>
      <c r="O1939" s="309" t="s">
        <v>4828</v>
      </c>
      <c r="P1939" s="309">
        <v>5051996080</v>
      </c>
      <c r="Q1939" s="303">
        <f t="shared" si="218"/>
        <v>2</v>
      </c>
      <c r="R1939" s="303">
        <f t="shared" si="219"/>
        <v>100</v>
      </c>
      <c r="S1939" s="309">
        <v>0</v>
      </c>
      <c r="T1939" s="309">
        <v>0</v>
      </c>
      <c r="U1939" s="309">
        <v>2</v>
      </c>
      <c r="V1939" s="309">
        <v>100</v>
      </c>
      <c r="W1939" s="309">
        <v>99.3</v>
      </c>
      <c r="X1939" s="309">
        <v>72</v>
      </c>
      <c r="Y1939" s="309">
        <v>36</v>
      </c>
      <c r="Z1939" s="309">
        <v>28</v>
      </c>
      <c r="AA1939" s="309">
        <v>1</v>
      </c>
      <c r="AB1939" s="307">
        <f t="shared" si="220"/>
        <v>12.096</v>
      </c>
      <c r="AC1939" s="307">
        <f t="shared" si="221"/>
        <v>7.2867469879518074E-2</v>
      </c>
      <c r="AD1939" s="309">
        <v>12235.1</v>
      </c>
      <c r="AE1939" s="309" t="s">
        <v>109</v>
      </c>
      <c r="AF1939" s="309" t="s">
        <v>3432</v>
      </c>
      <c r="AG1939" s="309" t="s">
        <v>3432</v>
      </c>
      <c r="AH1939" s="309" t="s">
        <v>4829</v>
      </c>
      <c r="AI1939" s="309"/>
      <c r="AJ1939" s="309"/>
      <c r="AK1939" s="309" t="s">
        <v>37</v>
      </c>
      <c r="AL1939" s="309" t="s">
        <v>49</v>
      </c>
      <c r="AM1939" s="299">
        <f t="shared" ca="1" si="179"/>
        <v>3.7395833333357587</v>
      </c>
      <c r="AN1939" s="51"/>
      <c r="AO1939" s="288" t="s">
        <v>159</v>
      </c>
      <c r="AP1939" s="275" t="s">
        <v>4827</v>
      </c>
      <c r="AQ1939" s="288" t="s">
        <v>5030</v>
      </c>
      <c r="AR1939" s="277">
        <v>44933.513888888891</v>
      </c>
      <c r="AS1939" s="272" t="s">
        <v>173</v>
      </c>
      <c r="AT1939" s="288" t="s">
        <v>225</v>
      </c>
      <c r="AU1939" s="276">
        <v>0.51388888888888895</v>
      </c>
      <c r="AV1939" s="288">
        <v>1</v>
      </c>
      <c r="AW1939" s="288" t="s">
        <v>66</v>
      </c>
      <c r="AX1939" s="52"/>
      <c r="AY1939" s="52"/>
      <c r="AZ1939" s="52"/>
      <c r="BA1939" s="52"/>
    </row>
    <row r="1940" spans="1:53" x14ac:dyDescent="0.25">
      <c r="A1940" s="312">
        <v>20</v>
      </c>
      <c r="B1940" s="311">
        <v>44929.774305555555</v>
      </c>
      <c r="C1940" s="308">
        <v>0.77777777777777779</v>
      </c>
      <c r="D1940" s="308">
        <v>0.78125</v>
      </c>
      <c r="E1940" s="308">
        <v>0.78819444444444453</v>
      </c>
      <c r="F1940" s="309" t="s">
        <v>171</v>
      </c>
      <c r="G1940" s="309" t="s">
        <v>148</v>
      </c>
      <c r="H1940" s="309" t="s">
        <v>3119</v>
      </c>
      <c r="I1940" s="309" t="s">
        <v>162</v>
      </c>
      <c r="J1940" s="309" t="s">
        <v>37</v>
      </c>
      <c r="K1940" s="309" t="s">
        <v>180</v>
      </c>
      <c r="L1940" s="309" t="s">
        <v>206</v>
      </c>
      <c r="M1940" s="309" t="s">
        <v>4827</v>
      </c>
      <c r="N1940" s="309" t="s">
        <v>158</v>
      </c>
      <c r="O1940" s="309" t="s">
        <v>4828</v>
      </c>
      <c r="P1940" s="309">
        <v>5051996080</v>
      </c>
      <c r="Q1940" s="303">
        <f t="shared" si="218"/>
        <v>0</v>
      </c>
      <c r="R1940" s="303">
        <f t="shared" si="219"/>
        <v>0</v>
      </c>
      <c r="S1940" s="309">
        <v>0</v>
      </c>
      <c r="T1940" s="309">
        <v>0</v>
      </c>
      <c r="U1940" s="309">
        <v>0</v>
      </c>
      <c r="V1940" s="309">
        <v>0</v>
      </c>
      <c r="W1940" s="309">
        <v>0</v>
      </c>
      <c r="X1940" s="309">
        <v>143</v>
      </c>
      <c r="Y1940" s="309">
        <v>47</v>
      </c>
      <c r="Z1940" s="309">
        <v>28</v>
      </c>
      <c r="AA1940" s="309">
        <v>1</v>
      </c>
      <c r="AB1940" s="307">
        <f t="shared" si="220"/>
        <v>31.364666666666668</v>
      </c>
      <c r="AC1940" s="307">
        <f t="shared" si="221"/>
        <v>0.18894377510040161</v>
      </c>
      <c r="AD1940" s="309">
        <v>0</v>
      </c>
      <c r="AE1940" s="309">
        <v>0</v>
      </c>
      <c r="AF1940" s="309" t="s">
        <v>3432</v>
      </c>
      <c r="AG1940" s="309" t="s">
        <v>3432</v>
      </c>
      <c r="AH1940" s="309" t="s">
        <v>4829</v>
      </c>
      <c r="AI1940" s="309"/>
      <c r="AJ1940" s="309"/>
      <c r="AK1940" s="309" t="s">
        <v>37</v>
      </c>
      <c r="AL1940" s="309" t="s">
        <v>49</v>
      </c>
      <c r="AM1940" s="299">
        <f t="shared" ca="1" si="179"/>
        <v>3.7395833333357587</v>
      </c>
      <c r="AN1940" s="51"/>
      <c r="AO1940" s="288" t="s">
        <v>159</v>
      </c>
      <c r="AP1940" s="275" t="s">
        <v>4827</v>
      </c>
      <c r="AQ1940" s="288" t="s">
        <v>5030</v>
      </c>
      <c r="AR1940" s="277">
        <v>44933.513888888891</v>
      </c>
      <c r="AS1940" s="272" t="s">
        <v>173</v>
      </c>
      <c r="AT1940" s="288" t="s">
        <v>225</v>
      </c>
      <c r="AU1940" s="276">
        <v>0.51388888888888895</v>
      </c>
      <c r="AV1940" s="288">
        <v>1</v>
      </c>
      <c r="AW1940" s="288" t="s">
        <v>66</v>
      </c>
      <c r="AX1940" s="52"/>
      <c r="AY1940" s="52"/>
      <c r="AZ1940" s="52"/>
      <c r="BA1940" s="52"/>
    </row>
    <row r="1941" spans="1:53" x14ac:dyDescent="0.25">
      <c r="A1941" s="48">
        <v>21</v>
      </c>
      <c r="B1941" s="311">
        <v>44929.802083333336</v>
      </c>
      <c r="C1941" s="36">
        <v>0.80208333333333337</v>
      </c>
      <c r="D1941" s="36">
        <v>0.80555555555555547</v>
      </c>
      <c r="E1941" s="36">
        <v>0.80555555555555547</v>
      </c>
      <c r="F1941" s="309" t="s">
        <v>171</v>
      </c>
      <c r="G1941" s="37" t="s">
        <v>280</v>
      </c>
      <c r="H1941" s="26" t="s">
        <v>140</v>
      </c>
      <c r="I1941" s="26" t="s">
        <v>4830</v>
      </c>
      <c r="J1941" s="309" t="s">
        <v>37</v>
      </c>
      <c r="K1941" s="309" t="s">
        <v>180</v>
      </c>
      <c r="L1941" s="309" t="s">
        <v>206</v>
      </c>
      <c r="M1941" s="309" t="s">
        <v>4831</v>
      </c>
      <c r="N1941" s="37" t="s">
        <v>42</v>
      </c>
      <c r="O1941" s="37">
        <v>1008100925</v>
      </c>
      <c r="P1941" s="37">
        <v>217906</v>
      </c>
      <c r="Q1941" s="303">
        <f t="shared" si="218"/>
        <v>4</v>
      </c>
      <c r="R1941" s="303">
        <f t="shared" si="219"/>
        <v>504</v>
      </c>
      <c r="S1941" s="37">
        <v>0</v>
      </c>
      <c r="T1941" s="37">
        <v>0</v>
      </c>
      <c r="U1941" s="37">
        <v>4</v>
      </c>
      <c r="V1941" s="292">
        <f>126+126+126+126</f>
        <v>504</v>
      </c>
      <c r="W1941" s="292">
        <v>864</v>
      </c>
      <c r="X1941" s="37">
        <v>82</v>
      </c>
      <c r="Y1941" s="37">
        <v>74</v>
      </c>
      <c r="Z1941" s="37">
        <v>69</v>
      </c>
      <c r="AA1941" s="37">
        <v>4</v>
      </c>
      <c r="AB1941" s="35">
        <f t="shared" si="220"/>
        <v>279.12799999999999</v>
      </c>
      <c r="AC1941" s="35">
        <f t="shared" si="221"/>
        <v>1.6814939759036143</v>
      </c>
      <c r="AD1941" s="37" t="s">
        <v>48</v>
      </c>
      <c r="AE1941" s="37" t="s">
        <v>48</v>
      </c>
      <c r="AF1941" s="309" t="s">
        <v>3432</v>
      </c>
      <c r="AG1941" s="309" t="s">
        <v>3432</v>
      </c>
      <c r="AH1941" s="37" t="s">
        <v>4832</v>
      </c>
      <c r="AI1941" s="309"/>
      <c r="AJ1941" s="309"/>
      <c r="AK1941" s="37" t="s">
        <v>37</v>
      </c>
      <c r="AL1941" s="37" t="s">
        <v>54</v>
      </c>
      <c r="AM1941" s="299">
        <f t="shared" ca="1" si="179"/>
        <v>0.76041666666424135</v>
      </c>
      <c r="AN1941" s="51"/>
      <c r="AO1941" s="288" t="s">
        <v>4890</v>
      </c>
      <c r="AP1941" s="275" t="s">
        <v>4831</v>
      </c>
      <c r="AQ1941" s="288" t="s">
        <v>4891</v>
      </c>
      <c r="AR1941" s="277">
        <v>44930.5625</v>
      </c>
      <c r="AS1941" s="272" t="s">
        <v>136</v>
      </c>
      <c r="AT1941" s="288" t="s">
        <v>225</v>
      </c>
      <c r="AU1941" s="276">
        <v>0.5625</v>
      </c>
      <c r="AV1941" s="288">
        <v>1</v>
      </c>
      <c r="AW1941" s="288" t="s">
        <v>66</v>
      </c>
      <c r="AX1941" s="52"/>
      <c r="AY1941" s="52"/>
      <c r="AZ1941" s="52"/>
      <c r="BA1941" s="52"/>
    </row>
    <row r="1942" spans="1:53" x14ac:dyDescent="0.25">
      <c r="A1942" s="312">
        <v>22</v>
      </c>
      <c r="B1942" s="311">
        <v>44930.430555555555</v>
      </c>
      <c r="C1942" s="308">
        <v>0.43402777777777773</v>
      </c>
      <c r="D1942" s="308">
        <v>0.4375</v>
      </c>
      <c r="E1942" s="308">
        <v>0.4513888888888889</v>
      </c>
      <c r="F1942" s="309" t="s">
        <v>171</v>
      </c>
      <c r="G1942" s="309" t="s">
        <v>4833</v>
      </c>
      <c r="H1942" s="310" t="s">
        <v>287</v>
      </c>
      <c r="I1942" s="310" t="s">
        <v>287</v>
      </c>
      <c r="J1942" s="310" t="s">
        <v>41</v>
      </c>
      <c r="K1942" s="309" t="s">
        <v>233</v>
      </c>
      <c r="L1942" s="237" t="s">
        <v>206</v>
      </c>
      <c r="M1942" s="309" t="s">
        <v>4834</v>
      </c>
      <c r="N1942" s="309" t="s">
        <v>154</v>
      </c>
      <c r="O1942" s="309" t="s">
        <v>4835</v>
      </c>
      <c r="P1942" s="309">
        <v>12044229</v>
      </c>
      <c r="Q1942" s="303">
        <f t="shared" ref="Q1942:Q1975" si="222">S1942+U1942</f>
        <v>9</v>
      </c>
      <c r="R1942" s="303">
        <f t="shared" ref="R1942:R1975" si="223">T1942+V1942</f>
        <v>0</v>
      </c>
      <c r="S1942" s="309">
        <v>0</v>
      </c>
      <c r="T1942" s="309">
        <v>0</v>
      </c>
      <c r="U1942" s="309">
        <v>9</v>
      </c>
      <c r="V1942" s="309">
        <v>0</v>
      </c>
      <c r="W1942" s="309">
        <v>10305</v>
      </c>
      <c r="X1942" s="309">
        <v>263</v>
      </c>
      <c r="Y1942" s="309">
        <v>127</v>
      </c>
      <c r="Z1942" s="309">
        <v>202</v>
      </c>
      <c r="AA1942" s="309">
        <v>4</v>
      </c>
      <c r="AB1942" s="307">
        <f t="shared" ref="AB1942:AB1975" si="224">X1942*Y1942*Z1942*AA1942/6000</f>
        <v>4498.0013333333336</v>
      </c>
      <c r="AC1942" s="307">
        <f t="shared" ref="AC1942:AC1975" si="225">AB1942/166</f>
        <v>27.096393574297192</v>
      </c>
      <c r="AD1942" s="309">
        <v>312733.86</v>
      </c>
      <c r="AE1942" s="309" t="s">
        <v>109</v>
      </c>
      <c r="AF1942" s="309" t="s">
        <v>4836</v>
      </c>
      <c r="AG1942" s="309" t="s">
        <v>4837</v>
      </c>
      <c r="AH1942" s="309" t="s">
        <v>4838</v>
      </c>
      <c r="AI1942" s="309"/>
      <c r="AJ1942" s="309"/>
      <c r="AK1942" s="309" t="s">
        <v>37</v>
      </c>
      <c r="AL1942" s="309" t="s">
        <v>54</v>
      </c>
      <c r="AM1942" s="299">
        <f t="shared" ca="1" si="179"/>
        <v>1.0416666664241347E-2</v>
      </c>
      <c r="AN1942" s="51"/>
      <c r="AO1942" s="288" t="s">
        <v>294</v>
      </c>
      <c r="AP1942" s="288" t="s">
        <v>4834</v>
      </c>
      <c r="AQ1942" s="288" t="s">
        <v>4881</v>
      </c>
      <c r="AR1942" s="277">
        <v>44930.440972222219</v>
      </c>
      <c r="AS1942" s="288" t="s">
        <v>4882</v>
      </c>
      <c r="AT1942" s="276" t="s">
        <v>65</v>
      </c>
      <c r="AU1942" s="276">
        <v>0.44097222222222227</v>
      </c>
      <c r="AV1942" s="288">
        <v>1</v>
      </c>
      <c r="AW1942" s="288" t="s">
        <v>66</v>
      </c>
      <c r="AX1942" s="52"/>
      <c r="AY1942" s="52"/>
      <c r="AZ1942" s="52"/>
      <c r="BA1942" s="52"/>
    </row>
    <row r="1943" spans="1:53" x14ac:dyDescent="0.25">
      <c r="A1943" s="312">
        <v>22</v>
      </c>
      <c r="B1943" s="311">
        <v>44930.430555555555</v>
      </c>
      <c r="C1943" s="308">
        <v>0.43402777777777773</v>
      </c>
      <c r="D1943" s="308">
        <v>0.4375</v>
      </c>
      <c r="E1943" s="308">
        <v>0.4513888888888889</v>
      </c>
      <c r="F1943" s="309" t="s">
        <v>171</v>
      </c>
      <c r="G1943" s="309" t="s">
        <v>4833</v>
      </c>
      <c r="H1943" s="307" t="s">
        <v>287</v>
      </c>
      <c r="I1943" s="307" t="s">
        <v>287</v>
      </c>
      <c r="J1943" s="307" t="s">
        <v>41</v>
      </c>
      <c r="K1943" s="309" t="s">
        <v>233</v>
      </c>
      <c r="L1943" s="237" t="s">
        <v>206</v>
      </c>
      <c r="M1943" s="309" t="s">
        <v>4834</v>
      </c>
      <c r="N1943" s="309" t="s">
        <v>154</v>
      </c>
      <c r="O1943" s="309" t="s">
        <v>4835</v>
      </c>
      <c r="P1943" s="309">
        <v>12044229</v>
      </c>
      <c r="Q1943" s="303">
        <f t="shared" si="222"/>
        <v>0</v>
      </c>
      <c r="R1943" s="303">
        <f t="shared" si="223"/>
        <v>0</v>
      </c>
      <c r="S1943" s="309">
        <v>0</v>
      </c>
      <c r="T1943" s="309">
        <v>0</v>
      </c>
      <c r="U1943" s="309">
        <v>0</v>
      </c>
      <c r="V1943" s="309">
        <v>0</v>
      </c>
      <c r="W1943" s="309">
        <v>0</v>
      </c>
      <c r="X1943" s="309">
        <v>107</v>
      </c>
      <c r="Y1943" s="309">
        <v>90</v>
      </c>
      <c r="Z1943" s="309">
        <v>126</v>
      </c>
      <c r="AA1943" s="309">
        <v>1</v>
      </c>
      <c r="AB1943" s="307">
        <f t="shared" si="224"/>
        <v>202.23</v>
      </c>
      <c r="AC1943" s="307">
        <f t="shared" si="225"/>
        <v>1.2182530120481927</v>
      </c>
      <c r="AD1943" s="309">
        <v>0</v>
      </c>
      <c r="AE1943" s="309">
        <v>0</v>
      </c>
      <c r="AF1943" s="309" t="s">
        <v>4836</v>
      </c>
      <c r="AG1943" s="309" t="s">
        <v>4837</v>
      </c>
      <c r="AH1943" s="309" t="s">
        <v>4838</v>
      </c>
      <c r="AI1943" s="309"/>
      <c r="AJ1943" s="309"/>
      <c r="AK1943" s="309" t="s">
        <v>37</v>
      </c>
      <c r="AL1943" s="309" t="s">
        <v>54</v>
      </c>
      <c r="AM1943" s="299">
        <f t="shared" ca="1" si="179"/>
        <v>1.0416666664241347E-2</v>
      </c>
      <c r="AN1943" s="51"/>
      <c r="AO1943" s="288" t="s">
        <v>294</v>
      </c>
      <c r="AP1943" s="288" t="s">
        <v>4834</v>
      </c>
      <c r="AQ1943" s="288" t="s">
        <v>4881</v>
      </c>
      <c r="AR1943" s="277">
        <v>44930.440972222219</v>
      </c>
      <c r="AS1943" s="288" t="s">
        <v>4882</v>
      </c>
      <c r="AT1943" s="276" t="s">
        <v>65</v>
      </c>
      <c r="AU1943" s="276">
        <v>0.44097222222222227</v>
      </c>
      <c r="AV1943" s="288">
        <v>1</v>
      </c>
      <c r="AW1943" s="288" t="s">
        <v>66</v>
      </c>
      <c r="AX1943" s="52"/>
      <c r="AY1943" s="52"/>
      <c r="AZ1943" s="52"/>
      <c r="BA1943" s="52"/>
    </row>
    <row r="1944" spans="1:53" x14ac:dyDescent="0.25">
      <c r="A1944" s="312">
        <v>22</v>
      </c>
      <c r="B1944" s="311">
        <v>44930.430555555555</v>
      </c>
      <c r="C1944" s="308">
        <v>0.43402777777777773</v>
      </c>
      <c r="D1944" s="308">
        <v>0.4375</v>
      </c>
      <c r="E1944" s="308">
        <v>0.4513888888888889</v>
      </c>
      <c r="F1944" s="309" t="s">
        <v>171</v>
      </c>
      <c r="G1944" s="309" t="s">
        <v>4833</v>
      </c>
      <c r="H1944" s="307" t="s">
        <v>287</v>
      </c>
      <c r="I1944" s="307" t="s">
        <v>287</v>
      </c>
      <c r="J1944" s="307" t="s">
        <v>41</v>
      </c>
      <c r="K1944" s="309" t="s">
        <v>233</v>
      </c>
      <c r="L1944" s="237" t="s">
        <v>206</v>
      </c>
      <c r="M1944" s="309" t="s">
        <v>4834</v>
      </c>
      <c r="N1944" s="309" t="s">
        <v>154</v>
      </c>
      <c r="O1944" s="309" t="s">
        <v>4835</v>
      </c>
      <c r="P1944" s="309">
        <v>12044229</v>
      </c>
      <c r="Q1944" s="303">
        <f t="shared" si="222"/>
        <v>0</v>
      </c>
      <c r="R1944" s="303">
        <f t="shared" si="223"/>
        <v>0</v>
      </c>
      <c r="S1944" s="309">
        <v>0</v>
      </c>
      <c r="T1944" s="309">
        <v>0</v>
      </c>
      <c r="U1944" s="309">
        <v>0</v>
      </c>
      <c r="V1944" s="309">
        <v>0</v>
      </c>
      <c r="W1944" s="309">
        <v>0</v>
      </c>
      <c r="X1944" s="309">
        <v>182</v>
      </c>
      <c r="Y1944" s="309">
        <v>97</v>
      </c>
      <c r="Z1944" s="309">
        <v>132</v>
      </c>
      <c r="AA1944" s="309">
        <v>1</v>
      </c>
      <c r="AB1944" s="307">
        <f t="shared" si="224"/>
        <v>388.38799999999998</v>
      </c>
      <c r="AC1944" s="307">
        <f t="shared" si="225"/>
        <v>2.3396867469879519</v>
      </c>
      <c r="AD1944" s="309">
        <v>0</v>
      </c>
      <c r="AE1944" s="309">
        <v>0</v>
      </c>
      <c r="AF1944" s="309" t="s">
        <v>4836</v>
      </c>
      <c r="AG1944" s="309" t="s">
        <v>4837</v>
      </c>
      <c r="AH1944" s="309" t="s">
        <v>4838</v>
      </c>
      <c r="AI1944" s="309"/>
      <c r="AJ1944" s="309"/>
      <c r="AK1944" s="309" t="s">
        <v>37</v>
      </c>
      <c r="AL1944" s="309" t="s">
        <v>54</v>
      </c>
      <c r="AM1944" s="299">
        <f t="shared" ca="1" si="179"/>
        <v>1.0416666664241347E-2</v>
      </c>
      <c r="AN1944" s="51"/>
      <c r="AO1944" s="288" t="s">
        <v>294</v>
      </c>
      <c r="AP1944" s="288" t="s">
        <v>4834</v>
      </c>
      <c r="AQ1944" s="288" t="s">
        <v>4881</v>
      </c>
      <c r="AR1944" s="277">
        <v>44930.440972222219</v>
      </c>
      <c r="AS1944" s="288" t="s">
        <v>4882</v>
      </c>
      <c r="AT1944" s="276" t="s">
        <v>65</v>
      </c>
      <c r="AU1944" s="276">
        <v>0.44097222222222227</v>
      </c>
      <c r="AV1944" s="288">
        <v>1</v>
      </c>
      <c r="AW1944" s="288" t="s">
        <v>66</v>
      </c>
      <c r="AX1944" s="52"/>
      <c r="AY1944" s="52"/>
      <c r="AZ1944" s="52"/>
      <c r="BA1944" s="52"/>
    </row>
    <row r="1945" spans="1:53" x14ac:dyDescent="0.25">
      <c r="A1945" s="312">
        <v>22</v>
      </c>
      <c r="B1945" s="311">
        <v>44930.430555555555</v>
      </c>
      <c r="C1945" s="308">
        <v>0.43402777777777773</v>
      </c>
      <c r="D1945" s="308">
        <v>0.4375</v>
      </c>
      <c r="E1945" s="308">
        <v>0.4513888888888889</v>
      </c>
      <c r="F1945" s="309" t="s">
        <v>171</v>
      </c>
      <c r="G1945" s="309" t="s">
        <v>4833</v>
      </c>
      <c r="H1945" s="307" t="s">
        <v>287</v>
      </c>
      <c r="I1945" s="307" t="s">
        <v>287</v>
      </c>
      <c r="J1945" s="307" t="s">
        <v>41</v>
      </c>
      <c r="K1945" s="309" t="s">
        <v>233</v>
      </c>
      <c r="L1945" s="237" t="s">
        <v>206</v>
      </c>
      <c r="M1945" s="309" t="s">
        <v>4834</v>
      </c>
      <c r="N1945" s="309" t="s">
        <v>154</v>
      </c>
      <c r="O1945" s="309" t="s">
        <v>4835</v>
      </c>
      <c r="P1945" s="309">
        <v>12044229</v>
      </c>
      <c r="Q1945" s="303">
        <f t="shared" si="222"/>
        <v>0</v>
      </c>
      <c r="R1945" s="303">
        <f t="shared" si="223"/>
        <v>0</v>
      </c>
      <c r="S1945" s="309">
        <v>0</v>
      </c>
      <c r="T1945" s="309">
        <v>0</v>
      </c>
      <c r="U1945" s="309">
        <v>0</v>
      </c>
      <c r="V1945" s="309">
        <v>0</v>
      </c>
      <c r="W1945" s="309">
        <v>0</v>
      </c>
      <c r="X1945" s="309">
        <v>173</v>
      </c>
      <c r="Y1945" s="309">
        <v>87</v>
      </c>
      <c r="Z1945" s="309">
        <v>134</v>
      </c>
      <c r="AA1945" s="309">
        <v>1</v>
      </c>
      <c r="AB1945" s="307">
        <f t="shared" si="224"/>
        <v>336.13900000000001</v>
      </c>
      <c r="AC1945" s="307">
        <f t="shared" si="225"/>
        <v>2.0249337349397591</v>
      </c>
      <c r="AD1945" s="309">
        <v>0</v>
      </c>
      <c r="AE1945" s="309">
        <v>0</v>
      </c>
      <c r="AF1945" s="309" t="s">
        <v>4836</v>
      </c>
      <c r="AG1945" s="309" t="s">
        <v>4837</v>
      </c>
      <c r="AH1945" s="309" t="s">
        <v>4838</v>
      </c>
      <c r="AI1945" s="309"/>
      <c r="AJ1945" s="309"/>
      <c r="AK1945" s="309" t="s">
        <v>37</v>
      </c>
      <c r="AL1945" s="309" t="s">
        <v>54</v>
      </c>
      <c r="AM1945" s="299">
        <f t="shared" ca="1" si="179"/>
        <v>1.0416666664241347E-2</v>
      </c>
      <c r="AN1945" s="51"/>
      <c r="AO1945" s="288" t="s">
        <v>294</v>
      </c>
      <c r="AP1945" s="288" t="s">
        <v>4834</v>
      </c>
      <c r="AQ1945" s="288" t="s">
        <v>4881</v>
      </c>
      <c r="AR1945" s="277">
        <v>44930.440972222219</v>
      </c>
      <c r="AS1945" s="288" t="s">
        <v>4882</v>
      </c>
      <c r="AT1945" s="276" t="s">
        <v>65</v>
      </c>
      <c r="AU1945" s="276">
        <v>0.44097222222222227</v>
      </c>
      <c r="AV1945" s="288">
        <v>1</v>
      </c>
      <c r="AW1945" s="288" t="s">
        <v>66</v>
      </c>
      <c r="AX1945" s="52"/>
      <c r="AY1945" s="52"/>
      <c r="AZ1945" s="52"/>
      <c r="BA1945" s="52"/>
    </row>
    <row r="1946" spans="1:53" x14ac:dyDescent="0.25">
      <c r="A1946" s="312">
        <v>22</v>
      </c>
      <c r="B1946" s="311">
        <v>44930.430555555555</v>
      </c>
      <c r="C1946" s="308">
        <v>0.43402777777777773</v>
      </c>
      <c r="D1946" s="308">
        <v>0.4375</v>
      </c>
      <c r="E1946" s="308">
        <v>0.4513888888888889</v>
      </c>
      <c r="F1946" s="309" t="s">
        <v>171</v>
      </c>
      <c r="G1946" s="309" t="s">
        <v>4833</v>
      </c>
      <c r="H1946" s="307" t="s">
        <v>287</v>
      </c>
      <c r="I1946" s="307" t="s">
        <v>287</v>
      </c>
      <c r="J1946" s="307" t="s">
        <v>41</v>
      </c>
      <c r="K1946" s="309" t="s">
        <v>233</v>
      </c>
      <c r="L1946" s="237" t="s">
        <v>206</v>
      </c>
      <c r="M1946" s="309" t="s">
        <v>4834</v>
      </c>
      <c r="N1946" s="309" t="s">
        <v>154</v>
      </c>
      <c r="O1946" s="309" t="s">
        <v>4835</v>
      </c>
      <c r="P1946" s="309">
        <v>12044229</v>
      </c>
      <c r="Q1946" s="303">
        <f t="shared" si="222"/>
        <v>0</v>
      </c>
      <c r="R1946" s="303">
        <f t="shared" si="223"/>
        <v>0</v>
      </c>
      <c r="S1946" s="309">
        <v>0</v>
      </c>
      <c r="T1946" s="309">
        <v>0</v>
      </c>
      <c r="U1946" s="309">
        <v>0</v>
      </c>
      <c r="V1946" s="309">
        <v>0</v>
      </c>
      <c r="W1946" s="309">
        <v>0</v>
      </c>
      <c r="X1946" s="309">
        <v>112</v>
      </c>
      <c r="Y1946" s="309">
        <v>88</v>
      </c>
      <c r="Z1946" s="309">
        <v>133</v>
      </c>
      <c r="AA1946" s="309">
        <v>2</v>
      </c>
      <c r="AB1946" s="307">
        <f t="shared" si="224"/>
        <v>436.94933333333336</v>
      </c>
      <c r="AC1946" s="307">
        <f t="shared" si="225"/>
        <v>2.6322248995983939</v>
      </c>
      <c r="AD1946" s="309">
        <v>0</v>
      </c>
      <c r="AE1946" s="309">
        <v>0</v>
      </c>
      <c r="AF1946" s="309" t="s">
        <v>4836</v>
      </c>
      <c r="AG1946" s="309" t="s">
        <v>4837</v>
      </c>
      <c r="AH1946" s="309" t="s">
        <v>4838</v>
      </c>
      <c r="AI1946" s="309"/>
      <c r="AJ1946" s="309"/>
      <c r="AK1946" s="309" t="s">
        <v>37</v>
      </c>
      <c r="AL1946" s="309" t="s">
        <v>54</v>
      </c>
      <c r="AM1946" s="299">
        <f t="shared" ca="1" si="179"/>
        <v>1.0416666664241347E-2</v>
      </c>
      <c r="AN1946" s="51"/>
      <c r="AO1946" s="288" t="s">
        <v>294</v>
      </c>
      <c r="AP1946" s="288" t="s">
        <v>4834</v>
      </c>
      <c r="AQ1946" s="288" t="s">
        <v>4881</v>
      </c>
      <c r="AR1946" s="277">
        <v>44930.440972222219</v>
      </c>
      <c r="AS1946" s="288" t="s">
        <v>4882</v>
      </c>
      <c r="AT1946" s="276" t="s">
        <v>65</v>
      </c>
      <c r="AU1946" s="276">
        <v>0.44097222222222227</v>
      </c>
      <c r="AV1946" s="288">
        <v>1</v>
      </c>
      <c r="AW1946" s="288" t="s">
        <v>66</v>
      </c>
      <c r="AX1946" s="52"/>
      <c r="AY1946" s="52"/>
      <c r="AZ1946" s="52"/>
      <c r="BA1946" s="52"/>
    </row>
    <row r="1947" spans="1:53" x14ac:dyDescent="0.25">
      <c r="A1947" s="312">
        <v>23</v>
      </c>
      <c r="B1947" s="311">
        <v>44930.472222222219</v>
      </c>
      <c r="C1947" s="308">
        <v>0.47916666666666669</v>
      </c>
      <c r="D1947" s="308">
        <v>0.4861111111111111</v>
      </c>
      <c r="E1947" s="308">
        <v>0.625</v>
      </c>
      <c r="F1947" s="309" t="s">
        <v>170</v>
      </c>
      <c r="G1947" s="309" t="s">
        <v>369</v>
      </c>
      <c r="H1947" s="307" t="s">
        <v>45</v>
      </c>
      <c r="I1947" s="307" t="s">
        <v>73</v>
      </c>
      <c r="J1947" s="307" t="s">
        <v>37</v>
      </c>
      <c r="K1947" s="307" t="s">
        <v>63</v>
      </c>
      <c r="L1947" s="307" t="s">
        <v>215</v>
      </c>
      <c r="M1947" s="309" t="s">
        <v>4839</v>
      </c>
      <c r="N1947" s="309" t="s">
        <v>59</v>
      </c>
      <c r="O1947" s="309">
        <v>3500816</v>
      </c>
      <c r="P1947" s="309">
        <v>5052002837</v>
      </c>
      <c r="Q1947" s="303">
        <f t="shared" si="222"/>
        <v>2</v>
      </c>
      <c r="R1947" s="303">
        <f t="shared" si="223"/>
        <v>212</v>
      </c>
      <c r="S1947" s="309">
        <v>0</v>
      </c>
      <c r="T1947" s="309">
        <v>0</v>
      </c>
      <c r="U1947" s="309">
        <v>2</v>
      </c>
      <c r="V1947" s="309">
        <v>212</v>
      </c>
      <c r="W1947" s="309">
        <v>203.4</v>
      </c>
      <c r="X1947" s="309">
        <v>102</v>
      </c>
      <c r="Y1947" s="309">
        <v>56</v>
      </c>
      <c r="Z1947" s="309">
        <v>29</v>
      </c>
      <c r="AA1947" s="309">
        <v>1</v>
      </c>
      <c r="AB1947" s="307">
        <f t="shared" si="224"/>
        <v>27.608000000000001</v>
      </c>
      <c r="AC1947" s="307">
        <f t="shared" si="225"/>
        <v>0.16631325301204819</v>
      </c>
      <c r="AD1947" s="309">
        <v>2601.1999999999998</v>
      </c>
      <c r="AE1947" s="309" t="s">
        <v>109</v>
      </c>
      <c r="AF1947" s="309" t="s">
        <v>317</v>
      </c>
      <c r="AG1947" s="309" t="s">
        <v>317</v>
      </c>
      <c r="AH1947" s="309" t="s">
        <v>4840</v>
      </c>
      <c r="AI1947" s="309"/>
      <c r="AJ1947" s="309"/>
      <c r="AK1947" s="309" t="s">
        <v>37</v>
      </c>
      <c r="AL1947" s="309" t="s">
        <v>49</v>
      </c>
      <c r="AM1947" s="299">
        <f t="shared" ca="1" si="179"/>
        <v>1</v>
      </c>
      <c r="AN1947" s="51"/>
      <c r="AO1947" s="288" t="s">
        <v>70</v>
      </c>
      <c r="AP1947" s="275" t="s">
        <v>4839</v>
      </c>
      <c r="AQ1947" s="288" t="s">
        <v>4905</v>
      </c>
      <c r="AR1947" s="277">
        <v>44931.472222222219</v>
      </c>
      <c r="AS1947" s="272" t="s">
        <v>173</v>
      </c>
      <c r="AT1947" s="288" t="s">
        <v>225</v>
      </c>
      <c r="AU1947" s="276">
        <v>0.47222222222222227</v>
      </c>
      <c r="AV1947" s="288">
        <v>1</v>
      </c>
      <c r="AW1947" s="288" t="s">
        <v>66</v>
      </c>
      <c r="AX1947" s="52"/>
      <c r="AY1947" s="52"/>
      <c r="AZ1947" s="52"/>
      <c r="BA1947" s="52"/>
    </row>
    <row r="1948" spans="1:53" x14ac:dyDescent="0.25">
      <c r="A1948" s="312">
        <v>23</v>
      </c>
      <c r="B1948" s="311">
        <v>44930.472222222219</v>
      </c>
      <c r="C1948" s="308">
        <v>0.47916666666666669</v>
      </c>
      <c r="D1948" s="308">
        <v>0.4861111111111111</v>
      </c>
      <c r="E1948" s="308">
        <v>0.625</v>
      </c>
      <c r="F1948" s="309" t="s">
        <v>170</v>
      </c>
      <c r="G1948" s="309" t="s">
        <v>369</v>
      </c>
      <c r="H1948" s="307" t="s">
        <v>45</v>
      </c>
      <c r="I1948" s="307" t="s">
        <v>73</v>
      </c>
      <c r="J1948" s="307" t="s">
        <v>37</v>
      </c>
      <c r="K1948" s="307" t="s">
        <v>63</v>
      </c>
      <c r="L1948" s="307" t="s">
        <v>215</v>
      </c>
      <c r="M1948" s="309" t="s">
        <v>4839</v>
      </c>
      <c r="N1948" s="309" t="s">
        <v>59</v>
      </c>
      <c r="O1948" s="309">
        <v>3500816</v>
      </c>
      <c r="P1948" s="309">
        <v>5052002837</v>
      </c>
      <c r="Q1948" s="303">
        <f t="shared" si="222"/>
        <v>0</v>
      </c>
      <c r="R1948" s="303">
        <f t="shared" si="223"/>
        <v>0</v>
      </c>
      <c r="S1948" s="309">
        <v>0</v>
      </c>
      <c r="T1948" s="309">
        <v>0</v>
      </c>
      <c r="U1948" s="309">
        <v>0</v>
      </c>
      <c r="V1948" s="309">
        <v>0</v>
      </c>
      <c r="W1948" s="309">
        <v>0</v>
      </c>
      <c r="X1948" s="309">
        <v>36</v>
      </c>
      <c r="Y1948" s="309">
        <v>36</v>
      </c>
      <c r="Z1948" s="309">
        <v>44</v>
      </c>
      <c r="AA1948" s="309">
        <v>1</v>
      </c>
      <c r="AB1948" s="307">
        <f t="shared" si="224"/>
        <v>9.5039999999999996</v>
      </c>
      <c r="AC1948" s="307">
        <f t="shared" si="225"/>
        <v>5.7253012048192768E-2</v>
      </c>
      <c r="AD1948" s="309">
        <v>0</v>
      </c>
      <c r="AE1948" s="309">
        <v>0</v>
      </c>
      <c r="AF1948" s="309" t="s">
        <v>317</v>
      </c>
      <c r="AG1948" s="309" t="s">
        <v>317</v>
      </c>
      <c r="AH1948" s="309" t="s">
        <v>4840</v>
      </c>
      <c r="AI1948" s="309"/>
      <c r="AJ1948" s="309"/>
      <c r="AK1948" s="309" t="s">
        <v>37</v>
      </c>
      <c r="AL1948" s="309" t="s">
        <v>49</v>
      </c>
      <c r="AM1948" s="299">
        <f t="shared" ca="1" si="179"/>
        <v>1</v>
      </c>
      <c r="AN1948" s="51"/>
      <c r="AO1948" s="288" t="s">
        <v>70</v>
      </c>
      <c r="AP1948" s="275" t="s">
        <v>4839</v>
      </c>
      <c r="AQ1948" s="288" t="s">
        <v>4905</v>
      </c>
      <c r="AR1948" s="277">
        <v>44931.472222222219</v>
      </c>
      <c r="AS1948" s="272" t="s">
        <v>173</v>
      </c>
      <c r="AT1948" s="288" t="s">
        <v>225</v>
      </c>
      <c r="AU1948" s="276">
        <v>0.47222222222222227</v>
      </c>
      <c r="AV1948" s="288">
        <v>1</v>
      </c>
      <c r="AW1948" s="288" t="s">
        <v>66</v>
      </c>
      <c r="AX1948" s="52"/>
      <c r="AY1948" s="52"/>
      <c r="AZ1948" s="52"/>
      <c r="BA1948" s="52"/>
    </row>
    <row r="1949" spans="1:53" x14ac:dyDescent="0.25">
      <c r="A1949" s="312">
        <v>24</v>
      </c>
      <c r="B1949" s="311">
        <v>44930.472222222219</v>
      </c>
      <c r="C1949" s="308">
        <v>0.47916666666666669</v>
      </c>
      <c r="D1949" s="308">
        <v>0.4861111111111111</v>
      </c>
      <c r="E1949" s="308">
        <v>0.625</v>
      </c>
      <c r="F1949" s="309" t="s">
        <v>170</v>
      </c>
      <c r="G1949" s="309" t="s">
        <v>369</v>
      </c>
      <c r="H1949" s="307" t="s">
        <v>187</v>
      </c>
      <c r="I1949" s="307" t="s">
        <v>162</v>
      </c>
      <c r="J1949" s="307" t="s">
        <v>37</v>
      </c>
      <c r="K1949" s="309" t="s">
        <v>63</v>
      </c>
      <c r="L1949" s="309" t="s">
        <v>212</v>
      </c>
      <c r="M1949" s="309" t="s">
        <v>4841</v>
      </c>
      <c r="N1949" s="309" t="s">
        <v>158</v>
      </c>
      <c r="O1949" s="309">
        <v>21222231806</v>
      </c>
      <c r="P1949" s="309">
        <v>5052027983</v>
      </c>
      <c r="Q1949" s="303">
        <f t="shared" si="222"/>
        <v>1</v>
      </c>
      <c r="R1949" s="303">
        <f t="shared" si="223"/>
        <v>1</v>
      </c>
      <c r="S1949" s="309">
        <v>1</v>
      </c>
      <c r="T1949" s="309">
        <v>1</v>
      </c>
      <c r="U1949" s="309">
        <v>0</v>
      </c>
      <c r="V1949" s="309">
        <v>0</v>
      </c>
      <c r="W1949" s="309">
        <v>2</v>
      </c>
      <c r="X1949" s="309">
        <v>30</v>
      </c>
      <c r="Y1949" s="309">
        <v>30</v>
      </c>
      <c r="Z1949" s="309">
        <v>22</v>
      </c>
      <c r="AA1949" s="309">
        <v>1</v>
      </c>
      <c r="AB1949" s="307">
        <f t="shared" si="224"/>
        <v>3.3</v>
      </c>
      <c r="AC1949" s="307">
        <f t="shared" si="225"/>
        <v>1.9879518072289156E-2</v>
      </c>
      <c r="AD1949" s="309">
        <v>90.24</v>
      </c>
      <c r="AE1949" s="309" t="s">
        <v>109</v>
      </c>
      <c r="AF1949" s="309" t="s">
        <v>317</v>
      </c>
      <c r="AG1949" s="309" t="s">
        <v>317</v>
      </c>
      <c r="AH1949" s="309" t="s">
        <v>4842</v>
      </c>
      <c r="AI1949" s="309"/>
      <c r="AJ1949" s="309"/>
      <c r="AK1949" s="309" t="s">
        <v>48</v>
      </c>
      <c r="AL1949" s="309" t="s">
        <v>39</v>
      </c>
      <c r="AM1949" s="299">
        <f t="shared" ca="1" si="179"/>
        <v>3.0416666666715173</v>
      </c>
      <c r="AN1949" s="51"/>
      <c r="AO1949" s="288" t="s">
        <v>159</v>
      </c>
      <c r="AP1949" s="275" t="s">
        <v>4841</v>
      </c>
      <c r="AQ1949" s="288" t="s">
        <v>5030</v>
      </c>
      <c r="AR1949" s="277">
        <v>44933.513888888891</v>
      </c>
      <c r="AS1949" s="272" t="s">
        <v>173</v>
      </c>
      <c r="AT1949" s="288" t="s">
        <v>225</v>
      </c>
      <c r="AU1949" s="276">
        <v>0.51388888888888895</v>
      </c>
      <c r="AV1949" s="288">
        <v>1</v>
      </c>
      <c r="AW1949" s="288" t="s">
        <v>66</v>
      </c>
      <c r="AX1949" s="52"/>
      <c r="AY1949" s="52"/>
      <c r="AZ1949" s="52"/>
      <c r="BA1949" s="52"/>
    </row>
    <row r="1950" spans="1:53" x14ac:dyDescent="0.25">
      <c r="A1950" s="312">
        <v>25</v>
      </c>
      <c r="B1950" s="311">
        <v>44930.472222222219</v>
      </c>
      <c r="C1950" s="308">
        <v>0.47916666666666669</v>
      </c>
      <c r="D1950" s="308">
        <v>0.4861111111111111</v>
      </c>
      <c r="E1950" s="308">
        <v>0.625</v>
      </c>
      <c r="F1950" s="309" t="s">
        <v>170</v>
      </c>
      <c r="G1950" s="309" t="s">
        <v>369</v>
      </c>
      <c r="H1950" s="307" t="s">
        <v>187</v>
      </c>
      <c r="I1950" s="307" t="s">
        <v>162</v>
      </c>
      <c r="J1950" s="307" t="s">
        <v>37</v>
      </c>
      <c r="K1950" s="309" t="s">
        <v>63</v>
      </c>
      <c r="L1950" s="309" t="s">
        <v>212</v>
      </c>
      <c r="M1950" s="309" t="s">
        <v>4841</v>
      </c>
      <c r="N1950" s="309" t="s">
        <v>158</v>
      </c>
      <c r="O1950" s="309">
        <v>21222231807</v>
      </c>
      <c r="P1950" s="309">
        <v>5052031101</v>
      </c>
      <c r="Q1950" s="303">
        <f t="shared" si="222"/>
        <v>1</v>
      </c>
      <c r="R1950" s="303">
        <f t="shared" si="223"/>
        <v>20</v>
      </c>
      <c r="S1950" s="309">
        <v>1</v>
      </c>
      <c r="T1950" s="309">
        <v>20</v>
      </c>
      <c r="U1950" s="309">
        <v>0</v>
      </c>
      <c r="V1950" s="309">
        <v>0</v>
      </c>
      <c r="W1950" s="309">
        <v>19.649999999999999</v>
      </c>
      <c r="X1950" s="309">
        <v>40</v>
      </c>
      <c r="Y1950" s="309">
        <v>40</v>
      </c>
      <c r="Z1950" s="309">
        <v>30</v>
      </c>
      <c r="AA1950" s="309">
        <v>1</v>
      </c>
      <c r="AB1950" s="307">
        <f t="shared" si="224"/>
        <v>8</v>
      </c>
      <c r="AC1950" s="307">
        <f t="shared" si="225"/>
        <v>4.8192771084337352E-2</v>
      </c>
      <c r="AD1950" s="309">
        <v>477.6</v>
      </c>
      <c r="AE1950" s="309" t="s">
        <v>109</v>
      </c>
      <c r="AF1950" s="309" t="s">
        <v>317</v>
      </c>
      <c r="AG1950" s="309" t="s">
        <v>317</v>
      </c>
      <c r="AH1950" s="309" t="s">
        <v>4843</v>
      </c>
      <c r="AI1950" s="309"/>
      <c r="AJ1950" s="309"/>
      <c r="AK1950" s="309" t="s">
        <v>48</v>
      </c>
      <c r="AL1950" s="309" t="s">
        <v>39</v>
      </c>
      <c r="AM1950" s="299">
        <f t="shared" ca="1" si="179"/>
        <v>3.0416666666715173</v>
      </c>
      <c r="AN1950" s="51"/>
      <c r="AO1950" s="288" t="s">
        <v>159</v>
      </c>
      <c r="AP1950" s="275" t="s">
        <v>4841</v>
      </c>
      <c r="AQ1950" s="288" t="s">
        <v>5030</v>
      </c>
      <c r="AR1950" s="277">
        <v>44933.513888888891</v>
      </c>
      <c r="AS1950" s="272" t="s">
        <v>173</v>
      </c>
      <c r="AT1950" s="288" t="s">
        <v>225</v>
      </c>
      <c r="AU1950" s="276">
        <v>0.51388888888888895</v>
      </c>
      <c r="AV1950" s="288">
        <v>1</v>
      </c>
      <c r="AW1950" s="288" t="s">
        <v>66</v>
      </c>
      <c r="AX1950" s="52"/>
      <c r="AY1950" s="52"/>
      <c r="AZ1950" s="52"/>
      <c r="BA1950" s="52"/>
    </row>
    <row r="1951" spans="1:53" x14ac:dyDescent="0.25">
      <c r="A1951" s="312">
        <v>26</v>
      </c>
      <c r="B1951" s="311">
        <v>44930.472222222219</v>
      </c>
      <c r="C1951" s="308">
        <v>0.47916666666666669</v>
      </c>
      <c r="D1951" s="308">
        <v>0.4861111111111111</v>
      </c>
      <c r="E1951" s="308">
        <v>0.625</v>
      </c>
      <c r="F1951" s="309" t="s">
        <v>170</v>
      </c>
      <c r="G1951" s="309" t="s">
        <v>369</v>
      </c>
      <c r="H1951" s="307" t="s">
        <v>187</v>
      </c>
      <c r="I1951" s="307" t="s">
        <v>162</v>
      </c>
      <c r="J1951" s="307" t="s">
        <v>37</v>
      </c>
      <c r="K1951" s="309" t="s">
        <v>63</v>
      </c>
      <c r="L1951" s="309" t="s">
        <v>212</v>
      </c>
      <c r="M1951" s="309" t="s">
        <v>4844</v>
      </c>
      <c r="N1951" s="309" t="s">
        <v>158</v>
      </c>
      <c r="O1951" s="309">
        <v>21222231777</v>
      </c>
      <c r="P1951" s="309">
        <v>5052027983</v>
      </c>
      <c r="Q1951" s="303">
        <f t="shared" si="222"/>
        <v>2</v>
      </c>
      <c r="R1951" s="303">
        <f t="shared" si="223"/>
        <v>94</v>
      </c>
      <c r="S1951" s="309">
        <v>0</v>
      </c>
      <c r="T1951" s="309">
        <v>0</v>
      </c>
      <c r="U1951" s="309">
        <v>2</v>
      </c>
      <c r="V1951" s="309">
        <v>94</v>
      </c>
      <c r="W1951" s="309">
        <v>113</v>
      </c>
      <c r="X1951" s="309">
        <v>65</v>
      </c>
      <c r="Y1951" s="309">
        <v>47</v>
      </c>
      <c r="Z1951" s="309">
        <v>54</v>
      </c>
      <c r="AA1951" s="309">
        <v>1</v>
      </c>
      <c r="AB1951" s="307">
        <f t="shared" si="224"/>
        <v>27.495000000000001</v>
      </c>
      <c r="AC1951" s="307">
        <f t="shared" si="225"/>
        <v>0.16563253012048193</v>
      </c>
      <c r="AD1951" s="309">
        <v>370.57</v>
      </c>
      <c r="AE1951" s="309" t="s">
        <v>109</v>
      </c>
      <c r="AF1951" s="309" t="s">
        <v>317</v>
      </c>
      <c r="AG1951" s="309" t="s">
        <v>317</v>
      </c>
      <c r="AH1951" s="309" t="s">
        <v>4845</v>
      </c>
      <c r="AI1951" s="309"/>
      <c r="AJ1951" s="309"/>
      <c r="AK1951" s="309" t="s">
        <v>41</v>
      </c>
      <c r="AL1951" s="309" t="s">
        <v>39</v>
      </c>
      <c r="AM1951" s="299">
        <f t="shared" ca="1" si="179"/>
        <v>3.0416666666715173</v>
      </c>
      <c r="AN1951" s="51"/>
      <c r="AO1951" s="288" t="s">
        <v>159</v>
      </c>
      <c r="AP1951" s="275" t="s">
        <v>4844</v>
      </c>
      <c r="AQ1951" s="288" t="s">
        <v>5030</v>
      </c>
      <c r="AR1951" s="277">
        <v>44933.513888888891</v>
      </c>
      <c r="AS1951" s="272" t="s">
        <v>173</v>
      </c>
      <c r="AT1951" s="288" t="s">
        <v>225</v>
      </c>
      <c r="AU1951" s="276">
        <v>0.51388888888888895</v>
      </c>
      <c r="AV1951" s="288">
        <v>1</v>
      </c>
      <c r="AW1951" s="288" t="s">
        <v>66</v>
      </c>
      <c r="AX1951" s="52"/>
      <c r="AY1951" s="52"/>
      <c r="AZ1951" s="52"/>
      <c r="BA1951" s="52"/>
    </row>
    <row r="1952" spans="1:53" x14ac:dyDescent="0.25">
      <c r="A1952" s="312">
        <v>26</v>
      </c>
      <c r="B1952" s="311">
        <v>44930.472222222219</v>
      </c>
      <c r="C1952" s="308">
        <v>0.47916666666666669</v>
      </c>
      <c r="D1952" s="308">
        <v>0.4861111111111111</v>
      </c>
      <c r="E1952" s="308">
        <v>0.625</v>
      </c>
      <c r="F1952" s="309" t="s">
        <v>170</v>
      </c>
      <c r="G1952" s="309" t="s">
        <v>369</v>
      </c>
      <c r="H1952" s="307" t="s">
        <v>187</v>
      </c>
      <c r="I1952" s="307" t="s">
        <v>162</v>
      </c>
      <c r="J1952" s="307" t="s">
        <v>37</v>
      </c>
      <c r="K1952" s="309" t="s">
        <v>63</v>
      </c>
      <c r="L1952" s="309" t="s">
        <v>212</v>
      </c>
      <c r="M1952" s="309" t="s">
        <v>4844</v>
      </c>
      <c r="N1952" s="309" t="s">
        <v>158</v>
      </c>
      <c r="O1952" s="309">
        <v>21222231777</v>
      </c>
      <c r="P1952" s="309">
        <v>5052027983</v>
      </c>
      <c r="Q1952" s="303">
        <f t="shared" si="222"/>
        <v>0</v>
      </c>
      <c r="R1952" s="303">
        <f t="shared" si="223"/>
        <v>0</v>
      </c>
      <c r="S1952" s="309">
        <v>0</v>
      </c>
      <c r="T1952" s="309">
        <v>0</v>
      </c>
      <c r="U1952" s="309">
        <v>0</v>
      </c>
      <c r="V1952" s="309">
        <v>0</v>
      </c>
      <c r="W1952" s="309">
        <v>0</v>
      </c>
      <c r="X1952" s="309">
        <v>55</v>
      </c>
      <c r="Y1952" s="309">
        <v>39</v>
      </c>
      <c r="Z1952" s="309">
        <v>40</v>
      </c>
      <c r="AA1952" s="309">
        <v>1</v>
      </c>
      <c r="AB1952" s="307">
        <f t="shared" si="224"/>
        <v>14.3</v>
      </c>
      <c r="AC1952" s="307">
        <f t="shared" si="225"/>
        <v>8.614457831325302E-2</v>
      </c>
      <c r="AD1952" s="309">
        <v>0</v>
      </c>
      <c r="AE1952" s="309">
        <v>0</v>
      </c>
      <c r="AF1952" s="309" t="s">
        <v>317</v>
      </c>
      <c r="AG1952" s="309" t="s">
        <v>317</v>
      </c>
      <c r="AH1952" s="309" t="s">
        <v>4845</v>
      </c>
      <c r="AI1952" s="309"/>
      <c r="AJ1952" s="309"/>
      <c r="AK1952" s="309" t="s">
        <v>41</v>
      </c>
      <c r="AL1952" s="309" t="s">
        <v>39</v>
      </c>
      <c r="AM1952" s="299">
        <f t="shared" ca="1" si="179"/>
        <v>3.0416666666715173</v>
      </c>
      <c r="AN1952" s="51"/>
      <c r="AO1952" s="288" t="s">
        <v>159</v>
      </c>
      <c r="AP1952" s="275" t="s">
        <v>4844</v>
      </c>
      <c r="AQ1952" s="288" t="s">
        <v>5030</v>
      </c>
      <c r="AR1952" s="277">
        <v>44933.513888888891</v>
      </c>
      <c r="AS1952" s="272" t="s">
        <v>173</v>
      </c>
      <c r="AT1952" s="288" t="s">
        <v>225</v>
      </c>
      <c r="AU1952" s="276">
        <v>0.51388888888888895</v>
      </c>
      <c r="AV1952" s="288">
        <v>1</v>
      </c>
      <c r="AW1952" s="288" t="s">
        <v>66</v>
      </c>
      <c r="AX1952" s="52"/>
      <c r="AY1952" s="52"/>
      <c r="AZ1952" s="52"/>
      <c r="BA1952" s="52"/>
    </row>
    <row r="1953" spans="1:53" x14ac:dyDescent="0.25">
      <c r="A1953" s="312">
        <v>27</v>
      </c>
      <c r="B1953" s="311">
        <v>44930.472222222219</v>
      </c>
      <c r="C1953" s="308">
        <v>0.47916666666666669</v>
      </c>
      <c r="D1953" s="308">
        <v>0.4861111111111111</v>
      </c>
      <c r="E1953" s="308">
        <v>0.625</v>
      </c>
      <c r="F1953" s="309" t="s">
        <v>170</v>
      </c>
      <c r="G1953" s="309" t="s">
        <v>369</v>
      </c>
      <c r="H1953" s="307" t="s">
        <v>187</v>
      </c>
      <c r="I1953" s="307" t="s">
        <v>162</v>
      </c>
      <c r="J1953" s="307" t="s">
        <v>37</v>
      </c>
      <c r="K1953" s="309" t="s">
        <v>63</v>
      </c>
      <c r="L1953" s="309" t="s">
        <v>212</v>
      </c>
      <c r="M1953" s="309" t="s">
        <v>4841</v>
      </c>
      <c r="N1953" s="309" t="s">
        <v>158</v>
      </c>
      <c r="O1953" s="309">
        <v>21222231778</v>
      </c>
      <c r="P1953" s="309">
        <v>5052031101</v>
      </c>
      <c r="Q1953" s="303">
        <f t="shared" si="222"/>
        <v>1</v>
      </c>
      <c r="R1953" s="303">
        <f t="shared" si="223"/>
        <v>34</v>
      </c>
      <c r="S1953" s="309">
        <v>0</v>
      </c>
      <c r="T1953" s="309">
        <v>0</v>
      </c>
      <c r="U1953" s="309">
        <v>1</v>
      </c>
      <c r="V1953" s="309">
        <v>34</v>
      </c>
      <c r="W1953" s="309">
        <v>39.700000000000003</v>
      </c>
      <c r="X1953" s="309">
        <v>55</v>
      </c>
      <c r="Y1953" s="309">
        <v>39</v>
      </c>
      <c r="Z1953" s="309">
        <v>40</v>
      </c>
      <c r="AA1953" s="309">
        <v>1</v>
      </c>
      <c r="AB1953" s="307">
        <f t="shared" si="224"/>
        <v>14.3</v>
      </c>
      <c r="AC1953" s="307">
        <f t="shared" si="225"/>
        <v>8.614457831325302E-2</v>
      </c>
      <c r="AD1953" s="309">
        <v>127.15</v>
      </c>
      <c r="AE1953" s="309" t="s">
        <v>109</v>
      </c>
      <c r="AF1953" s="309" t="s">
        <v>317</v>
      </c>
      <c r="AG1953" s="309" t="s">
        <v>317</v>
      </c>
      <c r="AH1953" s="309" t="s">
        <v>4846</v>
      </c>
      <c r="AI1953" s="309"/>
      <c r="AJ1953" s="309"/>
      <c r="AK1953" s="309" t="s">
        <v>41</v>
      </c>
      <c r="AL1953" s="309" t="s">
        <v>39</v>
      </c>
      <c r="AM1953" s="299">
        <f t="shared" ca="1" si="179"/>
        <v>3.0416666666715173</v>
      </c>
      <c r="AN1953" s="51"/>
      <c r="AO1953" s="288" t="s">
        <v>159</v>
      </c>
      <c r="AP1953" s="275" t="s">
        <v>4841</v>
      </c>
      <c r="AQ1953" s="288" t="s">
        <v>5030</v>
      </c>
      <c r="AR1953" s="277">
        <v>44933.513888888891</v>
      </c>
      <c r="AS1953" s="272" t="s">
        <v>173</v>
      </c>
      <c r="AT1953" s="288" t="s">
        <v>225</v>
      </c>
      <c r="AU1953" s="276">
        <v>0.51388888888888895</v>
      </c>
      <c r="AV1953" s="288">
        <v>1</v>
      </c>
      <c r="AW1953" s="288" t="s">
        <v>66</v>
      </c>
      <c r="AX1953" s="52"/>
      <c r="AY1953" s="52"/>
      <c r="AZ1953" s="52"/>
      <c r="BA1953" s="52"/>
    </row>
    <row r="1954" spans="1:53" x14ac:dyDescent="0.25">
      <c r="A1954" s="312">
        <v>28</v>
      </c>
      <c r="B1954" s="311">
        <v>44930.472222222219</v>
      </c>
      <c r="C1954" s="308">
        <v>0.47916666666666669</v>
      </c>
      <c r="D1954" s="308">
        <v>0.4861111111111111</v>
      </c>
      <c r="E1954" s="308">
        <v>0.625</v>
      </c>
      <c r="F1954" s="309" t="s">
        <v>170</v>
      </c>
      <c r="G1954" s="309" t="s">
        <v>369</v>
      </c>
      <c r="H1954" s="307" t="s">
        <v>187</v>
      </c>
      <c r="I1954" s="307" t="s">
        <v>162</v>
      </c>
      <c r="J1954" s="307" t="s">
        <v>37</v>
      </c>
      <c r="K1954" s="309" t="s">
        <v>63</v>
      </c>
      <c r="L1954" s="309" t="s">
        <v>212</v>
      </c>
      <c r="M1954" s="309" t="s">
        <v>4841</v>
      </c>
      <c r="N1954" s="309" t="s">
        <v>158</v>
      </c>
      <c r="O1954" s="309">
        <v>21222231776</v>
      </c>
      <c r="P1954" s="309">
        <v>5052025026</v>
      </c>
      <c r="Q1954" s="303">
        <f t="shared" si="222"/>
        <v>1</v>
      </c>
      <c r="R1954" s="303">
        <f t="shared" si="223"/>
        <v>36</v>
      </c>
      <c r="S1954" s="309">
        <v>0</v>
      </c>
      <c r="T1954" s="309">
        <v>0</v>
      </c>
      <c r="U1954" s="309">
        <v>1</v>
      </c>
      <c r="V1954" s="309">
        <v>36</v>
      </c>
      <c r="W1954" s="309">
        <v>45</v>
      </c>
      <c r="X1954" s="309">
        <v>55</v>
      </c>
      <c r="Y1954" s="309">
        <v>39</v>
      </c>
      <c r="Z1954" s="309">
        <v>40</v>
      </c>
      <c r="AA1954" s="309">
        <v>1</v>
      </c>
      <c r="AB1954" s="307">
        <f t="shared" si="224"/>
        <v>14.3</v>
      </c>
      <c r="AC1954" s="307">
        <f t="shared" si="225"/>
        <v>8.614457831325302E-2</v>
      </c>
      <c r="AD1954" s="309">
        <v>208.57</v>
      </c>
      <c r="AE1954" s="309" t="s">
        <v>109</v>
      </c>
      <c r="AF1954" s="309" t="s">
        <v>317</v>
      </c>
      <c r="AG1954" s="309" t="s">
        <v>317</v>
      </c>
      <c r="AH1954" s="309" t="s">
        <v>4847</v>
      </c>
      <c r="AI1954" s="309"/>
      <c r="AJ1954" s="309"/>
      <c r="AK1954" s="309" t="s">
        <v>41</v>
      </c>
      <c r="AL1954" s="309" t="s">
        <v>39</v>
      </c>
      <c r="AM1954" s="299">
        <f t="shared" ca="1" si="179"/>
        <v>3.0416666666715173</v>
      </c>
      <c r="AN1954" s="51"/>
      <c r="AO1954" s="288" t="s">
        <v>159</v>
      </c>
      <c r="AP1954" s="275" t="s">
        <v>4841</v>
      </c>
      <c r="AQ1954" s="288" t="s">
        <v>5030</v>
      </c>
      <c r="AR1954" s="277">
        <v>44933.513888888891</v>
      </c>
      <c r="AS1954" s="272" t="s">
        <v>173</v>
      </c>
      <c r="AT1954" s="288" t="s">
        <v>225</v>
      </c>
      <c r="AU1954" s="276">
        <v>0.51388888888888895</v>
      </c>
      <c r="AV1954" s="288">
        <v>1</v>
      </c>
      <c r="AW1954" s="288" t="s">
        <v>66</v>
      </c>
      <c r="AX1954" s="52"/>
      <c r="AY1954" s="52"/>
      <c r="AZ1954" s="52"/>
      <c r="BA1954" s="52"/>
    </row>
    <row r="1955" spans="1:53" x14ac:dyDescent="0.25">
      <c r="A1955" s="312">
        <v>29</v>
      </c>
      <c r="B1955" s="311">
        <v>44930.472222222219</v>
      </c>
      <c r="C1955" s="308">
        <v>0.47916666666666669</v>
      </c>
      <c r="D1955" s="308">
        <v>0.4861111111111111</v>
      </c>
      <c r="E1955" s="308">
        <v>0.625</v>
      </c>
      <c r="F1955" s="309" t="s">
        <v>170</v>
      </c>
      <c r="G1955" s="309" t="s">
        <v>369</v>
      </c>
      <c r="H1955" s="307" t="s">
        <v>187</v>
      </c>
      <c r="I1955" s="307" t="s">
        <v>71</v>
      </c>
      <c r="J1955" s="307" t="s">
        <v>37</v>
      </c>
      <c r="K1955" s="309" t="s">
        <v>63</v>
      </c>
      <c r="L1955" s="309" t="s">
        <v>212</v>
      </c>
      <c r="M1955" s="309" t="s">
        <v>4848</v>
      </c>
      <c r="N1955" s="309" t="s">
        <v>139</v>
      </c>
      <c r="O1955" s="309">
        <v>21222231818</v>
      </c>
      <c r="P1955" s="309">
        <v>5052017309</v>
      </c>
      <c r="Q1955" s="303">
        <f t="shared" si="222"/>
        <v>1</v>
      </c>
      <c r="R1955" s="303">
        <f t="shared" si="223"/>
        <v>145</v>
      </c>
      <c r="S1955" s="309">
        <v>0</v>
      </c>
      <c r="T1955" s="309">
        <v>0</v>
      </c>
      <c r="U1955" s="309">
        <v>1</v>
      </c>
      <c r="V1955" s="309">
        <v>145</v>
      </c>
      <c r="W1955" s="309">
        <v>142.99799999999999</v>
      </c>
      <c r="X1955" s="309">
        <v>80</v>
      </c>
      <c r="Y1955" s="309">
        <v>60</v>
      </c>
      <c r="Z1955" s="309">
        <v>53</v>
      </c>
      <c r="AA1955" s="309">
        <v>1</v>
      </c>
      <c r="AB1955" s="307">
        <f t="shared" si="224"/>
        <v>42.4</v>
      </c>
      <c r="AC1955" s="307">
        <f t="shared" si="225"/>
        <v>0.25542168674698795</v>
      </c>
      <c r="AD1955" s="309">
        <v>1061.5899999999999</v>
      </c>
      <c r="AE1955" s="309" t="s">
        <v>109</v>
      </c>
      <c r="AF1955" s="309" t="s">
        <v>317</v>
      </c>
      <c r="AG1955" s="309" t="s">
        <v>317</v>
      </c>
      <c r="AH1955" s="309" t="s">
        <v>4849</v>
      </c>
      <c r="AI1955" s="309"/>
      <c r="AJ1955" s="309"/>
      <c r="AK1955" s="309" t="s">
        <v>41</v>
      </c>
      <c r="AL1955" s="309" t="s">
        <v>39</v>
      </c>
      <c r="AM1955" s="299">
        <f t="shared" ca="1" si="179"/>
        <v>5.1736111111167702</v>
      </c>
      <c r="AN1955" s="51"/>
      <c r="AO1955" s="288" t="s">
        <v>72</v>
      </c>
      <c r="AP1955" s="275" t="s">
        <v>4848</v>
      </c>
      <c r="AQ1955" s="288" t="s">
        <v>5125</v>
      </c>
      <c r="AR1955" s="277">
        <v>44935.645833333336</v>
      </c>
      <c r="AS1955" s="272" t="s">
        <v>326</v>
      </c>
      <c r="AT1955" s="288" t="s">
        <v>65</v>
      </c>
      <c r="AU1955" s="276">
        <v>0.64583333333333337</v>
      </c>
      <c r="AV1955" s="288">
        <v>1</v>
      </c>
      <c r="AW1955" s="288" t="s">
        <v>66</v>
      </c>
      <c r="AX1955" s="52"/>
      <c r="AY1955" s="52"/>
      <c r="AZ1955" s="52"/>
      <c r="BA1955" s="52"/>
    </row>
    <row r="1956" spans="1:53" x14ac:dyDescent="0.25">
      <c r="A1956" s="312">
        <v>30</v>
      </c>
      <c r="B1956" s="311">
        <v>44930.472222222219</v>
      </c>
      <c r="C1956" s="308">
        <v>0.47916666666666669</v>
      </c>
      <c r="D1956" s="308">
        <v>0.4861111111111111</v>
      </c>
      <c r="E1956" s="308">
        <v>0.625</v>
      </c>
      <c r="F1956" s="309" t="s">
        <v>170</v>
      </c>
      <c r="G1956" s="309" t="s">
        <v>369</v>
      </c>
      <c r="H1956" s="307" t="s">
        <v>187</v>
      </c>
      <c r="I1956" s="307" t="s">
        <v>71</v>
      </c>
      <c r="J1956" s="307" t="s">
        <v>37</v>
      </c>
      <c r="K1956" s="309" t="s">
        <v>63</v>
      </c>
      <c r="L1956" s="309" t="s">
        <v>212</v>
      </c>
      <c r="M1956" s="309" t="s">
        <v>4850</v>
      </c>
      <c r="N1956" s="309" t="s">
        <v>139</v>
      </c>
      <c r="O1956" s="309">
        <v>21222231724</v>
      </c>
      <c r="P1956" s="309">
        <v>5052011233</v>
      </c>
      <c r="Q1956" s="303">
        <f t="shared" si="222"/>
        <v>1</v>
      </c>
      <c r="R1956" s="303">
        <f t="shared" si="223"/>
        <v>46</v>
      </c>
      <c r="S1956" s="309">
        <v>0</v>
      </c>
      <c r="T1956" s="309">
        <v>0</v>
      </c>
      <c r="U1956" s="309">
        <v>1</v>
      </c>
      <c r="V1956" s="309">
        <v>46</v>
      </c>
      <c r="W1956" s="309">
        <v>45.25</v>
      </c>
      <c r="X1956" s="309">
        <v>80</v>
      </c>
      <c r="Y1956" s="309">
        <v>60</v>
      </c>
      <c r="Z1956" s="309">
        <v>45</v>
      </c>
      <c r="AA1956" s="309">
        <v>1</v>
      </c>
      <c r="AB1956" s="307">
        <f t="shared" si="224"/>
        <v>36</v>
      </c>
      <c r="AC1956" s="307">
        <f t="shared" si="225"/>
        <v>0.21686746987951808</v>
      </c>
      <c r="AD1956" s="309">
        <v>554.83000000000004</v>
      </c>
      <c r="AE1956" s="309" t="s">
        <v>109</v>
      </c>
      <c r="AF1956" s="309" t="s">
        <v>317</v>
      </c>
      <c r="AG1956" s="309" t="s">
        <v>317</v>
      </c>
      <c r="AH1956" s="309" t="s">
        <v>4851</v>
      </c>
      <c r="AI1956" s="309"/>
      <c r="AJ1956" s="309"/>
      <c r="AK1956" s="309" t="s">
        <v>41</v>
      </c>
      <c r="AL1956" s="309" t="s">
        <v>39</v>
      </c>
      <c r="AM1956" s="299">
        <f t="shared" ca="1" si="179"/>
        <v>5.1736111111167702</v>
      </c>
      <c r="AN1956" s="51"/>
      <c r="AO1956" s="288" t="s">
        <v>72</v>
      </c>
      <c r="AP1956" s="275" t="s">
        <v>4850</v>
      </c>
      <c r="AQ1956" s="288" t="s">
        <v>5125</v>
      </c>
      <c r="AR1956" s="277">
        <v>44935.645833333336</v>
      </c>
      <c r="AS1956" s="272" t="s">
        <v>326</v>
      </c>
      <c r="AT1956" s="288" t="s">
        <v>65</v>
      </c>
      <c r="AU1956" s="276">
        <v>0.64583333333333337</v>
      </c>
      <c r="AV1956" s="288">
        <v>1</v>
      </c>
      <c r="AW1956" s="288" t="s">
        <v>66</v>
      </c>
      <c r="AX1956" s="52"/>
      <c r="AY1956" s="52"/>
      <c r="AZ1956" s="52"/>
      <c r="BA1956" s="52"/>
    </row>
    <row r="1957" spans="1:53" x14ac:dyDescent="0.25">
      <c r="A1957" s="312">
        <v>31</v>
      </c>
      <c r="B1957" s="311">
        <v>44930.472222222219</v>
      </c>
      <c r="C1957" s="308">
        <v>0.47916666666666669</v>
      </c>
      <c r="D1957" s="308">
        <v>0.4861111111111111</v>
      </c>
      <c r="E1957" s="308">
        <v>0.625</v>
      </c>
      <c r="F1957" s="309" t="s">
        <v>170</v>
      </c>
      <c r="G1957" s="309" t="s">
        <v>369</v>
      </c>
      <c r="H1957" s="307" t="s">
        <v>187</v>
      </c>
      <c r="I1957" s="307" t="s">
        <v>110</v>
      </c>
      <c r="J1957" s="307" t="s">
        <v>37</v>
      </c>
      <c r="K1957" s="309" t="s">
        <v>63</v>
      </c>
      <c r="L1957" s="309" t="s">
        <v>212</v>
      </c>
      <c r="M1957" s="309" t="s">
        <v>4852</v>
      </c>
      <c r="N1957" s="309" t="s">
        <v>186</v>
      </c>
      <c r="O1957" s="309">
        <v>21222231824</v>
      </c>
      <c r="P1957" s="309">
        <v>5052028020</v>
      </c>
      <c r="Q1957" s="303">
        <f t="shared" si="222"/>
        <v>1</v>
      </c>
      <c r="R1957" s="303">
        <f t="shared" si="223"/>
        <v>53</v>
      </c>
      <c r="S1957" s="309">
        <v>0</v>
      </c>
      <c r="T1957" s="309">
        <v>0</v>
      </c>
      <c r="U1957" s="309">
        <v>1</v>
      </c>
      <c r="V1957" s="309">
        <v>53</v>
      </c>
      <c r="W1957" s="309">
        <v>53.548999999999999</v>
      </c>
      <c r="X1957" s="309">
        <v>120</v>
      </c>
      <c r="Y1957" s="309">
        <v>80</v>
      </c>
      <c r="Z1957" s="309">
        <v>54</v>
      </c>
      <c r="AA1957" s="309">
        <v>1</v>
      </c>
      <c r="AB1957" s="307">
        <f t="shared" si="224"/>
        <v>86.4</v>
      </c>
      <c r="AC1957" s="307">
        <f t="shared" si="225"/>
        <v>0.52048192771084345</v>
      </c>
      <c r="AD1957" s="309">
        <v>899.81</v>
      </c>
      <c r="AE1957" s="309" t="s">
        <v>109</v>
      </c>
      <c r="AF1957" s="309" t="s">
        <v>317</v>
      </c>
      <c r="AG1957" s="309" t="s">
        <v>317</v>
      </c>
      <c r="AH1957" s="309" t="s">
        <v>4853</v>
      </c>
      <c r="AI1957" s="309"/>
      <c r="AJ1957" s="309"/>
      <c r="AK1957" s="309" t="s">
        <v>41</v>
      </c>
      <c r="AL1957" s="309" t="s">
        <v>39</v>
      </c>
      <c r="AM1957" s="299">
        <f t="shared" ca="1" si="179"/>
        <v>1.0520833333357587</v>
      </c>
      <c r="AN1957" s="51"/>
      <c r="AO1957" s="288" t="s">
        <v>131</v>
      </c>
      <c r="AP1957" s="275" t="s">
        <v>4852</v>
      </c>
      <c r="AQ1957" s="288" t="s">
        <v>4918</v>
      </c>
      <c r="AR1957" s="277">
        <v>44931.524305555555</v>
      </c>
      <c r="AS1957" s="272" t="s">
        <v>136</v>
      </c>
      <c r="AT1957" s="288" t="s">
        <v>225</v>
      </c>
      <c r="AU1957" s="276">
        <v>0.52777777777777779</v>
      </c>
      <c r="AV1957" s="288">
        <v>1</v>
      </c>
      <c r="AW1957" s="288" t="s">
        <v>66</v>
      </c>
      <c r="AX1957" s="52"/>
      <c r="AY1957" s="52"/>
      <c r="AZ1957" s="52"/>
      <c r="BA1957" s="52"/>
    </row>
    <row r="1958" spans="1:53" x14ac:dyDescent="0.25">
      <c r="A1958" s="312">
        <v>32</v>
      </c>
      <c r="B1958" s="311">
        <v>44930.472222222219</v>
      </c>
      <c r="C1958" s="308">
        <v>0.47916666666666669</v>
      </c>
      <c r="D1958" s="308">
        <v>0.4861111111111111</v>
      </c>
      <c r="E1958" s="308">
        <v>0.625</v>
      </c>
      <c r="F1958" s="309" t="s">
        <v>170</v>
      </c>
      <c r="G1958" s="309" t="s">
        <v>369</v>
      </c>
      <c r="H1958" s="307" t="s">
        <v>187</v>
      </c>
      <c r="I1958" s="307" t="s">
        <v>110</v>
      </c>
      <c r="J1958" s="307" t="s">
        <v>37</v>
      </c>
      <c r="K1958" s="309" t="s">
        <v>63</v>
      </c>
      <c r="L1958" s="309" t="s">
        <v>212</v>
      </c>
      <c r="M1958" s="309" t="s">
        <v>4854</v>
      </c>
      <c r="N1958" s="309" t="s">
        <v>186</v>
      </c>
      <c r="O1958" s="309">
        <v>21222231809</v>
      </c>
      <c r="P1958" s="309">
        <v>5052025777</v>
      </c>
      <c r="Q1958" s="303">
        <f t="shared" si="222"/>
        <v>1</v>
      </c>
      <c r="R1958" s="303">
        <f t="shared" si="223"/>
        <v>13</v>
      </c>
      <c r="S1958" s="309">
        <v>1</v>
      </c>
      <c r="T1958" s="309">
        <v>13</v>
      </c>
      <c r="U1958" s="309">
        <v>0</v>
      </c>
      <c r="V1958" s="309">
        <v>0</v>
      </c>
      <c r="W1958" s="309">
        <v>13.346</v>
      </c>
      <c r="X1958" s="309">
        <v>42</v>
      </c>
      <c r="Y1958" s="309">
        <v>42</v>
      </c>
      <c r="Z1958" s="309">
        <v>30</v>
      </c>
      <c r="AA1958" s="309">
        <v>1</v>
      </c>
      <c r="AB1958" s="307">
        <f t="shared" si="224"/>
        <v>8.82</v>
      </c>
      <c r="AC1958" s="307">
        <f t="shared" si="225"/>
        <v>5.3132530120481927E-2</v>
      </c>
      <c r="AD1958" s="309">
        <v>390.02</v>
      </c>
      <c r="AE1958" s="309" t="s">
        <v>109</v>
      </c>
      <c r="AF1958" s="309" t="s">
        <v>317</v>
      </c>
      <c r="AG1958" s="309" t="s">
        <v>317</v>
      </c>
      <c r="AH1958" s="309" t="s">
        <v>4855</v>
      </c>
      <c r="AI1958" s="309"/>
      <c r="AJ1958" s="309"/>
      <c r="AK1958" s="309" t="s">
        <v>48</v>
      </c>
      <c r="AL1958" s="309" t="s">
        <v>39</v>
      </c>
      <c r="AM1958" s="299">
        <f t="shared" ref="AM1958:AM2021" ca="1" si="226">IF(AP1958="",NOW()-B1958,AR1958-B1958)</f>
        <v>1.0520833333357587</v>
      </c>
      <c r="AN1958" s="51"/>
      <c r="AO1958" s="288" t="s">
        <v>131</v>
      </c>
      <c r="AP1958" s="275" t="s">
        <v>4854</v>
      </c>
      <c r="AQ1958" s="288" t="s">
        <v>4918</v>
      </c>
      <c r="AR1958" s="277">
        <v>44931.524305555555</v>
      </c>
      <c r="AS1958" s="272" t="s">
        <v>136</v>
      </c>
      <c r="AT1958" s="288" t="s">
        <v>225</v>
      </c>
      <c r="AU1958" s="276">
        <v>0.52777777777777779</v>
      </c>
      <c r="AV1958" s="288">
        <v>1</v>
      </c>
      <c r="AW1958" s="288" t="s">
        <v>66</v>
      </c>
      <c r="AX1958" s="52"/>
      <c r="AY1958" s="52"/>
      <c r="AZ1958" s="52"/>
      <c r="BA1958" s="52"/>
    </row>
    <row r="1959" spans="1:53" x14ac:dyDescent="0.25">
      <c r="A1959" s="312">
        <v>33</v>
      </c>
      <c r="B1959" s="311">
        <v>44930.472222222219</v>
      </c>
      <c r="C1959" s="308">
        <v>0.47916666666666669</v>
      </c>
      <c r="D1959" s="308">
        <v>0.4861111111111111</v>
      </c>
      <c r="E1959" s="308">
        <v>0.625</v>
      </c>
      <c r="F1959" s="309" t="s">
        <v>170</v>
      </c>
      <c r="G1959" s="309" t="s">
        <v>369</v>
      </c>
      <c r="H1959" s="307" t="s">
        <v>187</v>
      </c>
      <c r="I1959" s="307" t="s">
        <v>110</v>
      </c>
      <c r="J1959" s="307" t="s">
        <v>37</v>
      </c>
      <c r="K1959" s="309" t="s">
        <v>63</v>
      </c>
      <c r="L1959" s="309" t="s">
        <v>212</v>
      </c>
      <c r="M1959" s="309" t="s">
        <v>4856</v>
      </c>
      <c r="N1959" s="309" t="s">
        <v>186</v>
      </c>
      <c r="O1959" s="309">
        <v>21222231761</v>
      </c>
      <c r="P1959" s="309">
        <v>5052020471</v>
      </c>
      <c r="Q1959" s="303">
        <f t="shared" si="222"/>
        <v>1</v>
      </c>
      <c r="R1959" s="303">
        <f t="shared" si="223"/>
        <v>27</v>
      </c>
      <c r="S1959" s="309">
        <v>0</v>
      </c>
      <c r="T1959" s="309">
        <v>0</v>
      </c>
      <c r="U1959" s="309">
        <v>1</v>
      </c>
      <c r="V1959" s="309">
        <v>27</v>
      </c>
      <c r="W1959" s="309">
        <v>25.803000000000001</v>
      </c>
      <c r="X1959" s="309">
        <v>80</v>
      </c>
      <c r="Y1959" s="309">
        <v>60</v>
      </c>
      <c r="Z1959" s="309">
        <v>75</v>
      </c>
      <c r="AA1959" s="309">
        <v>1</v>
      </c>
      <c r="AB1959" s="307">
        <f t="shared" si="224"/>
        <v>60</v>
      </c>
      <c r="AC1959" s="307">
        <f t="shared" si="225"/>
        <v>0.36144578313253012</v>
      </c>
      <c r="AD1959" s="309">
        <v>515.59</v>
      </c>
      <c r="AE1959" s="309" t="s">
        <v>109</v>
      </c>
      <c r="AF1959" s="309" t="s">
        <v>317</v>
      </c>
      <c r="AG1959" s="309" t="s">
        <v>317</v>
      </c>
      <c r="AH1959" s="309" t="s">
        <v>4857</v>
      </c>
      <c r="AI1959" s="309"/>
      <c r="AJ1959" s="309"/>
      <c r="AK1959" s="309" t="s">
        <v>41</v>
      </c>
      <c r="AL1959" s="309" t="s">
        <v>39</v>
      </c>
      <c r="AM1959" s="299">
        <f t="shared" ca="1" si="226"/>
        <v>1.0520833333357587</v>
      </c>
      <c r="AN1959" s="51"/>
      <c r="AO1959" s="288" t="s">
        <v>131</v>
      </c>
      <c r="AP1959" s="275" t="s">
        <v>4856</v>
      </c>
      <c r="AQ1959" s="288" t="s">
        <v>4918</v>
      </c>
      <c r="AR1959" s="277">
        <v>44931.524305555555</v>
      </c>
      <c r="AS1959" s="272" t="s">
        <v>136</v>
      </c>
      <c r="AT1959" s="288" t="s">
        <v>225</v>
      </c>
      <c r="AU1959" s="276">
        <v>0.52777777777777779</v>
      </c>
      <c r="AV1959" s="288">
        <v>1</v>
      </c>
      <c r="AW1959" s="288" t="s">
        <v>66</v>
      </c>
      <c r="AX1959" s="52"/>
      <c r="AY1959" s="52"/>
      <c r="AZ1959" s="52"/>
      <c r="BA1959" s="52"/>
    </row>
    <row r="1960" spans="1:53" x14ac:dyDescent="0.25">
      <c r="A1960" s="312">
        <v>34</v>
      </c>
      <c r="B1960" s="311">
        <v>44930.472222222219</v>
      </c>
      <c r="C1960" s="308">
        <v>0.47916666666666669</v>
      </c>
      <c r="D1960" s="308">
        <v>0.4861111111111111</v>
      </c>
      <c r="E1960" s="308">
        <v>0.625</v>
      </c>
      <c r="F1960" s="309" t="s">
        <v>170</v>
      </c>
      <c r="G1960" s="309" t="s">
        <v>369</v>
      </c>
      <c r="H1960" s="307" t="s">
        <v>187</v>
      </c>
      <c r="I1960" s="307" t="s">
        <v>110</v>
      </c>
      <c r="J1960" s="307" t="s">
        <v>37</v>
      </c>
      <c r="K1960" s="309" t="s">
        <v>63</v>
      </c>
      <c r="L1960" s="309" t="s">
        <v>212</v>
      </c>
      <c r="M1960" s="309" t="s">
        <v>4854</v>
      </c>
      <c r="N1960" s="309" t="s">
        <v>186</v>
      </c>
      <c r="O1960" s="309">
        <v>21222231787</v>
      </c>
      <c r="P1960" s="309">
        <v>5052020163</v>
      </c>
      <c r="Q1960" s="303">
        <f t="shared" si="222"/>
        <v>1</v>
      </c>
      <c r="R1960" s="303">
        <f t="shared" si="223"/>
        <v>101</v>
      </c>
      <c r="S1960" s="309">
        <v>0</v>
      </c>
      <c r="T1960" s="309">
        <v>0</v>
      </c>
      <c r="U1960" s="309">
        <v>1</v>
      </c>
      <c r="V1960" s="309">
        <v>101</v>
      </c>
      <c r="W1960" s="309">
        <v>99.399000000000001</v>
      </c>
      <c r="X1960" s="309">
        <v>120</v>
      </c>
      <c r="Y1960" s="309">
        <v>80</v>
      </c>
      <c r="Z1960" s="309">
        <v>45</v>
      </c>
      <c r="AA1960" s="309">
        <v>1</v>
      </c>
      <c r="AB1960" s="307">
        <f t="shared" si="224"/>
        <v>72</v>
      </c>
      <c r="AC1960" s="307">
        <f t="shared" si="225"/>
        <v>0.43373493975903615</v>
      </c>
      <c r="AD1960" s="309">
        <v>2125.27</v>
      </c>
      <c r="AE1960" s="309" t="s">
        <v>109</v>
      </c>
      <c r="AF1960" s="309" t="s">
        <v>317</v>
      </c>
      <c r="AG1960" s="309" t="s">
        <v>317</v>
      </c>
      <c r="AH1960" s="309" t="s">
        <v>4858</v>
      </c>
      <c r="AI1960" s="309"/>
      <c r="AJ1960" s="309"/>
      <c r="AK1960" s="309" t="s">
        <v>41</v>
      </c>
      <c r="AL1960" s="309" t="s">
        <v>39</v>
      </c>
      <c r="AM1960" s="299">
        <f t="shared" ca="1" si="226"/>
        <v>1.0520833333357587</v>
      </c>
      <c r="AN1960" s="51"/>
      <c r="AO1960" s="288" t="s">
        <v>131</v>
      </c>
      <c r="AP1960" s="275" t="s">
        <v>4854</v>
      </c>
      <c r="AQ1960" s="288" t="s">
        <v>4918</v>
      </c>
      <c r="AR1960" s="277">
        <v>44931.524305555555</v>
      </c>
      <c r="AS1960" s="272" t="s">
        <v>136</v>
      </c>
      <c r="AT1960" s="288" t="s">
        <v>225</v>
      </c>
      <c r="AU1960" s="276">
        <v>0.52777777777777779</v>
      </c>
      <c r="AV1960" s="288">
        <v>1</v>
      </c>
      <c r="AW1960" s="288" t="s">
        <v>66</v>
      </c>
      <c r="AX1960" s="52"/>
      <c r="AY1960" s="52"/>
      <c r="AZ1960" s="52"/>
      <c r="BA1960" s="52"/>
    </row>
    <row r="1961" spans="1:53" x14ac:dyDescent="0.25">
      <c r="A1961" s="312">
        <v>35</v>
      </c>
      <c r="B1961" s="311">
        <v>44930.472222222219</v>
      </c>
      <c r="C1961" s="308">
        <v>0.47916666666666669</v>
      </c>
      <c r="D1961" s="308">
        <v>0.4861111111111111</v>
      </c>
      <c r="E1961" s="308">
        <v>0.625</v>
      </c>
      <c r="F1961" s="309" t="s">
        <v>170</v>
      </c>
      <c r="G1961" s="309" t="s">
        <v>369</v>
      </c>
      <c r="H1961" s="307" t="s">
        <v>187</v>
      </c>
      <c r="I1961" s="307" t="s">
        <v>110</v>
      </c>
      <c r="J1961" s="307" t="s">
        <v>37</v>
      </c>
      <c r="K1961" s="309" t="s">
        <v>63</v>
      </c>
      <c r="L1961" s="309" t="s">
        <v>212</v>
      </c>
      <c r="M1961" s="309" t="s">
        <v>4856</v>
      </c>
      <c r="N1961" s="309" t="s">
        <v>186</v>
      </c>
      <c r="O1961" s="309">
        <v>21222231808</v>
      </c>
      <c r="P1961" s="309">
        <v>5052023289</v>
      </c>
      <c r="Q1961" s="303">
        <f t="shared" si="222"/>
        <v>1</v>
      </c>
      <c r="R1961" s="303">
        <f t="shared" si="223"/>
        <v>52</v>
      </c>
      <c r="S1961" s="309">
        <v>0</v>
      </c>
      <c r="T1961" s="309">
        <v>0</v>
      </c>
      <c r="U1961" s="309">
        <v>1</v>
      </c>
      <c r="V1961" s="309">
        <v>52</v>
      </c>
      <c r="W1961" s="309">
        <v>51.3</v>
      </c>
      <c r="X1961" s="309">
        <v>80</v>
      </c>
      <c r="Y1961" s="309">
        <v>60</v>
      </c>
      <c r="Z1961" s="309">
        <v>45</v>
      </c>
      <c r="AA1961" s="309">
        <v>1</v>
      </c>
      <c r="AB1961" s="307">
        <f t="shared" si="224"/>
        <v>36</v>
      </c>
      <c r="AC1961" s="307">
        <f t="shared" si="225"/>
        <v>0.21686746987951808</v>
      </c>
      <c r="AD1961" s="309">
        <v>1259.8800000000001</v>
      </c>
      <c r="AE1961" s="309" t="s">
        <v>109</v>
      </c>
      <c r="AF1961" s="309" t="s">
        <v>317</v>
      </c>
      <c r="AG1961" s="309" t="s">
        <v>317</v>
      </c>
      <c r="AH1961" s="309" t="s">
        <v>4859</v>
      </c>
      <c r="AI1961" s="309"/>
      <c r="AJ1961" s="309"/>
      <c r="AK1961" s="309" t="s">
        <v>41</v>
      </c>
      <c r="AL1961" s="309" t="s">
        <v>39</v>
      </c>
      <c r="AM1961" s="299">
        <f t="shared" ca="1" si="226"/>
        <v>1.0520833333357587</v>
      </c>
      <c r="AN1961" s="51"/>
      <c r="AO1961" s="288" t="s">
        <v>131</v>
      </c>
      <c r="AP1961" s="275" t="s">
        <v>4856</v>
      </c>
      <c r="AQ1961" s="288" t="s">
        <v>4918</v>
      </c>
      <c r="AR1961" s="277">
        <v>44931.524305555555</v>
      </c>
      <c r="AS1961" s="272" t="s">
        <v>136</v>
      </c>
      <c r="AT1961" s="288" t="s">
        <v>225</v>
      </c>
      <c r="AU1961" s="276">
        <v>0.52777777777777779</v>
      </c>
      <c r="AV1961" s="288">
        <v>1</v>
      </c>
      <c r="AW1961" s="288" t="s">
        <v>66</v>
      </c>
      <c r="AX1961" s="52"/>
      <c r="AY1961" s="52"/>
      <c r="AZ1961" s="52"/>
      <c r="BA1961" s="52"/>
    </row>
    <row r="1962" spans="1:53" x14ac:dyDescent="0.25">
      <c r="A1962" s="312">
        <v>36</v>
      </c>
      <c r="B1962" s="311">
        <v>44930.472222222219</v>
      </c>
      <c r="C1962" s="308">
        <v>0.47916666666666669</v>
      </c>
      <c r="D1962" s="308">
        <v>0.4861111111111111</v>
      </c>
      <c r="E1962" s="308">
        <v>0.625</v>
      </c>
      <c r="F1962" s="309" t="s">
        <v>170</v>
      </c>
      <c r="G1962" s="309" t="s">
        <v>369</v>
      </c>
      <c r="H1962" s="307" t="s">
        <v>187</v>
      </c>
      <c r="I1962" s="307" t="s">
        <v>110</v>
      </c>
      <c r="J1962" s="307" t="s">
        <v>37</v>
      </c>
      <c r="K1962" s="309" t="s">
        <v>63</v>
      </c>
      <c r="L1962" s="309" t="s">
        <v>212</v>
      </c>
      <c r="M1962" s="309" t="s">
        <v>4854</v>
      </c>
      <c r="N1962" s="309" t="s">
        <v>186</v>
      </c>
      <c r="O1962" s="309">
        <v>21222231826</v>
      </c>
      <c r="P1962" s="309">
        <v>5052029764</v>
      </c>
      <c r="Q1962" s="303">
        <f t="shared" si="222"/>
        <v>1</v>
      </c>
      <c r="R1962" s="303">
        <f t="shared" si="223"/>
        <v>11</v>
      </c>
      <c r="S1962" s="309">
        <v>1</v>
      </c>
      <c r="T1962" s="309">
        <v>11</v>
      </c>
      <c r="U1962" s="309">
        <v>0</v>
      </c>
      <c r="V1962" s="309">
        <v>0</v>
      </c>
      <c r="W1962" s="309">
        <v>10.55</v>
      </c>
      <c r="X1962" s="309">
        <v>52</v>
      </c>
      <c r="Y1962" s="309">
        <v>51</v>
      </c>
      <c r="Z1962" s="309">
        <v>31</v>
      </c>
      <c r="AA1962" s="309">
        <v>1</v>
      </c>
      <c r="AB1962" s="307">
        <f t="shared" si="224"/>
        <v>13.702</v>
      </c>
      <c r="AC1962" s="307">
        <f t="shared" si="225"/>
        <v>8.2542168674698796E-2</v>
      </c>
      <c r="AD1962" s="309">
        <v>456.64</v>
      </c>
      <c r="AE1962" s="309" t="s">
        <v>109</v>
      </c>
      <c r="AF1962" s="309" t="s">
        <v>317</v>
      </c>
      <c r="AG1962" s="309" t="s">
        <v>317</v>
      </c>
      <c r="AH1962" s="309" t="s">
        <v>4860</v>
      </c>
      <c r="AI1962" s="309"/>
      <c r="AJ1962" s="309"/>
      <c r="AK1962" s="309" t="s">
        <v>48</v>
      </c>
      <c r="AL1962" s="309" t="s">
        <v>39</v>
      </c>
      <c r="AM1962" s="299">
        <f t="shared" ca="1" si="226"/>
        <v>1.0520833333357587</v>
      </c>
      <c r="AN1962" s="51"/>
      <c r="AO1962" s="288" t="s">
        <v>131</v>
      </c>
      <c r="AP1962" s="275" t="s">
        <v>4854</v>
      </c>
      <c r="AQ1962" s="288" t="s">
        <v>4918</v>
      </c>
      <c r="AR1962" s="277">
        <v>44931.524305555555</v>
      </c>
      <c r="AS1962" s="272" t="s">
        <v>136</v>
      </c>
      <c r="AT1962" s="288" t="s">
        <v>225</v>
      </c>
      <c r="AU1962" s="276">
        <v>0.52777777777777779</v>
      </c>
      <c r="AV1962" s="288">
        <v>1</v>
      </c>
      <c r="AW1962" s="288" t="s">
        <v>66</v>
      </c>
      <c r="AX1962" s="52"/>
      <c r="AY1962" s="52"/>
      <c r="AZ1962" s="52"/>
      <c r="BA1962" s="52"/>
    </row>
    <row r="1963" spans="1:53" x14ac:dyDescent="0.25">
      <c r="A1963" s="312">
        <v>37</v>
      </c>
      <c r="B1963" s="311">
        <v>44930.472222222219</v>
      </c>
      <c r="C1963" s="308">
        <v>0.47916666666666669</v>
      </c>
      <c r="D1963" s="308">
        <v>0.4861111111111111</v>
      </c>
      <c r="E1963" s="308">
        <v>0.625</v>
      </c>
      <c r="F1963" s="309" t="s">
        <v>170</v>
      </c>
      <c r="G1963" s="309" t="s">
        <v>369</v>
      </c>
      <c r="H1963" s="307" t="s">
        <v>187</v>
      </c>
      <c r="I1963" s="307" t="s">
        <v>110</v>
      </c>
      <c r="J1963" s="307" t="s">
        <v>37</v>
      </c>
      <c r="K1963" s="309" t="s">
        <v>63</v>
      </c>
      <c r="L1963" s="309" t="s">
        <v>212</v>
      </c>
      <c r="M1963" s="309" t="s">
        <v>4852</v>
      </c>
      <c r="N1963" s="309" t="s">
        <v>186</v>
      </c>
      <c r="O1963" s="309">
        <v>21222231825</v>
      </c>
      <c r="P1963" s="309">
        <v>5052028022</v>
      </c>
      <c r="Q1963" s="303">
        <f t="shared" si="222"/>
        <v>1</v>
      </c>
      <c r="R1963" s="303">
        <f t="shared" si="223"/>
        <v>30</v>
      </c>
      <c r="S1963" s="309">
        <v>0</v>
      </c>
      <c r="T1963" s="309">
        <v>0</v>
      </c>
      <c r="U1963" s="309">
        <v>1</v>
      </c>
      <c r="V1963" s="309">
        <v>30</v>
      </c>
      <c r="W1963" s="309">
        <v>30.003</v>
      </c>
      <c r="X1963" s="309">
        <v>80</v>
      </c>
      <c r="Y1963" s="309">
        <v>60</v>
      </c>
      <c r="Z1963" s="309">
        <v>45</v>
      </c>
      <c r="AA1963" s="309">
        <v>1</v>
      </c>
      <c r="AB1963" s="307">
        <f t="shared" si="224"/>
        <v>36</v>
      </c>
      <c r="AC1963" s="307">
        <f t="shared" si="225"/>
        <v>0.21686746987951808</v>
      </c>
      <c r="AD1963" s="309">
        <v>695.28</v>
      </c>
      <c r="AE1963" s="309" t="s">
        <v>109</v>
      </c>
      <c r="AF1963" s="309" t="s">
        <v>317</v>
      </c>
      <c r="AG1963" s="309" t="s">
        <v>317</v>
      </c>
      <c r="AH1963" s="309" t="s">
        <v>4861</v>
      </c>
      <c r="AI1963" s="309"/>
      <c r="AJ1963" s="309"/>
      <c r="AK1963" s="309" t="s">
        <v>41</v>
      </c>
      <c r="AL1963" s="309" t="s">
        <v>39</v>
      </c>
      <c r="AM1963" s="299">
        <f t="shared" ca="1" si="226"/>
        <v>1.0520833333357587</v>
      </c>
      <c r="AN1963" s="51"/>
      <c r="AO1963" s="288" t="s">
        <v>131</v>
      </c>
      <c r="AP1963" s="275" t="s">
        <v>4852</v>
      </c>
      <c r="AQ1963" s="288" t="s">
        <v>4918</v>
      </c>
      <c r="AR1963" s="277">
        <v>44931.524305555555</v>
      </c>
      <c r="AS1963" s="272" t="s">
        <v>136</v>
      </c>
      <c r="AT1963" s="288" t="s">
        <v>225</v>
      </c>
      <c r="AU1963" s="276">
        <v>0.52777777777777779</v>
      </c>
      <c r="AV1963" s="288">
        <v>1</v>
      </c>
      <c r="AW1963" s="288" t="s">
        <v>66</v>
      </c>
      <c r="AX1963" s="52"/>
      <c r="AY1963" s="52"/>
      <c r="AZ1963" s="52"/>
      <c r="BA1963" s="52"/>
    </row>
    <row r="1964" spans="1:53" x14ac:dyDescent="0.25">
      <c r="A1964" s="312">
        <v>38</v>
      </c>
      <c r="B1964" s="311">
        <v>44930.472222222219</v>
      </c>
      <c r="C1964" s="308">
        <v>0.47916666666666669</v>
      </c>
      <c r="D1964" s="308">
        <v>0.4861111111111111</v>
      </c>
      <c r="E1964" s="308">
        <v>0.625</v>
      </c>
      <c r="F1964" s="309" t="s">
        <v>170</v>
      </c>
      <c r="G1964" s="309" t="s">
        <v>369</v>
      </c>
      <c r="H1964" s="307" t="s">
        <v>187</v>
      </c>
      <c r="I1964" s="307" t="s">
        <v>110</v>
      </c>
      <c r="J1964" s="307" t="s">
        <v>37</v>
      </c>
      <c r="K1964" s="309" t="s">
        <v>63</v>
      </c>
      <c r="L1964" s="309" t="s">
        <v>212</v>
      </c>
      <c r="M1964" s="309" t="s">
        <v>4856</v>
      </c>
      <c r="N1964" s="309" t="s">
        <v>186</v>
      </c>
      <c r="O1964" s="309">
        <v>21222231781</v>
      </c>
      <c r="P1964" s="309">
        <v>5052029764</v>
      </c>
      <c r="Q1964" s="303">
        <f t="shared" si="222"/>
        <v>1</v>
      </c>
      <c r="R1964" s="303">
        <f t="shared" si="223"/>
        <v>114</v>
      </c>
      <c r="S1964" s="309">
        <v>0</v>
      </c>
      <c r="T1964" s="309">
        <v>0</v>
      </c>
      <c r="U1964" s="309">
        <v>1</v>
      </c>
      <c r="V1964" s="309">
        <v>114</v>
      </c>
      <c r="W1964" s="309">
        <v>124</v>
      </c>
      <c r="X1964" s="309">
        <v>92</v>
      </c>
      <c r="Y1964" s="309">
        <v>65</v>
      </c>
      <c r="Z1964" s="309">
        <v>56</v>
      </c>
      <c r="AA1964" s="309">
        <v>1</v>
      </c>
      <c r="AB1964" s="307">
        <f t="shared" si="224"/>
        <v>55.813333333333333</v>
      </c>
      <c r="AC1964" s="307">
        <f t="shared" si="225"/>
        <v>0.33622489959839358</v>
      </c>
      <c r="AD1964" s="309">
        <v>556.22</v>
      </c>
      <c r="AE1964" s="309" t="s">
        <v>109</v>
      </c>
      <c r="AF1964" s="309" t="s">
        <v>317</v>
      </c>
      <c r="AG1964" s="309" t="s">
        <v>317</v>
      </c>
      <c r="AH1964" s="309" t="s">
        <v>4862</v>
      </c>
      <c r="AI1964" s="309"/>
      <c r="AJ1964" s="309"/>
      <c r="AK1964" s="309" t="s">
        <v>41</v>
      </c>
      <c r="AL1964" s="309" t="s">
        <v>39</v>
      </c>
      <c r="AM1964" s="299">
        <f t="shared" ca="1" si="226"/>
        <v>1.0520833333357587</v>
      </c>
      <c r="AN1964" s="51"/>
      <c r="AO1964" s="288" t="s">
        <v>131</v>
      </c>
      <c r="AP1964" s="275" t="s">
        <v>4856</v>
      </c>
      <c r="AQ1964" s="288" t="s">
        <v>4918</v>
      </c>
      <c r="AR1964" s="277">
        <v>44931.524305555555</v>
      </c>
      <c r="AS1964" s="272" t="s">
        <v>136</v>
      </c>
      <c r="AT1964" s="288" t="s">
        <v>225</v>
      </c>
      <c r="AU1964" s="276">
        <v>0.52777777777777779</v>
      </c>
      <c r="AV1964" s="288">
        <v>1</v>
      </c>
      <c r="AW1964" s="288" t="s">
        <v>66</v>
      </c>
      <c r="AX1964" s="52"/>
      <c r="AY1964" s="52"/>
      <c r="AZ1964" s="52"/>
      <c r="BA1964" s="52"/>
    </row>
    <row r="1965" spans="1:53" x14ac:dyDescent="0.25">
      <c r="A1965" s="312">
        <v>39</v>
      </c>
      <c r="B1965" s="311">
        <v>44930.472222222219</v>
      </c>
      <c r="C1965" s="308">
        <v>0.47916666666666669</v>
      </c>
      <c r="D1965" s="308">
        <v>0.4861111111111111</v>
      </c>
      <c r="E1965" s="308">
        <v>0.625</v>
      </c>
      <c r="F1965" s="309" t="s">
        <v>170</v>
      </c>
      <c r="G1965" s="309" t="s">
        <v>369</v>
      </c>
      <c r="H1965" s="307" t="s">
        <v>187</v>
      </c>
      <c r="I1965" s="307" t="s">
        <v>110</v>
      </c>
      <c r="J1965" s="307" t="s">
        <v>37</v>
      </c>
      <c r="K1965" s="309" t="s">
        <v>63</v>
      </c>
      <c r="L1965" s="309" t="s">
        <v>212</v>
      </c>
      <c r="M1965" s="309" t="s">
        <v>4852</v>
      </c>
      <c r="N1965" s="309" t="s">
        <v>186</v>
      </c>
      <c r="O1965" s="309">
        <v>21222231779</v>
      </c>
      <c r="P1965" s="309">
        <v>5052025777</v>
      </c>
      <c r="Q1965" s="303">
        <f t="shared" si="222"/>
        <v>1</v>
      </c>
      <c r="R1965" s="303">
        <f t="shared" si="223"/>
        <v>110</v>
      </c>
      <c r="S1965" s="309">
        <v>0</v>
      </c>
      <c r="T1965" s="309">
        <v>0</v>
      </c>
      <c r="U1965" s="309">
        <v>1</v>
      </c>
      <c r="V1965" s="309">
        <v>110</v>
      </c>
      <c r="W1965" s="309">
        <v>117.8</v>
      </c>
      <c r="X1965" s="309">
        <v>93</v>
      </c>
      <c r="Y1965" s="309">
        <v>65</v>
      </c>
      <c r="Z1965" s="309">
        <v>54</v>
      </c>
      <c r="AA1965" s="309">
        <v>1</v>
      </c>
      <c r="AB1965" s="307">
        <f t="shared" si="224"/>
        <v>54.405000000000001</v>
      </c>
      <c r="AC1965" s="307">
        <f t="shared" si="225"/>
        <v>0.32774096385542167</v>
      </c>
      <c r="AD1965" s="309">
        <v>468.61</v>
      </c>
      <c r="AE1965" s="309" t="s">
        <v>109</v>
      </c>
      <c r="AF1965" s="309" t="s">
        <v>317</v>
      </c>
      <c r="AG1965" s="309" t="s">
        <v>317</v>
      </c>
      <c r="AH1965" s="309" t="s">
        <v>4863</v>
      </c>
      <c r="AI1965" s="309"/>
      <c r="AJ1965" s="309"/>
      <c r="AK1965" s="309" t="s">
        <v>41</v>
      </c>
      <c r="AL1965" s="309" t="s">
        <v>39</v>
      </c>
      <c r="AM1965" s="299">
        <f t="shared" ca="1" si="226"/>
        <v>1.0520833333357587</v>
      </c>
      <c r="AN1965" s="51"/>
      <c r="AO1965" s="288" t="s">
        <v>131</v>
      </c>
      <c r="AP1965" s="275" t="s">
        <v>4852</v>
      </c>
      <c r="AQ1965" s="288" t="s">
        <v>4918</v>
      </c>
      <c r="AR1965" s="277">
        <v>44931.524305555555</v>
      </c>
      <c r="AS1965" s="272" t="s">
        <v>136</v>
      </c>
      <c r="AT1965" s="288" t="s">
        <v>225</v>
      </c>
      <c r="AU1965" s="276">
        <v>0.52777777777777779</v>
      </c>
      <c r="AV1965" s="288">
        <v>1</v>
      </c>
      <c r="AW1965" s="288" t="s">
        <v>66</v>
      </c>
      <c r="AX1965" s="52"/>
      <c r="AY1965" s="52"/>
      <c r="AZ1965" s="52"/>
      <c r="BA1965" s="52"/>
    </row>
    <row r="1966" spans="1:53" x14ac:dyDescent="0.25">
      <c r="A1966" s="312">
        <v>40</v>
      </c>
      <c r="B1966" s="311">
        <v>44930.472222222219</v>
      </c>
      <c r="C1966" s="308">
        <v>0.47916666666666669</v>
      </c>
      <c r="D1966" s="308">
        <v>0.4861111111111111</v>
      </c>
      <c r="E1966" s="308">
        <v>0.625</v>
      </c>
      <c r="F1966" s="309" t="s">
        <v>170</v>
      </c>
      <c r="G1966" s="309" t="s">
        <v>369</v>
      </c>
      <c r="H1966" s="307" t="s">
        <v>187</v>
      </c>
      <c r="I1966" s="307" t="s">
        <v>71</v>
      </c>
      <c r="J1966" s="307" t="s">
        <v>37</v>
      </c>
      <c r="K1966" s="309" t="s">
        <v>63</v>
      </c>
      <c r="L1966" s="309" t="s">
        <v>212</v>
      </c>
      <c r="M1966" s="309" t="s">
        <v>4850</v>
      </c>
      <c r="N1966" s="309" t="s">
        <v>139</v>
      </c>
      <c r="O1966" s="309">
        <v>21222231785</v>
      </c>
      <c r="P1966" s="309">
        <v>5052012819</v>
      </c>
      <c r="Q1966" s="303">
        <f t="shared" si="222"/>
        <v>1</v>
      </c>
      <c r="R1966" s="303">
        <f t="shared" si="223"/>
        <v>80</v>
      </c>
      <c r="S1966" s="309">
        <v>0</v>
      </c>
      <c r="T1966" s="309">
        <v>0</v>
      </c>
      <c r="U1966" s="309">
        <v>1</v>
      </c>
      <c r="V1966" s="309">
        <v>80</v>
      </c>
      <c r="W1966" s="309">
        <v>78.602000000000004</v>
      </c>
      <c r="X1966" s="309">
        <v>120</v>
      </c>
      <c r="Y1966" s="309">
        <v>80</v>
      </c>
      <c r="Z1966" s="309">
        <v>45</v>
      </c>
      <c r="AA1966" s="309">
        <v>1</v>
      </c>
      <c r="AB1966" s="307">
        <f t="shared" si="224"/>
        <v>72</v>
      </c>
      <c r="AC1966" s="307">
        <f t="shared" si="225"/>
        <v>0.43373493975903615</v>
      </c>
      <c r="AD1966" s="309">
        <v>321.74</v>
      </c>
      <c r="AE1966" s="309" t="s">
        <v>109</v>
      </c>
      <c r="AF1966" s="309" t="s">
        <v>317</v>
      </c>
      <c r="AG1966" s="309" t="s">
        <v>317</v>
      </c>
      <c r="AH1966" s="309" t="s">
        <v>4864</v>
      </c>
      <c r="AI1966" s="309"/>
      <c r="AJ1966" s="309"/>
      <c r="AK1966" s="309" t="s">
        <v>41</v>
      </c>
      <c r="AL1966" s="309" t="s">
        <v>39</v>
      </c>
      <c r="AM1966" s="299">
        <f t="shared" ca="1" si="226"/>
        <v>5.1736111111167702</v>
      </c>
      <c r="AN1966" s="51"/>
      <c r="AO1966" s="288" t="s">
        <v>72</v>
      </c>
      <c r="AP1966" s="275" t="s">
        <v>4850</v>
      </c>
      <c r="AQ1966" s="288" t="s">
        <v>5125</v>
      </c>
      <c r="AR1966" s="277">
        <v>44935.645833333336</v>
      </c>
      <c r="AS1966" s="272" t="s">
        <v>326</v>
      </c>
      <c r="AT1966" s="288" t="s">
        <v>65</v>
      </c>
      <c r="AU1966" s="276">
        <v>0.64583333333333337</v>
      </c>
      <c r="AV1966" s="288">
        <v>1</v>
      </c>
      <c r="AW1966" s="288" t="s">
        <v>66</v>
      </c>
      <c r="AX1966" s="52"/>
      <c r="AY1966" s="52"/>
      <c r="AZ1966" s="52"/>
      <c r="BA1966" s="52"/>
    </row>
    <row r="1967" spans="1:53" x14ac:dyDescent="0.25">
      <c r="A1967" s="312">
        <v>41</v>
      </c>
      <c r="B1967" s="311">
        <v>44930.493055555555</v>
      </c>
      <c r="C1967" s="308">
        <v>0.49652777777777773</v>
      </c>
      <c r="D1967" s="308">
        <v>0.5</v>
      </c>
      <c r="E1967" s="308">
        <v>0.52777777777777779</v>
      </c>
      <c r="F1967" s="309" t="s">
        <v>170</v>
      </c>
      <c r="G1967" s="309" t="s">
        <v>4315</v>
      </c>
      <c r="H1967" s="307" t="s">
        <v>227</v>
      </c>
      <c r="I1967" s="307" t="s">
        <v>189</v>
      </c>
      <c r="J1967" s="307" t="s">
        <v>41</v>
      </c>
      <c r="K1967" s="307" t="s">
        <v>63</v>
      </c>
      <c r="L1967" s="293" t="s">
        <v>206</v>
      </c>
      <c r="M1967" s="309" t="s">
        <v>4865</v>
      </c>
      <c r="N1967" s="309" t="s">
        <v>42</v>
      </c>
      <c r="O1967" s="309">
        <v>1204</v>
      </c>
      <c r="P1967" s="309">
        <v>3729</v>
      </c>
      <c r="Q1967" s="303">
        <f t="shared" si="222"/>
        <v>6</v>
      </c>
      <c r="R1967" s="303">
        <f t="shared" si="223"/>
        <v>987</v>
      </c>
      <c r="S1967" s="309">
        <v>0</v>
      </c>
      <c r="T1967" s="309">
        <v>0</v>
      </c>
      <c r="U1967" s="309">
        <v>6</v>
      </c>
      <c r="V1967" s="309">
        <v>987</v>
      </c>
      <c r="W1967" s="309">
        <v>835</v>
      </c>
      <c r="X1967" s="309">
        <v>158</v>
      </c>
      <c r="Y1967" s="309">
        <v>135</v>
      </c>
      <c r="Z1967" s="309">
        <v>81</v>
      </c>
      <c r="AA1967" s="309">
        <v>6</v>
      </c>
      <c r="AB1967" s="307">
        <f t="shared" si="224"/>
        <v>1727.73</v>
      </c>
      <c r="AC1967" s="307">
        <f t="shared" si="225"/>
        <v>10.408012048192772</v>
      </c>
      <c r="AD1967" s="309" t="s">
        <v>48</v>
      </c>
      <c r="AE1967" s="309" t="s">
        <v>48</v>
      </c>
      <c r="AF1967" s="309" t="s">
        <v>317</v>
      </c>
      <c r="AG1967" s="309" t="s">
        <v>317</v>
      </c>
      <c r="AH1967" s="309" t="s">
        <v>4866</v>
      </c>
      <c r="AI1967" s="309"/>
      <c r="AJ1967" s="309"/>
      <c r="AK1967" s="309" t="s">
        <v>37</v>
      </c>
      <c r="AL1967" s="309" t="s">
        <v>39</v>
      </c>
      <c r="AM1967" s="299">
        <f t="shared" ca="1" si="226"/>
        <v>0.15972222222626442</v>
      </c>
      <c r="AN1967" s="51"/>
      <c r="AO1967" s="288" t="s">
        <v>89</v>
      </c>
      <c r="AP1967" s="275" t="s">
        <v>4865</v>
      </c>
      <c r="AQ1967" s="288" t="s">
        <v>4892</v>
      </c>
      <c r="AR1967" s="277">
        <v>44930.652777777781</v>
      </c>
      <c r="AS1967" s="276" t="s">
        <v>3968</v>
      </c>
      <c r="AT1967" s="288" t="s">
        <v>225</v>
      </c>
      <c r="AU1967" s="276">
        <v>0.65277777777777779</v>
      </c>
      <c r="AV1967" s="288">
        <v>1</v>
      </c>
      <c r="AW1967" s="288" t="s">
        <v>66</v>
      </c>
      <c r="AX1967" s="52"/>
      <c r="AY1967" s="52"/>
      <c r="AZ1967" s="52"/>
      <c r="BA1967" s="52"/>
    </row>
    <row r="1968" spans="1:53" s="301" customFormat="1" x14ac:dyDescent="0.25">
      <c r="A1968" s="312">
        <v>42</v>
      </c>
      <c r="B1968" s="311">
        <v>44930.625</v>
      </c>
      <c r="C1968" s="308">
        <v>0.62847222222222221</v>
      </c>
      <c r="D1968" s="308">
        <v>0.63194444444444442</v>
      </c>
      <c r="E1968" s="308">
        <v>0.64583333333333337</v>
      </c>
      <c r="F1968" s="309" t="s">
        <v>171</v>
      </c>
      <c r="G1968" s="309" t="s">
        <v>151</v>
      </c>
      <c r="H1968" s="307" t="s">
        <v>3119</v>
      </c>
      <c r="I1968" s="307" t="s">
        <v>92</v>
      </c>
      <c r="J1968" s="307" t="s">
        <v>37</v>
      </c>
      <c r="K1968" s="309" t="s">
        <v>180</v>
      </c>
      <c r="L1968" s="309">
        <v>0</v>
      </c>
      <c r="M1968" s="309" t="s">
        <v>4867</v>
      </c>
      <c r="N1968" s="309" t="s">
        <v>42</v>
      </c>
      <c r="O1968" s="309" t="s">
        <v>4868</v>
      </c>
      <c r="P1968" s="309">
        <v>5052006197</v>
      </c>
      <c r="Q1968" s="303">
        <f t="shared" si="222"/>
        <v>3</v>
      </c>
      <c r="R1968" s="303">
        <f t="shared" si="223"/>
        <v>163</v>
      </c>
      <c r="S1968" s="309">
        <v>0</v>
      </c>
      <c r="T1968" s="309">
        <v>0</v>
      </c>
      <c r="U1968" s="309">
        <v>3</v>
      </c>
      <c r="V1968" s="309">
        <v>163</v>
      </c>
      <c r="W1968" s="309">
        <v>182.6</v>
      </c>
      <c r="X1968" s="309">
        <v>143</v>
      </c>
      <c r="Y1968" s="309">
        <v>34</v>
      </c>
      <c r="Z1968" s="309">
        <v>30</v>
      </c>
      <c r="AA1968" s="309">
        <v>1</v>
      </c>
      <c r="AB1968" s="307">
        <f t="shared" si="224"/>
        <v>24.31</v>
      </c>
      <c r="AC1968" s="307">
        <f t="shared" si="225"/>
        <v>0.14644578313253012</v>
      </c>
      <c r="AD1968" s="309">
        <v>7123.36</v>
      </c>
      <c r="AE1968" s="309" t="s">
        <v>109</v>
      </c>
      <c r="AF1968" s="309" t="s">
        <v>3432</v>
      </c>
      <c r="AG1968" s="309" t="s">
        <v>3432</v>
      </c>
      <c r="AH1968" s="309" t="s">
        <v>4869</v>
      </c>
      <c r="AI1968" s="309"/>
      <c r="AJ1968" s="309"/>
      <c r="AK1968" s="309" t="s">
        <v>37</v>
      </c>
      <c r="AL1968" s="309" t="s">
        <v>54</v>
      </c>
      <c r="AM1968" s="299">
        <f t="shared" ca="1" si="226"/>
        <v>0.84722222221898846</v>
      </c>
      <c r="AN1968" s="313"/>
      <c r="AO1968" s="288" t="s">
        <v>120</v>
      </c>
      <c r="AP1968" s="275" t="s">
        <v>4867</v>
      </c>
      <c r="AQ1968" s="288" t="s">
        <v>4906</v>
      </c>
      <c r="AR1968" s="277">
        <v>44931.472222222219</v>
      </c>
      <c r="AS1968" s="272" t="s">
        <v>173</v>
      </c>
      <c r="AT1968" s="288" t="s">
        <v>225</v>
      </c>
      <c r="AU1968" s="276">
        <v>0.47222222222222227</v>
      </c>
      <c r="AV1968" s="288">
        <v>1</v>
      </c>
      <c r="AW1968" s="288" t="s">
        <v>66</v>
      </c>
      <c r="AX1968" s="314"/>
      <c r="AY1968" s="314"/>
      <c r="AZ1968" s="314"/>
      <c r="BA1968" s="314"/>
    </row>
    <row r="1969" spans="1:53" s="301" customFormat="1" x14ac:dyDescent="0.25">
      <c r="A1969" s="312">
        <v>42</v>
      </c>
      <c r="B1969" s="311">
        <v>44930.625</v>
      </c>
      <c r="C1969" s="308">
        <v>0.62847222222222221</v>
      </c>
      <c r="D1969" s="308">
        <v>0.63194444444444442</v>
      </c>
      <c r="E1969" s="308">
        <v>0.64583333333333337</v>
      </c>
      <c r="F1969" s="309" t="s">
        <v>171</v>
      </c>
      <c r="G1969" s="309" t="s">
        <v>151</v>
      </c>
      <c r="H1969" s="307" t="s">
        <v>3119</v>
      </c>
      <c r="I1969" s="307" t="s">
        <v>92</v>
      </c>
      <c r="J1969" s="307" t="s">
        <v>37</v>
      </c>
      <c r="K1969" s="309" t="s">
        <v>180</v>
      </c>
      <c r="L1969" s="309">
        <v>0</v>
      </c>
      <c r="M1969" s="309" t="s">
        <v>4867</v>
      </c>
      <c r="N1969" s="309" t="s">
        <v>42</v>
      </c>
      <c r="O1969" s="309" t="s">
        <v>4868</v>
      </c>
      <c r="P1969" s="309">
        <v>5052006197</v>
      </c>
      <c r="Q1969" s="303">
        <f t="shared" si="222"/>
        <v>0</v>
      </c>
      <c r="R1969" s="303">
        <f t="shared" si="223"/>
        <v>0</v>
      </c>
      <c r="S1969" s="309">
        <v>0</v>
      </c>
      <c r="T1969" s="309">
        <v>0</v>
      </c>
      <c r="U1969" s="309">
        <v>0</v>
      </c>
      <c r="V1969" s="309">
        <v>0</v>
      </c>
      <c r="W1969" s="309">
        <v>0</v>
      </c>
      <c r="X1969" s="309">
        <v>93</v>
      </c>
      <c r="Y1969" s="309">
        <v>41</v>
      </c>
      <c r="Z1969" s="309">
        <v>49</v>
      </c>
      <c r="AA1969" s="309">
        <v>1</v>
      </c>
      <c r="AB1969" s="307">
        <f t="shared" si="224"/>
        <v>31.139500000000002</v>
      </c>
      <c r="AC1969" s="307">
        <f t="shared" si="225"/>
        <v>0.18758734939759036</v>
      </c>
      <c r="AD1969" s="309">
        <v>0</v>
      </c>
      <c r="AE1969" s="309">
        <v>0</v>
      </c>
      <c r="AF1969" s="309" t="s">
        <v>3432</v>
      </c>
      <c r="AG1969" s="309" t="s">
        <v>3432</v>
      </c>
      <c r="AH1969" s="309" t="s">
        <v>4869</v>
      </c>
      <c r="AI1969" s="309"/>
      <c r="AJ1969" s="309"/>
      <c r="AK1969" s="309" t="s">
        <v>37</v>
      </c>
      <c r="AL1969" s="309" t="s">
        <v>54</v>
      </c>
      <c r="AM1969" s="299">
        <f t="shared" ca="1" si="226"/>
        <v>0.84722222221898846</v>
      </c>
      <c r="AN1969" s="313"/>
      <c r="AO1969" s="288" t="s">
        <v>120</v>
      </c>
      <c r="AP1969" s="275" t="s">
        <v>4867</v>
      </c>
      <c r="AQ1969" s="288" t="s">
        <v>4906</v>
      </c>
      <c r="AR1969" s="277">
        <v>44931.472222222219</v>
      </c>
      <c r="AS1969" s="272" t="s">
        <v>173</v>
      </c>
      <c r="AT1969" s="288" t="s">
        <v>225</v>
      </c>
      <c r="AU1969" s="276">
        <v>0.47222222222222227</v>
      </c>
      <c r="AV1969" s="288">
        <v>1</v>
      </c>
      <c r="AW1969" s="288" t="s">
        <v>66</v>
      </c>
      <c r="AX1969" s="314"/>
      <c r="AY1969" s="314"/>
      <c r="AZ1969" s="314"/>
      <c r="BA1969" s="314"/>
    </row>
    <row r="1970" spans="1:53" s="301" customFormat="1" x14ac:dyDescent="0.25">
      <c r="A1970" s="312">
        <v>42</v>
      </c>
      <c r="B1970" s="311">
        <v>44930.625</v>
      </c>
      <c r="C1970" s="308">
        <v>0.62847222222222221</v>
      </c>
      <c r="D1970" s="308">
        <v>0.63194444444444442</v>
      </c>
      <c r="E1970" s="308">
        <v>0.64583333333333337</v>
      </c>
      <c r="F1970" s="309" t="s">
        <v>171</v>
      </c>
      <c r="G1970" s="309" t="s">
        <v>151</v>
      </c>
      <c r="H1970" s="307" t="s">
        <v>3119</v>
      </c>
      <c r="I1970" s="307" t="s">
        <v>92</v>
      </c>
      <c r="J1970" s="307" t="s">
        <v>37</v>
      </c>
      <c r="K1970" s="309" t="s">
        <v>180</v>
      </c>
      <c r="L1970" s="309">
        <v>0</v>
      </c>
      <c r="M1970" s="309" t="s">
        <v>4867</v>
      </c>
      <c r="N1970" s="309" t="s">
        <v>42</v>
      </c>
      <c r="O1970" s="309" t="s">
        <v>4868</v>
      </c>
      <c r="P1970" s="309">
        <v>5052006197</v>
      </c>
      <c r="Q1970" s="303">
        <f t="shared" si="222"/>
        <v>0</v>
      </c>
      <c r="R1970" s="303">
        <f t="shared" si="223"/>
        <v>0</v>
      </c>
      <c r="S1970" s="309">
        <v>0</v>
      </c>
      <c r="T1970" s="309">
        <v>0</v>
      </c>
      <c r="U1970" s="309">
        <v>0</v>
      </c>
      <c r="V1970" s="309">
        <v>0</v>
      </c>
      <c r="W1970" s="309">
        <v>0</v>
      </c>
      <c r="X1970" s="309">
        <v>93</v>
      </c>
      <c r="Y1970" s="309">
        <v>36</v>
      </c>
      <c r="Z1970" s="309">
        <v>43</v>
      </c>
      <c r="AA1970" s="309">
        <v>1</v>
      </c>
      <c r="AB1970" s="307">
        <f t="shared" si="224"/>
        <v>23.994</v>
      </c>
      <c r="AC1970" s="307">
        <f t="shared" si="225"/>
        <v>0.1445421686746988</v>
      </c>
      <c r="AD1970" s="309">
        <v>0</v>
      </c>
      <c r="AE1970" s="309">
        <v>0</v>
      </c>
      <c r="AF1970" s="309" t="s">
        <v>3432</v>
      </c>
      <c r="AG1970" s="309" t="s">
        <v>3432</v>
      </c>
      <c r="AH1970" s="309" t="s">
        <v>4869</v>
      </c>
      <c r="AI1970" s="309"/>
      <c r="AJ1970" s="309"/>
      <c r="AK1970" s="309" t="s">
        <v>37</v>
      </c>
      <c r="AL1970" s="309" t="s">
        <v>54</v>
      </c>
      <c r="AM1970" s="299">
        <f t="shared" ca="1" si="226"/>
        <v>0.84722222221898846</v>
      </c>
      <c r="AN1970" s="313"/>
      <c r="AO1970" s="288" t="s">
        <v>120</v>
      </c>
      <c r="AP1970" s="275" t="s">
        <v>4867</v>
      </c>
      <c r="AQ1970" s="288" t="s">
        <v>4906</v>
      </c>
      <c r="AR1970" s="277">
        <v>44931.472222222219</v>
      </c>
      <c r="AS1970" s="272" t="s">
        <v>173</v>
      </c>
      <c r="AT1970" s="288" t="s">
        <v>225</v>
      </c>
      <c r="AU1970" s="276">
        <v>0.47222222222222227</v>
      </c>
      <c r="AV1970" s="288">
        <v>1</v>
      </c>
      <c r="AW1970" s="288" t="s">
        <v>66</v>
      </c>
      <c r="AX1970" s="314"/>
      <c r="AY1970" s="314"/>
      <c r="AZ1970" s="314"/>
      <c r="BA1970" s="314"/>
    </row>
    <row r="1971" spans="1:53" s="301" customFormat="1" x14ac:dyDescent="0.25">
      <c r="A1971" s="312">
        <v>43</v>
      </c>
      <c r="B1971" s="311">
        <v>44930.659722222219</v>
      </c>
      <c r="C1971" s="308">
        <v>0.66319444444444442</v>
      </c>
      <c r="D1971" s="308">
        <v>0.66666666666666663</v>
      </c>
      <c r="E1971" s="308">
        <v>0.67361111111111116</v>
      </c>
      <c r="F1971" s="309" t="s">
        <v>171</v>
      </c>
      <c r="G1971" s="309" t="s">
        <v>4568</v>
      </c>
      <c r="H1971" s="307" t="s">
        <v>234</v>
      </c>
      <c r="I1971" s="307" t="s">
        <v>361</v>
      </c>
      <c r="J1971" s="307" t="s">
        <v>37</v>
      </c>
      <c r="K1971" s="309" t="s">
        <v>233</v>
      </c>
      <c r="L1971" s="309" t="s">
        <v>206</v>
      </c>
      <c r="M1971" s="309" t="s">
        <v>4870</v>
      </c>
      <c r="N1971" s="309" t="s">
        <v>44</v>
      </c>
      <c r="O1971" s="309" t="s">
        <v>4871</v>
      </c>
      <c r="P1971" s="309">
        <v>2000103</v>
      </c>
      <c r="Q1971" s="303">
        <f t="shared" si="222"/>
        <v>1</v>
      </c>
      <c r="R1971" s="303">
        <f t="shared" si="223"/>
        <v>65</v>
      </c>
      <c r="S1971" s="309">
        <v>0</v>
      </c>
      <c r="T1971" s="309">
        <v>0</v>
      </c>
      <c r="U1971" s="309">
        <v>1</v>
      </c>
      <c r="V1971" s="309">
        <v>65</v>
      </c>
      <c r="W1971" s="309">
        <v>76</v>
      </c>
      <c r="X1971" s="309">
        <v>82</v>
      </c>
      <c r="Y1971" s="309">
        <v>79</v>
      </c>
      <c r="Z1971" s="309">
        <v>55</v>
      </c>
      <c r="AA1971" s="309">
        <v>1</v>
      </c>
      <c r="AB1971" s="307">
        <f t="shared" si="224"/>
        <v>59.381666666666668</v>
      </c>
      <c r="AC1971" s="307">
        <f t="shared" si="225"/>
        <v>0.35772088353413656</v>
      </c>
      <c r="AD1971" s="309">
        <v>1036.28</v>
      </c>
      <c r="AE1971" s="309" t="s">
        <v>109</v>
      </c>
      <c r="AF1971" s="309">
        <v>6668150</v>
      </c>
      <c r="AG1971" s="309">
        <v>44986</v>
      </c>
      <c r="AH1971" s="309" t="s">
        <v>4872</v>
      </c>
      <c r="AI1971" s="309"/>
      <c r="AJ1971" s="309"/>
      <c r="AK1971" s="309" t="s">
        <v>41</v>
      </c>
      <c r="AL1971" s="309" t="s">
        <v>39</v>
      </c>
      <c r="AM1971" s="299">
        <f t="shared" ca="1" si="226"/>
        <v>3.0138888888905058</v>
      </c>
      <c r="AN1971" s="313"/>
      <c r="AO1971" s="288" t="s">
        <v>322</v>
      </c>
      <c r="AP1971" s="275" t="s">
        <v>4870</v>
      </c>
      <c r="AQ1971" s="288" t="s">
        <v>5044</v>
      </c>
      <c r="AR1971" s="277">
        <v>44933.673611111109</v>
      </c>
      <c r="AS1971" s="272" t="s">
        <v>438</v>
      </c>
      <c r="AT1971" s="288" t="s">
        <v>65</v>
      </c>
      <c r="AU1971" s="276">
        <v>0.67361111111111116</v>
      </c>
      <c r="AV1971" s="288">
        <v>1</v>
      </c>
      <c r="AW1971" s="288" t="s">
        <v>66</v>
      </c>
      <c r="AX1971" s="314"/>
      <c r="AY1971" s="314"/>
      <c r="AZ1971" s="314"/>
      <c r="BA1971" s="314"/>
    </row>
    <row r="1972" spans="1:53" s="301" customFormat="1" x14ac:dyDescent="0.25">
      <c r="A1972" s="312">
        <v>44</v>
      </c>
      <c r="B1972" s="311">
        <v>44930.677083333336</v>
      </c>
      <c r="C1972" s="308">
        <v>0.68055555555555547</v>
      </c>
      <c r="D1972" s="308">
        <v>0.69097222222222221</v>
      </c>
      <c r="E1972" s="308">
        <v>0.72222222222222221</v>
      </c>
      <c r="F1972" s="309" t="s">
        <v>169</v>
      </c>
      <c r="G1972" s="309" t="s">
        <v>4873</v>
      </c>
      <c r="H1972" s="307" t="s">
        <v>191</v>
      </c>
      <c r="I1972" s="307" t="s">
        <v>192</v>
      </c>
      <c r="J1972" s="307" t="s">
        <v>37</v>
      </c>
      <c r="K1972" s="309" t="s">
        <v>180</v>
      </c>
      <c r="L1972" s="309" t="s">
        <v>206</v>
      </c>
      <c r="M1972" s="309" t="s">
        <v>4874</v>
      </c>
      <c r="N1972" s="309" t="s">
        <v>270</v>
      </c>
      <c r="O1972" s="309" t="s">
        <v>4875</v>
      </c>
      <c r="P1972" s="309" t="s">
        <v>4876</v>
      </c>
      <c r="Q1972" s="303">
        <f t="shared" si="222"/>
        <v>88</v>
      </c>
      <c r="R1972" s="303">
        <f t="shared" si="223"/>
        <v>1084</v>
      </c>
      <c r="S1972" s="309">
        <v>88</v>
      </c>
      <c r="T1972" s="309">
        <v>1084</v>
      </c>
      <c r="U1972" s="309">
        <v>0</v>
      </c>
      <c r="V1972" s="309">
        <v>0</v>
      </c>
      <c r="W1972" s="309">
        <v>1080</v>
      </c>
      <c r="X1972" s="309">
        <v>58</v>
      </c>
      <c r="Y1972" s="309">
        <v>38</v>
      </c>
      <c r="Z1972" s="309">
        <v>29</v>
      </c>
      <c r="AA1972" s="309">
        <v>68</v>
      </c>
      <c r="AB1972" s="307">
        <f t="shared" si="224"/>
        <v>724.38133333333337</v>
      </c>
      <c r="AC1972" s="307">
        <f t="shared" si="225"/>
        <v>4.3637429718875502</v>
      </c>
      <c r="AD1972" s="309">
        <v>20175.2</v>
      </c>
      <c r="AE1972" s="309" t="s">
        <v>109</v>
      </c>
      <c r="AF1972" s="309">
        <v>6689219</v>
      </c>
      <c r="AG1972" s="309">
        <v>45017</v>
      </c>
      <c r="AH1972" s="309" t="s">
        <v>4877</v>
      </c>
      <c r="AI1972" s="309"/>
      <c r="AJ1972" s="309"/>
      <c r="AK1972" s="309" t="s">
        <v>48</v>
      </c>
      <c r="AL1972" s="309" t="s">
        <v>56</v>
      </c>
      <c r="AM1972" s="299">
        <f t="shared" ca="1" si="226"/>
        <v>0.79513888888322981</v>
      </c>
      <c r="AN1972" s="313"/>
      <c r="AO1972" s="288" t="s">
        <v>143</v>
      </c>
      <c r="AP1972" s="275" t="s">
        <v>4874</v>
      </c>
      <c r="AQ1972" s="288" t="s">
        <v>4907</v>
      </c>
      <c r="AR1972" s="277">
        <v>44931.472222222219</v>
      </c>
      <c r="AS1972" s="272" t="s">
        <v>173</v>
      </c>
      <c r="AT1972" s="288" t="s">
        <v>225</v>
      </c>
      <c r="AU1972" s="276">
        <v>0.47222222222222227</v>
      </c>
      <c r="AV1972" s="288">
        <v>1</v>
      </c>
      <c r="AW1972" s="288" t="s">
        <v>66</v>
      </c>
      <c r="AX1972" s="314"/>
      <c r="AY1972" s="314"/>
      <c r="AZ1972" s="314"/>
      <c r="BA1972" s="314"/>
    </row>
    <row r="1973" spans="1:53" s="301" customFormat="1" x14ac:dyDescent="0.25">
      <c r="A1973" s="312">
        <v>44</v>
      </c>
      <c r="B1973" s="311">
        <v>44930.677083333336</v>
      </c>
      <c r="C1973" s="308">
        <v>0.68055555555555547</v>
      </c>
      <c r="D1973" s="308">
        <v>0.69097222222222221</v>
      </c>
      <c r="E1973" s="308">
        <v>0.72222222222222221</v>
      </c>
      <c r="F1973" s="309" t="s">
        <v>169</v>
      </c>
      <c r="G1973" s="309" t="s">
        <v>4873</v>
      </c>
      <c r="H1973" s="307" t="s">
        <v>191</v>
      </c>
      <c r="I1973" s="307" t="s">
        <v>192</v>
      </c>
      <c r="J1973" s="307" t="s">
        <v>37</v>
      </c>
      <c r="K1973" s="309" t="s">
        <v>180</v>
      </c>
      <c r="L1973" s="309" t="s">
        <v>206</v>
      </c>
      <c r="M1973" s="309" t="s">
        <v>4874</v>
      </c>
      <c r="N1973" s="309" t="s">
        <v>270</v>
      </c>
      <c r="O1973" s="309" t="s">
        <v>4875</v>
      </c>
      <c r="P1973" s="309" t="s">
        <v>4876</v>
      </c>
      <c r="Q1973" s="303">
        <f t="shared" si="222"/>
        <v>0</v>
      </c>
      <c r="R1973" s="303">
        <f t="shared" si="223"/>
        <v>0</v>
      </c>
      <c r="S1973" s="309">
        <v>0</v>
      </c>
      <c r="T1973" s="309">
        <v>0</v>
      </c>
      <c r="U1973" s="309">
        <v>0</v>
      </c>
      <c r="V1973" s="309">
        <v>0</v>
      </c>
      <c r="W1973" s="309">
        <v>0</v>
      </c>
      <c r="X1973" s="309">
        <v>58</v>
      </c>
      <c r="Y1973" s="309">
        <v>38</v>
      </c>
      <c r="Z1973" s="309">
        <v>22</v>
      </c>
      <c r="AA1973" s="309">
        <v>2</v>
      </c>
      <c r="AB1973" s="307">
        <f t="shared" si="224"/>
        <v>16.162666666666667</v>
      </c>
      <c r="AC1973" s="307">
        <f t="shared" si="225"/>
        <v>9.7365461847389562E-2</v>
      </c>
      <c r="AD1973" s="309">
        <v>0</v>
      </c>
      <c r="AE1973" s="309">
        <v>0</v>
      </c>
      <c r="AF1973" s="309">
        <v>6689219</v>
      </c>
      <c r="AG1973" s="309">
        <v>45017</v>
      </c>
      <c r="AH1973" s="309" t="s">
        <v>4877</v>
      </c>
      <c r="AI1973" s="309"/>
      <c r="AJ1973" s="309"/>
      <c r="AK1973" s="309" t="s">
        <v>48</v>
      </c>
      <c r="AL1973" s="309" t="s">
        <v>56</v>
      </c>
      <c r="AM1973" s="299">
        <f t="shared" ca="1" si="226"/>
        <v>0.79513888888322981</v>
      </c>
      <c r="AN1973" s="313"/>
      <c r="AO1973" s="288" t="s">
        <v>143</v>
      </c>
      <c r="AP1973" s="275" t="s">
        <v>4874</v>
      </c>
      <c r="AQ1973" s="288" t="s">
        <v>4907</v>
      </c>
      <c r="AR1973" s="277">
        <v>44931.472222222219</v>
      </c>
      <c r="AS1973" s="272" t="s">
        <v>173</v>
      </c>
      <c r="AT1973" s="288" t="s">
        <v>225</v>
      </c>
      <c r="AU1973" s="276">
        <v>0.47222222222222227</v>
      </c>
      <c r="AV1973" s="288">
        <v>1</v>
      </c>
      <c r="AW1973" s="288" t="s">
        <v>66</v>
      </c>
      <c r="AX1973" s="314"/>
      <c r="AY1973" s="314"/>
      <c r="AZ1973" s="314"/>
      <c r="BA1973" s="314"/>
    </row>
    <row r="1974" spans="1:53" s="301" customFormat="1" x14ac:dyDescent="0.25">
      <c r="A1974" s="312">
        <v>44</v>
      </c>
      <c r="B1974" s="311">
        <v>44930.677083333336</v>
      </c>
      <c r="C1974" s="308">
        <v>0.68055555555555547</v>
      </c>
      <c r="D1974" s="308">
        <v>0.69097222222222221</v>
      </c>
      <c r="E1974" s="308">
        <v>0.72222222222222221</v>
      </c>
      <c r="F1974" s="309" t="s">
        <v>169</v>
      </c>
      <c r="G1974" s="309" t="s">
        <v>4873</v>
      </c>
      <c r="H1974" s="307" t="s">
        <v>191</v>
      </c>
      <c r="I1974" s="307" t="s">
        <v>192</v>
      </c>
      <c r="J1974" s="307" t="s">
        <v>37</v>
      </c>
      <c r="K1974" s="309" t="s">
        <v>180</v>
      </c>
      <c r="L1974" s="309" t="s">
        <v>206</v>
      </c>
      <c r="M1974" s="309" t="s">
        <v>4874</v>
      </c>
      <c r="N1974" s="309" t="s">
        <v>270</v>
      </c>
      <c r="O1974" s="309" t="s">
        <v>4875</v>
      </c>
      <c r="P1974" s="309" t="s">
        <v>4876</v>
      </c>
      <c r="Q1974" s="303">
        <f t="shared" si="222"/>
        <v>0</v>
      </c>
      <c r="R1974" s="303">
        <f t="shared" si="223"/>
        <v>0</v>
      </c>
      <c r="S1974" s="309">
        <v>0</v>
      </c>
      <c r="T1974" s="309">
        <v>0</v>
      </c>
      <c r="U1974" s="309">
        <v>0</v>
      </c>
      <c r="V1974" s="309">
        <v>0</v>
      </c>
      <c r="W1974" s="309">
        <v>0</v>
      </c>
      <c r="X1974" s="309">
        <v>58</v>
      </c>
      <c r="Y1974" s="309">
        <v>39</v>
      </c>
      <c r="Z1974" s="309">
        <v>15</v>
      </c>
      <c r="AA1974" s="309">
        <v>12</v>
      </c>
      <c r="AB1974" s="307">
        <f t="shared" si="224"/>
        <v>67.86</v>
      </c>
      <c r="AC1974" s="307">
        <f t="shared" si="225"/>
        <v>0.40879518072289156</v>
      </c>
      <c r="AD1974" s="309">
        <v>0</v>
      </c>
      <c r="AE1974" s="309">
        <v>0</v>
      </c>
      <c r="AF1974" s="309">
        <v>6689219</v>
      </c>
      <c r="AG1974" s="309">
        <v>45017</v>
      </c>
      <c r="AH1974" s="309" t="s">
        <v>4877</v>
      </c>
      <c r="AI1974" s="309"/>
      <c r="AJ1974" s="309"/>
      <c r="AK1974" s="309" t="s">
        <v>48</v>
      </c>
      <c r="AL1974" s="309" t="s">
        <v>56</v>
      </c>
      <c r="AM1974" s="299">
        <f t="shared" ca="1" si="226"/>
        <v>0.79513888888322981</v>
      </c>
      <c r="AN1974" s="313"/>
      <c r="AO1974" s="288" t="s">
        <v>143</v>
      </c>
      <c r="AP1974" s="275" t="s">
        <v>4874</v>
      </c>
      <c r="AQ1974" s="288" t="s">
        <v>4907</v>
      </c>
      <c r="AR1974" s="277">
        <v>44931.472222222219</v>
      </c>
      <c r="AS1974" s="272" t="s">
        <v>173</v>
      </c>
      <c r="AT1974" s="288" t="s">
        <v>225</v>
      </c>
      <c r="AU1974" s="276">
        <v>0.47222222222222227</v>
      </c>
      <c r="AV1974" s="288">
        <v>1</v>
      </c>
      <c r="AW1974" s="288" t="s">
        <v>66</v>
      </c>
      <c r="AX1974" s="314"/>
      <c r="AY1974" s="314"/>
      <c r="AZ1974" s="314"/>
      <c r="BA1974" s="314"/>
    </row>
    <row r="1975" spans="1:53" s="301" customFormat="1" x14ac:dyDescent="0.25">
      <c r="A1975" s="312">
        <v>44</v>
      </c>
      <c r="B1975" s="311">
        <v>44930.677083333336</v>
      </c>
      <c r="C1975" s="308">
        <v>0.68055555555555547</v>
      </c>
      <c r="D1975" s="308">
        <v>0.69097222222222221</v>
      </c>
      <c r="E1975" s="308">
        <v>0.72222222222222221</v>
      </c>
      <c r="F1975" s="309" t="s">
        <v>169</v>
      </c>
      <c r="G1975" s="309" t="s">
        <v>4873</v>
      </c>
      <c r="H1975" s="307" t="s">
        <v>191</v>
      </c>
      <c r="I1975" s="307" t="s">
        <v>192</v>
      </c>
      <c r="J1975" s="307" t="s">
        <v>37</v>
      </c>
      <c r="K1975" s="309" t="s">
        <v>180</v>
      </c>
      <c r="L1975" s="309" t="s">
        <v>206</v>
      </c>
      <c r="M1975" s="309" t="s">
        <v>4874</v>
      </c>
      <c r="N1975" s="309" t="s">
        <v>270</v>
      </c>
      <c r="O1975" s="309" t="s">
        <v>4875</v>
      </c>
      <c r="P1975" s="309" t="s">
        <v>4876</v>
      </c>
      <c r="Q1975" s="303">
        <f t="shared" si="222"/>
        <v>0</v>
      </c>
      <c r="R1975" s="303">
        <f t="shared" si="223"/>
        <v>0</v>
      </c>
      <c r="S1975" s="309">
        <v>0</v>
      </c>
      <c r="T1975" s="309">
        <v>0</v>
      </c>
      <c r="U1975" s="309">
        <v>0</v>
      </c>
      <c r="V1975" s="309">
        <v>0</v>
      </c>
      <c r="W1975" s="309">
        <v>0</v>
      </c>
      <c r="X1975" s="309">
        <v>39</v>
      </c>
      <c r="Y1975" s="309">
        <v>29</v>
      </c>
      <c r="Z1975" s="309">
        <v>15</v>
      </c>
      <c r="AA1975" s="309">
        <v>6</v>
      </c>
      <c r="AB1975" s="307">
        <f t="shared" si="224"/>
        <v>16.965</v>
      </c>
      <c r="AC1975" s="307">
        <f t="shared" si="225"/>
        <v>0.10219879518072289</v>
      </c>
      <c r="AD1975" s="309">
        <v>0</v>
      </c>
      <c r="AE1975" s="309">
        <v>0</v>
      </c>
      <c r="AF1975" s="309">
        <v>6689219</v>
      </c>
      <c r="AG1975" s="309">
        <v>45017</v>
      </c>
      <c r="AH1975" s="309" t="s">
        <v>4877</v>
      </c>
      <c r="AI1975" s="309"/>
      <c r="AJ1975" s="309"/>
      <c r="AK1975" s="309" t="s">
        <v>48</v>
      </c>
      <c r="AL1975" s="309" t="s">
        <v>56</v>
      </c>
      <c r="AM1975" s="299">
        <f t="shared" ca="1" si="226"/>
        <v>0.79513888888322981</v>
      </c>
      <c r="AN1975" s="313"/>
      <c r="AO1975" s="288" t="s">
        <v>143</v>
      </c>
      <c r="AP1975" s="275" t="s">
        <v>4874</v>
      </c>
      <c r="AQ1975" s="288" t="s">
        <v>4907</v>
      </c>
      <c r="AR1975" s="277">
        <v>44931.472222222219</v>
      </c>
      <c r="AS1975" s="272" t="s">
        <v>173</v>
      </c>
      <c r="AT1975" s="288" t="s">
        <v>225</v>
      </c>
      <c r="AU1975" s="276">
        <v>0.47222222222222227</v>
      </c>
      <c r="AV1975" s="288">
        <v>1</v>
      </c>
      <c r="AW1975" s="288" t="s">
        <v>66</v>
      </c>
      <c r="AX1975" s="314"/>
      <c r="AY1975" s="314"/>
      <c r="AZ1975" s="314"/>
      <c r="BA1975" s="314"/>
    </row>
    <row r="1976" spans="1:53" s="301" customFormat="1" x14ac:dyDescent="0.25">
      <c r="A1976" s="312">
        <v>45</v>
      </c>
      <c r="B1976" s="311">
        <v>44930.756944444445</v>
      </c>
      <c r="C1976" s="308">
        <v>0.76041666666666663</v>
      </c>
      <c r="D1976" s="308">
        <v>0.76736111111111116</v>
      </c>
      <c r="E1976" s="308">
        <v>0.78125</v>
      </c>
      <c r="F1976" s="309" t="s">
        <v>169</v>
      </c>
      <c r="G1976" s="309" t="s">
        <v>3515</v>
      </c>
      <c r="H1976" s="310" t="s">
        <v>300</v>
      </c>
      <c r="I1976" s="310" t="s">
        <v>353</v>
      </c>
      <c r="J1976" s="310" t="s">
        <v>37</v>
      </c>
      <c r="K1976" s="309" t="s">
        <v>233</v>
      </c>
      <c r="L1976" s="309" t="s">
        <v>285</v>
      </c>
      <c r="M1976" s="309" t="s">
        <v>4878</v>
      </c>
      <c r="N1976" s="309" t="s">
        <v>38</v>
      </c>
      <c r="O1976" s="309" t="s">
        <v>4879</v>
      </c>
      <c r="P1976" s="309">
        <v>2000061568</v>
      </c>
      <c r="Q1976" s="303">
        <f t="shared" ref="Q1976:Q1980" si="227">S1976+U1976</f>
        <v>20</v>
      </c>
      <c r="R1976" s="303">
        <f t="shared" ref="R1976:R1980" si="228">T1976+V1976</f>
        <v>133</v>
      </c>
      <c r="S1976" s="309">
        <v>20</v>
      </c>
      <c r="T1976" s="292">
        <v>133</v>
      </c>
      <c r="U1976" s="309">
        <v>0</v>
      </c>
      <c r="V1976" s="309">
        <v>0</v>
      </c>
      <c r="W1976" s="292">
        <v>323.73</v>
      </c>
      <c r="X1976" s="309">
        <v>50</v>
      </c>
      <c r="Y1976" s="309">
        <v>42</v>
      </c>
      <c r="Z1976" s="309">
        <v>27</v>
      </c>
      <c r="AA1976" s="309">
        <v>10</v>
      </c>
      <c r="AB1976" s="307">
        <f t="shared" ref="AB1976:AB1980" si="229">X1976*Y1976*Z1976*AA1976/6000</f>
        <v>94.5</v>
      </c>
      <c r="AC1976" s="307">
        <f t="shared" ref="AC1976:AC1980" si="230">AB1976/166</f>
        <v>0.56927710843373491</v>
      </c>
      <c r="AD1976" s="309" t="s">
        <v>109</v>
      </c>
      <c r="AE1976" s="309">
        <v>2271.41</v>
      </c>
      <c r="AF1976" s="309" t="s">
        <v>3432</v>
      </c>
      <c r="AG1976" s="309" t="s">
        <v>3432</v>
      </c>
      <c r="AH1976" s="309" t="s">
        <v>4880</v>
      </c>
      <c r="AI1976" s="309"/>
      <c r="AJ1976" s="309"/>
      <c r="AK1976" s="309" t="s">
        <v>48</v>
      </c>
      <c r="AL1976" s="309" t="s">
        <v>56</v>
      </c>
      <c r="AM1976" s="299">
        <f t="shared" ca="1" si="226"/>
        <v>2.7951388888905058</v>
      </c>
      <c r="AN1976" s="313"/>
      <c r="AO1976" s="288" t="s">
        <v>67</v>
      </c>
      <c r="AP1976" s="275" t="s">
        <v>4878</v>
      </c>
      <c r="AQ1976" s="288" t="s">
        <v>5037</v>
      </c>
      <c r="AR1976" s="277">
        <v>44933.552083333336</v>
      </c>
      <c r="AS1976" s="272" t="s">
        <v>297</v>
      </c>
      <c r="AT1976" s="288" t="s">
        <v>65</v>
      </c>
      <c r="AU1976" s="276">
        <v>0.55208333333333337</v>
      </c>
      <c r="AV1976" s="288">
        <v>1</v>
      </c>
      <c r="AW1976" s="288" t="s">
        <v>66</v>
      </c>
      <c r="AX1976" s="314"/>
      <c r="AY1976" s="314"/>
      <c r="AZ1976" s="314"/>
      <c r="BA1976" s="314"/>
    </row>
    <row r="1977" spans="1:53" s="301" customFormat="1" x14ac:dyDescent="0.25">
      <c r="A1977" s="312">
        <v>45</v>
      </c>
      <c r="B1977" s="311">
        <v>44930.756944444445</v>
      </c>
      <c r="C1977" s="308">
        <v>0.76041666666666663</v>
      </c>
      <c r="D1977" s="308">
        <v>0.76736111111111116</v>
      </c>
      <c r="E1977" s="308">
        <v>0.78125</v>
      </c>
      <c r="F1977" s="309" t="s">
        <v>169</v>
      </c>
      <c r="G1977" s="309" t="s">
        <v>3515</v>
      </c>
      <c r="H1977" s="307" t="s">
        <v>300</v>
      </c>
      <c r="I1977" s="307" t="s">
        <v>353</v>
      </c>
      <c r="J1977" s="307" t="s">
        <v>37</v>
      </c>
      <c r="K1977" s="309" t="s">
        <v>233</v>
      </c>
      <c r="L1977" s="309" t="s">
        <v>285</v>
      </c>
      <c r="M1977" s="309" t="s">
        <v>4878</v>
      </c>
      <c r="N1977" s="309" t="s">
        <v>38</v>
      </c>
      <c r="O1977" s="309" t="s">
        <v>4879</v>
      </c>
      <c r="P1977" s="309">
        <v>2000061568</v>
      </c>
      <c r="Q1977" s="303">
        <f t="shared" si="227"/>
        <v>0</v>
      </c>
      <c r="R1977" s="303">
        <f t="shared" si="228"/>
        <v>0</v>
      </c>
      <c r="S1977" s="309">
        <v>0</v>
      </c>
      <c r="T1977" s="309">
        <v>0</v>
      </c>
      <c r="U1977" s="309">
        <v>0</v>
      </c>
      <c r="V1977" s="309">
        <v>0</v>
      </c>
      <c r="W1977" s="309">
        <v>0</v>
      </c>
      <c r="X1977" s="309">
        <v>48</v>
      </c>
      <c r="Y1977" s="309">
        <v>38</v>
      </c>
      <c r="Z1977" s="309">
        <v>18</v>
      </c>
      <c r="AA1977" s="309">
        <v>3</v>
      </c>
      <c r="AB1977" s="307">
        <f t="shared" si="229"/>
        <v>16.416</v>
      </c>
      <c r="AC1977" s="307">
        <f t="shared" si="230"/>
        <v>9.8891566265060238E-2</v>
      </c>
      <c r="AD1977" s="309">
        <v>0</v>
      </c>
      <c r="AE1977" s="309">
        <v>0</v>
      </c>
      <c r="AF1977" s="309" t="s">
        <v>3432</v>
      </c>
      <c r="AG1977" s="309" t="s">
        <v>3432</v>
      </c>
      <c r="AH1977" s="309" t="s">
        <v>4880</v>
      </c>
      <c r="AI1977" s="309"/>
      <c r="AJ1977" s="309"/>
      <c r="AK1977" s="309" t="s">
        <v>48</v>
      </c>
      <c r="AL1977" s="309" t="s">
        <v>56</v>
      </c>
      <c r="AM1977" s="299">
        <f t="shared" ca="1" si="226"/>
        <v>2.7951388888905058</v>
      </c>
      <c r="AN1977" s="313"/>
      <c r="AO1977" s="288" t="s">
        <v>67</v>
      </c>
      <c r="AP1977" s="275" t="s">
        <v>4878</v>
      </c>
      <c r="AQ1977" s="288" t="s">
        <v>5037</v>
      </c>
      <c r="AR1977" s="277">
        <v>44933.552083333336</v>
      </c>
      <c r="AS1977" s="272" t="s">
        <v>297</v>
      </c>
      <c r="AT1977" s="288" t="s">
        <v>65</v>
      </c>
      <c r="AU1977" s="276">
        <v>0.55208333333333337</v>
      </c>
      <c r="AV1977" s="288">
        <v>1</v>
      </c>
      <c r="AW1977" s="288" t="s">
        <v>66</v>
      </c>
      <c r="AX1977" s="314"/>
      <c r="AY1977" s="314"/>
      <c r="AZ1977" s="314"/>
      <c r="BA1977" s="314"/>
    </row>
    <row r="1978" spans="1:53" s="301" customFormat="1" x14ac:dyDescent="0.25">
      <c r="A1978" s="312">
        <v>45</v>
      </c>
      <c r="B1978" s="311">
        <v>44930.756944444445</v>
      </c>
      <c r="C1978" s="308">
        <v>0.76041666666666663</v>
      </c>
      <c r="D1978" s="308">
        <v>0.76736111111111116</v>
      </c>
      <c r="E1978" s="308">
        <v>0.78125</v>
      </c>
      <c r="F1978" s="309" t="s">
        <v>169</v>
      </c>
      <c r="G1978" s="309" t="s">
        <v>3515</v>
      </c>
      <c r="H1978" s="307" t="s">
        <v>300</v>
      </c>
      <c r="I1978" s="307" t="s">
        <v>353</v>
      </c>
      <c r="J1978" s="307" t="s">
        <v>37</v>
      </c>
      <c r="K1978" s="309" t="s">
        <v>233</v>
      </c>
      <c r="L1978" s="309" t="s">
        <v>285</v>
      </c>
      <c r="M1978" s="309" t="s">
        <v>4878</v>
      </c>
      <c r="N1978" s="309" t="s">
        <v>38</v>
      </c>
      <c r="O1978" s="309" t="s">
        <v>4879</v>
      </c>
      <c r="P1978" s="309">
        <v>2000061568</v>
      </c>
      <c r="Q1978" s="303">
        <f t="shared" si="227"/>
        <v>0</v>
      </c>
      <c r="R1978" s="303">
        <f t="shared" si="228"/>
        <v>0</v>
      </c>
      <c r="S1978" s="309">
        <v>0</v>
      </c>
      <c r="T1978" s="309">
        <v>0</v>
      </c>
      <c r="U1978" s="309">
        <v>0</v>
      </c>
      <c r="V1978" s="309">
        <v>0</v>
      </c>
      <c r="W1978" s="309">
        <v>0</v>
      </c>
      <c r="X1978" s="309">
        <v>45</v>
      </c>
      <c r="Y1978" s="309">
        <v>35</v>
      </c>
      <c r="Z1978" s="309">
        <v>25</v>
      </c>
      <c r="AA1978" s="309">
        <v>3</v>
      </c>
      <c r="AB1978" s="307">
        <f t="shared" si="229"/>
        <v>19.6875</v>
      </c>
      <c r="AC1978" s="307">
        <f t="shared" si="230"/>
        <v>0.11859939759036145</v>
      </c>
      <c r="AD1978" s="309">
        <v>0</v>
      </c>
      <c r="AE1978" s="309">
        <v>0</v>
      </c>
      <c r="AF1978" s="309" t="s">
        <v>3432</v>
      </c>
      <c r="AG1978" s="309" t="s">
        <v>3432</v>
      </c>
      <c r="AH1978" s="309" t="s">
        <v>4880</v>
      </c>
      <c r="AI1978" s="309"/>
      <c r="AJ1978" s="309"/>
      <c r="AK1978" s="309" t="s">
        <v>48</v>
      </c>
      <c r="AL1978" s="309" t="s">
        <v>56</v>
      </c>
      <c r="AM1978" s="299">
        <f t="shared" ca="1" si="226"/>
        <v>2.7951388888905058</v>
      </c>
      <c r="AN1978" s="313"/>
      <c r="AO1978" s="288" t="s">
        <v>67</v>
      </c>
      <c r="AP1978" s="275" t="s">
        <v>4878</v>
      </c>
      <c r="AQ1978" s="288" t="s">
        <v>5037</v>
      </c>
      <c r="AR1978" s="277">
        <v>44933.552083333336</v>
      </c>
      <c r="AS1978" s="272" t="s">
        <v>297</v>
      </c>
      <c r="AT1978" s="288" t="s">
        <v>65</v>
      </c>
      <c r="AU1978" s="276">
        <v>0.55208333333333337</v>
      </c>
      <c r="AV1978" s="288">
        <v>1</v>
      </c>
      <c r="AW1978" s="288" t="s">
        <v>66</v>
      </c>
      <c r="AX1978" s="314"/>
      <c r="AY1978" s="314"/>
      <c r="AZ1978" s="314"/>
      <c r="BA1978" s="314"/>
    </row>
    <row r="1979" spans="1:53" s="301" customFormat="1" x14ac:dyDescent="0.25">
      <c r="A1979" s="312">
        <v>45</v>
      </c>
      <c r="B1979" s="311">
        <v>44930.756944444445</v>
      </c>
      <c r="C1979" s="308">
        <v>0.76041666666666663</v>
      </c>
      <c r="D1979" s="308">
        <v>0.76736111111111116</v>
      </c>
      <c r="E1979" s="308">
        <v>0.78125</v>
      </c>
      <c r="F1979" s="309" t="s">
        <v>169</v>
      </c>
      <c r="G1979" s="309" t="s">
        <v>3515</v>
      </c>
      <c r="H1979" s="307" t="s">
        <v>300</v>
      </c>
      <c r="I1979" s="307" t="s">
        <v>353</v>
      </c>
      <c r="J1979" s="307" t="s">
        <v>37</v>
      </c>
      <c r="K1979" s="309" t="s">
        <v>233</v>
      </c>
      <c r="L1979" s="309" t="s">
        <v>285</v>
      </c>
      <c r="M1979" s="309" t="s">
        <v>4878</v>
      </c>
      <c r="N1979" s="309" t="s">
        <v>38</v>
      </c>
      <c r="O1979" s="309" t="s">
        <v>4879</v>
      </c>
      <c r="P1979" s="309">
        <v>2000061568</v>
      </c>
      <c r="Q1979" s="303">
        <f t="shared" si="227"/>
        <v>0</v>
      </c>
      <c r="R1979" s="303">
        <f t="shared" si="228"/>
        <v>0</v>
      </c>
      <c r="S1979" s="309">
        <v>0</v>
      </c>
      <c r="T1979" s="309">
        <v>0</v>
      </c>
      <c r="U1979" s="309">
        <v>0</v>
      </c>
      <c r="V1979" s="309">
        <v>0</v>
      </c>
      <c r="W1979" s="309">
        <v>0</v>
      </c>
      <c r="X1979" s="309">
        <v>69</v>
      </c>
      <c r="Y1979" s="309">
        <v>47</v>
      </c>
      <c r="Z1979" s="309">
        <v>37</v>
      </c>
      <c r="AA1979" s="309">
        <v>2</v>
      </c>
      <c r="AB1979" s="307">
        <f t="shared" si="229"/>
        <v>39.997</v>
      </c>
      <c r="AC1979" s="307">
        <f t="shared" si="230"/>
        <v>0.24094578313253012</v>
      </c>
      <c r="AD1979" s="309">
        <v>0</v>
      </c>
      <c r="AE1979" s="309">
        <v>0</v>
      </c>
      <c r="AF1979" s="309" t="s">
        <v>3432</v>
      </c>
      <c r="AG1979" s="309" t="s">
        <v>3432</v>
      </c>
      <c r="AH1979" s="309" t="s">
        <v>4880</v>
      </c>
      <c r="AI1979" s="309"/>
      <c r="AJ1979" s="309"/>
      <c r="AK1979" s="309" t="s">
        <v>48</v>
      </c>
      <c r="AL1979" s="309" t="s">
        <v>56</v>
      </c>
      <c r="AM1979" s="299">
        <f t="shared" ca="1" si="226"/>
        <v>2.7951388888905058</v>
      </c>
      <c r="AN1979" s="313"/>
      <c r="AO1979" s="288" t="s">
        <v>67</v>
      </c>
      <c r="AP1979" s="275" t="s">
        <v>4878</v>
      </c>
      <c r="AQ1979" s="288" t="s">
        <v>5037</v>
      </c>
      <c r="AR1979" s="277">
        <v>44933.552083333336</v>
      </c>
      <c r="AS1979" s="272" t="s">
        <v>297</v>
      </c>
      <c r="AT1979" s="288" t="s">
        <v>65</v>
      </c>
      <c r="AU1979" s="276">
        <v>0.55208333333333337</v>
      </c>
      <c r="AV1979" s="288">
        <v>1</v>
      </c>
      <c r="AW1979" s="288" t="s">
        <v>66</v>
      </c>
      <c r="AX1979" s="314"/>
      <c r="AY1979" s="314"/>
      <c r="AZ1979" s="314"/>
      <c r="BA1979" s="314"/>
    </row>
    <row r="1980" spans="1:53" s="301" customFormat="1" x14ac:dyDescent="0.25">
      <c r="A1980" s="312">
        <v>45</v>
      </c>
      <c r="B1980" s="311">
        <v>44930.756944444445</v>
      </c>
      <c r="C1980" s="308">
        <v>0.76041666666666663</v>
      </c>
      <c r="D1980" s="308">
        <v>0.76736111111111116</v>
      </c>
      <c r="E1980" s="308">
        <v>0.78125</v>
      </c>
      <c r="F1980" s="309" t="s">
        <v>169</v>
      </c>
      <c r="G1980" s="309" t="s">
        <v>3515</v>
      </c>
      <c r="H1980" s="307" t="s">
        <v>300</v>
      </c>
      <c r="I1980" s="307" t="s">
        <v>353</v>
      </c>
      <c r="J1980" s="307" t="s">
        <v>37</v>
      </c>
      <c r="K1980" s="309" t="s">
        <v>233</v>
      </c>
      <c r="L1980" s="309" t="s">
        <v>285</v>
      </c>
      <c r="M1980" s="309" t="s">
        <v>4878</v>
      </c>
      <c r="N1980" s="309" t="s">
        <v>38</v>
      </c>
      <c r="O1980" s="309" t="s">
        <v>4879</v>
      </c>
      <c r="P1980" s="309">
        <v>2000061568</v>
      </c>
      <c r="Q1980" s="303">
        <f t="shared" si="227"/>
        <v>0</v>
      </c>
      <c r="R1980" s="303">
        <f t="shared" si="228"/>
        <v>0</v>
      </c>
      <c r="S1980" s="309">
        <v>0</v>
      </c>
      <c r="T1980" s="309">
        <v>0</v>
      </c>
      <c r="U1980" s="309">
        <v>0</v>
      </c>
      <c r="V1980" s="309">
        <v>0</v>
      </c>
      <c r="W1980" s="309">
        <v>0</v>
      </c>
      <c r="X1980" s="309">
        <v>69</v>
      </c>
      <c r="Y1980" s="309">
        <v>42</v>
      </c>
      <c r="Z1980" s="309">
        <v>38</v>
      </c>
      <c r="AA1980" s="309">
        <v>2</v>
      </c>
      <c r="AB1980" s="307">
        <f t="shared" si="229"/>
        <v>36.707999999999998</v>
      </c>
      <c r="AC1980" s="307">
        <f t="shared" si="230"/>
        <v>0.22113253012048192</v>
      </c>
      <c r="AD1980" s="309">
        <v>0</v>
      </c>
      <c r="AE1980" s="309">
        <v>0</v>
      </c>
      <c r="AF1980" s="309" t="s">
        <v>3432</v>
      </c>
      <c r="AG1980" s="309" t="s">
        <v>3432</v>
      </c>
      <c r="AH1980" s="309" t="s">
        <v>4880</v>
      </c>
      <c r="AI1980" s="309"/>
      <c r="AJ1980" s="309"/>
      <c r="AK1980" s="309" t="s">
        <v>48</v>
      </c>
      <c r="AL1980" s="309" t="s">
        <v>56</v>
      </c>
      <c r="AM1980" s="299">
        <f t="shared" ca="1" si="226"/>
        <v>2.7951388888905058</v>
      </c>
      <c r="AN1980" s="313"/>
      <c r="AO1980" s="288" t="s">
        <v>67</v>
      </c>
      <c r="AP1980" s="275" t="s">
        <v>4878</v>
      </c>
      <c r="AQ1980" s="288" t="s">
        <v>5037</v>
      </c>
      <c r="AR1980" s="277">
        <v>44933.552083333336</v>
      </c>
      <c r="AS1980" s="272" t="s">
        <v>297</v>
      </c>
      <c r="AT1980" s="288" t="s">
        <v>65</v>
      </c>
      <c r="AU1980" s="276">
        <v>0.55208333333333337</v>
      </c>
      <c r="AV1980" s="288">
        <v>1</v>
      </c>
      <c r="AW1980" s="288" t="s">
        <v>66</v>
      </c>
      <c r="AX1980" s="314"/>
      <c r="AY1980" s="314"/>
      <c r="AZ1980" s="314"/>
      <c r="BA1980" s="314"/>
    </row>
    <row r="1981" spans="1:53" s="301" customFormat="1" x14ac:dyDescent="0.25">
      <c r="A1981" s="312">
        <v>46</v>
      </c>
      <c r="B1981" s="311">
        <v>44930.78125</v>
      </c>
      <c r="C1981" s="308">
        <v>0.78472222222222221</v>
      </c>
      <c r="D1981" s="308">
        <v>0.78819444444444453</v>
      </c>
      <c r="E1981" s="308">
        <v>0.79166666666666663</v>
      </c>
      <c r="F1981" s="309" t="s">
        <v>171</v>
      </c>
      <c r="G1981" s="309" t="s">
        <v>290</v>
      </c>
      <c r="H1981" s="310" t="s">
        <v>342</v>
      </c>
      <c r="I1981" s="310" t="s">
        <v>342</v>
      </c>
      <c r="J1981" s="310" t="s">
        <v>37</v>
      </c>
      <c r="K1981" s="309" t="s">
        <v>180</v>
      </c>
      <c r="L1981" s="309">
        <v>0</v>
      </c>
      <c r="M1981" s="309" t="s">
        <v>4895</v>
      </c>
      <c r="N1981" s="309" t="s">
        <v>42</v>
      </c>
      <c r="O1981" s="309" t="s">
        <v>4896</v>
      </c>
      <c r="P1981" s="309">
        <v>29568790</v>
      </c>
      <c r="Q1981" s="303">
        <f t="shared" ref="Q1981:Q1983" si="231">S1981+U1981</f>
        <v>1</v>
      </c>
      <c r="R1981" s="303">
        <f t="shared" ref="R1981:R1983" si="232">T1981+V1981</f>
        <v>58</v>
      </c>
      <c r="S1981" s="309">
        <v>0</v>
      </c>
      <c r="T1981" s="309">
        <v>0</v>
      </c>
      <c r="U1981" s="309">
        <v>1</v>
      </c>
      <c r="V1981" s="309">
        <v>58</v>
      </c>
      <c r="W1981" s="309">
        <v>56</v>
      </c>
      <c r="X1981" s="309">
        <v>70</v>
      </c>
      <c r="Y1981" s="309">
        <v>69</v>
      </c>
      <c r="Z1981" s="309">
        <v>44</v>
      </c>
      <c r="AA1981" s="309">
        <v>1</v>
      </c>
      <c r="AB1981" s="307">
        <f t="shared" ref="AB1981:AB1983" si="233">X1981*Y1981*Z1981*AA1981/6000</f>
        <v>35.42</v>
      </c>
      <c r="AC1981" s="307">
        <f t="shared" ref="AC1981:AC1983" si="234">AB1981/166</f>
        <v>0.21337349397590363</v>
      </c>
      <c r="AD1981" s="309" t="s">
        <v>109</v>
      </c>
      <c r="AE1981" s="309">
        <v>620.38</v>
      </c>
      <c r="AF1981" s="309" t="s">
        <v>4897</v>
      </c>
      <c r="AG1981" s="53">
        <v>45017</v>
      </c>
      <c r="AH1981" s="309" t="s">
        <v>4898</v>
      </c>
      <c r="AI1981" s="309"/>
      <c r="AJ1981" s="309"/>
      <c r="AK1981" s="309" t="s">
        <v>41</v>
      </c>
      <c r="AL1981" s="309" t="s">
        <v>39</v>
      </c>
      <c r="AM1981" s="299">
        <f t="shared" ca="1" si="226"/>
        <v>4.9236111111094942</v>
      </c>
      <c r="AN1981" s="313"/>
      <c r="AO1981" s="288" t="s">
        <v>107</v>
      </c>
      <c r="AP1981" s="275" t="s">
        <v>4895</v>
      </c>
      <c r="AQ1981" s="288" t="s">
        <v>5128</v>
      </c>
      <c r="AR1981" s="277">
        <v>44935.704861111109</v>
      </c>
      <c r="AS1981" s="288" t="s">
        <v>240</v>
      </c>
      <c r="AT1981" s="276" t="s">
        <v>65</v>
      </c>
      <c r="AU1981" s="276">
        <v>0.70486111111111116</v>
      </c>
      <c r="AV1981" s="288">
        <v>1</v>
      </c>
      <c r="AW1981" s="288" t="s">
        <v>66</v>
      </c>
      <c r="AX1981" s="314"/>
      <c r="AY1981" s="314"/>
      <c r="AZ1981" s="314"/>
      <c r="BA1981" s="314"/>
    </row>
    <row r="1982" spans="1:53" s="301" customFormat="1" x14ac:dyDescent="0.25">
      <c r="A1982" s="312">
        <v>47</v>
      </c>
      <c r="B1982" s="311">
        <v>44931.427083333336</v>
      </c>
      <c r="C1982" s="308">
        <v>0.43402777777777773</v>
      </c>
      <c r="D1982" s="308">
        <v>0.4375</v>
      </c>
      <c r="E1982" s="308">
        <v>0.47916666666666669</v>
      </c>
      <c r="F1982" s="309" t="s">
        <v>171</v>
      </c>
      <c r="G1982" s="309" t="s">
        <v>269</v>
      </c>
      <c r="H1982" s="307" t="s">
        <v>489</v>
      </c>
      <c r="I1982" s="307" t="s">
        <v>69</v>
      </c>
      <c r="J1982" s="310" t="s">
        <v>37</v>
      </c>
      <c r="K1982" s="307" t="s">
        <v>180</v>
      </c>
      <c r="L1982" s="307" t="s">
        <v>206</v>
      </c>
      <c r="M1982" s="309" t="s">
        <v>4899</v>
      </c>
      <c r="N1982" s="309" t="s">
        <v>42</v>
      </c>
      <c r="O1982" s="309">
        <v>300001132</v>
      </c>
      <c r="P1982" s="309">
        <v>410004</v>
      </c>
      <c r="Q1982" s="303">
        <f t="shared" si="231"/>
        <v>4</v>
      </c>
      <c r="R1982" s="303">
        <f t="shared" si="232"/>
        <v>2629</v>
      </c>
      <c r="S1982" s="309">
        <v>0</v>
      </c>
      <c r="T1982" s="309">
        <v>0</v>
      </c>
      <c r="U1982" s="309">
        <v>4</v>
      </c>
      <c r="V1982" s="309">
        <v>2629</v>
      </c>
      <c r="W1982" s="309">
        <v>2400</v>
      </c>
      <c r="X1982" s="309">
        <v>132</v>
      </c>
      <c r="Y1982" s="309">
        <v>92</v>
      </c>
      <c r="Z1982" s="309">
        <v>113</v>
      </c>
      <c r="AA1982" s="309">
        <v>4</v>
      </c>
      <c r="AB1982" s="307">
        <f t="shared" si="233"/>
        <v>914.84799999999996</v>
      </c>
      <c r="AC1982" s="307">
        <f t="shared" si="234"/>
        <v>5.5111325301204817</v>
      </c>
      <c r="AD1982" s="309">
        <v>29880</v>
      </c>
      <c r="AE1982" s="309" t="s">
        <v>109</v>
      </c>
      <c r="AF1982" s="309">
        <v>6702859</v>
      </c>
      <c r="AG1982" s="53">
        <v>45017</v>
      </c>
      <c r="AH1982" s="309" t="s">
        <v>4900</v>
      </c>
      <c r="AI1982" s="309"/>
      <c r="AJ1982" s="309"/>
      <c r="AK1982" s="309" t="s">
        <v>37</v>
      </c>
      <c r="AL1982" s="309" t="s">
        <v>54</v>
      </c>
      <c r="AM1982" s="299">
        <f t="shared" ca="1" si="226"/>
        <v>1.0798611111094942</v>
      </c>
      <c r="AN1982" s="313"/>
      <c r="AO1982" s="288" t="s">
        <v>4952</v>
      </c>
      <c r="AP1982" s="275" t="s">
        <v>4899</v>
      </c>
      <c r="AQ1982" s="288" t="s">
        <v>4953</v>
      </c>
      <c r="AR1982" s="277">
        <v>44932.506944444445</v>
      </c>
      <c r="AS1982" s="272" t="s">
        <v>173</v>
      </c>
      <c r="AT1982" s="288" t="s">
        <v>225</v>
      </c>
      <c r="AU1982" s="276">
        <v>0.50694444444444442</v>
      </c>
      <c r="AV1982" s="288">
        <v>1</v>
      </c>
      <c r="AW1982" s="288" t="s">
        <v>66</v>
      </c>
      <c r="AX1982" s="314"/>
      <c r="AY1982" s="314"/>
      <c r="AZ1982" s="314"/>
      <c r="BA1982" s="314"/>
    </row>
    <row r="1983" spans="1:53" s="301" customFormat="1" x14ac:dyDescent="0.25">
      <c r="A1983" s="312">
        <v>48</v>
      </c>
      <c r="B1983" s="311">
        <v>44931.440972222219</v>
      </c>
      <c r="C1983" s="308">
        <v>0.44444444444444442</v>
      </c>
      <c r="D1983" s="308">
        <v>0.44444444444444442</v>
      </c>
      <c r="E1983" s="308">
        <v>0.44791666666666669</v>
      </c>
      <c r="F1983" s="309" t="s">
        <v>171</v>
      </c>
      <c r="G1983" s="309" t="s">
        <v>2085</v>
      </c>
      <c r="H1983" s="307" t="s">
        <v>85</v>
      </c>
      <c r="I1983" s="307" t="s">
        <v>86</v>
      </c>
      <c r="J1983" s="307" t="s">
        <v>37</v>
      </c>
      <c r="K1983" s="307" t="s">
        <v>180</v>
      </c>
      <c r="L1983" s="307" t="s">
        <v>207</v>
      </c>
      <c r="M1983" s="309" t="s">
        <v>4901</v>
      </c>
      <c r="N1983" s="309" t="s">
        <v>42</v>
      </c>
      <c r="O1983" s="309" t="s">
        <v>4902</v>
      </c>
      <c r="P1983" s="309">
        <v>9483</v>
      </c>
      <c r="Q1983" s="303">
        <f t="shared" si="231"/>
        <v>1</v>
      </c>
      <c r="R1983" s="303">
        <f t="shared" si="232"/>
        <v>104</v>
      </c>
      <c r="S1983" s="309">
        <v>0</v>
      </c>
      <c r="T1983" s="309">
        <v>0</v>
      </c>
      <c r="U1983" s="309">
        <v>1</v>
      </c>
      <c r="V1983" s="309">
        <v>104</v>
      </c>
      <c r="W1983" s="309">
        <v>100</v>
      </c>
      <c r="X1983" s="309">
        <v>99</v>
      </c>
      <c r="Y1983" s="309">
        <v>70</v>
      </c>
      <c r="Z1983" s="309">
        <v>53</v>
      </c>
      <c r="AA1983" s="309">
        <v>1</v>
      </c>
      <c r="AB1983" s="307">
        <f t="shared" si="233"/>
        <v>61.215000000000003</v>
      </c>
      <c r="AC1983" s="307">
        <f t="shared" si="234"/>
        <v>0.36876506024096389</v>
      </c>
      <c r="AD1983" s="309">
        <v>2732.76</v>
      </c>
      <c r="AE1983" s="309" t="s">
        <v>109</v>
      </c>
      <c r="AF1983" s="309" t="s">
        <v>4903</v>
      </c>
      <c r="AG1983" s="53">
        <v>45017</v>
      </c>
      <c r="AH1983" s="309" t="s">
        <v>4904</v>
      </c>
      <c r="AI1983" s="309"/>
      <c r="AJ1983" s="309"/>
      <c r="AK1983" s="309" t="s">
        <v>37</v>
      </c>
      <c r="AL1983" s="309" t="s">
        <v>49</v>
      </c>
      <c r="AM1983" s="299">
        <f t="shared" ca="1" si="226"/>
        <v>4.2638888888905058</v>
      </c>
      <c r="AN1983" s="313"/>
      <c r="AO1983" s="288" t="s">
        <v>87</v>
      </c>
      <c r="AP1983" s="275" t="s">
        <v>4901</v>
      </c>
      <c r="AQ1983" s="288" t="s">
        <v>5128</v>
      </c>
      <c r="AR1983" s="277">
        <v>44935.704861111109</v>
      </c>
      <c r="AS1983" s="288" t="s">
        <v>240</v>
      </c>
      <c r="AT1983" s="276" t="s">
        <v>65</v>
      </c>
      <c r="AU1983" s="276">
        <v>0.70486111111111116</v>
      </c>
      <c r="AV1983" s="288">
        <v>1</v>
      </c>
      <c r="AW1983" s="288" t="s">
        <v>66</v>
      </c>
      <c r="AX1983" s="314"/>
      <c r="AY1983" s="314"/>
      <c r="AZ1983" s="314"/>
      <c r="BA1983" s="314"/>
    </row>
    <row r="1984" spans="1:53" s="301" customFormat="1" x14ac:dyDescent="0.25">
      <c r="A1984" s="312">
        <v>49</v>
      </c>
      <c r="B1984" s="311">
        <v>44931.534722222219</v>
      </c>
      <c r="C1984" s="308">
        <v>0.53819444444444442</v>
      </c>
      <c r="D1984" s="308">
        <v>0.55208333333333337</v>
      </c>
      <c r="E1984" s="308">
        <v>0.55555555555555558</v>
      </c>
      <c r="F1984" s="309" t="s">
        <v>170</v>
      </c>
      <c r="G1984" s="309" t="s">
        <v>4908</v>
      </c>
      <c r="H1984" s="307" t="s">
        <v>4909</v>
      </c>
      <c r="I1984" s="307" t="s">
        <v>4910</v>
      </c>
      <c r="J1984" s="310" t="s">
        <v>37</v>
      </c>
      <c r="K1984" s="309" t="s">
        <v>63</v>
      </c>
      <c r="L1984" s="309" t="s">
        <v>206</v>
      </c>
      <c r="M1984" s="309" t="s">
        <v>4911</v>
      </c>
      <c r="N1984" s="309" t="s">
        <v>42</v>
      </c>
      <c r="O1984" s="309" t="s">
        <v>4912</v>
      </c>
      <c r="P1984" s="309" t="s">
        <v>4913</v>
      </c>
      <c r="Q1984" s="303">
        <f t="shared" ref="Q1984:Q1988" si="235">S1984+U1984</f>
        <v>87</v>
      </c>
      <c r="R1984" s="303">
        <f t="shared" ref="R1984:R1988" si="236">T1984+V1984</f>
        <v>944</v>
      </c>
      <c r="S1984" s="309">
        <v>87</v>
      </c>
      <c r="T1984" s="309">
        <v>944</v>
      </c>
      <c r="U1984" s="309">
        <v>0</v>
      </c>
      <c r="V1984" s="309">
        <v>0</v>
      </c>
      <c r="W1984" s="309" t="s">
        <v>48</v>
      </c>
      <c r="X1984" s="309">
        <v>60</v>
      </c>
      <c r="Y1984" s="309">
        <v>39</v>
      </c>
      <c r="Z1984" s="309">
        <v>26</v>
      </c>
      <c r="AA1984" s="309">
        <v>69</v>
      </c>
      <c r="AB1984" s="307">
        <f t="shared" ref="AB1984:AB1990" si="237">X1984*Y1984*Z1984*AA1984/6000</f>
        <v>699.66</v>
      </c>
      <c r="AC1984" s="307">
        <f t="shared" ref="AC1984:AC1990" si="238">AB1984/166</f>
        <v>4.2148192771084334</v>
      </c>
      <c r="AD1984" s="309">
        <v>42385.4</v>
      </c>
      <c r="AE1984" s="309" t="s">
        <v>109</v>
      </c>
      <c r="AF1984" s="309" t="s">
        <v>317</v>
      </c>
      <c r="AG1984" s="309" t="s">
        <v>317</v>
      </c>
      <c r="AH1984" s="309" t="s">
        <v>4914</v>
      </c>
      <c r="AI1984" s="309"/>
      <c r="AJ1984" s="309"/>
      <c r="AK1984" s="309" t="s">
        <v>48</v>
      </c>
      <c r="AL1984" s="309" t="s">
        <v>50</v>
      </c>
      <c r="AM1984" s="299">
        <f t="shared" ca="1" si="226"/>
        <v>0.97222222222626442</v>
      </c>
      <c r="AN1984" s="313"/>
      <c r="AO1984" s="288" t="s">
        <v>242</v>
      </c>
      <c r="AP1984" s="275" t="s">
        <v>4911</v>
      </c>
      <c r="AQ1984" s="288" t="s">
        <v>4954</v>
      </c>
      <c r="AR1984" s="277">
        <v>44932.506944444445</v>
      </c>
      <c r="AS1984" s="272" t="s">
        <v>173</v>
      </c>
      <c r="AT1984" s="288" t="s">
        <v>225</v>
      </c>
      <c r="AU1984" s="276">
        <v>0.50694444444444442</v>
      </c>
      <c r="AV1984" s="288">
        <v>1</v>
      </c>
      <c r="AW1984" s="288" t="s">
        <v>66</v>
      </c>
      <c r="AX1984" s="314"/>
      <c r="AY1984" s="314"/>
      <c r="AZ1984" s="314"/>
      <c r="BA1984" s="314"/>
    </row>
    <row r="1985" spans="1:53" s="301" customFormat="1" x14ac:dyDescent="0.25">
      <c r="A1985" s="312">
        <v>49</v>
      </c>
      <c r="B1985" s="311">
        <v>44931.534722222219</v>
      </c>
      <c r="C1985" s="308">
        <v>0.53819444444444442</v>
      </c>
      <c r="D1985" s="308">
        <v>0.55208333333333337</v>
      </c>
      <c r="E1985" s="308">
        <v>0.55555555555555558</v>
      </c>
      <c r="F1985" s="309" t="s">
        <v>170</v>
      </c>
      <c r="G1985" s="309" t="s">
        <v>4908</v>
      </c>
      <c r="H1985" s="307" t="s">
        <v>4909</v>
      </c>
      <c r="I1985" s="307" t="s">
        <v>4910</v>
      </c>
      <c r="J1985" s="307" t="s">
        <v>37</v>
      </c>
      <c r="K1985" s="309" t="s">
        <v>63</v>
      </c>
      <c r="L1985" s="309" t="s">
        <v>206</v>
      </c>
      <c r="M1985" s="309" t="s">
        <v>4911</v>
      </c>
      <c r="N1985" s="309" t="s">
        <v>42</v>
      </c>
      <c r="O1985" s="309" t="s">
        <v>4912</v>
      </c>
      <c r="P1985" s="309" t="s">
        <v>4913</v>
      </c>
      <c r="Q1985" s="303">
        <f t="shared" si="235"/>
        <v>0</v>
      </c>
      <c r="R1985" s="303">
        <f t="shared" si="236"/>
        <v>0</v>
      </c>
      <c r="S1985" s="309">
        <v>0</v>
      </c>
      <c r="T1985" s="309">
        <v>0</v>
      </c>
      <c r="U1985" s="309">
        <v>0</v>
      </c>
      <c r="V1985" s="309">
        <v>0</v>
      </c>
      <c r="W1985" s="309">
        <v>0</v>
      </c>
      <c r="X1985" s="309">
        <v>60</v>
      </c>
      <c r="Y1985" s="309">
        <v>39</v>
      </c>
      <c r="Z1985" s="309">
        <v>23</v>
      </c>
      <c r="AA1985" s="309">
        <v>18</v>
      </c>
      <c r="AB1985" s="307">
        <f t="shared" si="237"/>
        <v>161.46</v>
      </c>
      <c r="AC1985" s="307">
        <f t="shared" si="238"/>
        <v>0.97265060240963863</v>
      </c>
      <c r="AD1985" s="309">
        <v>0</v>
      </c>
      <c r="AE1985" s="309">
        <v>0</v>
      </c>
      <c r="AF1985" s="309" t="s">
        <v>317</v>
      </c>
      <c r="AG1985" s="309" t="s">
        <v>317</v>
      </c>
      <c r="AH1985" s="309" t="s">
        <v>4914</v>
      </c>
      <c r="AI1985" s="309"/>
      <c r="AJ1985" s="309"/>
      <c r="AK1985" s="309" t="s">
        <v>48</v>
      </c>
      <c r="AL1985" s="309" t="s">
        <v>50</v>
      </c>
      <c r="AM1985" s="299">
        <f t="shared" ca="1" si="226"/>
        <v>0.97222222222626442</v>
      </c>
      <c r="AN1985" s="313"/>
      <c r="AO1985" s="288" t="s">
        <v>242</v>
      </c>
      <c r="AP1985" s="275" t="s">
        <v>4911</v>
      </c>
      <c r="AQ1985" s="288" t="s">
        <v>4954</v>
      </c>
      <c r="AR1985" s="277">
        <v>44932.506944444445</v>
      </c>
      <c r="AS1985" s="272" t="s">
        <v>173</v>
      </c>
      <c r="AT1985" s="288" t="s">
        <v>225</v>
      </c>
      <c r="AU1985" s="276">
        <v>0.50694444444444442</v>
      </c>
      <c r="AV1985" s="288">
        <v>1</v>
      </c>
      <c r="AW1985" s="288" t="s">
        <v>66</v>
      </c>
      <c r="AX1985" s="314"/>
      <c r="AY1985" s="314"/>
      <c r="AZ1985" s="314"/>
      <c r="BA1985" s="314"/>
    </row>
    <row r="1986" spans="1:53" s="301" customFormat="1" x14ac:dyDescent="0.25">
      <c r="A1986" s="312">
        <v>50</v>
      </c>
      <c r="B1986" s="311">
        <v>44931.604166666664</v>
      </c>
      <c r="C1986" s="308">
        <v>0.60763888888888895</v>
      </c>
      <c r="D1986" s="308">
        <v>0.61458333333333337</v>
      </c>
      <c r="E1986" s="308">
        <v>0.63888888888888895</v>
      </c>
      <c r="F1986" s="309" t="s">
        <v>170</v>
      </c>
      <c r="G1986" s="309" t="s">
        <v>360</v>
      </c>
      <c r="H1986" s="307" t="s">
        <v>227</v>
      </c>
      <c r="I1986" s="307" t="s">
        <v>189</v>
      </c>
      <c r="J1986" s="307" t="s">
        <v>37</v>
      </c>
      <c r="K1986" s="307" t="s">
        <v>63</v>
      </c>
      <c r="L1986" s="293" t="s">
        <v>206</v>
      </c>
      <c r="M1986" s="309" t="s">
        <v>4915</v>
      </c>
      <c r="N1986" s="309" t="s">
        <v>43</v>
      </c>
      <c r="O1986" s="309" t="s">
        <v>4916</v>
      </c>
      <c r="P1986" s="309">
        <v>24560</v>
      </c>
      <c r="Q1986" s="303">
        <f t="shared" si="235"/>
        <v>7</v>
      </c>
      <c r="R1986" s="303">
        <f t="shared" si="236"/>
        <v>0</v>
      </c>
      <c r="S1986" s="309">
        <v>0</v>
      </c>
      <c r="T1986" s="309">
        <v>0</v>
      </c>
      <c r="U1986" s="309">
        <v>7</v>
      </c>
      <c r="V1986" s="309">
        <v>0</v>
      </c>
      <c r="W1986" s="309">
        <v>1268</v>
      </c>
      <c r="X1986" s="309">
        <v>158</v>
      </c>
      <c r="Y1986" s="309">
        <v>70</v>
      </c>
      <c r="Z1986" s="309">
        <v>79</v>
      </c>
      <c r="AA1986" s="309">
        <v>1</v>
      </c>
      <c r="AB1986" s="307">
        <f t="shared" si="237"/>
        <v>145.62333333333333</v>
      </c>
      <c r="AC1986" s="307">
        <f t="shared" si="238"/>
        <v>0.8772489959839358</v>
      </c>
      <c r="AD1986" s="309" t="s">
        <v>48</v>
      </c>
      <c r="AE1986" s="309" t="s">
        <v>48</v>
      </c>
      <c r="AF1986" s="309" t="s">
        <v>317</v>
      </c>
      <c r="AG1986" s="309" t="s">
        <v>317</v>
      </c>
      <c r="AH1986" s="309" t="s">
        <v>4917</v>
      </c>
      <c r="AI1986" s="309"/>
      <c r="AJ1986" s="309"/>
      <c r="AK1986" s="309" t="s">
        <v>37</v>
      </c>
      <c r="AL1986" s="309" t="s">
        <v>39</v>
      </c>
      <c r="AM1986" s="299">
        <f t="shared" ca="1" si="226"/>
        <v>0.91666666667151731</v>
      </c>
      <c r="AN1986" s="313"/>
      <c r="AO1986" s="288" t="s">
        <v>179</v>
      </c>
      <c r="AP1986" s="275" t="s">
        <v>4956</v>
      </c>
      <c r="AQ1986" s="288" t="s">
        <v>4957</v>
      </c>
      <c r="AR1986" s="277">
        <v>44932.520833333336</v>
      </c>
      <c r="AS1986" s="272" t="s">
        <v>136</v>
      </c>
      <c r="AT1986" s="288" t="s">
        <v>225</v>
      </c>
      <c r="AU1986" s="276">
        <v>0.52083333333333337</v>
      </c>
      <c r="AV1986" s="288">
        <v>1</v>
      </c>
      <c r="AW1986" s="288" t="s">
        <v>66</v>
      </c>
      <c r="AX1986" s="314"/>
      <c r="AY1986" s="314"/>
      <c r="AZ1986" s="314"/>
      <c r="BA1986" s="314"/>
    </row>
    <row r="1987" spans="1:53" s="301" customFormat="1" x14ac:dyDescent="0.25">
      <c r="A1987" s="312">
        <v>50</v>
      </c>
      <c r="B1987" s="311">
        <v>44931.604166666664</v>
      </c>
      <c r="C1987" s="308">
        <v>0.60763888888888895</v>
      </c>
      <c r="D1987" s="308">
        <v>0.61458333333333337</v>
      </c>
      <c r="E1987" s="308">
        <v>0.63888888888888895</v>
      </c>
      <c r="F1987" s="309" t="s">
        <v>170</v>
      </c>
      <c r="G1987" s="309" t="s">
        <v>360</v>
      </c>
      <c r="H1987" s="307" t="s">
        <v>227</v>
      </c>
      <c r="I1987" s="307" t="s">
        <v>189</v>
      </c>
      <c r="J1987" s="307" t="s">
        <v>37</v>
      </c>
      <c r="K1987" s="307" t="s">
        <v>63</v>
      </c>
      <c r="L1987" s="293" t="s">
        <v>206</v>
      </c>
      <c r="M1987" s="309" t="s">
        <v>4915</v>
      </c>
      <c r="N1987" s="309" t="s">
        <v>43</v>
      </c>
      <c r="O1987" s="309" t="s">
        <v>4916</v>
      </c>
      <c r="P1987" s="309">
        <v>24560</v>
      </c>
      <c r="Q1987" s="303">
        <f t="shared" si="235"/>
        <v>0</v>
      </c>
      <c r="R1987" s="303">
        <f t="shared" si="236"/>
        <v>0</v>
      </c>
      <c r="S1987" s="309">
        <v>0</v>
      </c>
      <c r="T1987" s="309">
        <v>0</v>
      </c>
      <c r="U1987" s="309">
        <v>0</v>
      </c>
      <c r="V1987" s="309">
        <v>0</v>
      </c>
      <c r="W1987" s="309">
        <v>0</v>
      </c>
      <c r="X1987" s="309">
        <v>158</v>
      </c>
      <c r="Y1987" s="309">
        <v>136</v>
      </c>
      <c r="Z1987" s="309">
        <v>79</v>
      </c>
      <c r="AA1987" s="309">
        <v>4</v>
      </c>
      <c r="AB1987" s="307">
        <f t="shared" si="237"/>
        <v>1131.7013333333334</v>
      </c>
      <c r="AC1987" s="307">
        <f t="shared" si="238"/>
        <v>6.8174779116465869</v>
      </c>
      <c r="AD1987" s="309">
        <v>0</v>
      </c>
      <c r="AE1987" s="309">
        <v>0</v>
      </c>
      <c r="AF1987" s="309" t="s">
        <v>317</v>
      </c>
      <c r="AG1987" s="309" t="s">
        <v>317</v>
      </c>
      <c r="AH1987" s="309" t="s">
        <v>4917</v>
      </c>
      <c r="AI1987" s="309"/>
      <c r="AJ1987" s="309"/>
      <c r="AK1987" s="309" t="s">
        <v>37</v>
      </c>
      <c r="AL1987" s="309" t="s">
        <v>39</v>
      </c>
      <c r="AM1987" s="299">
        <f t="shared" ca="1" si="226"/>
        <v>0.91666666667151731</v>
      </c>
      <c r="AN1987" s="313"/>
      <c r="AO1987" s="288" t="s">
        <v>179</v>
      </c>
      <c r="AP1987" s="275" t="s">
        <v>4956</v>
      </c>
      <c r="AQ1987" s="288" t="s">
        <v>4957</v>
      </c>
      <c r="AR1987" s="277">
        <v>44932.520833333336</v>
      </c>
      <c r="AS1987" s="272" t="s">
        <v>136</v>
      </c>
      <c r="AT1987" s="288" t="s">
        <v>225</v>
      </c>
      <c r="AU1987" s="276">
        <v>0.52083333333333337</v>
      </c>
      <c r="AV1987" s="288">
        <v>1</v>
      </c>
      <c r="AW1987" s="288" t="s">
        <v>66</v>
      </c>
      <c r="AX1987" s="314"/>
      <c r="AY1987" s="314"/>
      <c r="AZ1987" s="314"/>
      <c r="BA1987" s="314"/>
    </row>
    <row r="1988" spans="1:53" s="301" customFormat="1" x14ac:dyDescent="0.25">
      <c r="A1988" s="312">
        <v>50</v>
      </c>
      <c r="B1988" s="311">
        <v>44931.604166666664</v>
      </c>
      <c r="C1988" s="308">
        <v>0.60763888888888895</v>
      </c>
      <c r="D1988" s="308">
        <v>0.61458333333333337</v>
      </c>
      <c r="E1988" s="308">
        <v>0.63888888888888895</v>
      </c>
      <c r="F1988" s="309" t="s">
        <v>170</v>
      </c>
      <c r="G1988" s="309" t="s">
        <v>360</v>
      </c>
      <c r="H1988" s="307" t="s">
        <v>227</v>
      </c>
      <c r="I1988" s="307" t="s">
        <v>189</v>
      </c>
      <c r="J1988" s="307" t="s">
        <v>37</v>
      </c>
      <c r="K1988" s="307" t="s">
        <v>63</v>
      </c>
      <c r="L1988" s="293" t="s">
        <v>206</v>
      </c>
      <c r="M1988" s="309" t="s">
        <v>4915</v>
      </c>
      <c r="N1988" s="309" t="s">
        <v>43</v>
      </c>
      <c r="O1988" s="309" t="s">
        <v>4916</v>
      </c>
      <c r="P1988" s="309">
        <v>24560</v>
      </c>
      <c r="Q1988" s="303">
        <f t="shared" si="235"/>
        <v>0</v>
      </c>
      <c r="R1988" s="303">
        <f t="shared" si="236"/>
        <v>0</v>
      </c>
      <c r="S1988" s="309">
        <v>0</v>
      </c>
      <c r="T1988" s="309">
        <v>0</v>
      </c>
      <c r="U1988" s="309">
        <v>0</v>
      </c>
      <c r="V1988" s="309">
        <v>0</v>
      </c>
      <c r="W1988" s="309">
        <v>0</v>
      </c>
      <c r="X1988" s="309">
        <v>104</v>
      </c>
      <c r="Y1988" s="309">
        <v>45</v>
      </c>
      <c r="Z1988" s="309">
        <v>44</v>
      </c>
      <c r="AA1988" s="309">
        <v>2</v>
      </c>
      <c r="AB1988" s="307">
        <f t="shared" si="237"/>
        <v>68.64</v>
      </c>
      <c r="AC1988" s="307">
        <f t="shared" si="238"/>
        <v>0.41349397590361447</v>
      </c>
      <c r="AD1988" s="309">
        <v>0</v>
      </c>
      <c r="AE1988" s="309">
        <v>0</v>
      </c>
      <c r="AF1988" s="309" t="s">
        <v>317</v>
      </c>
      <c r="AG1988" s="309" t="s">
        <v>317</v>
      </c>
      <c r="AH1988" s="309" t="s">
        <v>4917</v>
      </c>
      <c r="AI1988" s="309"/>
      <c r="AJ1988" s="309"/>
      <c r="AK1988" s="309" t="s">
        <v>37</v>
      </c>
      <c r="AL1988" s="309" t="s">
        <v>39</v>
      </c>
      <c r="AM1988" s="299">
        <f t="shared" ca="1" si="226"/>
        <v>0.91666666667151731</v>
      </c>
      <c r="AN1988" s="313"/>
      <c r="AO1988" s="288" t="s">
        <v>179</v>
      </c>
      <c r="AP1988" s="275" t="s">
        <v>4956</v>
      </c>
      <c r="AQ1988" s="288" t="s">
        <v>4957</v>
      </c>
      <c r="AR1988" s="277">
        <v>44932.520833333336</v>
      </c>
      <c r="AS1988" s="272" t="s">
        <v>136</v>
      </c>
      <c r="AT1988" s="288" t="s">
        <v>225</v>
      </c>
      <c r="AU1988" s="276">
        <v>0.52083333333333337</v>
      </c>
      <c r="AV1988" s="288">
        <v>1</v>
      </c>
      <c r="AW1988" s="288" t="s">
        <v>66</v>
      </c>
      <c r="AX1988" s="314"/>
      <c r="AY1988" s="314"/>
      <c r="AZ1988" s="314"/>
      <c r="BA1988" s="314"/>
    </row>
    <row r="1989" spans="1:53" s="301" customFormat="1" x14ac:dyDescent="0.25">
      <c r="A1989" s="312">
        <v>51</v>
      </c>
      <c r="B1989" s="311">
        <v>44932.416666666664</v>
      </c>
      <c r="C1989" s="308">
        <v>0.4236111111111111</v>
      </c>
      <c r="D1989" s="308">
        <v>0.4375</v>
      </c>
      <c r="E1989" s="308">
        <v>0.4513888888888889</v>
      </c>
      <c r="F1989" s="309" t="s">
        <v>170</v>
      </c>
      <c r="G1989" s="309" t="s">
        <v>4919</v>
      </c>
      <c r="H1989" s="307" t="s">
        <v>4287</v>
      </c>
      <c r="I1989" s="307" t="s">
        <v>377</v>
      </c>
      <c r="J1989" s="307" t="s">
        <v>37</v>
      </c>
      <c r="K1989" s="226" t="s">
        <v>63</v>
      </c>
      <c r="L1989" s="226">
        <v>0</v>
      </c>
      <c r="M1989" s="309" t="s">
        <v>4920</v>
      </c>
      <c r="N1989" s="309" t="s">
        <v>76</v>
      </c>
      <c r="O1989" s="309">
        <v>1222200374</v>
      </c>
      <c r="P1989" s="309" t="s">
        <v>4921</v>
      </c>
      <c r="Q1989" s="303">
        <f t="shared" ref="Q1989" si="239">S1989+U1989</f>
        <v>14</v>
      </c>
      <c r="R1989" s="303">
        <f t="shared" ref="R1989" si="240">T1989+V1989</f>
        <v>99</v>
      </c>
      <c r="S1989" s="309">
        <v>14</v>
      </c>
      <c r="T1989" s="309">
        <f>114-15</f>
        <v>99</v>
      </c>
      <c r="U1989" s="309">
        <v>0</v>
      </c>
      <c r="V1989" s="309">
        <v>0</v>
      </c>
      <c r="W1989" s="309">
        <v>101.5</v>
      </c>
      <c r="X1989" s="309">
        <v>54</v>
      </c>
      <c r="Y1989" s="309">
        <v>30</v>
      </c>
      <c r="Z1989" s="309">
        <v>10</v>
      </c>
      <c r="AA1989" s="309">
        <v>14</v>
      </c>
      <c r="AB1989" s="307">
        <f t="shared" si="237"/>
        <v>37.799999999999997</v>
      </c>
      <c r="AC1989" s="307">
        <f t="shared" si="238"/>
        <v>0.22771084337349395</v>
      </c>
      <c r="AD1989" s="309">
        <v>1057</v>
      </c>
      <c r="AE1989" s="309" t="s">
        <v>109</v>
      </c>
      <c r="AF1989" s="309" t="s">
        <v>317</v>
      </c>
      <c r="AG1989" s="309" t="s">
        <v>317</v>
      </c>
      <c r="AH1989" s="309" t="s">
        <v>4922</v>
      </c>
      <c r="AI1989" s="309"/>
      <c r="AJ1989" s="309"/>
      <c r="AK1989" s="309" t="s">
        <v>48</v>
      </c>
      <c r="AL1989" s="309" t="s">
        <v>50</v>
      </c>
      <c r="AM1989" s="299">
        <f t="shared" ca="1" si="226"/>
        <v>3.2291666666715173</v>
      </c>
      <c r="AN1989" s="313"/>
      <c r="AO1989" s="288" t="s">
        <v>123</v>
      </c>
      <c r="AP1989" s="275" t="s">
        <v>4920</v>
      </c>
      <c r="AQ1989" s="288" t="s">
        <v>5127</v>
      </c>
      <c r="AR1989" s="277">
        <v>44935.645833333336</v>
      </c>
      <c r="AS1989" s="272" t="s">
        <v>326</v>
      </c>
      <c r="AT1989" s="288" t="s">
        <v>65</v>
      </c>
      <c r="AU1989" s="276">
        <v>0.64583333333333337</v>
      </c>
      <c r="AV1989" s="288">
        <v>1</v>
      </c>
      <c r="AW1989" s="288" t="s">
        <v>66</v>
      </c>
      <c r="AX1989" s="314"/>
      <c r="AY1989" s="314"/>
      <c r="AZ1989" s="314"/>
      <c r="BA1989" s="314"/>
    </row>
    <row r="1990" spans="1:53" s="301" customFormat="1" x14ac:dyDescent="0.25">
      <c r="A1990" s="312">
        <v>52</v>
      </c>
      <c r="B1990" s="311">
        <v>44932.416666666664</v>
      </c>
      <c r="C1990" s="308">
        <v>0.4236111111111111</v>
      </c>
      <c r="D1990" s="308">
        <v>0.4375</v>
      </c>
      <c r="E1990" s="308">
        <v>0.4513888888888889</v>
      </c>
      <c r="F1990" s="309" t="s">
        <v>170</v>
      </c>
      <c r="G1990" s="309" t="s">
        <v>4919</v>
      </c>
      <c r="H1990" s="307" t="s">
        <v>45</v>
      </c>
      <c r="I1990" s="307" t="s">
        <v>162</v>
      </c>
      <c r="J1990" s="307" t="s">
        <v>37</v>
      </c>
      <c r="K1990" s="307" t="s">
        <v>63</v>
      </c>
      <c r="L1990" s="307" t="s">
        <v>215</v>
      </c>
      <c r="M1990" s="309" t="s">
        <v>4923</v>
      </c>
      <c r="N1990" s="309" t="s">
        <v>158</v>
      </c>
      <c r="O1990" s="309">
        <v>3500826</v>
      </c>
      <c r="P1990" s="309">
        <v>5052033334</v>
      </c>
      <c r="Q1990" s="303">
        <f t="shared" ref="Q1990" si="241">S1990+U1990</f>
        <v>1</v>
      </c>
      <c r="R1990" s="303">
        <f t="shared" ref="R1990" si="242">T1990+V1990</f>
        <v>181</v>
      </c>
      <c r="S1990" s="309">
        <v>0</v>
      </c>
      <c r="T1990" s="309">
        <v>0</v>
      </c>
      <c r="U1990" s="309">
        <v>1</v>
      </c>
      <c r="V1990" s="309">
        <v>181</v>
      </c>
      <c r="W1990" s="309">
        <v>180.85</v>
      </c>
      <c r="X1990" s="309">
        <v>81</v>
      </c>
      <c r="Y1990" s="309">
        <v>69</v>
      </c>
      <c r="Z1990" s="309">
        <v>50</v>
      </c>
      <c r="AA1990" s="309">
        <v>1</v>
      </c>
      <c r="AB1990" s="307">
        <f t="shared" si="237"/>
        <v>46.575000000000003</v>
      </c>
      <c r="AC1990" s="307">
        <f t="shared" si="238"/>
        <v>0.28057228915662652</v>
      </c>
      <c r="AD1990" s="309">
        <v>5929.7</v>
      </c>
      <c r="AE1990" s="309" t="s">
        <v>109</v>
      </c>
      <c r="AF1990" s="309" t="s">
        <v>317</v>
      </c>
      <c r="AG1990" s="309" t="s">
        <v>317</v>
      </c>
      <c r="AH1990" s="309" t="s">
        <v>4924</v>
      </c>
      <c r="AI1990" s="309"/>
      <c r="AJ1990" s="309"/>
      <c r="AK1990" s="309" t="s">
        <v>37</v>
      </c>
      <c r="AL1990" s="309" t="s">
        <v>54</v>
      </c>
      <c r="AM1990" s="299">
        <f t="shared" ca="1" si="226"/>
        <v>1.0972222222262644</v>
      </c>
      <c r="AN1990" s="313"/>
      <c r="AO1990" s="288" t="s">
        <v>159</v>
      </c>
      <c r="AP1990" s="275" t="s">
        <v>4923</v>
      </c>
      <c r="AQ1990" s="288" t="s">
        <v>5030</v>
      </c>
      <c r="AR1990" s="277">
        <v>44933.513888888891</v>
      </c>
      <c r="AS1990" s="272" t="s">
        <v>173</v>
      </c>
      <c r="AT1990" s="288" t="s">
        <v>225</v>
      </c>
      <c r="AU1990" s="276">
        <v>0.51388888888888895</v>
      </c>
      <c r="AV1990" s="288">
        <v>1</v>
      </c>
      <c r="AW1990" s="288" t="s">
        <v>66</v>
      </c>
      <c r="AX1990" s="314"/>
      <c r="AY1990" s="314"/>
      <c r="AZ1990" s="314"/>
      <c r="BA1990" s="314"/>
    </row>
    <row r="1991" spans="1:53" s="301" customFormat="1" x14ac:dyDescent="0.25">
      <c r="A1991" s="312">
        <v>53</v>
      </c>
      <c r="B1991" s="311">
        <v>44932.416666666664</v>
      </c>
      <c r="C1991" s="308">
        <v>0.4236111111111111</v>
      </c>
      <c r="D1991" s="308">
        <v>0.4375</v>
      </c>
      <c r="E1991" s="308">
        <v>0.4513888888888889</v>
      </c>
      <c r="F1991" s="309" t="s">
        <v>170</v>
      </c>
      <c r="G1991" s="309" t="s">
        <v>4919</v>
      </c>
      <c r="H1991" s="307" t="s">
        <v>45</v>
      </c>
      <c r="I1991" s="307" t="s">
        <v>92</v>
      </c>
      <c r="J1991" s="307" t="s">
        <v>37</v>
      </c>
      <c r="K1991" s="307" t="s">
        <v>63</v>
      </c>
      <c r="L1991" s="307" t="s">
        <v>215</v>
      </c>
      <c r="M1991" s="309" t="s">
        <v>4925</v>
      </c>
      <c r="N1991" s="309" t="s">
        <v>42</v>
      </c>
      <c r="O1991" s="309">
        <v>3500813</v>
      </c>
      <c r="P1991" s="309">
        <v>5051994457</v>
      </c>
      <c r="Q1991" s="303">
        <f t="shared" ref="Q1991" si="243">S1991+U1991</f>
        <v>1</v>
      </c>
      <c r="R1991" s="303">
        <f t="shared" ref="R1991" si="244">T1991+V1991</f>
        <v>48</v>
      </c>
      <c r="S1991" s="309">
        <v>0</v>
      </c>
      <c r="T1991" s="309">
        <v>0</v>
      </c>
      <c r="U1991" s="309">
        <v>1</v>
      </c>
      <c r="V1991" s="309">
        <v>48</v>
      </c>
      <c r="W1991" s="309">
        <v>48.96</v>
      </c>
      <c r="X1991" s="309">
        <v>80</v>
      </c>
      <c r="Y1991" s="309">
        <v>49</v>
      </c>
      <c r="Z1991" s="309">
        <v>31</v>
      </c>
      <c r="AA1991" s="309">
        <v>1</v>
      </c>
      <c r="AB1991" s="307">
        <f t="shared" ref="AB1991:AB2001" si="245">X1991*Y1991*Z1991*AA1991/6000</f>
        <v>20.253333333333334</v>
      </c>
      <c r="AC1991" s="307">
        <f t="shared" ref="AC1991:AC2001" si="246">AB1991/166</f>
        <v>0.12200803212851406</v>
      </c>
      <c r="AD1991" s="309">
        <v>2486.8000000000002</v>
      </c>
      <c r="AE1991" s="309" t="s">
        <v>109</v>
      </c>
      <c r="AF1991" s="309" t="s">
        <v>317</v>
      </c>
      <c r="AG1991" s="309" t="s">
        <v>317</v>
      </c>
      <c r="AH1991" s="309" t="s">
        <v>4926</v>
      </c>
      <c r="AI1991" s="309"/>
      <c r="AJ1991" s="309"/>
      <c r="AK1991" s="309" t="s">
        <v>37</v>
      </c>
      <c r="AL1991" s="309" t="s">
        <v>54</v>
      </c>
      <c r="AM1991" s="299">
        <f t="shared" ca="1" si="226"/>
        <v>1.2395833333357587</v>
      </c>
      <c r="AN1991" s="313"/>
      <c r="AO1991" s="288" t="s">
        <v>120</v>
      </c>
      <c r="AP1991" s="275" t="s">
        <v>4925</v>
      </c>
      <c r="AQ1991" s="288" t="s">
        <v>5040</v>
      </c>
      <c r="AR1991" s="277">
        <v>44933.65625</v>
      </c>
      <c r="AS1991" s="272" t="s">
        <v>173</v>
      </c>
      <c r="AT1991" s="288" t="s">
        <v>225</v>
      </c>
      <c r="AU1991" s="276">
        <v>0.65625</v>
      </c>
      <c r="AV1991" s="288">
        <v>2</v>
      </c>
      <c r="AW1991" s="288" t="s">
        <v>66</v>
      </c>
      <c r="AX1991" s="314"/>
      <c r="AY1991" s="314"/>
      <c r="AZ1991" s="314"/>
      <c r="BA1991" s="314"/>
    </row>
    <row r="1992" spans="1:53" s="301" customFormat="1" x14ac:dyDescent="0.25">
      <c r="A1992" s="312">
        <v>54</v>
      </c>
      <c r="B1992" s="311">
        <v>44932.416666666664</v>
      </c>
      <c r="C1992" s="308">
        <v>0.4236111111111111</v>
      </c>
      <c r="D1992" s="308">
        <v>0.4375</v>
      </c>
      <c r="E1992" s="308">
        <v>0.4513888888888889</v>
      </c>
      <c r="F1992" s="309" t="s">
        <v>170</v>
      </c>
      <c r="G1992" s="309" t="s">
        <v>4919</v>
      </c>
      <c r="H1992" s="307" t="s">
        <v>45</v>
      </c>
      <c r="I1992" s="307" t="s">
        <v>73</v>
      </c>
      <c r="J1992" s="307" t="s">
        <v>37</v>
      </c>
      <c r="K1992" s="307" t="s">
        <v>63</v>
      </c>
      <c r="L1992" s="307" t="s">
        <v>215</v>
      </c>
      <c r="M1992" s="309" t="s">
        <v>4927</v>
      </c>
      <c r="N1992" s="309" t="s">
        <v>59</v>
      </c>
      <c r="O1992" s="309">
        <v>3500822</v>
      </c>
      <c r="P1992" s="309">
        <v>5052011787</v>
      </c>
      <c r="Q1992" s="303">
        <f t="shared" ref="Q1992" si="247">S1992+U1992</f>
        <v>1</v>
      </c>
      <c r="R1992" s="303">
        <f t="shared" ref="R1992" si="248">T1992+V1992</f>
        <v>84</v>
      </c>
      <c r="S1992" s="309">
        <v>0</v>
      </c>
      <c r="T1992" s="309">
        <v>0</v>
      </c>
      <c r="U1992" s="309">
        <v>1</v>
      </c>
      <c r="V1992" s="309">
        <v>84</v>
      </c>
      <c r="W1992" s="309">
        <v>85.36</v>
      </c>
      <c r="X1992" s="309">
        <v>80</v>
      </c>
      <c r="Y1992" s="309">
        <v>49</v>
      </c>
      <c r="Z1992" s="309">
        <v>32</v>
      </c>
      <c r="AA1992" s="309">
        <v>1</v>
      </c>
      <c r="AB1992" s="307">
        <f t="shared" si="245"/>
        <v>20.906666666666666</v>
      </c>
      <c r="AC1992" s="307">
        <f t="shared" si="246"/>
        <v>0.12594377510040161</v>
      </c>
      <c r="AD1992" s="309">
        <v>1336.4</v>
      </c>
      <c r="AE1992" s="309" t="s">
        <v>109</v>
      </c>
      <c r="AF1992" s="309" t="s">
        <v>317</v>
      </c>
      <c r="AG1992" s="309" t="s">
        <v>317</v>
      </c>
      <c r="AH1992" s="309" t="s">
        <v>4928</v>
      </c>
      <c r="AI1992" s="309"/>
      <c r="AJ1992" s="309"/>
      <c r="AK1992" s="309" t="s">
        <v>37</v>
      </c>
      <c r="AL1992" s="309" t="s">
        <v>54</v>
      </c>
      <c r="AM1992" s="299">
        <f t="shared" ca="1" si="226"/>
        <v>3.2291666666715173</v>
      </c>
      <c r="AN1992" s="313"/>
      <c r="AO1992" s="288" t="s">
        <v>70</v>
      </c>
      <c r="AP1992" s="275" t="s">
        <v>4927</v>
      </c>
      <c r="AQ1992" s="288" t="s">
        <v>5126</v>
      </c>
      <c r="AR1992" s="277">
        <v>44935.645833333336</v>
      </c>
      <c r="AS1992" s="272" t="s">
        <v>326</v>
      </c>
      <c r="AT1992" s="288" t="s">
        <v>65</v>
      </c>
      <c r="AU1992" s="276">
        <v>0.64583333333333337</v>
      </c>
      <c r="AV1992" s="288">
        <v>1</v>
      </c>
      <c r="AW1992" s="288" t="s">
        <v>66</v>
      </c>
      <c r="AX1992" s="314"/>
      <c r="AY1992" s="314"/>
      <c r="AZ1992" s="314"/>
      <c r="BA1992" s="314"/>
    </row>
    <row r="1993" spans="1:53" s="301" customFormat="1" x14ac:dyDescent="0.25">
      <c r="A1993" s="312">
        <v>55</v>
      </c>
      <c r="B1993" s="311">
        <v>44932.416666666664</v>
      </c>
      <c r="C1993" s="308">
        <v>0.4236111111111111</v>
      </c>
      <c r="D1993" s="308">
        <v>0.4375</v>
      </c>
      <c r="E1993" s="308">
        <v>0.4513888888888889</v>
      </c>
      <c r="F1993" s="309" t="s">
        <v>170</v>
      </c>
      <c r="G1993" s="309" t="s">
        <v>4919</v>
      </c>
      <c r="H1993" s="307" t="s">
        <v>45</v>
      </c>
      <c r="I1993" s="307" t="s">
        <v>92</v>
      </c>
      <c r="J1993" s="307" t="s">
        <v>37</v>
      </c>
      <c r="K1993" s="307" t="s">
        <v>63</v>
      </c>
      <c r="L1993" s="307" t="s">
        <v>215</v>
      </c>
      <c r="M1993" s="309" t="s">
        <v>4925</v>
      </c>
      <c r="N1993" s="309" t="s">
        <v>42</v>
      </c>
      <c r="O1993" s="309">
        <v>3500820</v>
      </c>
      <c r="P1993" s="309">
        <v>5052006854</v>
      </c>
      <c r="Q1993" s="303">
        <f t="shared" ref="Q1993" si="249">S1993+U1993</f>
        <v>1</v>
      </c>
      <c r="R1993" s="303">
        <f t="shared" ref="R1993" si="250">T1993+V1993</f>
        <v>77</v>
      </c>
      <c r="S1993" s="309">
        <v>0</v>
      </c>
      <c r="T1993" s="309">
        <v>0</v>
      </c>
      <c r="U1993" s="309">
        <v>1</v>
      </c>
      <c r="V1993" s="309">
        <v>77</v>
      </c>
      <c r="W1993" s="309">
        <v>78.44</v>
      </c>
      <c r="X1993" s="309">
        <v>80</v>
      </c>
      <c r="Y1993" s="309">
        <v>68</v>
      </c>
      <c r="Z1993" s="309">
        <v>32</v>
      </c>
      <c r="AA1993" s="309">
        <v>1</v>
      </c>
      <c r="AB1993" s="307">
        <f t="shared" si="245"/>
        <v>29.013333333333332</v>
      </c>
      <c r="AC1993" s="307">
        <f t="shared" si="246"/>
        <v>0.17477911646586344</v>
      </c>
      <c r="AD1993" s="309">
        <v>2402.9</v>
      </c>
      <c r="AE1993" s="309" t="s">
        <v>109</v>
      </c>
      <c r="AF1993" s="309" t="s">
        <v>317</v>
      </c>
      <c r="AG1993" s="309" t="s">
        <v>317</v>
      </c>
      <c r="AH1993" s="309" t="s">
        <v>4929</v>
      </c>
      <c r="AI1993" s="309"/>
      <c r="AJ1993" s="309"/>
      <c r="AK1993" s="309" t="s">
        <v>37</v>
      </c>
      <c r="AL1993" s="309" t="s">
        <v>54</v>
      </c>
      <c r="AM1993" s="299">
        <f t="shared" ca="1" si="226"/>
        <v>1.2395833333357587</v>
      </c>
      <c r="AN1993" s="313"/>
      <c r="AO1993" s="288" t="s">
        <v>120</v>
      </c>
      <c r="AP1993" s="275" t="s">
        <v>4925</v>
      </c>
      <c r="AQ1993" s="288" t="s">
        <v>5040</v>
      </c>
      <c r="AR1993" s="277">
        <v>44933.65625</v>
      </c>
      <c r="AS1993" s="272" t="s">
        <v>173</v>
      </c>
      <c r="AT1993" s="288" t="s">
        <v>225</v>
      </c>
      <c r="AU1993" s="276">
        <v>0.65625</v>
      </c>
      <c r="AV1993" s="288">
        <v>2</v>
      </c>
      <c r="AW1993" s="288" t="s">
        <v>66</v>
      </c>
      <c r="AX1993" s="314"/>
      <c r="AY1993" s="314"/>
      <c r="AZ1993" s="314"/>
      <c r="BA1993" s="314"/>
    </row>
    <row r="1994" spans="1:53" s="301" customFormat="1" x14ac:dyDescent="0.25">
      <c r="A1994" s="312">
        <v>56</v>
      </c>
      <c r="B1994" s="311">
        <v>44932.416666666664</v>
      </c>
      <c r="C1994" s="308">
        <v>0.4236111111111111</v>
      </c>
      <c r="D1994" s="308">
        <v>0.4375</v>
      </c>
      <c r="E1994" s="308">
        <v>0.4513888888888889</v>
      </c>
      <c r="F1994" s="309" t="s">
        <v>170</v>
      </c>
      <c r="G1994" s="309" t="s">
        <v>4919</v>
      </c>
      <c r="H1994" s="307" t="s">
        <v>187</v>
      </c>
      <c r="I1994" s="307" t="s">
        <v>110</v>
      </c>
      <c r="J1994" s="307" t="s">
        <v>37</v>
      </c>
      <c r="K1994" s="309" t="s">
        <v>63</v>
      </c>
      <c r="L1994" s="309" t="s">
        <v>212</v>
      </c>
      <c r="M1994" s="309" t="s">
        <v>4930</v>
      </c>
      <c r="N1994" s="309" t="s">
        <v>186</v>
      </c>
      <c r="O1994" s="309">
        <v>21222231780</v>
      </c>
      <c r="P1994" s="309">
        <v>5052028022</v>
      </c>
      <c r="Q1994" s="303">
        <f t="shared" ref="Q1994" si="251">S1994+U1994</f>
        <v>2</v>
      </c>
      <c r="R1994" s="303">
        <f t="shared" ref="R1994" si="252">T1994+V1994</f>
        <v>197</v>
      </c>
      <c r="S1994" s="309">
        <v>0</v>
      </c>
      <c r="T1994" s="309">
        <v>0</v>
      </c>
      <c r="U1994" s="309">
        <v>2</v>
      </c>
      <c r="V1994" s="309">
        <f>130+67</f>
        <v>197</v>
      </c>
      <c r="W1994" s="309">
        <v>211.8</v>
      </c>
      <c r="X1994" s="309">
        <v>92</v>
      </c>
      <c r="Y1994" s="309">
        <v>56</v>
      </c>
      <c r="Z1994" s="309">
        <v>64</v>
      </c>
      <c r="AA1994" s="309">
        <v>1</v>
      </c>
      <c r="AB1994" s="307">
        <f t="shared" si="245"/>
        <v>54.954666666666668</v>
      </c>
      <c r="AC1994" s="307">
        <f t="shared" si="246"/>
        <v>0.33105220883534137</v>
      </c>
      <c r="AD1994" s="309">
        <v>781.58</v>
      </c>
      <c r="AE1994" s="309" t="s">
        <v>109</v>
      </c>
      <c r="AF1994" s="309" t="s">
        <v>317</v>
      </c>
      <c r="AG1994" s="309" t="s">
        <v>317</v>
      </c>
      <c r="AH1994" s="309" t="s">
        <v>4931</v>
      </c>
      <c r="AI1994" s="309"/>
      <c r="AJ1994" s="309"/>
      <c r="AK1994" s="309" t="s">
        <v>41</v>
      </c>
      <c r="AL1994" s="309" t="s">
        <v>54</v>
      </c>
      <c r="AM1994" s="299">
        <f t="shared" ca="1" si="226"/>
        <v>1.2395833333357587</v>
      </c>
      <c r="AN1994" s="313"/>
      <c r="AO1994" s="288" t="s">
        <v>131</v>
      </c>
      <c r="AP1994" s="275" t="s">
        <v>4930</v>
      </c>
      <c r="AQ1994" s="288" t="s">
        <v>5039</v>
      </c>
      <c r="AR1994" s="277">
        <v>44933.65625</v>
      </c>
      <c r="AS1994" s="272" t="s">
        <v>173</v>
      </c>
      <c r="AT1994" s="288" t="s">
        <v>225</v>
      </c>
      <c r="AU1994" s="276">
        <v>0.65625</v>
      </c>
      <c r="AV1994" s="288">
        <v>2</v>
      </c>
      <c r="AW1994" s="288" t="s">
        <v>66</v>
      </c>
      <c r="AX1994" s="314"/>
      <c r="AY1994" s="314"/>
      <c r="AZ1994" s="314"/>
      <c r="BA1994" s="314"/>
    </row>
    <row r="1995" spans="1:53" s="301" customFormat="1" x14ac:dyDescent="0.25">
      <c r="A1995" s="312">
        <v>56</v>
      </c>
      <c r="B1995" s="311">
        <v>44932.416666666664</v>
      </c>
      <c r="C1995" s="308">
        <v>0.4236111111111111</v>
      </c>
      <c r="D1995" s="308">
        <v>0.4375</v>
      </c>
      <c r="E1995" s="308">
        <v>0.4513888888888889</v>
      </c>
      <c r="F1995" s="309" t="s">
        <v>170</v>
      </c>
      <c r="G1995" s="309" t="s">
        <v>4919</v>
      </c>
      <c r="H1995" s="307" t="s">
        <v>187</v>
      </c>
      <c r="I1995" s="307" t="s">
        <v>110</v>
      </c>
      <c r="J1995" s="307" t="s">
        <v>37</v>
      </c>
      <c r="K1995" s="309" t="s">
        <v>63</v>
      </c>
      <c r="L1995" s="309" t="s">
        <v>212</v>
      </c>
      <c r="M1995" s="309" t="s">
        <v>4930</v>
      </c>
      <c r="N1995" s="309" t="s">
        <v>186</v>
      </c>
      <c r="O1995" s="309">
        <v>21222231780</v>
      </c>
      <c r="P1995" s="309">
        <v>5052028022</v>
      </c>
      <c r="Q1995" s="303">
        <f t="shared" ref="Q1995" si="253">S1995+U1995</f>
        <v>0</v>
      </c>
      <c r="R1995" s="303">
        <f t="shared" ref="R1995" si="254">T1995+V1995</f>
        <v>0</v>
      </c>
      <c r="S1995" s="309">
        <v>0</v>
      </c>
      <c r="T1995" s="309">
        <v>0</v>
      </c>
      <c r="U1995" s="309">
        <v>0</v>
      </c>
      <c r="V1995" s="309">
        <v>0</v>
      </c>
      <c r="W1995" s="309">
        <v>0</v>
      </c>
      <c r="X1995" s="309">
        <v>83</v>
      </c>
      <c r="Y1995" s="309">
        <v>56</v>
      </c>
      <c r="Z1995" s="309">
        <v>47</v>
      </c>
      <c r="AA1995" s="309">
        <v>1</v>
      </c>
      <c r="AB1995" s="307">
        <f t="shared" si="245"/>
        <v>36.409333333333336</v>
      </c>
      <c r="AC1995" s="307">
        <f t="shared" si="246"/>
        <v>0.21933333333333335</v>
      </c>
      <c r="AD1995" s="309">
        <v>0</v>
      </c>
      <c r="AE1995" s="309">
        <v>0</v>
      </c>
      <c r="AF1995" s="309" t="s">
        <v>317</v>
      </c>
      <c r="AG1995" s="309" t="s">
        <v>317</v>
      </c>
      <c r="AH1995" s="309" t="s">
        <v>4931</v>
      </c>
      <c r="AI1995" s="309"/>
      <c r="AJ1995" s="309"/>
      <c r="AK1995" s="309" t="s">
        <v>41</v>
      </c>
      <c r="AL1995" s="309" t="s">
        <v>54</v>
      </c>
      <c r="AM1995" s="299">
        <f t="shared" ca="1" si="226"/>
        <v>1.2395833333357587</v>
      </c>
      <c r="AN1995" s="313"/>
      <c r="AO1995" s="288" t="s">
        <v>131</v>
      </c>
      <c r="AP1995" s="275" t="s">
        <v>4930</v>
      </c>
      <c r="AQ1995" s="288" t="s">
        <v>5039</v>
      </c>
      <c r="AR1995" s="277">
        <v>44933.65625</v>
      </c>
      <c r="AS1995" s="272" t="s">
        <v>173</v>
      </c>
      <c r="AT1995" s="288" t="s">
        <v>225</v>
      </c>
      <c r="AU1995" s="276">
        <v>0.65625</v>
      </c>
      <c r="AV1995" s="288">
        <v>2</v>
      </c>
      <c r="AW1995" s="288" t="s">
        <v>66</v>
      </c>
      <c r="AX1995" s="314"/>
      <c r="AY1995" s="314"/>
      <c r="AZ1995" s="314"/>
      <c r="BA1995" s="314"/>
    </row>
    <row r="1996" spans="1:53" s="301" customFormat="1" x14ac:dyDescent="0.25">
      <c r="A1996" s="312">
        <v>57</v>
      </c>
      <c r="B1996" s="311">
        <v>44932.416666666664</v>
      </c>
      <c r="C1996" s="308">
        <v>0.4236111111111111</v>
      </c>
      <c r="D1996" s="308">
        <v>0.4375</v>
      </c>
      <c r="E1996" s="308">
        <v>0.4513888888888889</v>
      </c>
      <c r="F1996" s="309" t="s">
        <v>170</v>
      </c>
      <c r="G1996" s="309" t="s">
        <v>4919</v>
      </c>
      <c r="H1996" s="307" t="s">
        <v>156</v>
      </c>
      <c r="I1996" s="307" t="s">
        <v>162</v>
      </c>
      <c r="J1996" s="307" t="s">
        <v>37</v>
      </c>
      <c r="K1996" s="307" t="s">
        <v>63</v>
      </c>
      <c r="L1996" s="307" t="s">
        <v>212</v>
      </c>
      <c r="M1996" s="309" t="s">
        <v>4932</v>
      </c>
      <c r="N1996" s="309" t="s">
        <v>158</v>
      </c>
      <c r="O1996" s="309" t="s">
        <v>4933</v>
      </c>
      <c r="P1996" s="309" t="s">
        <v>363</v>
      </c>
      <c r="Q1996" s="303">
        <f t="shared" ref="Q1996" si="255">S1996+U1996</f>
        <v>1</v>
      </c>
      <c r="R1996" s="303">
        <f t="shared" ref="R1996" si="256">T1996+V1996</f>
        <v>166</v>
      </c>
      <c r="S1996" s="309">
        <v>0</v>
      </c>
      <c r="T1996" s="309">
        <v>0</v>
      </c>
      <c r="U1996" s="309">
        <v>1</v>
      </c>
      <c r="V1996" s="309">
        <v>166</v>
      </c>
      <c r="W1996" s="309">
        <v>165</v>
      </c>
      <c r="X1996" s="309">
        <v>48</v>
      </c>
      <c r="Y1996" s="309">
        <v>46</v>
      </c>
      <c r="Z1996" s="309">
        <v>67</v>
      </c>
      <c r="AA1996" s="309">
        <v>1</v>
      </c>
      <c r="AB1996" s="307">
        <f t="shared" si="245"/>
        <v>24.655999999999999</v>
      </c>
      <c r="AC1996" s="307">
        <f t="shared" si="246"/>
        <v>0.14853012048192771</v>
      </c>
      <c r="AD1996" s="309">
        <v>2152.81</v>
      </c>
      <c r="AE1996" s="309" t="s">
        <v>109</v>
      </c>
      <c r="AF1996" s="309" t="s">
        <v>317</v>
      </c>
      <c r="AG1996" s="309" t="s">
        <v>317</v>
      </c>
      <c r="AH1996" s="309" t="s">
        <v>4934</v>
      </c>
      <c r="AI1996" s="309"/>
      <c r="AJ1996" s="309"/>
      <c r="AK1996" s="309" t="s">
        <v>37</v>
      </c>
      <c r="AL1996" s="309" t="s">
        <v>54</v>
      </c>
      <c r="AM1996" s="299">
        <f t="shared" ca="1" si="226"/>
        <v>1.0972222222262644</v>
      </c>
      <c r="AN1996" s="313"/>
      <c r="AO1996" s="288" t="s">
        <v>159</v>
      </c>
      <c r="AP1996" s="275" t="s">
        <v>4932</v>
      </c>
      <c r="AQ1996" s="288" t="s">
        <v>5030</v>
      </c>
      <c r="AR1996" s="277">
        <v>44933.513888888891</v>
      </c>
      <c r="AS1996" s="272" t="s">
        <v>173</v>
      </c>
      <c r="AT1996" s="288" t="s">
        <v>225</v>
      </c>
      <c r="AU1996" s="276">
        <v>0.51388888888888895</v>
      </c>
      <c r="AV1996" s="288">
        <v>1</v>
      </c>
      <c r="AW1996" s="288" t="s">
        <v>66</v>
      </c>
      <c r="AX1996" s="314"/>
      <c r="AY1996" s="314"/>
      <c r="AZ1996" s="314"/>
      <c r="BA1996" s="314"/>
    </row>
    <row r="1997" spans="1:53" s="301" customFormat="1" x14ac:dyDescent="0.25">
      <c r="A1997" s="312">
        <v>58</v>
      </c>
      <c r="B1997" s="311">
        <v>44932.416666666664</v>
      </c>
      <c r="C1997" s="308">
        <v>0.4236111111111111</v>
      </c>
      <c r="D1997" s="308">
        <v>0.4375</v>
      </c>
      <c r="E1997" s="308">
        <v>0.4513888888888889</v>
      </c>
      <c r="F1997" s="309" t="s">
        <v>170</v>
      </c>
      <c r="G1997" s="309" t="s">
        <v>4919</v>
      </c>
      <c r="H1997" s="307" t="s">
        <v>156</v>
      </c>
      <c r="I1997" s="307" t="s">
        <v>162</v>
      </c>
      <c r="J1997" s="307" t="s">
        <v>37</v>
      </c>
      <c r="K1997" s="307" t="s">
        <v>63</v>
      </c>
      <c r="L1997" s="307" t="s">
        <v>212</v>
      </c>
      <c r="M1997" s="309" t="s">
        <v>4935</v>
      </c>
      <c r="N1997" s="309" t="s">
        <v>158</v>
      </c>
      <c r="O1997" s="309" t="s">
        <v>4936</v>
      </c>
      <c r="P1997" s="309" t="s">
        <v>363</v>
      </c>
      <c r="Q1997" s="303">
        <f t="shared" ref="Q1997" si="257">S1997+U1997</f>
        <v>1</v>
      </c>
      <c r="R1997" s="303">
        <f t="shared" ref="R1997" si="258">T1997+V1997</f>
        <v>102</v>
      </c>
      <c r="S1997" s="309">
        <v>0</v>
      </c>
      <c r="T1997" s="309">
        <v>0</v>
      </c>
      <c r="U1997" s="309">
        <v>1</v>
      </c>
      <c r="V1997" s="309">
        <v>102</v>
      </c>
      <c r="W1997" s="309">
        <v>128</v>
      </c>
      <c r="X1997" s="309">
        <v>47</v>
      </c>
      <c r="Y1997" s="309">
        <v>44</v>
      </c>
      <c r="Z1997" s="309">
        <v>49</v>
      </c>
      <c r="AA1997" s="309">
        <v>1</v>
      </c>
      <c r="AB1997" s="307">
        <f t="shared" si="245"/>
        <v>16.888666666666666</v>
      </c>
      <c r="AC1997" s="307">
        <f t="shared" si="246"/>
        <v>0.10173895582329316</v>
      </c>
      <c r="AD1997" s="309">
        <v>10679.58</v>
      </c>
      <c r="AE1997" s="309" t="s">
        <v>109</v>
      </c>
      <c r="AF1997" s="309" t="s">
        <v>317</v>
      </c>
      <c r="AG1997" s="309" t="s">
        <v>317</v>
      </c>
      <c r="AH1997" s="309" t="s">
        <v>4937</v>
      </c>
      <c r="AI1997" s="309"/>
      <c r="AJ1997" s="309"/>
      <c r="AK1997" s="309" t="s">
        <v>37</v>
      </c>
      <c r="AL1997" s="309" t="s">
        <v>54</v>
      </c>
      <c r="AM1997" s="299">
        <f t="shared" ca="1" si="226"/>
        <v>1.0972222222262644</v>
      </c>
      <c r="AN1997" s="313"/>
      <c r="AO1997" s="288" t="s">
        <v>159</v>
      </c>
      <c r="AP1997" s="275" t="s">
        <v>4935</v>
      </c>
      <c r="AQ1997" s="288" t="s">
        <v>5030</v>
      </c>
      <c r="AR1997" s="277">
        <v>44933.513888888891</v>
      </c>
      <c r="AS1997" s="272" t="s">
        <v>173</v>
      </c>
      <c r="AT1997" s="288" t="s">
        <v>225</v>
      </c>
      <c r="AU1997" s="276">
        <v>0.51388888888888895</v>
      </c>
      <c r="AV1997" s="288">
        <v>1</v>
      </c>
      <c r="AW1997" s="288" t="s">
        <v>66</v>
      </c>
      <c r="AX1997" s="314"/>
      <c r="AY1997" s="314"/>
      <c r="AZ1997" s="314"/>
      <c r="BA1997" s="314"/>
    </row>
    <row r="1998" spans="1:53" s="301" customFormat="1" x14ac:dyDescent="0.25">
      <c r="A1998" s="312">
        <v>59</v>
      </c>
      <c r="B1998" s="311">
        <v>44932.416666666664</v>
      </c>
      <c r="C1998" s="308">
        <v>0.4236111111111111</v>
      </c>
      <c r="D1998" s="308">
        <v>0.4375</v>
      </c>
      <c r="E1998" s="308">
        <v>0.4513888888888889</v>
      </c>
      <c r="F1998" s="309" t="s">
        <v>170</v>
      </c>
      <c r="G1998" s="309" t="s">
        <v>4919</v>
      </c>
      <c r="H1998" s="307" t="s">
        <v>156</v>
      </c>
      <c r="I1998" s="307" t="s">
        <v>110</v>
      </c>
      <c r="J1998" s="307" t="s">
        <v>37</v>
      </c>
      <c r="K1998" s="307" t="s">
        <v>63</v>
      </c>
      <c r="L1998" s="307" t="s">
        <v>212</v>
      </c>
      <c r="M1998" s="309" t="s">
        <v>4938</v>
      </c>
      <c r="N1998" s="309" t="s">
        <v>186</v>
      </c>
      <c r="O1998" s="309" t="s">
        <v>4939</v>
      </c>
      <c r="P1998" s="309" t="s">
        <v>364</v>
      </c>
      <c r="Q1998" s="303">
        <f t="shared" ref="Q1998" si="259">S1998+U1998</f>
        <v>2</v>
      </c>
      <c r="R1998" s="303">
        <f t="shared" ref="R1998" si="260">T1998+V1998</f>
        <v>104</v>
      </c>
      <c r="S1998" s="309">
        <v>0</v>
      </c>
      <c r="T1998" s="309">
        <v>0</v>
      </c>
      <c r="U1998" s="309">
        <v>2</v>
      </c>
      <c r="V1998" s="309">
        <v>104</v>
      </c>
      <c r="W1998" s="309">
        <v>106.5</v>
      </c>
      <c r="X1998" s="309">
        <v>40</v>
      </c>
      <c r="Y1998" s="309">
        <v>39</v>
      </c>
      <c r="Z1998" s="309">
        <v>47</v>
      </c>
      <c r="AA1998" s="309">
        <v>1</v>
      </c>
      <c r="AB1998" s="307">
        <f t="shared" si="245"/>
        <v>12.22</v>
      </c>
      <c r="AC1998" s="307">
        <f t="shared" si="246"/>
        <v>7.3614457831325308E-2</v>
      </c>
      <c r="AD1998" s="309">
        <v>2528.38</v>
      </c>
      <c r="AE1998" s="309" t="s">
        <v>109</v>
      </c>
      <c r="AF1998" s="309" t="s">
        <v>317</v>
      </c>
      <c r="AG1998" s="309" t="s">
        <v>317</v>
      </c>
      <c r="AH1998" s="309" t="s">
        <v>4940</v>
      </c>
      <c r="AI1998" s="309"/>
      <c r="AJ1998" s="309"/>
      <c r="AK1998" s="309" t="s">
        <v>37</v>
      </c>
      <c r="AL1998" s="309" t="s">
        <v>54</v>
      </c>
      <c r="AM1998" s="299">
        <f t="shared" ca="1" si="226"/>
        <v>1.2395833333357587</v>
      </c>
      <c r="AN1998" s="313"/>
      <c r="AO1998" s="288" t="s">
        <v>131</v>
      </c>
      <c r="AP1998" s="275" t="s">
        <v>4938</v>
      </c>
      <c r="AQ1998" s="288" t="s">
        <v>5039</v>
      </c>
      <c r="AR1998" s="277">
        <v>44933.65625</v>
      </c>
      <c r="AS1998" s="272" t="s">
        <v>173</v>
      </c>
      <c r="AT1998" s="288" t="s">
        <v>225</v>
      </c>
      <c r="AU1998" s="276">
        <v>0.65625</v>
      </c>
      <c r="AV1998" s="288">
        <v>2</v>
      </c>
      <c r="AW1998" s="288" t="s">
        <v>66</v>
      </c>
      <c r="AX1998" s="314"/>
      <c r="AY1998" s="314"/>
      <c r="AZ1998" s="314"/>
      <c r="BA1998" s="314"/>
    </row>
    <row r="1999" spans="1:53" s="301" customFormat="1" x14ac:dyDescent="0.25">
      <c r="A1999" s="312">
        <v>59</v>
      </c>
      <c r="B1999" s="311">
        <v>44932.416666666664</v>
      </c>
      <c r="C1999" s="308">
        <v>0.4236111111111111</v>
      </c>
      <c r="D1999" s="308">
        <v>0.4375</v>
      </c>
      <c r="E1999" s="308">
        <v>0.4513888888888889</v>
      </c>
      <c r="F1999" s="309" t="s">
        <v>170</v>
      </c>
      <c r="G1999" s="309" t="s">
        <v>4919</v>
      </c>
      <c r="H1999" s="307" t="s">
        <v>156</v>
      </c>
      <c r="I1999" s="307" t="s">
        <v>110</v>
      </c>
      <c r="J1999" s="307" t="s">
        <v>37</v>
      </c>
      <c r="K1999" s="307" t="s">
        <v>63</v>
      </c>
      <c r="L1999" s="307" t="s">
        <v>212</v>
      </c>
      <c r="M1999" s="309" t="s">
        <v>4938</v>
      </c>
      <c r="N1999" s="309" t="s">
        <v>186</v>
      </c>
      <c r="O1999" s="309" t="s">
        <v>4939</v>
      </c>
      <c r="P1999" s="309" t="s">
        <v>364</v>
      </c>
      <c r="Q1999" s="303">
        <f t="shared" ref="Q1999" si="261">S1999+U1999</f>
        <v>0</v>
      </c>
      <c r="R1999" s="303">
        <f t="shared" ref="R1999" si="262">T1999+V1999</f>
        <v>0</v>
      </c>
      <c r="S1999" s="309">
        <v>0</v>
      </c>
      <c r="T1999" s="309">
        <v>0</v>
      </c>
      <c r="U1999" s="309">
        <v>0</v>
      </c>
      <c r="V1999" s="309">
        <v>0</v>
      </c>
      <c r="W1999" s="309">
        <v>0</v>
      </c>
      <c r="X1999" s="309">
        <v>36</v>
      </c>
      <c r="Y1999" s="309">
        <v>34</v>
      </c>
      <c r="Z1999" s="309">
        <v>37</v>
      </c>
      <c r="AA1999" s="309">
        <v>1</v>
      </c>
      <c r="AB1999" s="307">
        <f t="shared" si="245"/>
        <v>7.548</v>
      </c>
      <c r="AC1999" s="307">
        <f t="shared" si="246"/>
        <v>4.5469879518072291E-2</v>
      </c>
      <c r="AD1999" s="309">
        <v>0</v>
      </c>
      <c r="AE1999" s="309">
        <v>0</v>
      </c>
      <c r="AF1999" s="309" t="s">
        <v>317</v>
      </c>
      <c r="AG1999" s="309" t="s">
        <v>317</v>
      </c>
      <c r="AH1999" s="309" t="s">
        <v>4940</v>
      </c>
      <c r="AI1999" s="309"/>
      <c r="AJ1999" s="309"/>
      <c r="AK1999" s="309" t="s">
        <v>37</v>
      </c>
      <c r="AL1999" s="309" t="s">
        <v>54</v>
      </c>
      <c r="AM1999" s="299">
        <f t="shared" ca="1" si="226"/>
        <v>1.2395833333357587</v>
      </c>
      <c r="AN1999" s="313"/>
      <c r="AO1999" s="288" t="s">
        <v>131</v>
      </c>
      <c r="AP1999" s="275" t="s">
        <v>4938</v>
      </c>
      <c r="AQ1999" s="288" t="s">
        <v>5039</v>
      </c>
      <c r="AR1999" s="277">
        <v>44933.65625</v>
      </c>
      <c r="AS1999" s="272" t="s">
        <v>173</v>
      </c>
      <c r="AT1999" s="288" t="s">
        <v>225</v>
      </c>
      <c r="AU1999" s="276">
        <v>0.65625</v>
      </c>
      <c r="AV1999" s="288">
        <v>2</v>
      </c>
      <c r="AW1999" s="288" t="s">
        <v>66</v>
      </c>
      <c r="AX1999" s="314"/>
      <c r="AY1999" s="314"/>
      <c r="AZ1999" s="314"/>
      <c r="BA1999" s="314"/>
    </row>
    <row r="2000" spans="1:53" s="301" customFormat="1" x14ac:dyDescent="0.25">
      <c r="A2000" s="312">
        <v>60</v>
      </c>
      <c r="B2000" s="311">
        <v>44932.416666666664</v>
      </c>
      <c r="C2000" s="308">
        <v>0.4236111111111111</v>
      </c>
      <c r="D2000" s="308">
        <v>0.4375</v>
      </c>
      <c r="E2000" s="308">
        <v>0.4513888888888889</v>
      </c>
      <c r="F2000" s="309" t="s">
        <v>170</v>
      </c>
      <c r="G2000" s="309" t="s">
        <v>4919</v>
      </c>
      <c r="H2000" s="307" t="s">
        <v>156</v>
      </c>
      <c r="I2000" s="307" t="s">
        <v>110</v>
      </c>
      <c r="J2000" s="307" t="s">
        <v>37</v>
      </c>
      <c r="K2000" s="307" t="s">
        <v>63</v>
      </c>
      <c r="L2000" s="307" t="s">
        <v>212</v>
      </c>
      <c r="M2000" s="309" t="s">
        <v>4938</v>
      </c>
      <c r="N2000" s="309" t="s">
        <v>186</v>
      </c>
      <c r="O2000" s="309" t="s">
        <v>4941</v>
      </c>
      <c r="P2000" s="309" t="s">
        <v>363</v>
      </c>
      <c r="Q2000" s="303">
        <f t="shared" ref="Q2000" si="263">S2000+U2000</f>
        <v>1</v>
      </c>
      <c r="R2000" s="303">
        <f t="shared" ref="R2000" si="264">T2000+V2000</f>
        <v>99</v>
      </c>
      <c r="S2000" s="309">
        <v>0</v>
      </c>
      <c r="T2000" s="309">
        <v>0</v>
      </c>
      <c r="U2000" s="309">
        <v>1</v>
      </c>
      <c r="V2000" s="309">
        <v>99</v>
      </c>
      <c r="W2000" s="309">
        <v>99</v>
      </c>
      <c r="X2000" s="309">
        <v>50</v>
      </c>
      <c r="Y2000" s="309">
        <v>50</v>
      </c>
      <c r="Z2000" s="309">
        <v>55</v>
      </c>
      <c r="AA2000" s="309">
        <v>1</v>
      </c>
      <c r="AB2000" s="307">
        <f t="shared" si="245"/>
        <v>22.916666666666668</v>
      </c>
      <c r="AC2000" s="307">
        <f t="shared" si="246"/>
        <v>0.13805220883534136</v>
      </c>
      <c r="AD2000" s="309">
        <v>1788.99</v>
      </c>
      <c r="AE2000" s="309" t="s">
        <v>109</v>
      </c>
      <c r="AF2000" s="309" t="s">
        <v>317</v>
      </c>
      <c r="AG2000" s="309" t="s">
        <v>317</v>
      </c>
      <c r="AH2000" s="309" t="s">
        <v>4942</v>
      </c>
      <c r="AI2000" s="309"/>
      <c r="AJ2000" s="309"/>
      <c r="AK2000" s="309" t="s">
        <v>37</v>
      </c>
      <c r="AL2000" s="309" t="s">
        <v>54</v>
      </c>
      <c r="AM2000" s="299">
        <f t="shared" ca="1" si="226"/>
        <v>1.2395833333357587</v>
      </c>
      <c r="AN2000" s="313"/>
      <c r="AO2000" s="288" t="s">
        <v>131</v>
      </c>
      <c r="AP2000" s="275" t="s">
        <v>4938</v>
      </c>
      <c r="AQ2000" s="288" t="s">
        <v>5039</v>
      </c>
      <c r="AR2000" s="277">
        <v>44933.65625</v>
      </c>
      <c r="AS2000" s="272" t="s">
        <v>173</v>
      </c>
      <c r="AT2000" s="288" t="s">
        <v>225</v>
      </c>
      <c r="AU2000" s="276">
        <v>0.65625</v>
      </c>
      <c r="AV2000" s="288">
        <v>2</v>
      </c>
      <c r="AW2000" s="288" t="s">
        <v>66</v>
      </c>
      <c r="AX2000" s="314"/>
      <c r="AY2000" s="314"/>
      <c r="AZ2000" s="314"/>
      <c r="BA2000" s="314"/>
    </row>
    <row r="2001" spans="1:53" s="301" customFormat="1" x14ac:dyDescent="0.25">
      <c r="A2001" s="312">
        <v>61</v>
      </c>
      <c r="B2001" s="311">
        <v>44932.430555555555</v>
      </c>
      <c r="C2001" s="308">
        <v>0.43402777777777773</v>
      </c>
      <c r="D2001" s="308">
        <v>0.4375</v>
      </c>
      <c r="E2001" s="308">
        <v>0.45833333333333331</v>
      </c>
      <c r="F2001" s="309" t="s">
        <v>170</v>
      </c>
      <c r="G2001" s="309" t="s">
        <v>1294</v>
      </c>
      <c r="H2001" s="307" t="s">
        <v>204</v>
      </c>
      <c r="I2001" s="307" t="s">
        <v>4943</v>
      </c>
      <c r="J2001" s="307" t="s">
        <v>37</v>
      </c>
      <c r="K2001" s="307" t="s">
        <v>63</v>
      </c>
      <c r="L2001" s="307" t="s">
        <v>212</v>
      </c>
      <c r="M2001" s="309" t="s">
        <v>4944</v>
      </c>
      <c r="N2001" s="309" t="s">
        <v>42</v>
      </c>
      <c r="O2001" s="309" t="s">
        <v>4945</v>
      </c>
      <c r="P2001" s="309">
        <v>2046985</v>
      </c>
      <c r="Q2001" s="303">
        <f t="shared" ref="Q2001" si="265">S2001+U2001</f>
        <v>1</v>
      </c>
      <c r="R2001" s="303">
        <f t="shared" ref="R2001" si="266">T2001+V2001</f>
        <v>385</v>
      </c>
      <c r="S2001" s="309">
        <v>0</v>
      </c>
      <c r="T2001" s="309">
        <v>0</v>
      </c>
      <c r="U2001" s="309">
        <v>1</v>
      </c>
      <c r="V2001" s="309">
        <v>385</v>
      </c>
      <c r="W2001" s="309">
        <v>411</v>
      </c>
      <c r="X2001" s="309">
        <v>77</v>
      </c>
      <c r="Y2001" s="309">
        <v>64</v>
      </c>
      <c r="Z2001" s="309">
        <v>77</v>
      </c>
      <c r="AA2001" s="309">
        <v>1</v>
      </c>
      <c r="AB2001" s="307">
        <f t="shared" si="245"/>
        <v>63.242666666666665</v>
      </c>
      <c r="AC2001" s="307">
        <f t="shared" si="246"/>
        <v>0.38097991967871486</v>
      </c>
      <c r="AD2001" s="309">
        <v>10481.09</v>
      </c>
      <c r="AE2001" s="309" t="s">
        <v>109</v>
      </c>
      <c r="AF2001" s="309" t="s">
        <v>317</v>
      </c>
      <c r="AG2001" s="309" t="s">
        <v>317</v>
      </c>
      <c r="AH2001" s="309" t="s">
        <v>4946</v>
      </c>
      <c r="AI2001" s="309"/>
      <c r="AJ2001" s="309"/>
      <c r="AK2001" s="309" t="s">
        <v>41</v>
      </c>
      <c r="AL2001" s="309" t="s">
        <v>94</v>
      </c>
      <c r="AM2001" s="299">
        <f t="shared" ca="1" si="226"/>
        <v>4.0694444444452529</v>
      </c>
      <c r="AN2001" s="313"/>
      <c r="AO2001" s="288" t="s">
        <v>386</v>
      </c>
      <c r="AP2001" s="275" t="s">
        <v>4944</v>
      </c>
      <c r="AQ2001" s="288" t="s">
        <v>5180</v>
      </c>
      <c r="AR2001" s="277">
        <v>44936.5</v>
      </c>
      <c r="AS2001" s="272" t="s">
        <v>136</v>
      </c>
      <c r="AT2001" s="288" t="s">
        <v>225</v>
      </c>
      <c r="AU2001" s="276">
        <v>0.5</v>
      </c>
      <c r="AV2001" s="288">
        <v>1</v>
      </c>
      <c r="AW2001" s="288" t="s">
        <v>66</v>
      </c>
      <c r="AX2001" s="314"/>
      <c r="AY2001" s="314"/>
      <c r="AZ2001" s="314"/>
      <c r="BA2001" s="314"/>
    </row>
    <row r="2002" spans="1:53" s="301" customFormat="1" x14ac:dyDescent="0.25">
      <c r="A2002" s="312">
        <v>62</v>
      </c>
      <c r="B2002" s="311">
        <v>44932.503472222219</v>
      </c>
      <c r="C2002" s="308">
        <v>0.50347222222222221</v>
      </c>
      <c r="D2002" s="308">
        <v>0.51041666666666663</v>
      </c>
      <c r="E2002" s="308">
        <v>0.52083333333333337</v>
      </c>
      <c r="F2002" s="309" t="s">
        <v>169</v>
      </c>
      <c r="G2002" s="309" t="s">
        <v>330</v>
      </c>
      <c r="H2002" s="309" t="s">
        <v>3251</v>
      </c>
      <c r="I2002" s="309" t="s">
        <v>3252</v>
      </c>
      <c r="J2002" s="309" t="s">
        <v>37</v>
      </c>
      <c r="K2002" s="309" t="s">
        <v>61</v>
      </c>
      <c r="L2002" s="309" t="s">
        <v>3253</v>
      </c>
      <c r="M2002" s="309" t="s">
        <v>4947</v>
      </c>
      <c r="N2002" s="309" t="s">
        <v>486</v>
      </c>
      <c r="O2002" s="309" t="s">
        <v>4948</v>
      </c>
      <c r="P2002" s="309" t="s">
        <v>4949</v>
      </c>
      <c r="Q2002" s="303">
        <f t="shared" ref="Q2002" si="267">S2002+U2002</f>
        <v>23</v>
      </c>
      <c r="R2002" s="303">
        <f t="shared" ref="R2002" si="268">T2002+V2002</f>
        <v>517</v>
      </c>
      <c r="S2002" s="309">
        <v>23</v>
      </c>
      <c r="T2002" s="309">
        <v>517</v>
      </c>
      <c r="U2002" s="309">
        <v>0</v>
      </c>
      <c r="V2002" s="309">
        <v>0</v>
      </c>
      <c r="W2002" s="309">
        <v>509.9</v>
      </c>
      <c r="X2002" s="309">
        <v>55</v>
      </c>
      <c r="Y2002" s="309">
        <v>40</v>
      </c>
      <c r="Z2002" s="309">
        <v>41</v>
      </c>
      <c r="AA2002" s="309">
        <v>23</v>
      </c>
      <c r="AB2002" s="307">
        <f t="shared" ref="AB2002:AB2010" si="269">X2002*Y2002*Z2002*AA2002/6000</f>
        <v>345.76666666666665</v>
      </c>
      <c r="AC2002" s="307">
        <f t="shared" ref="AC2002:AC2010" si="270">AB2002/166</f>
        <v>2.0829317269076304</v>
      </c>
      <c r="AD2002" s="309">
        <v>4979.04</v>
      </c>
      <c r="AE2002" s="309" t="s">
        <v>109</v>
      </c>
      <c r="AF2002" s="309">
        <v>6730855</v>
      </c>
      <c r="AG2002" s="317" t="s">
        <v>4950</v>
      </c>
      <c r="AH2002" s="309" t="s">
        <v>4951</v>
      </c>
      <c r="AI2002" s="309"/>
      <c r="AJ2002" s="309"/>
      <c r="AK2002" s="309" t="s">
        <v>48</v>
      </c>
      <c r="AL2002" s="309" t="s">
        <v>50</v>
      </c>
      <c r="AM2002" s="299">
        <f t="shared" ca="1" si="226"/>
        <v>1.0486111111167702</v>
      </c>
      <c r="AN2002" s="313"/>
      <c r="AO2002" s="288" t="s">
        <v>493</v>
      </c>
      <c r="AP2002" s="275" t="s">
        <v>4947</v>
      </c>
      <c r="AQ2002" s="288" t="s">
        <v>5038</v>
      </c>
      <c r="AR2002" s="277">
        <v>44933.552083333336</v>
      </c>
      <c r="AS2002" s="272" t="s">
        <v>297</v>
      </c>
      <c r="AT2002" s="288" t="s">
        <v>65</v>
      </c>
      <c r="AU2002" s="276">
        <v>0.55208333333333337</v>
      </c>
      <c r="AV2002" s="288">
        <v>1</v>
      </c>
      <c r="AW2002" s="288" t="s">
        <v>66</v>
      </c>
      <c r="AX2002" s="314"/>
      <c r="AY2002" s="314"/>
      <c r="AZ2002" s="314"/>
      <c r="BA2002" s="314"/>
    </row>
    <row r="2003" spans="1:53" s="301" customFormat="1" x14ac:dyDescent="0.25">
      <c r="A2003" s="312">
        <v>63</v>
      </c>
      <c r="B2003" s="311">
        <v>44932.604166666664</v>
      </c>
      <c r="C2003" s="308">
        <v>0.60763888888888895</v>
      </c>
      <c r="D2003" s="308">
        <v>0.61458333333333337</v>
      </c>
      <c r="E2003" s="308">
        <v>0.63194444444444442</v>
      </c>
      <c r="F2003" s="309" t="s">
        <v>169</v>
      </c>
      <c r="G2003" s="309" t="s">
        <v>4958</v>
      </c>
      <c r="H2003" s="309" t="s">
        <v>4959</v>
      </c>
      <c r="I2003" s="309" t="s">
        <v>4381</v>
      </c>
      <c r="J2003" s="309" t="s">
        <v>37</v>
      </c>
      <c r="K2003" s="309" t="s">
        <v>241</v>
      </c>
      <c r="L2003" s="309">
        <v>0</v>
      </c>
      <c r="M2003" s="309" t="s">
        <v>4960</v>
      </c>
      <c r="N2003" s="309" t="s">
        <v>44</v>
      </c>
      <c r="O2003" s="309" t="s">
        <v>4961</v>
      </c>
      <c r="P2003" s="309" t="s">
        <v>4962</v>
      </c>
      <c r="Q2003" s="303">
        <f t="shared" ref="Q2003" si="271">S2003+U2003</f>
        <v>10</v>
      </c>
      <c r="R2003" s="303">
        <f t="shared" ref="R2003" si="272">T2003+V2003</f>
        <v>34</v>
      </c>
      <c r="S2003" s="309">
        <v>10</v>
      </c>
      <c r="T2003" s="309">
        <f>48-14</f>
        <v>34</v>
      </c>
      <c r="U2003" s="309">
        <v>0</v>
      </c>
      <c r="V2003" s="309">
        <v>0</v>
      </c>
      <c r="W2003" s="309">
        <v>33</v>
      </c>
      <c r="X2003" s="309">
        <v>49</v>
      </c>
      <c r="Y2003" s="309">
        <v>32</v>
      </c>
      <c r="Z2003" s="309">
        <v>22</v>
      </c>
      <c r="AA2003" s="309">
        <v>10</v>
      </c>
      <c r="AB2003" s="309">
        <f t="shared" si="269"/>
        <v>57.493333333333332</v>
      </c>
      <c r="AC2003" s="309">
        <f t="shared" si="270"/>
        <v>0.34634538152610439</v>
      </c>
      <c r="AD2003" s="309">
        <v>265.12</v>
      </c>
      <c r="AE2003" s="309" t="s">
        <v>109</v>
      </c>
      <c r="AF2003" s="309" t="s">
        <v>3432</v>
      </c>
      <c r="AG2003" s="309" t="s">
        <v>3432</v>
      </c>
      <c r="AH2003" s="309" t="s">
        <v>4963</v>
      </c>
      <c r="AI2003" s="309"/>
      <c r="AJ2003" s="309"/>
      <c r="AK2003" s="309" t="s">
        <v>48</v>
      </c>
      <c r="AL2003" s="309" t="s">
        <v>50</v>
      </c>
      <c r="AM2003" s="299">
        <f t="shared" ca="1" si="226"/>
        <v>1.0694444444452529</v>
      </c>
      <c r="AN2003" s="313"/>
      <c r="AO2003" s="288" t="s">
        <v>53</v>
      </c>
      <c r="AP2003" s="275" t="s">
        <v>4960</v>
      </c>
      <c r="AQ2003" s="288" t="s">
        <v>5044</v>
      </c>
      <c r="AR2003" s="277">
        <v>44933.673611111109</v>
      </c>
      <c r="AS2003" s="272" t="s">
        <v>438</v>
      </c>
      <c r="AT2003" s="288" t="s">
        <v>65</v>
      </c>
      <c r="AU2003" s="276">
        <v>0.67361111111111116</v>
      </c>
      <c r="AV2003" s="288">
        <v>1</v>
      </c>
      <c r="AW2003" s="288" t="s">
        <v>66</v>
      </c>
      <c r="AX2003" s="314"/>
      <c r="AY2003" s="314"/>
      <c r="AZ2003" s="314"/>
      <c r="BA2003" s="314"/>
    </row>
    <row r="2004" spans="1:53" s="301" customFormat="1" x14ac:dyDescent="0.25">
      <c r="A2004" s="312">
        <v>64</v>
      </c>
      <c r="B2004" s="311">
        <v>44932.604166666664</v>
      </c>
      <c r="C2004" s="308">
        <v>0.60763888888888895</v>
      </c>
      <c r="D2004" s="308">
        <v>0.61458333333333337</v>
      </c>
      <c r="E2004" s="308">
        <v>0.63194444444444442</v>
      </c>
      <c r="F2004" s="309" t="s">
        <v>169</v>
      </c>
      <c r="G2004" s="309" t="s">
        <v>4958</v>
      </c>
      <c r="H2004" s="309" t="s">
        <v>4959</v>
      </c>
      <c r="I2004" s="309" t="s">
        <v>4381</v>
      </c>
      <c r="J2004" s="309" t="s">
        <v>37</v>
      </c>
      <c r="K2004" s="309" t="s">
        <v>241</v>
      </c>
      <c r="L2004" s="309">
        <v>0</v>
      </c>
      <c r="M2004" s="309" t="s">
        <v>4960</v>
      </c>
      <c r="N2004" s="309" t="s">
        <v>44</v>
      </c>
      <c r="O2004" s="309" t="s">
        <v>4964</v>
      </c>
      <c r="P2004" s="309" t="s">
        <v>4965</v>
      </c>
      <c r="Q2004" s="303">
        <f t="shared" ref="Q2004" si="273">S2004+U2004</f>
        <v>11</v>
      </c>
      <c r="R2004" s="303">
        <f t="shared" ref="R2004" si="274">T2004+V2004</f>
        <v>90</v>
      </c>
      <c r="S2004" s="309">
        <v>11</v>
      </c>
      <c r="T2004" s="309">
        <f>116-26</f>
        <v>90</v>
      </c>
      <c r="U2004" s="309">
        <v>0</v>
      </c>
      <c r="V2004" s="309">
        <v>0</v>
      </c>
      <c r="W2004" s="309">
        <v>88.6</v>
      </c>
      <c r="X2004" s="309">
        <v>49</v>
      </c>
      <c r="Y2004" s="309">
        <v>32</v>
      </c>
      <c r="Z2004" s="309">
        <v>22</v>
      </c>
      <c r="AA2004" s="309">
        <v>7</v>
      </c>
      <c r="AB2004" s="307">
        <f t="shared" si="269"/>
        <v>40.245333333333335</v>
      </c>
      <c r="AC2004" s="307">
        <f t="shared" si="270"/>
        <v>0.24244176706827311</v>
      </c>
      <c r="AD2004" s="309">
        <v>855</v>
      </c>
      <c r="AE2004" s="309" t="s">
        <v>109</v>
      </c>
      <c r="AF2004" s="309" t="s">
        <v>3432</v>
      </c>
      <c r="AG2004" s="309" t="s">
        <v>3432</v>
      </c>
      <c r="AH2004" s="309" t="s">
        <v>4966</v>
      </c>
      <c r="AI2004" s="309"/>
      <c r="AJ2004" s="309"/>
      <c r="AK2004" s="309" t="s">
        <v>48</v>
      </c>
      <c r="AL2004" s="309" t="s">
        <v>50</v>
      </c>
      <c r="AM2004" s="299">
        <f t="shared" ca="1" si="226"/>
        <v>1.0694444444452529</v>
      </c>
      <c r="AN2004" s="313"/>
      <c r="AO2004" s="288" t="s">
        <v>53</v>
      </c>
      <c r="AP2004" s="275" t="s">
        <v>4960</v>
      </c>
      <c r="AQ2004" s="288" t="s">
        <v>5044</v>
      </c>
      <c r="AR2004" s="277">
        <v>44933.673611111109</v>
      </c>
      <c r="AS2004" s="272" t="s">
        <v>438</v>
      </c>
      <c r="AT2004" s="288" t="s">
        <v>65</v>
      </c>
      <c r="AU2004" s="276">
        <v>0.67361111111111116</v>
      </c>
      <c r="AV2004" s="288">
        <v>1</v>
      </c>
      <c r="AW2004" s="288" t="s">
        <v>66</v>
      </c>
      <c r="AX2004" s="314"/>
      <c r="AY2004" s="314"/>
      <c r="AZ2004" s="314"/>
      <c r="BA2004" s="314"/>
    </row>
    <row r="2005" spans="1:53" s="301" customFormat="1" x14ac:dyDescent="0.25">
      <c r="A2005" s="312">
        <v>64</v>
      </c>
      <c r="B2005" s="311">
        <v>44932.604166666664</v>
      </c>
      <c r="C2005" s="308">
        <v>0.60763888888888895</v>
      </c>
      <c r="D2005" s="308">
        <v>0.61458333333333337</v>
      </c>
      <c r="E2005" s="308">
        <v>0.63194444444444442</v>
      </c>
      <c r="F2005" s="309" t="s">
        <v>169</v>
      </c>
      <c r="G2005" s="309" t="s">
        <v>4958</v>
      </c>
      <c r="H2005" s="309" t="s">
        <v>4959</v>
      </c>
      <c r="I2005" s="309" t="s">
        <v>4381</v>
      </c>
      <c r="J2005" s="309" t="s">
        <v>37</v>
      </c>
      <c r="K2005" s="309" t="s">
        <v>241</v>
      </c>
      <c r="L2005" s="309">
        <v>0</v>
      </c>
      <c r="M2005" s="309" t="s">
        <v>4960</v>
      </c>
      <c r="N2005" s="309" t="s">
        <v>44</v>
      </c>
      <c r="O2005" s="309" t="s">
        <v>4964</v>
      </c>
      <c r="P2005" s="309" t="s">
        <v>4965</v>
      </c>
      <c r="Q2005" s="303">
        <f t="shared" ref="Q2005:Q2007" si="275">S2005+U2005</f>
        <v>0</v>
      </c>
      <c r="R2005" s="303">
        <f t="shared" ref="R2005:R2007" si="276">T2005+V2005</f>
        <v>0</v>
      </c>
      <c r="S2005" s="309">
        <v>0</v>
      </c>
      <c r="T2005" s="309">
        <v>0</v>
      </c>
      <c r="U2005" s="309">
        <v>0</v>
      </c>
      <c r="V2005" s="309">
        <v>0</v>
      </c>
      <c r="W2005" s="309">
        <v>0</v>
      </c>
      <c r="X2005" s="309">
        <v>56</v>
      </c>
      <c r="Y2005" s="309">
        <v>38</v>
      </c>
      <c r="Z2005" s="309">
        <v>28</v>
      </c>
      <c r="AA2005" s="309">
        <v>1</v>
      </c>
      <c r="AB2005" s="307">
        <f t="shared" si="269"/>
        <v>9.9306666666666672</v>
      </c>
      <c r="AC2005" s="307">
        <f t="shared" si="270"/>
        <v>5.9823293172690764E-2</v>
      </c>
      <c r="AD2005" s="309">
        <v>0</v>
      </c>
      <c r="AE2005" s="309">
        <v>0</v>
      </c>
      <c r="AF2005" s="309" t="s">
        <v>3432</v>
      </c>
      <c r="AG2005" s="309" t="s">
        <v>3432</v>
      </c>
      <c r="AH2005" s="309" t="s">
        <v>4966</v>
      </c>
      <c r="AI2005" s="309"/>
      <c r="AJ2005" s="309"/>
      <c r="AK2005" s="309" t="s">
        <v>48</v>
      </c>
      <c r="AL2005" s="309" t="s">
        <v>50</v>
      </c>
      <c r="AM2005" s="299">
        <f t="shared" ca="1" si="226"/>
        <v>1.0694444444452529</v>
      </c>
      <c r="AN2005" s="313"/>
      <c r="AO2005" s="288" t="s">
        <v>53</v>
      </c>
      <c r="AP2005" s="275" t="s">
        <v>4960</v>
      </c>
      <c r="AQ2005" s="288" t="s">
        <v>5044</v>
      </c>
      <c r="AR2005" s="277">
        <v>44933.673611111109</v>
      </c>
      <c r="AS2005" s="272" t="s">
        <v>438</v>
      </c>
      <c r="AT2005" s="288" t="s">
        <v>65</v>
      </c>
      <c r="AU2005" s="276">
        <v>0.67361111111111116</v>
      </c>
      <c r="AV2005" s="288">
        <v>1</v>
      </c>
      <c r="AW2005" s="288" t="s">
        <v>66</v>
      </c>
      <c r="AX2005" s="314"/>
      <c r="AY2005" s="314"/>
      <c r="AZ2005" s="314"/>
      <c r="BA2005" s="314"/>
    </row>
    <row r="2006" spans="1:53" s="301" customFormat="1" x14ac:dyDescent="0.25">
      <c r="A2006" s="312">
        <v>64</v>
      </c>
      <c r="B2006" s="311">
        <v>44932.604166666664</v>
      </c>
      <c r="C2006" s="308">
        <v>0.60763888888888895</v>
      </c>
      <c r="D2006" s="308">
        <v>0.61458333333333337</v>
      </c>
      <c r="E2006" s="308">
        <v>0.63194444444444442</v>
      </c>
      <c r="F2006" s="309" t="s">
        <v>169</v>
      </c>
      <c r="G2006" s="309" t="s">
        <v>4958</v>
      </c>
      <c r="H2006" s="309" t="s">
        <v>4959</v>
      </c>
      <c r="I2006" s="309" t="s">
        <v>4381</v>
      </c>
      <c r="J2006" s="309" t="s">
        <v>37</v>
      </c>
      <c r="K2006" s="309" t="s">
        <v>241</v>
      </c>
      <c r="L2006" s="309">
        <v>0</v>
      </c>
      <c r="M2006" s="309" t="s">
        <v>4960</v>
      </c>
      <c r="N2006" s="309" t="s">
        <v>44</v>
      </c>
      <c r="O2006" s="309" t="s">
        <v>4964</v>
      </c>
      <c r="P2006" s="309" t="s">
        <v>4965</v>
      </c>
      <c r="Q2006" s="303">
        <f t="shared" si="275"/>
        <v>0</v>
      </c>
      <c r="R2006" s="303">
        <f t="shared" si="276"/>
        <v>0</v>
      </c>
      <c r="S2006" s="309">
        <v>0</v>
      </c>
      <c r="T2006" s="309">
        <v>0</v>
      </c>
      <c r="U2006" s="309">
        <v>0</v>
      </c>
      <c r="V2006" s="309">
        <v>0</v>
      </c>
      <c r="W2006" s="309">
        <v>0</v>
      </c>
      <c r="X2006" s="309">
        <v>56</v>
      </c>
      <c r="Y2006" s="309">
        <v>39</v>
      </c>
      <c r="Z2006" s="309">
        <v>36</v>
      </c>
      <c r="AA2006" s="309">
        <v>2</v>
      </c>
      <c r="AB2006" s="307">
        <f t="shared" si="269"/>
        <v>26.207999999999998</v>
      </c>
      <c r="AC2006" s="307">
        <f t="shared" si="270"/>
        <v>0.15787951807228914</v>
      </c>
      <c r="AD2006" s="309">
        <v>0</v>
      </c>
      <c r="AE2006" s="309">
        <v>0</v>
      </c>
      <c r="AF2006" s="309" t="s">
        <v>3432</v>
      </c>
      <c r="AG2006" s="309" t="s">
        <v>3432</v>
      </c>
      <c r="AH2006" s="309" t="s">
        <v>4966</v>
      </c>
      <c r="AI2006" s="309"/>
      <c r="AJ2006" s="309"/>
      <c r="AK2006" s="309" t="s">
        <v>48</v>
      </c>
      <c r="AL2006" s="309" t="s">
        <v>50</v>
      </c>
      <c r="AM2006" s="299">
        <f t="shared" ca="1" si="226"/>
        <v>1.0694444444452529</v>
      </c>
      <c r="AN2006" s="313"/>
      <c r="AO2006" s="288" t="s">
        <v>53</v>
      </c>
      <c r="AP2006" s="275" t="s">
        <v>4960</v>
      </c>
      <c r="AQ2006" s="288" t="s">
        <v>5044</v>
      </c>
      <c r="AR2006" s="277">
        <v>44933.673611111109</v>
      </c>
      <c r="AS2006" s="272" t="s">
        <v>438</v>
      </c>
      <c r="AT2006" s="288" t="s">
        <v>65</v>
      </c>
      <c r="AU2006" s="276">
        <v>0.67361111111111116</v>
      </c>
      <c r="AV2006" s="288">
        <v>1</v>
      </c>
      <c r="AW2006" s="288" t="s">
        <v>66</v>
      </c>
      <c r="AX2006" s="314"/>
      <c r="AY2006" s="314"/>
      <c r="AZ2006" s="314"/>
      <c r="BA2006" s="314"/>
    </row>
    <row r="2007" spans="1:53" s="301" customFormat="1" x14ac:dyDescent="0.25">
      <c r="A2007" s="312">
        <v>64</v>
      </c>
      <c r="B2007" s="311">
        <v>44932.604166666664</v>
      </c>
      <c r="C2007" s="308">
        <v>0.60763888888888895</v>
      </c>
      <c r="D2007" s="308">
        <v>0.61458333333333337</v>
      </c>
      <c r="E2007" s="308">
        <v>0.63194444444444442</v>
      </c>
      <c r="F2007" s="309" t="s">
        <v>169</v>
      </c>
      <c r="G2007" s="309" t="s">
        <v>4958</v>
      </c>
      <c r="H2007" s="309" t="s">
        <v>4959</v>
      </c>
      <c r="I2007" s="309" t="s">
        <v>4381</v>
      </c>
      <c r="J2007" s="309" t="s">
        <v>37</v>
      </c>
      <c r="K2007" s="309" t="s">
        <v>241</v>
      </c>
      <c r="L2007" s="309">
        <v>0</v>
      </c>
      <c r="M2007" s="309" t="s">
        <v>4960</v>
      </c>
      <c r="N2007" s="309" t="s">
        <v>44</v>
      </c>
      <c r="O2007" s="309" t="s">
        <v>4964</v>
      </c>
      <c r="P2007" s="309" t="s">
        <v>4965</v>
      </c>
      <c r="Q2007" s="303">
        <f t="shared" si="275"/>
        <v>0</v>
      </c>
      <c r="R2007" s="303">
        <f t="shared" si="276"/>
        <v>0</v>
      </c>
      <c r="S2007" s="309">
        <v>0</v>
      </c>
      <c r="T2007" s="309">
        <v>0</v>
      </c>
      <c r="U2007" s="309">
        <v>0</v>
      </c>
      <c r="V2007" s="309">
        <v>0</v>
      </c>
      <c r="W2007" s="309">
        <v>0</v>
      </c>
      <c r="X2007" s="309">
        <v>56</v>
      </c>
      <c r="Y2007" s="309">
        <v>38</v>
      </c>
      <c r="Z2007" s="309">
        <v>40</v>
      </c>
      <c r="AA2007" s="309">
        <v>1</v>
      </c>
      <c r="AB2007" s="307">
        <f t="shared" si="269"/>
        <v>14.186666666666667</v>
      </c>
      <c r="AC2007" s="307">
        <f t="shared" si="270"/>
        <v>8.546184738955824E-2</v>
      </c>
      <c r="AD2007" s="309">
        <v>0</v>
      </c>
      <c r="AE2007" s="309">
        <v>0</v>
      </c>
      <c r="AF2007" s="309" t="s">
        <v>3432</v>
      </c>
      <c r="AG2007" s="309" t="s">
        <v>3432</v>
      </c>
      <c r="AH2007" s="309" t="s">
        <v>4966</v>
      </c>
      <c r="AI2007" s="309"/>
      <c r="AJ2007" s="309"/>
      <c r="AK2007" s="309" t="s">
        <v>48</v>
      </c>
      <c r="AL2007" s="309" t="s">
        <v>50</v>
      </c>
      <c r="AM2007" s="299">
        <f t="shared" ca="1" si="226"/>
        <v>1.0694444444452529</v>
      </c>
      <c r="AN2007" s="313"/>
      <c r="AO2007" s="288" t="s">
        <v>53</v>
      </c>
      <c r="AP2007" s="275" t="s">
        <v>4960</v>
      </c>
      <c r="AQ2007" s="288" t="s">
        <v>5044</v>
      </c>
      <c r="AR2007" s="277">
        <v>44933.673611111109</v>
      </c>
      <c r="AS2007" s="272" t="s">
        <v>438</v>
      </c>
      <c r="AT2007" s="288" t="s">
        <v>65</v>
      </c>
      <c r="AU2007" s="276">
        <v>0.67361111111111116</v>
      </c>
      <c r="AV2007" s="288">
        <v>1</v>
      </c>
      <c r="AW2007" s="288" t="s">
        <v>66</v>
      </c>
      <c r="AX2007" s="314"/>
      <c r="AY2007" s="314"/>
      <c r="AZ2007" s="314"/>
      <c r="BA2007" s="314"/>
    </row>
    <row r="2008" spans="1:53" s="301" customFormat="1" x14ac:dyDescent="0.25">
      <c r="A2008" s="312">
        <v>65</v>
      </c>
      <c r="B2008" s="311">
        <v>44932.604166666664</v>
      </c>
      <c r="C2008" s="308">
        <v>0.60763888888888895</v>
      </c>
      <c r="D2008" s="308">
        <v>0.61458333333333337</v>
      </c>
      <c r="E2008" s="308">
        <v>0.63194444444444442</v>
      </c>
      <c r="F2008" s="309" t="s">
        <v>169</v>
      </c>
      <c r="G2008" s="309" t="s">
        <v>4958</v>
      </c>
      <c r="H2008" s="309" t="s">
        <v>4959</v>
      </c>
      <c r="I2008" s="309" t="s">
        <v>4381</v>
      </c>
      <c r="J2008" s="309" t="s">
        <v>37</v>
      </c>
      <c r="K2008" s="309" t="s">
        <v>241</v>
      </c>
      <c r="L2008" s="309">
        <v>0</v>
      </c>
      <c r="M2008" s="309" t="s">
        <v>4960</v>
      </c>
      <c r="N2008" s="309" t="s">
        <v>44</v>
      </c>
      <c r="O2008" s="309" t="s">
        <v>4967</v>
      </c>
      <c r="P2008" s="309" t="s">
        <v>4968</v>
      </c>
      <c r="Q2008" s="303">
        <f t="shared" ref="Q2008" si="277">S2008+U2008</f>
        <v>8</v>
      </c>
      <c r="R2008" s="303">
        <f t="shared" ref="R2008" si="278">T2008+V2008</f>
        <v>72</v>
      </c>
      <c r="S2008" s="309">
        <v>8</v>
      </c>
      <c r="T2008" s="309">
        <f>91-19</f>
        <v>72</v>
      </c>
      <c r="U2008" s="309">
        <v>0</v>
      </c>
      <c r="V2008" s="309">
        <v>0</v>
      </c>
      <c r="W2008" s="309">
        <v>67.599999999999994</v>
      </c>
      <c r="X2008" s="309">
        <v>56</v>
      </c>
      <c r="Y2008" s="309">
        <v>38</v>
      </c>
      <c r="Z2008" s="309">
        <v>30</v>
      </c>
      <c r="AA2008" s="309">
        <v>3</v>
      </c>
      <c r="AB2008" s="307">
        <f t="shared" si="269"/>
        <v>31.92</v>
      </c>
      <c r="AC2008" s="307">
        <f t="shared" si="270"/>
        <v>0.19228915662650603</v>
      </c>
      <c r="AD2008" s="309">
        <v>1020.08</v>
      </c>
      <c r="AE2008" s="309" t="s">
        <v>109</v>
      </c>
      <c r="AF2008" s="309" t="s">
        <v>3432</v>
      </c>
      <c r="AG2008" s="309" t="s">
        <v>3432</v>
      </c>
      <c r="AH2008" s="309" t="s">
        <v>4969</v>
      </c>
      <c r="AI2008" s="309"/>
      <c r="AJ2008" s="309"/>
      <c r="AK2008" s="309" t="s">
        <v>48</v>
      </c>
      <c r="AL2008" s="309" t="s">
        <v>50</v>
      </c>
      <c r="AM2008" s="299">
        <f t="shared" ca="1" si="226"/>
        <v>1.0694444444452529</v>
      </c>
      <c r="AN2008" s="313"/>
      <c r="AO2008" s="288" t="s">
        <v>53</v>
      </c>
      <c r="AP2008" s="275" t="s">
        <v>4960</v>
      </c>
      <c r="AQ2008" s="288" t="s">
        <v>5044</v>
      </c>
      <c r="AR2008" s="277">
        <v>44933.673611111109</v>
      </c>
      <c r="AS2008" s="272" t="s">
        <v>438</v>
      </c>
      <c r="AT2008" s="288" t="s">
        <v>65</v>
      </c>
      <c r="AU2008" s="276">
        <v>0.67361111111111116</v>
      </c>
      <c r="AV2008" s="288">
        <v>1</v>
      </c>
      <c r="AW2008" s="288" t="s">
        <v>66</v>
      </c>
      <c r="AX2008" s="314"/>
      <c r="AY2008" s="314"/>
      <c r="AZ2008" s="314"/>
      <c r="BA2008" s="314"/>
    </row>
    <row r="2009" spans="1:53" s="301" customFormat="1" x14ac:dyDescent="0.25">
      <c r="A2009" s="312">
        <v>65</v>
      </c>
      <c r="B2009" s="311">
        <v>44932.604166666664</v>
      </c>
      <c r="C2009" s="308">
        <v>0.60763888888888895</v>
      </c>
      <c r="D2009" s="308">
        <v>0.61458333333333337</v>
      </c>
      <c r="E2009" s="308">
        <v>0.63194444444444442</v>
      </c>
      <c r="F2009" s="309" t="s">
        <v>169</v>
      </c>
      <c r="G2009" s="309" t="s">
        <v>4958</v>
      </c>
      <c r="H2009" s="309" t="s">
        <v>4959</v>
      </c>
      <c r="I2009" s="309" t="s">
        <v>4381</v>
      </c>
      <c r="J2009" s="309" t="s">
        <v>37</v>
      </c>
      <c r="K2009" s="309" t="s">
        <v>241</v>
      </c>
      <c r="L2009" s="309">
        <v>0</v>
      </c>
      <c r="M2009" s="309" t="s">
        <v>4960</v>
      </c>
      <c r="N2009" s="309" t="s">
        <v>44</v>
      </c>
      <c r="O2009" s="309" t="s">
        <v>4967</v>
      </c>
      <c r="P2009" s="309" t="s">
        <v>4968</v>
      </c>
      <c r="Q2009" s="303">
        <f t="shared" ref="Q2009:Q2011" si="279">S2009+U2009</f>
        <v>0</v>
      </c>
      <c r="R2009" s="303">
        <f t="shared" ref="R2009:R2010" si="280">T2009+V2009</f>
        <v>0</v>
      </c>
      <c r="S2009" s="309">
        <v>0</v>
      </c>
      <c r="T2009" s="309">
        <v>0</v>
      </c>
      <c r="U2009" s="309">
        <v>0</v>
      </c>
      <c r="V2009" s="309">
        <v>0</v>
      </c>
      <c r="W2009" s="309">
        <v>0</v>
      </c>
      <c r="X2009" s="309">
        <v>56</v>
      </c>
      <c r="Y2009" s="309">
        <v>38</v>
      </c>
      <c r="Z2009" s="309">
        <v>28</v>
      </c>
      <c r="AA2009" s="309">
        <v>2</v>
      </c>
      <c r="AB2009" s="307">
        <f t="shared" si="269"/>
        <v>19.861333333333334</v>
      </c>
      <c r="AC2009" s="307">
        <f t="shared" si="270"/>
        <v>0.11964658634538153</v>
      </c>
      <c r="AD2009" s="309">
        <v>0</v>
      </c>
      <c r="AE2009" s="309">
        <v>0</v>
      </c>
      <c r="AF2009" s="309" t="s">
        <v>3432</v>
      </c>
      <c r="AG2009" s="309" t="s">
        <v>3432</v>
      </c>
      <c r="AH2009" s="309" t="s">
        <v>4969</v>
      </c>
      <c r="AI2009" s="309"/>
      <c r="AJ2009" s="309"/>
      <c r="AK2009" s="309" t="s">
        <v>48</v>
      </c>
      <c r="AL2009" s="309" t="s">
        <v>50</v>
      </c>
      <c r="AM2009" s="299">
        <f t="shared" ca="1" si="226"/>
        <v>1.0694444444452529</v>
      </c>
      <c r="AN2009" s="313"/>
      <c r="AO2009" s="288" t="s">
        <v>53</v>
      </c>
      <c r="AP2009" s="275" t="s">
        <v>4960</v>
      </c>
      <c r="AQ2009" s="288" t="s">
        <v>5044</v>
      </c>
      <c r="AR2009" s="277">
        <v>44933.673611111109</v>
      </c>
      <c r="AS2009" s="272" t="s">
        <v>438</v>
      </c>
      <c r="AT2009" s="288" t="s">
        <v>65</v>
      </c>
      <c r="AU2009" s="276">
        <v>0.67361111111111116</v>
      </c>
      <c r="AV2009" s="288">
        <v>1</v>
      </c>
      <c r="AW2009" s="288" t="s">
        <v>66</v>
      </c>
      <c r="AX2009" s="314"/>
      <c r="AY2009" s="314"/>
      <c r="AZ2009" s="314"/>
      <c r="BA2009" s="314"/>
    </row>
    <row r="2010" spans="1:53" s="301" customFormat="1" x14ac:dyDescent="0.25">
      <c r="A2010" s="312">
        <v>65</v>
      </c>
      <c r="B2010" s="311">
        <v>44932.604166666664</v>
      </c>
      <c r="C2010" s="308">
        <v>0.60763888888888895</v>
      </c>
      <c r="D2010" s="308">
        <v>0.61458333333333337</v>
      </c>
      <c r="E2010" s="308">
        <v>0.63194444444444442</v>
      </c>
      <c r="F2010" s="309" t="s">
        <v>169</v>
      </c>
      <c r="G2010" s="309" t="s">
        <v>4958</v>
      </c>
      <c r="H2010" s="309" t="s">
        <v>4959</v>
      </c>
      <c r="I2010" s="309" t="s">
        <v>4381</v>
      </c>
      <c r="J2010" s="309" t="s">
        <v>37</v>
      </c>
      <c r="K2010" s="309" t="s">
        <v>241</v>
      </c>
      <c r="L2010" s="309">
        <v>0</v>
      </c>
      <c r="M2010" s="309" t="s">
        <v>4960</v>
      </c>
      <c r="N2010" s="309" t="s">
        <v>44</v>
      </c>
      <c r="O2010" s="309" t="s">
        <v>4967</v>
      </c>
      <c r="P2010" s="309" t="s">
        <v>4968</v>
      </c>
      <c r="Q2010" s="303">
        <f t="shared" si="279"/>
        <v>0</v>
      </c>
      <c r="R2010" s="303">
        <f t="shared" si="280"/>
        <v>0</v>
      </c>
      <c r="S2010" s="309">
        <v>0</v>
      </c>
      <c r="T2010" s="309">
        <v>0</v>
      </c>
      <c r="U2010" s="309">
        <v>0</v>
      </c>
      <c r="V2010" s="309">
        <v>0</v>
      </c>
      <c r="W2010" s="309">
        <v>0</v>
      </c>
      <c r="X2010" s="309">
        <v>56</v>
      </c>
      <c r="Y2010" s="309">
        <v>38</v>
      </c>
      <c r="Z2010" s="309">
        <v>34</v>
      </c>
      <c r="AA2010" s="309">
        <v>1</v>
      </c>
      <c r="AB2010" s="307">
        <f t="shared" si="269"/>
        <v>12.058666666666667</v>
      </c>
      <c r="AC2010" s="307">
        <f t="shared" si="270"/>
        <v>7.2642570281124502E-2</v>
      </c>
      <c r="AD2010" s="309">
        <v>0</v>
      </c>
      <c r="AE2010" s="309">
        <v>0</v>
      </c>
      <c r="AF2010" s="309" t="s">
        <v>3432</v>
      </c>
      <c r="AG2010" s="309" t="s">
        <v>3432</v>
      </c>
      <c r="AH2010" s="309" t="s">
        <v>4969</v>
      </c>
      <c r="AI2010" s="309"/>
      <c r="AJ2010" s="309"/>
      <c r="AK2010" s="309" t="s">
        <v>48</v>
      </c>
      <c r="AL2010" s="309" t="s">
        <v>50</v>
      </c>
      <c r="AM2010" s="299">
        <f t="shared" ca="1" si="226"/>
        <v>1.0694444444452529</v>
      </c>
      <c r="AN2010" s="313"/>
      <c r="AO2010" s="288" t="s">
        <v>53</v>
      </c>
      <c r="AP2010" s="275" t="s">
        <v>4960</v>
      </c>
      <c r="AQ2010" s="288" t="s">
        <v>5044</v>
      </c>
      <c r="AR2010" s="277">
        <v>44933.673611111109</v>
      </c>
      <c r="AS2010" s="272" t="s">
        <v>438</v>
      </c>
      <c r="AT2010" s="288" t="s">
        <v>65</v>
      </c>
      <c r="AU2010" s="276">
        <v>0.67361111111111116</v>
      </c>
      <c r="AV2010" s="288">
        <v>1</v>
      </c>
      <c r="AW2010" s="288" t="s">
        <v>66</v>
      </c>
      <c r="AX2010" s="314"/>
      <c r="AY2010" s="314"/>
      <c r="AZ2010" s="314"/>
      <c r="BA2010" s="314"/>
    </row>
    <row r="2011" spans="1:53" s="301" customFormat="1" ht="15.75" thickBot="1" x14ac:dyDescent="0.3">
      <c r="A2011" s="312">
        <v>65</v>
      </c>
      <c r="B2011" s="311">
        <v>44932.604166666664</v>
      </c>
      <c r="C2011" s="308">
        <v>0.60763888888888895</v>
      </c>
      <c r="D2011" s="308">
        <v>0.61458333333333337</v>
      </c>
      <c r="E2011" s="308">
        <v>0.63194444444444442</v>
      </c>
      <c r="F2011" s="309" t="s">
        <v>169</v>
      </c>
      <c r="G2011" s="309" t="s">
        <v>4958</v>
      </c>
      <c r="H2011" s="309" t="s">
        <v>4959</v>
      </c>
      <c r="I2011" s="309" t="s">
        <v>4381</v>
      </c>
      <c r="J2011" s="309" t="s">
        <v>37</v>
      </c>
      <c r="K2011" s="309" t="s">
        <v>241</v>
      </c>
      <c r="L2011" s="309">
        <v>0</v>
      </c>
      <c r="M2011" s="309" t="s">
        <v>4960</v>
      </c>
      <c r="N2011" s="309" t="s">
        <v>44</v>
      </c>
      <c r="O2011" s="309" t="s">
        <v>4967</v>
      </c>
      <c r="P2011" s="309" t="s">
        <v>4968</v>
      </c>
      <c r="Q2011" s="303">
        <f t="shared" si="279"/>
        <v>0</v>
      </c>
      <c r="R2011" s="303">
        <f t="shared" ref="R2011:R2016" si="281">T2011+V2011</f>
        <v>0</v>
      </c>
      <c r="S2011" s="309">
        <v>0</v>
      </c>
      <c r="T2011" s="309">
        <v>0</v>
      </c>
      <c r="U2011" s="309">
        <v>0</v>
      </c>
      <c r="V2011" s="309">
        <v>0</v>
      </c>
      <c r="W2011" s="309">
        <v>0</v>
      </c>
      <c r="X2011" s="309">
        <v>49</v>
      </c>
      <c r="Y2011" s="309">
        <v>32</v>
      </c>
      <c r="Z2011" s="309">
        <v>22</v>
      </c>
      <c r="AA2011" s="309">
        <v>2</v>
      </c>
      <c r="AB2011" s="307">
        <f t="shared" ref="AB2011:AB2034" si="282">X2011*Y2011*Z2011*AA2011/6000</f>
        <v>11.498666666666667</v>
      </c>
      <c r="AC2011" s="307">
        <f t="shared" ref="AC2011:AC2034" si="283">AB2011/166</f>
        <v>6.9269076305220889E-2</v>
      </c>
      <c r="AD2011" s="309">
        <v>0</v>
      </c>
      <c r="AE2011" s="309">
        <v>0</v>
      </c>
      <c r="AF2011" s="309" t="s">
        <v>3432</v>
      </c>
      <c r="AG2011" s="309" t="s">
        <v>3432</v>
      </c>
      <c r="AH2011" s="309" t="s">
        <v>4969</v>
      </c>
      <c r="AI2011" s="309"/>
      <c r="AJ2011" s="309"/>
      <c r="AK2011" s="309" t="s">
        <v>48</v>
      </c>
      <c r="AL2011" s="309" t="s">
        <v>50</v>
      </c>
      <c r="AM2011" s="299">
        <f t="shared" ca="1" si="226"/>
        <v>1.0694444444452529</v>
      </c>
      <c r="AN2011" s="313"/>
      <c r="AO2011" s="288" t="s">
        <v>53</v>
      </c>
      <c r="AP2011" s="275" t="s">
        <v>4960</v>
      </c>
      <c r="AQ2011" s="288" t="s">
        <v>5044</v>
      </c>
      <c r="AR2011" s="277">
        <v>44933.673611111109</v>
      </c>
      <c r="AS2011" s="272" t="s">
        <v>438</v>
      </c>
      <c r="AT2011" s="288" t="s">
        <v>65</v>
      </c>
      <c r="AU2011" s="276">
        <v>0.67361111111111116</v>
      </c>
      <c r="AV2011" s="288">
        <v>1</v>
      </c>
      <c r="AW2011" s="288" t="s">
        <v>66</v>
      </c>
      <c r="AX2011" s="314"/>
      <c r="AY2011" s="314"/>
      <c r="AZ2011" s="314"/>
      <c r="BA2011" s="314"/>
    </row>
    <row r="2012" spans="1:53" s="301" customFormat="1" ht="15.75" thickBot="1" x14ac:dyDescent="0.3">
      <c r="A2012" s="312">
        <v>66</v>
      </c>
      <c r="B2012" s="311">
        <v>44932.604166666664</v>
      </c>
      <c r="C2012" s="308">
        <v>0.60763888888888895</v>
      </c>
      <c r="D2012" s="308">
        <v>0.61805555555555558</v>
      </c>
      <c r="E2012" s="308">
        <v>0.65625</v>
      </c>
      <c r="F2012" s="309" t="s">
        <v>170</v>
      </c>
      <c r="G2012" s="309" t="s">
        <v>4970</v>
      </c>
      <c r="H2012" s="309" t="s">
        <v>227</v>
      </c>
      <c r="I2012" s="309" t="s">
        <v>189</v>
      </c>
      <c r="J2012" s="309" t="s">
        <v>37</v>
      </c>
      <c r="K2012" s="309" t="s">
        <v>63</v>
      </c>
      <c r="L2012" s="237" t="s">
        <v>206</v>
      </c>
      <c r="M2012" s="309" t="s">
        <v>4971</v>
      </c>
      <c r="N2012" s="309" t="s">
        <v>42</v>
      </c>
      <c r="O2012" s="309">
        <v>1213</v>
      </c>
      <c r="P2012" s="309">
        <v>3719</v>
      </c>
      <c r="Q2012" s="303">
        <f t="shared" ref="Q2012:Q2016" si="284">S2012+U2012</f>
        <v>13</v>
      </c>
      <c r="R2012" s="303">
        <f t="shared" si="281"/>
        <v>204</v>
      </c>
      <c r="S2012" s="309">
        <v>13</v>
      </c>
      <c r="T2012" s="292">
        <v>204</v>
      </c>
      <c r="U2012" s="309">
        <v>0</v>
      </c>
      <c r="V2012" s="309">
        <v>0</v>
      </c>
      <c r="W2012" s="292">
        <v>162</v>
      </c>
      <c r="X2012" s="309">
        <v>90</v>
      </c>
      <c r="Y2012" s="309">
        <v>36</v>
      </c>
      <c r="Z2012" s="309">
        <v>51</v>
      </c>
      <c r="AA2012" s="309">
        <v>5</v>
      </c>
      <c r="AB2012" s="307">
        <f t="shared" si="282"/>
        <v>137.69999999999999</v>
      </c>
      <c r="AC2012" s="307">
        <f t="shared" si="283"/>
        <v>0.82951807228915653</v>
      </c>
      <c r="AD2012" s="309">
        <v>8392</v>
      </c>
      <c r="AE2012" s="309" t="s">
        <v>109</v>
      </c>
      <c r="AF2012" s="309" t="s">
        <v>317</v>
      </c>
      <c r="AG2012" s="309" t="s">
        <v>317</v>
      </c>
      <c r="AH2012" s="309" t="s">
        <v>4972</v>
      </c>
      <c r="AI2012" s="309"/>
      <c r="AJ2012" s="309"/>
      <c r="AK2012" s="309" t="s">
        <v>48</v>
      </c>
      <c r="AL2012" s="309" t="s">
        <v>50</v>
      </c>
      <c r="AM2012" s="299">
        <f t="shared" ca="1" si="226"/>
        <v>1.0520833333357587</v>
      </c>
      <c r="AN2012" s="41"/>
      <c r="AO2012" s="288" t="s">
        <v>89</v>
      </c>
      <c r="AP2012" s="275" t="s">
        <v>4971</v>
      </c>
      <c r="AQ2012" s="288" t="s">
        <v>5041</v>
      </c>
      <c r="AR2012" s="277">
        <v>44933.65625</v>
      </c>
      <c r="AS2012" s="272" t="s">
        <v>173</v>
      </c>
      <c r="AT2012" s="288" t="s">
        <v>225</v>
      </c>
      <c r="AU2012" s="276">
        <v>0.65625</v>
      </c>
      <c r="AV2012" s="288">
        <v>2</v>
      </c>
      <c r="AW2012" s="288" t="s">
        <v>66</v>
      </c>
      <c r="AX2012" s="314"/>
      <c r="AY2012" s="314"/>
      <c r="AZ2012" s="314"/>
      <c r="BA2012" s="314"/>
    </row>
    <row r="2013" spans="1:53" s="301" customFormat="1" ht="15.75" thickBot="1" x14ac:dyDescent="0.3">
      <c r="A2013" s="312">
        <v>66</v>
      </c>
      <c r="B2013" s="311">
        <v>44932.604166666664</v>
      </c>
      <c r="C2013" s="308">
        <v>0.60763888888888895</v>
      </c>
      <c r="D2013" s="308">
        <v>0.61805555555555558</v>
      </c>
      <c r="E2013" s="308">
        <v>0.65625</v>
      </c>
      <c r="F2013" s="309" t="s">
        <v>170</v>
      </c>
      <c r="G2013" s="309" t="s">
        <v>4970</v>
      </c>
      <c r="H2013" s="309" t="s">
        <v>227</v>
      </c>
      <c r="I2013" s="309" t="s">
        <v>189</v>
      </c>
      <c r="J2013" s="309" t="s">
        <v>37</v>
      </c>
      <c r="K2013" s="309" t="s">
        <v>63</v>
      </c>
      <c r="L2013" s="237" t="s">
        <v>206</v>
      </c>
      <c r="M2013" s="309" t="s">
        <v>4971</v>
      </c>
      <c r="N2013" s="309" t="s">
        <v>42</v>
      </c>
      <c r="O2013" s="309">
        <v>1213</v>
      </c>
      <c r="P2013" s="309">
        <v>3719</v>
      </c>
      <c r="Q2013" s="303">
        <f t="shared" si="284"/>
        <v>0</v>
      </c>
      <c r="R2013" s="303">
        <f t="shared" si="281"/>
        <v>0</v>
      </c>
      <c r="S2013" s="309">
        <v>0</v>
      </c>
      <c r="T2013" s="309">
        <v>0</v>
      </c>
      <c r="U2013" s="309">
        <v>0</v>
      </c>
      <c r="V2013" s="309">
        <v>0</v>
      </c>
      <c r="W2013" s="309">
        <v>0</v>
      </c>
      <c r="X2013" s="309">
        <v>84</v>
      </c>
      <c r="Y2013" s="309">
        <v>52</v>
      </c>
      <c r="Z2013" s="309">
        <v>62</v>
      </c>
      <c r="AA2013" s="309">
        <v>8</v>
      </c>
      <c r="AB2013" s="307">
        <f t="shared" si="282"/>
        <v>361.08800000000002</v>
      </c>
      <c r="AC2013" s="307">
        <f t="shared" si="283"/>
        <v>2.1752289156626508</v>
      </c>
      <c r="AD2013" s="309">
        <v>0</v>
      </c>
      <c r="AE2013" s="309">
        <v>0</v>
      </c>
      <c r="AF2013" s="309" t="s">
        <v>317</v>
      </c>
      <c r="AG2013" s="309" t="s">
        <v>317</v>
      </c>
      <c r="AH2013" s="309" t="s">
        <v>4972</v>
      </c>
      <c r="AI2013" s="309"/>
      <c r="AJ2013" s="309"/>
      <c r="AK2013" s="309" t="s">
        <v>48</v>
      </c>
      <c r="AL2013" s="309" t="s">
        <v>50</v>
      </c>
      <c r="AM2013" s="299">
        <f t="shared" ca="1" si="226"/>
        <v>1.0520833333357587</v>
      </c>
      <c r="AN2013" s="41"/>
      <c r="AO2013" s="288" t="s">
        <v>89</v>
      </c>
      <c r="AP2013" s="275" t="s">
        <v>4971</v>
      </c>
      <c r="AQ2013" s="288" t="s">
        <v>5041</v>
      </c>
      <c r="AR2013" s="277">
        <v>44933.65625</v>
      </c>
      <c r="AS2013" s="272" t="s">
        <v>173</v>
      </c>
      <c r="AT2013" s="288" t="s">
        <v>225</v>
      </c>
      <c r="AU2013" s="276">
        <v>0.65625</v>
      </c>
      <c r="AV2013" s="288">
        <v>2</v>
      </c>
      <c r="AW2013" s="288" t="s">
        <v>66</v>
      </c>
      <c r="AX2013" s="314"/>
      <c r="AY2013" s="314"/>
      <c r="AZ2013" s="314"/>
      <c r="BA2013" s="314"/>
    </row>
    <row r="2014" spans="1:53" s="301" customFormat="1" ht="15.75" thickBot="1" x14ac:dyDescent="0.3">
      <c r="A2014" s="312">
        <v>67</v>
      </c>
      <c r="B2014" s="311">
        <v>44932.604166666664</v>
      </c>
      <c r="C2014" s="308">
        <v>0.60763888888888895</v>
      </c>
      <c r="D2014" s="308">
        <v>0.61805555555555558</v>
      </c>
      <c r="E2014" s="308">
        <v>0.65625</v>
      </c>
      <c r="F2014" s="309" t="s">
        <v>170</v>
      </c>
      <c r="G2014" s="309" t="s">
        <v>4970</v>
      </c>
      <c r="H2014" s="309" t="s">
        <v>227</v>
      </c>
      <c r="I2014" s="309" t="s">
        <v>189</v>
      </c>
      <c r="J2014" s="309" t="s">
        <v>37</v>
      </c>
      <c r="K2014" s="309" t="s">
        <v>63</v>
      </c>
      <c r="L2014" s="237" t="s">
        <v>206</v>
      </c>
      <c r="M2014" s="309" t="s">
        <v>4971</v>
      </c>
      <c r="N2014" s="309" t="s">
        <v>42</v>
      </c>
      <c r="O2014" s="309" t="s">
        <v>4973</v>
      </c>
      <c r="P2014" s="309">
        <v>3727</v>
      </c>
      <c r="Q2014" s="303">
        <f t="shared" si="284"/>
        <v>5</v>
      </c>
      <c r="R2014" s="303">
        <f t="shared" si="281"/>
        <v>1178</v>
      </c>
      <c r="S2014" s="309">
        <v>0</v>
      </c>
      <c r="T2014" s="309">
        <v>0</v>
      </c>
      <c r="U2014" s="309">
        <v>5</v>
      </c>
      <c r="V2014" s="309">
        <v>1178</v>
      </c>
      <c r="W2014" s="309">
        <v>1046</v>
      </c>
      <c r="X2014" s="309">
        <v>103</v>
      </c>
      <c r="Y2014" s="309">
        <v>43</v>
      </c>
      <c r="Z2014" s="309">
        <v>43</v>
      </c>
      <c r="AA2014" s="309">
        <v>1</v>
      </c>
      <c r="AB2014" s="307">
        <f t="shared" si="282"/>
        <v>31.741166666666668</v>
      </c>
      <c r="AC2014" s="307">
        <f t="shared" si="283"/>
        <v>0.19121184738955824</v>
      </c>
      <c r="AD2014" s="309" t="s">
        <v>48</v>
      </c>
      <c r="AE2014" s="309" t="s">
        <v>48</v>
      </c>
      <c r="AF2014" s="309" t="s">
        <v>317</v>
      </c>
      <c r="AG2014" s="309" t="s">
        <v>317</v>
      </c>
      <c r="AH2014" s="309" t="s">
        <v>4974</v>
      </c>
      <c r="AI2014" s="309"/>
      <c r="AJ2014" s="309"/>
      <c r="AK2014" s="309" t="s">
        <v>41</v>
      </c>
      <c r="AL2014" s="309" t="s">
        <v>39</v>
      </c>
      <c r="AM2014" s="299">
        <f t="shared" ca="1" si="226"/>
        <v>1.0520833333357587</v>
      </c>
      <c r="AN2014" s="41"/>
      <c r="AO2014" s="288" t="s">
        <v>89</v>
      </c>
      <c r="AP2014" s="275" t="s">
        <v>4971</v>
      </c>
      <c r="AQ2014" s="288" t="s">
        <v>5041</v>
      </c>
      <c r="AR2014" s="277">
        <v>44933.65625</v>
      </c>
      <c r="AS2014" s="272" t="s">
        <v>173</v>
      </c>
      <c r="AT2014" s="288" t="s">
        <v>225</v>
      </c>
      <c r="AU2014" s="276">
        <v>0.65625</v>
      </c>
      <c r="AV2014" s="288">
        <v>2</v>
      </c>
      <c r="AW2014" s="288" t="s">
        <v>66</v>
      </c>
      <c r="AX2014" s="314"/>
      <c r="AY2014" s="314"/>
      <c r="AZ2014" s="314"/>
      <c r="BA2014" s="314"/>
    </row>
    <row r="2015" spans="1:53" s="301" customFormat="1" ht="15.75" thickBot="1" x14ac:dyDescent="0.3">
      <c r="A2015" s="312">
        <v>67</v>
      </c>
      <c r="B2015" s="311">
        <v>44932.604166666664</v>
      </c>
      <c r="C2015" s="308">
        <v>0.60763888888888895</v>
      </c>
      <c r="D2015" s="308">
        <v>0.61805555555555558</v>
      </c>
      <c r="E2015" s="308">
        <v>0.65625</v>
      </c>
      <c r="F2015" s="309" t="s">
        <v>170</v>
      </c>
      <c r="G2015" s="309" t="s">
        <v>4970</v>
      </c>
      <c r="H2015" s="309" t="s">
        <v>227</v>
      </c>
      <c r="I2015" s="309" t="s">
        <v>189</v>
      </c>
      <c r="J2015" s="309" t="s">
        <v>37</v>
      </c>
      <c r="K2015" s="309" t="s">
        <v>63</v>
      </c>
      <c r="L2015" s="237" t="s">
        <v>206</v>
      </c>
      <c r="M2015" s="309" t="s">
        <v>4971</v>
      </c>
      <c r="N2015" s="309" t="s">
        <v>42</v>
      </c>
      <c r="O2015" s="309" t="s">
        <v>4973</v>
      </c>
      <c r="P2015" s="309">
        <v>3727</v>
      </c>
      <c r="Q2015" s="303">
        <f t="shared" si="284"/>
        <v>0</v>
      </c>
      <c r="R2015" s="303">
        <f t="shared" si="281"/>
        <v>0</v>
      </c>
      <c r="S2015" s="309">
        <v>0</v>
      </c>
      <c r="T2015" s="309">
        <v>0</v>
      </c>
      <c r="U2015" s="309">
        <v>0</v>
      </c>
      <c r="V2015" s="309">
        <v>0</v>
      </c>
      <c r="W2015" s="309">
        <v>0</v>
      </c>
      <c r="X2015" s="309">
        <v>176</v>
      </c>
      <c r="Y2015" s="309">
        <v>116</v>
      </c>
      <c r="Z2015" s="309">
        <v>80</v>
      </c>
      <c r="AA2015" s="309">
        <v>4</v>
      </c>
      <c r="AB2015" s="307">
        <f t="shared" si="282"/>
        <v>1088.8533333333332</v>
      </c>
      <c r="AC2015" s="307">
        <f t="shared" si="283"/>
        <v>6.559357429718875</v>
      </c>
      <c r="AD2015" s="309">
        <v>0</v>
      </c>
      <c r="AE2015" s="309">
        <v>0</v>
      </c>
      <c r="AF2015" s="309" t="s">
        <v>317</v>
      </c>
      <c r="AG2015" s="309" t="s">
        <v>317</v>
      </c>
      <c r="AH2015" s="309" t="s">
        <v>4974</v>
      </c>
      <c r="AI2015" s="309"/>
      <c r="AJ2015" s="309"/>
      <c r="AK2015" s="309" t="s">
        <v>37</v>
      </c>
      <c r="AL2015" s="309" t="s">
        <v>39</v>
      </c>
      <c r="AM2015" s="299">
        <f t="shared" ca="1" si="226"/>
        <v>1.0520833333357587</v>
      </c>
      <c r="AN2015" s="41"/>
      <c r="AO2015" s="288" t="s">
        <v>89</v>
      </c>
      <c r="AP2015" s="275" t="s">
        <v>4971</v>
      </c>
      <c r="AQ2015" s="288" t="s">
        <v>5041</v>
      </c>
      <c r="AR2015" s="277">
        <v>44933.65625</v>
      </c>
      <c r="AS2015" s="272" t="s">
        <v>173</v>
      </c>
      <c r="AT2015" s="288" t="s">
        <v>225</v>
      </c>
      <c r="AU2015" s="276">
        <v>0.65625</v>
      </c>
      <c r="AV2015" s="288">
        <v>2</v>
      </c>
      <c r="AW2015" s="288" t="s">
        <v>66</v>
      </c>
      <c r="AX2015" s="314"/>
      <c r="AY2015" s="314"/>
      <c r="AZ2015" s="314"/>
      <c r="BA2015" s="314"/>
    </row>
    <row r="2016" spans="1:53" s="301" customFormat="1" ht="15.75" thickBot="1" x14ac:dyDescent="0.3">
      <c r="A2016" s="312">
        <v>68</v>
      </c>
      <c r="B2016" s="311">
        <v>44932.604166666664</v>
      </c>
      <c r="C2016" s="308">
        <v>0.60763888888888895</v>
      </c>
      <c r="D2016" s="308">
        <v>0.61805555555555558</v>
      </c>
      <c r="E2016" s="308">
        <v>0.65625</v>
      </c>
      <c r="F2016" s="309" t="s">
        <v>170</v>
      </c>
      <c r="G2016" s="309" t="s">
        <v>4970</v>
      </c>
      <c r="H2016" s="309" t="s">
        <v>227</v>
      </c>
      <c r="I2016" s="309" t="s">
        <v>189</v>
      </c>
      <c r="J2016" s="309" t="s">
        <v>37</v>
      </c>
      <c r="K2016" s="309" t="s">
        <v>63</v>
      </c>
      <c r="L2016" s="237" t="s">
        <v>206</v>
      </c>
      <c r="M2016" s="309" t="s">
        <v>4975</v>
      </c>
      <c r="N2016" s="309" t="s">
        <v>43</v>
      </c>
      <c r="O2016" s="309" t="s">
        <v>4976</v>
      </c>
      <c r="P2016" s="309">
        <v>29708</v>
      </c>
      <c r="Q2016" s="303">
        <f t="shared" si="284"/>
        <v>1</v>
      </c>
      <c r="R2016" s="303">
        <f t="shared" si="281"/>
        <v>80</v>
      </c>
      <c r="S2016" s="309">
        <v>0</v>
      </c>
      <c r="T2016" s="309">
        <v>0</v>
      </c>
      <c r="U2016" s="309">
        <v>1</v>
      </c>
      <c r="V2016" s="309">
        <v>80</v>
      </c>
      <c r="W2016" s="309">
        <v>81</v>
      </c>
      <c r="X2016" s="309">
        <v>104</v>
      </c>
      <c r="Y2016" s="309">
        <v>45</v>
      </c>
      <c r="Z2016" s="309">
        <v>44</v>
      </c>
      <c r="AA2016" s="309">
        <v>1</v>
      </c>
      <c r="AB2016" s="307">
        <f t="shared" si="282"/>
        <v>34.32</v>
      </c>
      <c r="AC2016" s="307">
        <f t="shared" si="283"/>
        <v>0.20674698795180724</v>
      </c>
      <c r="AD2016" s="309" t="s">
        <v>48</v>
      </c>
      <c r="AE2016" s="309" t="s">
        <v>48</v>
      </c>
      <c r="AF2016" s="309" t="s">
        <v>317</v>
      </c>
      <c r="AG2016" s="309" t="s">
        <v>317</v>
      </c>
      <c r="AH2016" s="309" t="s">
        <v>4977</v>
      </c>
      <c r="AI2016" s="309"/>
      <c r="AJ2016" s="309"/>
      <c r="AK2016" s="309" t="s">
        <v>41</v>
      </c>
      <c r="AL2016" s="309" t="s">
        <v>39</v>
      </c>
      <c r="AM2016" s="299">
        <f t="shared" ca="1" si="226"/>
        <v>1.1076388888905058</v>
      </c>
      <c r="AN2016" s="41"/>
      <c r="AO2016" s="288" t="s">
        <v>179</v>
      </c>
      <c r="AP2016" s="275" t="s">
        <v>5045</v>
      </c>
      <c r="AQ2016" s="288" t="s">
        <v>5046</v>
      </c>
      <c r="AR2016" s="277">
        <v>44933.711805555555</v>
      </c>
      <c r="AS2016" s="272" t="s">
        <v>297</v>
      </c>
      <c r="AT2016" s="288" t="s">
        <v>65</v>
      </c>
      <c r="AU2016" s="276">
        <v>0.71180555555555547</v>
      </c>
      <c r="AV2016" s="288">
        <v>1</v>
      </c>
      <c r="AW2016" s="288" t="s">
        <v>66</v>
      </c>
      <c r="AX2016" s="314"/>
      <c r="AY2016" s="314"/>
      <c r="AZ2016" s="314"/>
      <c r="BA2016" s="314"/>
    </row>
    <row r="2017" spans="1:53" s="301" customFormat="1" x14ac:dyDescent="0.25">
      <c r="A2017" s="312">
        <v>69</v>
      </c>
      <c r="B2017" s="311">
        <v>44932.694444444445</v>
      </c>
      <c r="C2017" s="308">
        <v>0.69791666666666663</v>
      </c>
      <c r="D2017" s="308">
        <v>0.70138888888888884</v>
      </c>
      <c r="E2017" s="308">
        <v>0.72569444444444453</v>
      </c>
      <c r="F2017" s="309" t="s">
        <v>171</v>
      </c>
      <c r="G2017" s="309" t="s">
        <v>200</v>
      </c>
      <c r="H2017" s="307" t="s">
        <v>342</v>
      </c>
      <c r="I2017" s="307" t="s">
        <v>342</v>
      </c>
      <c r="J2017" s="309" t="s">
        <v>37</v>
      </c>
      <c r="K2017" s="309" t="s">
        <v>180</v>
      </c>
      <c r="L2017" s="309">
        <v>0</v>
      </c>
      <c r="M2017" s="309" t="s">
        <v>4978</v>
      </c>
      <c r="N2017" s="309" t="s">
        <v>175</v>
      </c>
      <c r="O2017" s="309" t="s">
        <v>4979</v>
      </c>
      <c r="P2017" s="309">
        <v>29501457</v>
      </c>
      <c r="Q2017" s="303">
        <f t="shared" ref="Q2017" si="285">S2017+U2017</f>
        <v>1</v>
      </c>
      <c r="R2017" s="303">
        <f t="shared" ref="R2017" si="286">T2017+V2017</f>
        <v>394</v>
      </c>
      <c r="S2017" s="309">
        <v>0</v>
      </c>
      <c r="T2017" s="309">
        <v>0</v>
      </c>
      <c r="U2017" s="309">
        <v>1</v>
      </c>
      <c r="V2017" s="309">
        <v>394</v>
      </c>
      <c r="W2017" s="309">
        <v>383</v>
      </c>
      <c r="X2017" s="309">
        <v>82</v>
      </c>
      <c r="Y2017" s="309">
        <v>77</v>
      </c>
      <c r="Z2017" s="309">
        <v>91</v>
      </c>
      <c r="AA2017" s="309">
        <v>1</v>
      </c>
      <c r="AB2017" s="307">
        <f t="shared" si="282"/>
        <v>95.762333333333331</v>
      </c>
      <c r="AC2017" s="307">
        <f t="shared" si="283"/>
        <v>0.57688152610441767</v>
      </c>
      <c r="AD2017" s="309">
        <v>5893.44</v>
      </c>
      <c r="AE2017" s="309" t="s">
        <v>109</v>
      </c>
      <c r="AF2017" s="309" t="s">
        <v>3432</v>
      </c>
      <c r="AG2017" s="309" t="s">
        <v>3432</v>
      </c>
      <c r="AH2017" s="309" t="s">
        <v>4980</v>
      </c>
      <c r="AI2017" s="309"/>
      <c r="AJ2017" s="309"/>
      <c r="AK2017" s="309" t="s">
        <v>41</v>
      </c>
      <c r="AL2017" s="309" t="s">
        <v>39</v>
      </c>
      <c r="AM2017" s="299">
        <f t="shared" ca="1" si="226"/>
        <v>3.7777777777737356</v>
      </c>
      <c r="AN2017" s="313"/>
      <c r="AO2017" s="288" t="s">
        <v>181</v>
      </c>
      <c r="AP2017" s="275" t="s">
        <v>4978</v>
      </c>
      <c r="AQ2017" s="288" t="s">
        <v>5178</v>
      </c>
      <c r="AR2017" s="277">
        <v>44936.472222222219</v>
      </c>
      <c r="AS2017" s="272" t="s">
        <v>173</v>
      </c>
      <c r="AT2017" s="288" t="s">
        <v>225</v>
      </c>
      <c r="AU2017" s="276">
        <v>0.47222222222222227</v>
      </c>
      <c r="AV2017" s="288">
        <v>1</v>
      </c>
      <c r="AW2017" s="288" t="s">
        <v>66</v>
      </c>
      <c r="AX2017" s="314"/>
      <c r="AY2017" s="314"/>
      <c r="AZ2017" s="314"/>
      <c r="BA2017" s="314"/>
    </row>
    <row r="2018" spans="1:53" s="301" customFormat="1" x14ac:dyDescent="0.25">
      <c r="A2018" s="312">
        <v>70</v>
      </c>
      <c r="B2018" s="311">
        <v>44932.701388888891</v>
      </c>
      <c r="C2018" s="308">
        <v>0.70486111111111116</v>
      </c>
      <c r="D2018" s="308">
        <v>0.71180555555555547</v>
      </c>
      <c r="E2018" s="308">
        <v>0.73958333333333337</v>
      </c>
      <c r="F2018" s="309" t="s">
        <v>170</v>
      </c>
      <c r="G2018" s="309" t="s">
        <v>4981</v>
      </c>
      <c r="H2018" s="307" t="s">
        <v>156</v>
      </c>
      <c r="I2018" s="307" t="s">
        <v>92</v>
      </c>
      <c r="J2018" s="309" t="s">
        <v>37</v>
      </c>
      <c r="K2018" s="307" t="s">
        <v>63</v>
      </c>
      <c r="L2018" s="307" t="s">
        <v>212</v>
      </c>
      <c r="M2018" s="309" t="s">
        <v>4982</v>
      </c>
      <c r="N2018" s="309" t="s">
        <v>42</v>
      </c>
      <c r="O2018" s="309" t="s">
        <v>4983</v>
      </c>
      <c r="P2018" s="309" t="s">
        <v>363</v>
      </c>
      <c r="Q2018" s="303">
        <f t="shared" ref="Q2018" si="287">S2018+U2018</f>
        <v>1</v>
      </c>
      <c r="R2018" s="303">
        <f t="shared" ref="R2018" si="288">T2018+V2018</f>
        <v>128</v>
      </c>
      <c r="S2018" s="309">
        <v>0</v>
      </c>
      <c r="T2018" s="309">
        <v>0</v>
      </c>
      <c r="U2018" s="309">
        <v>1</v>
      </c>
      <c r="V2018" s="309">
        <v>128</v>
      </c>
      <c r="W2018" s="309">
        <v>152</v>
      </c>
      <c r="X2018" s="309">
        <v>52</v>
      </c>
      <c r="Y2018" s="309">
        <v>49</v>
      </c>
      <c r="Z2018" s="309">
        <v>57</v>
      </c>
      <c r="AA2018" s="309">
        <v>1</v>
      </c>
      <c r="AB2018" s="307">
        <f t="shared" si="282"/>
        <v>24.206</v>
      </c>
      <c r="AC2018" s="307">
        <f t="shared" si="283"/>
        <v>0.14581927710843373</v>
      </c>
      <c r="AD2018" s="309">
        <v>1349.64</v>
      </c>
      <c r="AE2018" s="309" t="s">
        <v>109</v>
      </c>
      <c r="AF2018" s="309" t="s">
        <v>317</v>
      </c>
      <c r="AG2018" s="309" t="s">
        <v>317</v>
      </c>
      <c r="AH2018" s="309" t="s">
        <v>4984</v>
      </c>
      <c r="AI2018" s="309"/>
      <c r="AJ2018" s="309"/>
      <c r="AK2018" s="309" t="s">
        <v>37</v>
      </c>
      <c r="AL2018" s="309" t="s">
        <v>54</v>
      </c>
      <c r="AM2018" s="299">
        <f t="shared" ca="1" si="226"/>
        <v>0.97222222221898846</v>
      </c>
      <c r="AN2018" s="313"/>
      <c r="AO2018" s="288" t="s">
        <v>83</v>
      </c>
      <c r="AP2018" s="275" t="s">
        <v>4982</v>
      </c>
      <c r="AQ2018" s="288" t="s">
        <v>5042</v>
      </c>
      <c r="AR2018" s="277">
        <v>44933.673611111109</v>
      </c>
      <c r="AS2018" s="272" t="s">
        <v>438</v>
      </c>
      <c r="AT2018" s="288" t="s">
        <v>65</v>
      </c>
      <c r="AU2018" s="276">
        <v>0.67361111111111116</v>
      </c>
      <c r="AV2018" s="288">
        <v>1</v>
      </c>
      <c r="AW2018" s="288" t="s">
        <v>66</v>
      </c>
      <c r="AX2018" s="314"/>
      <c r="AY2018" s="314"/>
      <c r="AZ2018" s="314"/>
      <c r="BA2018" s="314"/>
    </row>
    <row r="2019" spans="1:53" s="301" customFormat="1" x14ac:dyDescent="0.25">
      <c r="A2019" s="312">
        <v>71</v>
      </c>
      <c r="B2019" s="311">
        <v>44932.701388888891</v>
      </c>
      <c r="C2019" s="308">
        <v>0.70486111111111116</v>
      </c>
      <c r="D2019" s="308">
        <v>0.71180555555555547</v>
      </c>
      <c r="E2019" s="308">
        <v>0.73958333333333337</v>
      </c>
      <c r="F2019" s="309" t="s">
        <v>170</v>
      </c>
      <c r="G2019" s="309" t="s">
        <v>4981</v>
      </c>
      <c r="H2019" s="307" t="s">
        <v>156</v>
      </c>
      <c r="I2019" s="307" t="s">
        <v>162</v>
      </c>
      <c r="J2019" s="309" t="s">
        <v>37</v>
      </c>
      <c r="K2019" s="307" t="s">
        <v>63</v>
      </c>
      <c r="L2019" s="307" t="s">
        <v>212</v>
      </c>
      <c r="M2019" s="309" t="s">
        <v>4985</v>
      </c>
      <c r="N2019" s="309" t="s">
        <v>158</v>
      </c>
      <c r="O2019" s="309" t="s">
        <v>4986</v>
      </c>
      <c r="P2019" s="309" t="s">
        <v>316</v>
      </c>
      <c r="Q2019" s="303">
        <f t="shared" ref="Q2019" si="289">S2019+U2019</f>
        <v>3</v>
      </c>
      <c r="R2019" s="303">
        <f t="shared" ref="R2019" si="290">T2019+V2019</f>
        <v>121</v>
      </c>
      <c r="S2019" s="309">
        <v>0</v>
      </c>
      <c r="T2019" s="309">
        <v>0</v>
      </c>
      <c r="U2019" s="309">
        <v>3</v>
      </c>
      <c r="V2019" s="309">
        <v>121</v>
      </c>
      <c r="W2019" s="309">
        <v>119</v>
      </c>
      <c r="X2019" s="309">
        <v>82</v>
      </c>
      <c r="Y2019" s="309">
        <v>78</v>
      </c>
      <c r="Z2019" s="309">
        <v>16</v>
      </c>
      <c r="AA2019" s="309">
        <v>1</v>
      </c>
      <c r="AB2019" s="307">
        <f t="shared" si="282"/>
        <v>17.056000000000001</v>
      </c>
      <c r="AC2019" s="307">
        <f t="shared" si="283"/>
        <v>0.10274698795180723</v>
      </c>
      <c r="AD2019" s="309">
        <v>3872.04</v>
      </c>
      <c r="AE2019" s="309" t="s">
        <v>109</v>
      </c>
      <c r="AF2019" s="309" t="s">
        <v>317</v>
      </c>
      <c r="AG2019" s="309" t="s">
        <v>317</v>
      </c>
      <c r="AH2019" s="309" t="s">
        <v>4987</v>
      </c>
      <c r="AI2019" s="309"/>
      <c r="AJ2019" s="309"/>
      <c r="AK2019" s="309" t="s">
        <v>37</v>
      </c>
      <c r="AL2019" s="309" t="s">
        <v>54</v>
      </c>
      <c r="AM2019" s="299">
        <f t="shared" ca="1" si="226"/>
        <v>0.8125</v>
      </c>
      <c r="AN2019" s="313"/>
      <c r="AO2019" s="288" t="s">
        <v>159</v>
      </c>
      <c r="AP2019" s="275" t="s">
        <v>4985</v>
      </c>
      <c r="AQ2019" s="288" t="s">
        <v>5030</v>
      </c>
      <c r="AR2019" s="277">
        <v>44933.513888888891</v>
      </c>
      <c r="AS2019" s="272" t="s">
        <v>173</v>
      </c>
      <c r="AT2019" s="288" t="s">
        <v>225</v>
      </c>
      <c r="AU2019" s="276">
        <v>0.51388888888888895</v>
      </c>
      <c r="AV2019" s="288">
        <v>1</v>
      </c>
      <c r="AW2019" s="288" t="s">
        <v>66</v>
      </c>
      <c r="AX2019" s="314"/>
      <c r="AY2019" s="314"/>
      <c r="AZ2019" s="314"/>
      <c r="BA2019" s="314"/>
    </row>
    <row r="2020" spans="1:53" s="301" customFormat="1" x14ac:dyDescent="0.25">
      <c r="A2020" s="312">
        <v>71</v>
      </c>
      <c r="B2020" s="311">
        <v>44932.701388888891</v>
      </c>
      <c r="C2020" s="308">
        <v>0.70486111111111116</v>
      </c>
      <c r="D2020" s="308">
        <v>0.71180555555555547</v>
      </c>
      <c r="E2020" s="308">
        <v>0.73958333333333337</v>
      </c>
      <c r="F2020" s="309" t="s">
        <v>170</v>
      </c>
      <c r="G2020" s="309" t="s">
        <v>4981</v>
      </c>
      <c r="H2020" s="307" t="s">
        <v>156</v>
      </c>
      <c r="I2020" s="307" t="s">
        <v>162</v>
      </c>
      <c r="J2020" s="309" t="s">
        <v>37</v>
      </c>
      <c r="K2020" s="307" t="s">
        <v>63</v>
      </c>
      <c r="L2020" s="307" t="s">
        <v>212</v>
      </c>
      <c r="M2020" s="309" t="s">
        <v>4985</v>
      </c>
      <c r="N2020" s="309" t="s">
        <v>158</v>
      </c>
      <c r="O2020" s="309" t="s">
        <v>4986</v>
      </c>
      <c r="P2020" s="309" t="s">
        <v>316</v>
      </c>
      <c r="Q2020" s="303">
        <f t="shared" ref="Q2020:Q2021" si="291">S2020+U2020</f>
        <v>0</v>
      </c>
      <c r="R2020" s="303">
        <f t="shared" ref="R2020:R2021" si="292">T2020+V2020</f>
        <v>0</v>
      </c>
      <c r="S2020" s="309">
        <v>0</v>
      </c>
      <c r="T2020" s="309">
        <v>0</v>
      </c>
      <c r="U2020" s="309">
        <v>0</v>
      </c>
      <c r="V2020" s="309">
        <v>0</v>
      </c>
      <c r="W2020" s="309">
        <v>0</v>
      </c>
      <c r="X2020" s="309">
        <v>57</v>
      </c>
      <c r="Y2020" s="309">
        <v>52</v>
      </c>
      <c r="Z2020" s="309">
        <v>16</v>
      </c>
      <c r="AA2020" s="309">
        <v>1</v>
      </c>
      <c r="AB2020" s="307">
        <f t="shared" si="282"/>
        <v>7.9039999999999999</v>
      </c>
      <c r="AC2020" s="307">
        <f t="shared" si="283"/>
        <v>4.7614457831325299E-2</v>
      </c>
      <c r="AD2020" s="309">
        <v>0</v>
      </c>
      <c r="AE2020" s="309">
        <v>0</v>
      </c>
      <c r="AF2020" s="309" t="s">
        <v>317</v>
      </c>
      <c r="AG2020" s="309" t="s">
        <v>317</v>
      </c>
      <c r="AH2020" s="309" t="s">
        <v>4987</v>
      </c>
      <c r="AI2020" s="309"/>
      <c r="AJ2020" s="309"/>
      <c r="AK2020" s="309" t="s">
        <v>37</v>
      </c>
      <c r="AL2020" s="309" t="s">
        <v>54</v>
      </c>
      <c r="AM2020" s="299">
        <f t="shared" ca="1" si="226"/>
        <v>0.8125</v>
      </c>
      <c r="AN2020" s="313"/>
      <c r="AO2020" s="288" t="s">
        <v>159</v>
      </c>
      <c r="AP2020" s="275" t="s">
        <v>4985</v>
      </c>
      <c r="AQ2020" s="288" t="s">
        <v>5030</v>
      </c>
      <c r="AR2020" s="277">
        <v>44933.513888888891</v>
      </c>
      <c r="AS2020" s="272" t="s">
        <v>173</v>
      </c>
      <c r="AT2020" s="288" t="s">
        <v>225</v>
      </c>
      <c r="AU2020" s="276">
        <v>0.51388888888888895</v>
      </c>
      <c r="AV2020" s="288">
        <v>1</v>
      </c>
      <c r="AW2020" s="288" t="s">
        <v>66</v>
      </c>
      <c r="AX2020" s="314"/>
      <c r="AY2020" s="314"/>
      <c r="AZ2020" s="314"/>
      <c r="BA2020" s="314"/>
    </row>
    <row r="2021" spans="1:53" s="301" customFormat="1" x14ac:dyDescent="0.25">
      <c r="A2021" s="312">
        <v>71</v>
      </c>
      <c r="B2021" s="311">
        <v>44932.701388888891</v>
      </c>
      <c r="C2021" s="308">
        <v>0.70486111111111116</v>
      </c>
      <c r="D2021" s="308">
        <v>0.71180555555555547</v>
      </c>
      <c r="E2021" s="308">
        <v>0.73958333333333337</v>
      </c>
      <c r="F2021" s="309" t="s">
        <v>170</v>
      </c>
      <c r="G2021" s="309" t="s">
        <v>4981</v>
      </c>
      <c r="H2021" s="307" t="s">
        <v>156</v>
      </c>
      <c r="I2021" s="307" t="s">
        <v>162</v>
      </c>
      <c r="J2021" s="309" t="s">
        <v>37</v>
      </c>
      <c r="K2021" s="307" t="s">
        <v>63</v>
      </c>
      <c r="L2021" s="307" t="s">
        <v>212</v>
      </c>
      <c r="M2021" s="309" t="s">
        <v>4985</v>
      </c>
      <c r="N2021" s="309" t="s">
        <v>158</v>
      </c>
      <c r="O2021" s="309" t="s">
        <v>4986</v>
      </c>
      <c r="P2021" s="309" t="s">
        <v>316</v>
      </c>
      <c r="Q2021" s="303">
        <f t="shared" si="291"/>
        <v>0</v>
      </c>
      <c r="R2021" s="303">
        <f t="shared" si="292"/>
        <v>0</v>
      </c>
      <c r="S2021" s="309">
        <v>0</v>
      </c>
      <c r="T2021" s="309">
        <v>0</v>
      </c>
      <c r="U2021" s="309">
        <v>0</v>
      </c>
      <c r="V2021" s="309">
        <v>0</v>
      </c>
      <c r="W2021" s="309">
        <v>0</v>
      </c>
      <c r="X2021" s="309">
        <v>54</v>
      </c>
      <c r="Y2021" s="309">
        <v>29</v>
      </c>
      <c r="Z2021" s="309">
        <v>36</v>
      </c>
      <c r="AA2021" s="309">
        <v>1</v>
      </c>
      <c r="AB2021" s="307">
        <f t="shared" si="282"/>
        <v>9.3960000000000008</v>
      </c>
      <c r="AC2021" s="307">
        <f t="shared" si="283"/>
        <v>5.6602409638554223E-2</v>
      </c>
      <c r="AD2021" s="309">
        <v>0</v>
      </c>
      <c r="AE2021" s="309">
        <v>0</v>
      </c>
      <c r="AF2021" s="309" t="s">
        <v>317</v>
      </c>
      <c r="AG2021" s="309" t="s">
        <v>317</v>
      </c>
      <c r="AH2021" s="309" t="s">
        <v>4987</v>
      </c>
      <c r="AI2021" s="309"/>
      <c r="AJ2021" s="309"/>
      <c r="AK2021" s="309" t="s">
        <v>37</v>
      </c>
      <c r="AL2021" s="309" t="s">
        <v>54</v>
      </c>
      <c r="AM2021" s="299">
        <f t="shared" ca="1" si="226"/>
        <v>0.8125</v>
      </c>
      <c r="AN2021" s="313"/>
      <c r="AO2021" s="288" t="s">
        <v>159</v>
      </c>
      <c r="AP2021" s="275" t="s">
        <v>4985</v>
      </c>
      <c r="AQ2021" s="288" t="s">
        <v>5030</v>
      </c>
      <c r="AR2021" s="277">
        <v>44933.513888888891</v>
      </c>
      <c r="AS2021" s="272" t="s">
        <v>173</v>
      </c>
      <c r="AT2021" s="288" t="s">
        <v>225</v>
      </c>
      <c r="AU2021" s="276">
        <v>0.51388888888888895</v>
      </c>
      <c r="AV2021" s="288">
        <v>1</v>
      </c>
      <c r="AW2021" s="288" t="s">
        <v>66</v>
      </c>
      <c r="AX2021" s="314"/>
      <c r="AY2021" s="314"/>
      <c r="AZ2021" s="314"/>
      <c r="BA2021" s="314"/>
    </row>
    <row r="2022" spans="1:53" s="301" customFormat="1" x14ac:dyDescent="0.25">
      <c r="A2022" s="312">
        <v>72</v>
      </c>
      <c r="B2022" s="311">
        <v>44932.701388888891</v>
      </c>
      <c r="C2022" s="308">
        <v>0.70486111111111116</v>
      </c>
      <c r="D2022" s="308">
        <v>0.71180555555555547</v>
      </c>
      <c r="E2022" s="308">
        <v>0.73958333333333337</v>
      </c>
      <c r="F2022" s="309" t="s">
        <v>170</v>
      </c>
      <c r="G2022" s="309" t="s">
        <v>4981</v>
      </c>
      <c r="H2022" s="307" t="s">
        <v>156</v>
      </c>
      <c r="I2022" s="307" t="s">
        <v>162</v>
      </c>
      <c r="J2022" s="309" t="s">
        <v>37</v>
      </c>
      <c r="K2022" s="307" t="s">
        <v>63</v>
      </c>
      <c r="L2022" s="307" t="s">
        <v>212</v>
      </c>
      <c r="M2022" s="309" t="s">
        <v>4988</v>
      </c>
      <c r="N2022" s="309" t="s">
        <v>158</v>
      </c>
      <c r="O2022" s="309" t="s">
        <v>4989</v>
      </c>
      <c r="P2022" s="309" t="s">
        <v>367</v>
      </c>
      <c r="Q2022" s="303">
        <f t="shared" ref="Q2022" si="293">S2022+U2022</f>
        <v>4</v>
      </c>
      <c r="R2022" s="303">
        <f t="shared" ref="R2022" si="294">T2022+V2022</f>
        <v>131</v>
      </c>
      <c r="S2022" s="309">
        <v>0</v>
      </c>
      <c r="T2022" s="309">
        <v>0</v>
      </c>
      <c r="U2022" s="309">
        <v>4</v>
      </c>
      <c r="V2022" s="309">
        <f>157-26</f>
        <v>131</v>
      </c>
      <c r="W2022" s="309">
        <v>143.5</v>
      </c>
      <c r="X2022" s="309">
        <v>66</v>
      </c>
      <c r="Y2022" s="309">
        <v>35</v>
      </c>
      <c r="Z2022" s="309">
        <v>40</v>
      </c>
      <c r="AA2022" s="309">
        <v>1</v>
      </c>
      <c r="AB2022" s="307">
        <f t="shared" si="282"/>
        <v>15.4</v>
      </c>
      <c r="AC2022" s="307">
        <f t="shared" si="283"/>
        <v>9.2771084337349402E-2</v>
      </c>
      <c r="AD2022" s="309">
        <v>3012.12</v>
      </c>
      <c r="AE2022" s="309" t="s">
        <v>109</v>
      </c>
      <c r="AF2022" s="309" t="s">
        <v>317</v>
      </c>
      <c r="AG2022" s="309" t="s">
        <v>317</v>
      </c>
      <c r="AH2022" s="309" t="s">
        <v>4990</v>
      </c>
      <c r="AI2022" s="309"/>
      <c r="AJ2022" s="309"/>
      <c r="AK2022" s="309" t="s">
        <v>37</v>
      </c>
      <c r="AL2022" s="309" t="s">
        <v>54</v>
      </c>
      <c r="AM2022" s="299">
        <f t="shared" ref="AM2022:AM2085" ca="1" si="295">IF(AP2022="",NOW()-B2022,AR2022-B2022)</f>
        <v>0.8125</v>
      </c>
      <c r="AN2022" s="313"/>
      <c r="AO2022" s="288" t="s">
        <v>159</v>
      </c>
      <c r="AP2022" s="275" t="s">
        <v>4988</v>
      </c>
      <c r="AQ2022" s="288" t="s">
        <v>5030</v>
      </c>
      <c r="AR2022" s="277">
        <v>44933.513888888891</v>
      </c>
      <c r="AS2022" s="272" t="s">
        <v>173</v>
      </c>
      <c r="AT2022" s="288" t="s">
        <v>225</v>
      </c>
      <c r="AU2022" s="276">
        <v>0.51388888888888895</v>
      </c>
      <c r="AV2022" s="288">
        <v>1</v>
      </c>
      <c r="AW2022" s="288" t="s">
        <v>66</v>
      </c>
      <c r="AX2022" s="314"/>
      <c r="AY2022" s="314"/>
      <c r="AZ2022" s="314"/>
      <c r="BA2022" s="314"/>
    </row>
    <row r="2023" spans="1:53" s="301" customFormat="1" x14ac:dyDescent="0.25">
      <c r="A2023" s="312">
        <v>72</v>
      </c>
      <c r="B2023" s="311">
        <v>44932.701388888891</v>
      </c>
      <c r="C2023" s="308">
        <v>0.70486111111111116</v>
      </c>
      <c r="D2023" s="308">
        <v>0.71180555555555547</v>
      </c>
      <c r="E2023" s="308">
        <v>0.73958333333333337</v>
      </c>
      <c r="F2023" s="309" t="s">
        <v>170</v>
      </c>
      <c r="G2023" s="309" t="s">
        <v>4981</v>
      </c>
      <c r="H2023" s="307" t="s">
        <v>156</v>
      </c>
      <c r="I2023" s="307" t="s">
        <v>162</v>
      </c>
      <c r="J2023" s="309" t="s">
        <v>37</v>
      </c>
      <c r="K2023" s="307" t="s">
        <v>63</v>
      </c>
      <c r="L2023" s="307" t="s">
        <v>212</v>
      </c>
      <c r="M2023" s="309" t="s">
        <v>4988</v>
      </c>
      <c r="N2023" s="309" t="s">
        <v>158</v>
      </c>
      <c r="O2023" s="309" t="s">
        <v>4989</v>
      </c>
      <c r="P2023" s="309" t="s">
        <v>367</v>
      </c>
      <c r="Q2023" s="303">
        <f t="shared" ref="Q2023:Q2024" si="296">S2023+U2023</f>
        <v>0</v>
      </c>
      <c r="R2023" s="303">
        <f t="shared" ref="R2023:R2024" si="297">T2023+V2023</f>
        <v>0</v>
      </c>
      <c r="S2023" s="309">
        <v>0</v>
      </c>
      <c r="T2023" s="309">
        <v>0</v>
      </c>
      <c r="U2023" s="309">
        <v>0</v>
      </c>
      <c r="V2023" s="309">
        <v>0</v>
      </c>
      <c r="W2023" s="309">
        <v>0</v>
      </c>
      <c r="X2023" s="309">
        <v>57</v>
      </c>
      <c r="Y2023" s="309">
        <v>51</v>
      </c>
      <c r="Z2023" s="309">
        <v>17</v>
      </c>
      <c r="AA2023" s="309">
        <v>2</v>
      </c>
      <c r="AB2023" s="307">
        <f t="shared" si="282"/>
        <v>16.472999999999999</v>
      </c>
      <c r="AC2023" s="307">
        <f t="shared" si="283"/>
        <v>9.9234939759036134E-2</v>
      </c>
      <c r="AD2023" s="309">
        <v>0</v>
      </c>
      <c r="AE2023" s="309">
        <v>0</v>
      </c>
      <c r="AF2023" s="309" t="s">
        <v>317</v>
      </c>
      <c r="AG2023" s="309" t="s">
        <v>317</v>
      </c>
      <c r="AH2023" s="309" t="s">
        <v>4990</v>
      </c>
      <c r="AI2023" s="309"/>
      <c r="AJ2023" s="309"/>
      <c r="AK2023" s="309" t="s">
        <v>37</v>
      </c>
      <c r="AL2023" s="309" t="s">
        <v>54</v>
      </c>
      <c r="AM2023" s="299">
        <f t="shared" ca="1" si="295"/>
        <v>0.8125</v>
      </c>
      <c r="AN2023" s="313"/>
      <c r="AO2023" s="288" t="s">
        <v>159</v>
      </c>
      <c r="AP2023" s="275" t="s">
        <v>4988</v>
      </c>
      <c r="AQ2023" s="288" t="s">
        <v>5030</v>
      </c>
      <c r="AR2023" s="277">
        <v>44933.513888888891</v>
      </c>
      <c r="AS2023" s="272" t="s">
        <v>173</v>
      </c>
      <c r="AT2023" s="288" t="s">
        <v>225</v>
      </c>
      <c r="AU2023" s="276">
        <v>0.51388888888888895</v>
      </c>
      <c r="AV2023" s="288">
        <v>1</v>
      </c>
      <c r="AW2023" s="288" t="s">
        <v>66</v>
      </c>
      <c r="AX2023" s="314"/>
      <c r="AY2023" s="314"/>
      <c r="AZ2023" s="314"/>
      <c r="BA2023" s="314"/>
    </row>
    <row r="2024" spans="1:53" s="301" customFormat="1" x14ac:dyDescent="0.25">
      <c r="A2024" s="312">
        <v>72</v>
      </c>
      <c r="B2024" s="311">
        <v>44932.701388888891</v>
      </c>
      <c r="C2024" s="308">
        <v>0.70486111111111116</v>
      </c>
      <c r="D2024" s="308">
        <v>0.71180555555555547</v>
      </c>
      <c r="E2024" s="308">
        <v>0.73958333333333337</v>
      </c>
      <c r="F2024" s="309" t="s">
        <v>170</v>
      </c>
      <c r="G2024" s="309" t="s">
        <v>4981</v>
      </c>
      <c r="H2024" s="307" t="s">
        <v>156</v>
      </c>
      <c r="I2024" s="307" t="s">
        <v>162</v>
      </c>
      <c r="J2024" s="309" t="s">
        <v>37</v>
      </c>
      <c r="K2024" s="307" t="s">
        <v>63</v>
      </c>
      <c r="L2024" s="307" t="s">
        <v>212</v>
      </c>
      <c r="M2024" s="309" t="s">
        <v>4988</v>
      </c>
      <c r="N2024" s="309" t="s">
        <v>158</v>
      </c>
      <c r="O2024" s="309" t="s">
        <v>4989</v>
      </c>
      <c r="P2024" s="309" t="s">
        <v>367</v>
      </c>
      <c r="Q2024" s="303">
        <f t="shared" si="296"/>
        <v>0</v>
      </c>
      <c r="R2024" s="303">
        <f t="shared" si="297"/>
        <v>0</v>
      </c>
      <c r="S2024" s="309">
        <v>0</v>
      </c>
      <c r="T2024" s="309">
        <v>0</v>
      </c>
      <c r="U2024" s="309">
        <v>0</v>
      </c>
      <c r="V2024" s="309">
        <v>0</v>
      </c>
      <c r="W2024" s="309">
        <v>0</v>
      </c>
      <c r="X2024" s="309">
        <v>24</v>
      </c>
      <c r="Y2024" s="309">
        <v>20</v>
      </c>
      <c r="Z2024" s="309">
        <v>25</v>
      </c>
      <c r="AA2024" s="309">
        <v>1</v>
      </c>
      <c r="AB2024" s="307">
        <f t="shared" si="282"/>
        <v>2</v>
      </c>
      <c r="AC2024" s="307">
        <f t="shared" si="283"/>
        <v>1.2048192771084338E-2</v>
      </c>
      <c r="AD2024" s="309">
        <v>0</v>
      </c>
      <c r="AE2024" s="309">
        <v>0</v>
      </c>
      <c r="AF2024" s="309" t="s">
        <v>317</v>
      </c>
      <c r="AG2024" s="309" t="s">
        <v>317</v>
      </c>
      <c r="AH2024" s="309" t="s">
        <v>4990</v>
      </c>
      <c r="AI2024" s="309"/>
      <c r="AJ2024" s="309"/>
      <c r="AK2024" s="309" t="s">
        <v>37</v>
      </c>
      <c r="AL2024" s="309" t="s">
        <v>54</v>
      </c>
      <c r="AM2024" s="299">
        <f t="shared" ca="1" si="295"/>
        <v>0.8125</v>
      </c>
      <c r="AN2024" s="313"/>
      <c r="AO2024" s="288" t="s">
        <v>159</v>
      </c>
      <c r="AP2024" s="275" t="s">
        <v>4988</v>
      </c>
      <c r="AQ2024" s="288" t="s">
        <v>5030</v>
      </c>
      <c r="AR2024" s="277">
        <v>44933.513888888891</v>
      </c>
      <c r="AS2024" s="272" t="s">
        <v>173</v>
      </c>
      <c r="AT2024" s="288" t="s">
        <v>225</v>
      </c>
      <c r="AU2024" s="276">
        <v>0.51388888888888895</v>
      </c>
      <c r="AV2024" s="288">
        <v>1</v>
      </c>
      <c r="AW2024" s="288" t="s">
        <v>66</v>
      </c>
      <c r="AX2024" s="314"/>
      <c r="AY2024" s="314"/>
      <c r="AZ2024" s="314"/>
      <c r="BA2024" s="314"/>
    </row>
    <row r="2025" spans="1:53" s="301" customFormat="1" x14ac:dyDescent="0.25">
      <c r="A2025" s="312">
        <v>73</v>
      </c>
      <c r="B2025" s="311">
        <v>44932.701388888891</v>
      </c>
      <c r="C2025" s="308">
        <v>0.70486111111111116</v>
      </c>
      <c r="D2025" s="308">
        <v>0.71180555555555547</v>
      </c>
      <c r="E2025" s="308">
        <v>0.73958333333333337</v>
      </c>
      <c r="F2025" s="309" t="s">
        <v>170</v>
      </c>
      <c r="G2025" s="309" t="s">
        <v>4981</v>
      </c>
      <c r="H2025" s="307" t="s">
        <v>57</v>
      </c>
      <c r="I2025" s="307" t="s">
        <v>110</v>
      </c>
      <c r="J2025" s="309" t="s">
        <v>37</v>
      </c>
      <c r="K2025" s="307" t="s">
        <v>63</v>
      </c>
      <c r="L2025" s="307" t="s">
        <v>209</v>
      </c>
      <c r="M2025" s="309" t="s">
        <v>4991</v>
      </c>
      <c r="N2025" s="309" t="s">
        <v>4992</v>
      </c>
      <c r="O2025" s="309" t="s">
        <v>4993</v>
      </c>
      <c r="P2025" s="309">
        <v>81994203</v>
      </c>
      <c r="Q2025" s="303">
        <f t="shared" ref="Q2025" si="298">S2025+U2025</f>
        <v>1</v>
      </c>
      <c r="R2025" s="303">
        <f t="shared" ref="R2025" si="299">T2025+V2025</f>
        <v>39</v>
      </c>
      <c r="S2025" s="309">
        <v>0</v>
      </c>
      <c r="T2025" s="309">
        <v>0</v>
      </c>
      <c r="U2025" s="309">
        <v>1</v>
      </c>
      <c r="V2025" s="309">
        <v>39</v>
      </c>
      <c r="W2025" s="309">
        <v>40</v>
      </c>
      <c r="X2025" s="309">
        <v>61</v>
      </c>
      <c r="Y2025" s="309">
        <v>45</v>
      </c>
      <c r="Z2025" s="309">
        <v>57</v>
      </c>
      <c r="AA2025" s="309">
        <v>1</v>
      </c>
      <c r="AB2025" s="307">
        <f t="shared" si="282"/>
        <v>26.077500000000001</v>
      </c>
      <c r="AC2025" s="307">
        <f t="shared" si="283"/>
        <v>0.1570933734939759</v>
      </c>
      <c r="AD2025" s="309">
        <v>16740</v>
      </c>
      <c r="AE2025" s="309" t="s">
        <v>109</v>
      </c>
      <c r="AF2025" s="309" t="s">
        <v>317</v>
      </c>
      <c r="AG2025" s="309" t="s">
        <v>317</v>
      </c>
      <c r="AH2025" s="309" t="s">
        <v>4994</v>
      </c>
      <c r="AI2025" s="309"/>
      <c r="AJ2025" s="309"/>
      <c r="AK2025" s="309" t="s">
        <v>37</v>
      </c>
      <c r="AL2025" s="309" t="s">
        <v>54</v>
      </c>
      <c r="AM2025" s="299">
        <f t="shared" ca="1" si="295"/>
        <v>0.85069444444525288</v>
      </c>
      <c r="AN2025" s="313"/>
      <c r="AO2025" s="288" t="s">
        <v>98</v>
      </c>
      <c r="AP2025" s="275" t="s">
        <v>4991</v>
      </c>
      <c r="AQ2025" s="288" t="s">
        <v>5034</v>
      </c>
      <c r="AR2025" s="277">
        <v>44933.552083333336</v>
      </c>
      <c r="AS2025" s="272" t="s">
        <v>297</v>
      </c>
      <c r="AT2025" s="288" t="s">
        <v>65</v>
      </c>
      <c r="AU2025" s="276">
        <v>0.55208333333333337</v>
      </c>
      <c r="AV2025" s="288">
        <v>1</v>
      </c>
      <c r="AW2025" s="288" t="s">
        <v>66</v>
      </c>
      <c r="AX2025" s="314"/>
      <c r="AY2025" s="314"/>
      <c r="AZ2025" s="314"/>
      <c r="BA2025" s="314"/>
    </row>
    <row r="2026" spans="1:53" s="301" customFormat="1" x14ac:dyDescent="0.25">
      <c r="A2026" s="312">
        <v>74</v>
      </c>
      <c r="B2026" s="311">
        <v>44932.701388888891</v>
      </c>
      <c r="C2026" s="308">
        <v>0.70486111111111116</v>
      </c>
      <c r="D2026" s="308">
        <v>0.71180555555555547</v>
      </c>
      <c r="E2026" s="308">
        <v>0.73958333333333337</v>
      </c>
      <c r="F2026" s="309" t="s">
        <v>170</v>
      </c>
      <c r="G2026" s="309" t="s">
        <v>4981</v>
      </c>
      <c r="H2026" s="307" t="s">
        <v>187</v>
      </c>
      <c r="I2026" s="307" t="s">
        <v>110</v>
      </c>
      <c r="J2026" s="309" t="s">
        <v>37</v>
      </c>
      <c r="K2026" s="309" t="s">
        <v>63</v>
      </c>
      <c r="L2026" s="309" t="s">
        <v>212</v>
      </c>
      <c r="M2026" s="309" t="s">
        <v>4995</v>
      </c>
      <c r="N2026" s="309" t="s">
        <v>186</v>
      </c>
      <c r="O2026" s="309">
        <v>21222231752</v>
      </c>
      <c r="P2026" s="309">
        <v>5052020472</v>
      </c>
      <c r="Q2026" s="303">
        <f t="shared" ref="Q2026" si="300">S2026+U2026</f>
        <v>1</v>
      </c>
      <c r="R2026" s="303">
        <f t="shared" ref="R2026" si="301">T2026+V2026</f>
        <v>53</v>
      </c>
      <c r="S2026" s="309">
        <v>0</v>
      </c>
      <c r="T2026" s="309">
        <v>0</v>
      </c>
      <c r="U2026" s="309">
        <v>1</v>
      </c>
      <c r="V2026" s="309">
        <v>53</v>
      </c>
      <c r="W2026" s="309">
        <v>52.496000000000002</v>
      </c>
      <c r="X2026" s="309">
        <v>80</v>
      </c>
      <c r="Y2026" s="309">
        <v>60</v>
      </c>
      <c r="Z2026" s="309">
        <v>45</v>
      </c>
      <c r="AA2026" s="309">
        <v>1</v>
      </c>
      <c r="AB2026" s="307">
        <f t="shared" si="282"/>
        <v>36</v>
      </c>
      <c r="AC2026" s="307">
        <f t="shared" si="283"/>
        <v>0.21686746987951808</v>
      </c>
      <c r="AD2026" s="309">
        <v>1087.22</v>
      </c>
      <c r="AE2026" s="309" t="s">
        <v>109</v>
      </c>
      <c r="AF2026" s="309" t="s">
        <v>317</v>
      </c>
      <c r="AG2026" s="309" t="s">
        <v>317</v>
      </c>
      <c r="AH2026" s="309" t="s">
        <v>4996</v>
      </c>
      <c r="AI2026" s="309"/>
      <c r="AJ2026" s="309"/>
      <c r="AK2026" s="309" t="s">
        <v>41</v>
      </c>
      <c r="AL2026" s="309" t="s">
        <v>54</v>
      </c>
      <c r="AM2026" s="299">
        <f t="shared" ca="1" si="295"/>
        <v>0.95486111110949423</v>
      </c>
      <c r="AN2026" s="313"/>
      <c r="AO2026" s="288" t="s">
        <v>131</v>
      </c>
      <c r="AP2026" s="275" t="s">
        <v>4995</v>
      </c>
      <c r="AQ2026" s="288" t="s">
        <v>5039</v>
      </c>
      <c r="AR2026" s="277">
        <v>44933.65625</v>
      </c>
      <c r="AS2026" s="272" t="s">
        <v>173</v>
      </c>
      <c r="AT2026" s="288" t="s">
        <v>225</v>
      </c>
      <c r="AU2026" s="276">
        <v>0.65625</v>
      </c>
      <c r="AV2026" s="288">
        <v>2</v>
      </c>
      <c r="AW2026" s="288" t="s">
        <v>66</v>
      </c>
      <c r="AX2026" s="314"/>
      <c r="AY2026" s="314"/>
      <c r="AZ2026" s="314"/>
      <c r="BA2026" s="314"/>
    </row>
    <row r="2027" spans="1:53" s="301" customFormat="1" x14ac:dyDescent="0.25">
      <c r="A2027" s="312">
        <v>75</v>
      </c>
      <c r="B2027" s="311">
        <v>44932.701388888891</v>
      </c>
      <c r="C2027" s="308">
        <v>0.70486111111111116</v>
      </c>
      <c r="D2027" s="308">
        <v>0.71180555555555547</v>
      </c>
      <c r="E2027" s="308">
        <v>0.73958333333333337</v>
      </c>
      <c r="F2027" s="309" t="s">
        <v>170</v>
      </c>
      <c r="G2027" s="309" t="s">
        <v>4981</v>
      </c>
      <c r="H2027" s="307" t="s">
        <v>187</v>
      </c>
      <c r="I2027" s="307" t="s">
        <v>110</v>
      </c>
      <c r="J2027" s="309" t="s">
        <v>37</v>
      </c>
      <c r="K2027" s="309" t="s">
        <v>63</v>
      </c>
      <c r="L2027" s="309" t="s">
        <v>212</v>
      </c>
      <c r="M2027" s="309" t="s">
        <v>4995</v>
      </c>
      <c r="N2027" s="309" t="s">
        <v>186</v>
      </c>
      <c r="O2027" s="309">
        <v>21222231759</v>
      </c>
      <c r="P2027" s="309">
        <v>5052018637</v>
      </c>
      <c r="Q2027" s="303">
        <f t="shared" ref="Q2027" si="302">S2027+U2027</f>
        <v>1</v>
      </c>
      <c r="R2027" s="303">
        <f t="shared" ref="R2027" si="303">T2027+V2027</f>
        <v>40</v>
      </c>
      <c r="S2027" s="309">
        <v>0</v>
      </c>
      <c r="T2027" s="309">
        <v>0</v>
      </c>
      <c r="U2027" s="309">
        <v>1</v>
      </c>
      <c r="V2027" s="309">
        <v>40</v>
      </c>
      <c r="W2027" s="309">
        <v>39.200000000000003</v>
      </c>
      <c r="X2027" s="309">
        <v>80</v>
      </c>
      <c r="Y2027" s="309">
        <v>60</v>
      </c>
      <c r="Z2027" s="309">
        <v>45</v>
      </c>
      <c r="AA2027" s="309">
        <v>1</v>
      </c>
      <c r="AB2027" s="307">
        <f t="shared" si="282"/>
        <v>36</v>
      </c>
      <c r="AC2027" s="307">
        <f t="shared" si="283"/>
        <v>0.21686746987951808</v>
      </c>
      <c r="AD2027" s="309">
        <v>729.54</v>
      </c>
      <c r="AE2027" s="309" t="s">
        <v>109</v>
      </c>
      <c r="AF2027" s="309" t="s">
        <v>317</v>
      </c>
      <c r="AG2027" s="309" t="s">
        <v>317</v>
      </c>
      <c r="AH2027" s="309" t="s">
        <v>4997</v>
      </c>
      <c r="AI2027" s="309"/>
      <c r="AJ2027" s="309"/>
      <c r="AK2027" s="309" t="s">
        <v>41</v>
      </c>
      <c r="AL2027" s="309" t="s">
        <v>54</v>
      </c>
      <c r="AM2027" s="299">
        <f t="shared" ca="1" si="295"/>
        <v>0.95486111110949423</v>
      </c>
      <c r="AN2027" s="313"/>
      <c r="AO2027" s="288" t="s">
        <v>131</v>
      </c>
      <c r="AP2027" s="275" t="s">
        <v>4995</v>
      </c>
      <c r="AQ2027" s="288" t="s">
        <v>5039</v>
      </c>
      <c r="AR2027" s="277">
        <v>44933.65625</v>
      </c>
      <c r="AS2027" s="272" t="s">
        <v>173</v>
      </c>
      <c r="AT2027" s="288" t="s">
        <v>225</v>
      </c>
      <c r="AU2027" s="276">
        <v>0.65625</v>
      </c>
      <c r="AV2027" s="288">
        <v>2</v>
      </c>
      <c r="AW2027" s="288" t="s">
        <v>66</v>
      </c>
      <c r="AX2027" s="314"/>
      <c r="AY2027" s="314"/>
      <c r="AZ2027" s="314"/>
      <c r="BA2027" s="314"/>
    </row>
    <row r="2028" spans="1:53" s="301" customFormat="1" x14ac:dyDescent="0.25">
      <c r="A2028" s="312">
        <v>76</v>
      </c>
      <c r="B2028" s="311">
        <v>44932.701388888891</v>
      </c>
      <c r="C2028" s="308">
        <v>0.70486111111111116</v>
      </c>
      <c r="D2028" s="308">
        <v>0.71180555555555547</v>
      </c>
      <c r="E2028" s="308">
        <v>0.73958333333333337</v>
      </c>
      <c r="F2028" s="309" t="s">
        <v>170</v>
      </c>
      <c r="G2028" s="309" t="s">
        <v>4981</v>
      </c>
      <c r="H2028" s="307" t="s">
        <v>187</v>
      </c>
      <c r="I2028" s="307" t="s">
        <v>162</v>
      </c>
      <c r="J2028" s="309" t="s">
        <v>37</v>
      </c>
      <c r="K2028" s="309" t="s">
        <v>63</v>
      </c>
      <c r="L2028" s="309" t="s">
        <v>212</v>
      </c>
      <c r="M2028" s="309" t="s">
        <v>4998</v>
      </c>
      <c r="N2028" s="309" t="s">
        <v>158</v>
      </c>
      <c r="O2028" s="309">
        <v>21222231737</v>
      </c>
      <c r="P2028" s="309">
        <v>5052023020</v>
      </c>
      <c r="Q2028" s="303">
        <f t="shared" ref="Q2028" si="304">S2028+U2028</f>
        <v>1</v>
      </c>
      <c r="R2028" s="303">
        <f t="shared" ref="R2028" si="305">T2028+V2028</f>
        <v>50</v>
      </c>
      <c r="S2028" s="309">
        <v>0</v>
      </c>
      <c r="T2028" s="309">
        <v>0</v>
      </c>
      <c r="U2028" s="309">
        <v>1</v>
      </c>
      <c r="V2028" s="309">
        <v>50</v>
      </c>
      <c r="W2028" s="309">
        <v>49.454000000000001</v>
      </c>
      <c r="X2028" s="309">
        <v>80</v>
      </c>
      <c r="Y2028" s="309">
        <v>60</v>
      </c>
      <c r="Z2028" s="309">
        <v>45</v>
      </c>
      <c r="AA2028" s="309">
        <v>1</v>
      </c>
      <c r="AB2028" s="307">
        <f t="shared" si="282"/>
        <v>36</v>
      </c>
      <c r="AC2028" s="307">
        <f t="shared" si="283"/>
        <v>0.21686746987951808</v>
      </c>
      <c r="AD2028" s="309">
        <v>161.18</v>
      </c>
      <c r="AE2028" s="309" t="s">
        <v>109</v>
      </c>
      <c r="AF2028" s="309" t="s">
        <v>317</v>
      </c>
      <c r="AG2028" s="309" t="s">
        <v>317</v>
      </c>
      <c r="AH2028" s="309" t="s">
        <v>4999</v>
      </c>
      <c r="AI2028" s="309"/>
      <c r="AJ2028" s="309"/>
      <c r="AK2028" s="309" t="s">
        <v>41</v>
      </c>
      <c r="AL2028" s="309" t="s">
        <v>54</v>
      </c>
      <c r="AM2028" s="299">
        <f t="shared" ca="1" si="295"/>
        <v>0.8125</v>
      </c>
      <c r="AN2028" s="313"/>
      <c r="AO2028" s="288" t="s">
        <v>159</v>
      </c>
      <c r="AP2028" s="275" t="s">
        <v>4998</v>
      </c>
      <c r="AQ2028" s="288" t="s">
        <v>5030</v>
      </c>
      <c r="AR2028" s="277">
        <v>44933.513888888891</v>
      </c>
      <c r="AS2028" s="272" t="s">
        <v>173</v>
      </c>
      <c r="AT2028" s="288" t="s">
        <v>225</v>
      </c>
      <c r="AU2028" s="276">
        <v>0.51388888888888895</v>
      </c>
      <c r="AV2028" s="288">
        <v>1</v>
      </c>
      <c r="AW2028" s="288" t="s">
        <v>66</v>
      </c>
      <c r="AX2028" s="314"/>
      <c r="AY2028" s="314"/>
      <c r="AZ2028" s="314"/>
      <c r="BA2028" s="314"/>
    </row>
    <row r="2029" spans="1:53" s="301" customFormat="1" x14ac:dyDescent="0.25">
      <c r="A2029" s="312">
        <v>77</v>
      </c>
      <c r="B2029" s="311">
        <v>44932.701388888891</v>
      </c>
      <c r="C2029" s="308">
        <v>0.70486111111111116</v>
      </c>
      <c r="D2029" s="308">
        <v>0.71180555555555547</v>
      </c>
      <c r="E2029" s="308">
        <v>0.73958333333333337</v>
      </c>
      <c r="F2029" s="309" t="s">
        <v>170</v>
      </c>
      <c r="G2029" s="309" t="s">
        <v>4981</v>
      </c>
      <c r="H2029" s="307" t="s">
        <v>187</v>
      </c>
      <c r="I2029" s="307" t="s">
        <v>162</v>
      </c>
      <c r="J2029" s="309" t="s">
        <v>37</v>
      </c>
      <c r="K2029" s="309" t="s">
        <v>63</v>
      </c>
      <c r="L2029" s="309" t="s">
        <v>212</v>
      </c>
      <c r="M2029" s="309" t="s">
        <v>4998</v>
      </c>
      <c r="N2029" s="309" t="s">
        <v>158</v>
      </c>
      <c r="O2029" s="309">
        <v>21222231783</v>
      </c>
      <c r="P2029" s="309">
        <v>5052019014</v>
      </c>
      <c r="Q2029" s="303">
        <f t="shared" ref="Q2029" si="306">S2029+U2029</f>
        <v>1</v>
      </c>
      <c r="R2029" s="303">
        <f t="shared" ref="R2029" si="307">T2029+V2029</f>
        <v>66</v>
      </c>
      <c r="S2029" s="309">
        <v>0</v>
      </c>
      <c r="T2029" s="309">
        <v>0</v>
      </c>
      <c r="U2029" s="309">
        <v>1</v>
      </c>
      <c r="V2029" s="309">
        <v>66</v>
      </c>
      <c r="W2029" s="309">
        <v>64.2</v>
      </c>
      <c r="X2029" s="309">
        <v>120</v>
      </c>
      <c r="Y2029" s="309">
        <v>80</v>
      </c>
      <c r="Z2029" s="309">
        <v>73</v>
      </c>
      <c r="AA2029" s="309">
        <v>1</v>
      </c>
      <c r="AB2029" s="307">
        <f t="shared" si="282"/>
        <v>116.8</v>
      </c>
      <c r="AC2029" s="307">
        <f t="shared" si="283"/>
        <v>0.70361445783132526</v>
      </c>
      <c r="AD2029" s="309">
        <v>1043.8599999999999</v>
      </c>
      <c r="AE2029" s="309" t="s">
        <v>109</v>
      </c>
      <c r="AF2029" s="309" t="s">
        <v>317</v>
      </c>
      <c r="AG2029" s="309" t="s">
        <v>317</v>
      </c>
      <c r="AH2029" s="309" t="s">
        <v>5000</v>
      </c>
      <c r="AI2029" s="309"/>
      <c r="AJ2029" s="309"/>
      <c r="AK2029" s="309" t="s">
        <v>41</v>
      </c>
      <c r="AL2029" s="309" t="s">
        <v>54</v>
      </c>
      <c r="AM2029" s="299">
        <f t="shared" ca="1" si="295"/>
        <v>0.8125</v>
      </c>
      <c r="AN2029" s="313"/>
      <c r="AO2029" s="288" t="s">
        <v>159</v>
      </c>
      <c r="AP2029" s="275" t="s">
        <v>4998</v>
      </c>
      <c r="AQ2029" s="288" t="s">
        <v>5030</v>
      </c>
      <c r="AR2029" s="277">
        <v>44933.513888888891</v>
      </c>
      <c r="AS2029" s="272" t="s">
        <v>173</v>
      </c>
      <c r="AT2029" s="288" t="s">
        <v>225</v>
      </c>
      <c r="AU2029" s="276">
        <v>0.51388888888888895</v>
      </c>
      <c r="AV2029" s="288">
        <v>1</v>
      </c>
      <c r="AW2029" s="288" t="s">
        <v>66</v>
      </c>
      <c r="AX2029" s="314"/>
      <c r="AY2029" s="314"/>
      <c r="AZ2029" s="314"/>
      <c r="BA2029" s="314"/>
    </row>
    <row r="2030" spans="1:53" s="301" customFormat="1" x14ac:dyDescent="0.25">
      <c r="A2030" s="312">
        <v>78</v>
      </c>
      <c r="B2030" s="311">
        <v>44932.701388888891</v>
      </c>
      <c r="C2030" s="308">
        <v>0.70486111111111116</v>
      </c>
      <c r="D2030" s="308">
        <v>0.71180555555555547</v>
      </c>
      <c r="E2030" s="308">
        <v>0.73958333333333337</v>
      </c>
      <c r="F2030" s="309" t="s">
        <v>170</v>
      </c>
      <c r="G2030" s="309" t="s">
        <v>4981</v>
      </c>
      <c r="H2030" s="307" t="s">
        <v>187</v>
      </c>
      <c r="I2030" s="307" t="s">
        <v>153</v>
      </c>
      <c r="J2030" s="309" t="s">
        <v>37</v>
      </c>
      <c r="K2030" s="309" t="s">
        <v>63</v>
      </c>
      <c r="L2030" s="309" t="s">
        <v>212</v>
      </c>
      <c r="M2030" s="309" t="s">
        <v>5001</v>
      </c>
      <c r="N2030" s="309" t="s">
        <v>42</v>
      </c>
      <c r="O2030" s="309">
        <v>21222231767</v>
      </c>
      <c r="P2030" s="309">
        <v>5052028581</v>
      </c>
      <c r="Q2030" s="303">
        <f t="shared" ref="Q2030" si="308">S2030+U2030</f>
        <v>2</v>
      </c>
      <c r="R2030" s="303">
        <f t="shared" ref="R2030" si="309">T2030+V2030</f>
        <v>451</v>
      </c>
      <c r="S2030" s="309">
        <v>0</v>
      </c>
      <c r="T2030" s="309">
        <v>0</v>
      </c>
      <c r="U2030" s="309">
        <v>2</v>
      </c>
      <c r="V2030" s="309">
        <f>121+330</f>
        <v>451</v>
      </c>
      <c r="W2030" s="309">
        <v>453</v>
      </c>
      <c r="X2030" s="309">
        <v>93</v>
      </c>
      <c r="Y2030" s="309">
        <v>56</v>
      </c>
      <c r="Z2030" s="309">
        <v>64</v>
      </c>
      <c r="AA2030" s="309">
        <v>1</v>
      </c>
      <c r="AB2030" s="307">
        <f t="shared" si="282"/>
        <v>55.552</v>
      </c>
      <c r="AC2030" s="307">
        <f t="shared" si="283"/>
        <v>0.33465060240963856</v>
      </c>
      <c r="AD2030" s="309">
        <v>2231.14</v>
      </c>
      <c r="AE2030" s="309" t="s">
        <v>109</v>
      </c>
      <c r="AF2030" s="309" t="s">
        <v>317</v>
      </c>
      <c r="AG2030" s="309" t="s">
        <v>317</v>
      </c>
      <c r="AH2030" s="309" t="s">
        <v>5002</v>
      </c>
      <c r="AI2030" s="309"/>
      <c r="AJ2030" s="309"/>
      <c r="AK2030" s="309" t="s">
        <v>41</v>
      </c>
      <c r="AL2030" s="309" t="s">
        <v>54</v>
      </c>
      <c r="AM2030" s="299">
        <f t="shared" ca="1" si="295"/>
        <v>0.95486111110949423</v>
      </c>
      <c r="AN2030" s="313"/>
      <c r="AO2030" s="288" t="s">
        <v>120</v>
      </c>
      <c r="AP2030" s="275" t="s">
        <v>5001</v>
      </c>
      <c r="AQ2030" s="288" t="s">
        <v>5040</v>
      </c>
      <c r="AR2030" s="277">
        <v>44933.65625</v>
      </c>
      <c r="AS2030" s="272" t="s">
        <v>173</v>
      </c>
      <c r="AT2030" s="288" t="s">
        <v>225</v>
      </c>
      <c r="AU2030" s="276">
        <v>0.65625</v>
      </c>
      <c r="AV2030" s="288">
        <v>2</v>
      </c>
      <c r="AW2030" s="288" t="s">
        <v>66</v>
      </c>
      <c r="AX2030" s="314"/>
      <c r="AY2030" s="314"/>
      <c r="AZ2030" s="314"/>
      <c r="BA2030" s="314"/>
    </row>
    <row r="2031" spans="1:53" s="301" customFormat="1" x14ac:dyDescent="0.25">
      <c r="A2031" s="312">
        <v>78</v>
      </c>
      <c r="B2031" s="311">
        <v>44932.701388888891</v>
      </c>
      <c r="C2031" s="308">
        <v>0.70486111111111116</v>
      </c>
      <c r="D2031" s="308">
        <v>0.71180555555555547</v>
      </c>
      <c r="E2031" s="308">
        <v>0.73958333333333337</v>
      </c>
      <c r="F2031" s="309" t="s">
        <v>170</v>
      </c>
      <c r="G2031" s="309" t="s">
        <v>4981</v>
      </c>
      <c r="H2031" s="307" t="s">
        <v>187</v>
      </c>
      <c r="I2031" s="307" t="s">
        <v>153</v>
      </c>
      <c r="J2031" s="309" t="s">
        <v>37</v>
      </c>
      <c r="K2031" s="309" t="s">
        <v>63</v>
      </c>
      <c r="L2031" s="309" t="s">
        <v>212</v>
      </c>
      <c r="M2031" s="309" t="s">
        <v>5001</v>
      </c>
      <c r="N2031" s="309" t="s">
        <v>42</v>
      </c>
      <c r="O2031" s="309">
        <v>21222231767</v>
      </c>
      <c r="P2031" s="309">
        <v>5052028581</v>
      </c>
      <c r="Q2031" s="303">
        <f t="shared" ref="Q2031" si="310">S2031+U2031</f>
        <v>0</v>
      </c>
      <c r="R2031" s="303">
        <f t="shared" ref="R2031" si="311">T2031+V2031</f>
        <v>0</v>
      </c>
      <c r="S2031" s="309">
        <v>0</v>
      </c>
      <c r="T2031" s="309">
        <v>0</v>
      </c>
      <c r="U2031" s="309">
        <v>0</v>
      </c>
      <c r="V2031" s="309">
        <v>0</v>
      </c>
      <c r="W2031" s="309">
        <v>0</v>
      </c>
      <c r="X2031" s="309">
        <v>109</v>
      </c>
      <c r="Y2031" s="309">
        <v>100</v>
      </c>
      <c r="Z2031" s="309">
        <v>70</v>
      </c>
      <c r="AA2031" s="309">
        <v>1</v>
      </c>
      <c r="AB2031" s="307">
        <f t="shared" si="282"/>
        <v>127.16666666666667</v>
      </c>
      <c r="AC2031" s="307">
        <f t="shared" si="283"/>
        <v>0.76606425702811243</v>
      </c>
      <c r="AD2031" s="309">
        <v>0</v>
      </c>
      <c r="AE2031" s="309">
        <v>0</v>
      </c>
      <c r="AF2031" s="309" t="s">
        <v>317</v>
      </c>
      <c r="AG2031" s="309" t="s">
        <v>317</v>
      </c>
      <c r="AH2031" s="309" t="s">
        <v>5002</v>
      </c>
      <c r="AI2031" s="309"/>
      <c r="AJ2031" s="309"/>
      <c r="AK2031" s="309" t="s">
        <v>41</v>
      </c>
      <c r="AL2031" s="309" t="s">
        <v>54</v>
      </c>
      <c r="AM2031" s="299">
        <f t="shared" ca="1" si="295"/>
        <v>0.95486111110949423</v>
      </c>
      <c r="AN2031" s="313"/>
      <c r="AO2031" s="288" t="s">
        <v>120</v>
      </c>
      <c r="AP2031" s="275" t="s">
        <v>5001</v>
      </c>
      <c r="AQ2031" s="288" t="s">
        <v>5040</v>
      </c>
      <c r="AR2031" s="277">
        <v>44933.65625</v>
      </c>
      <c r="AS2031" s="272" t="s">
        <v>173</v>
      </c>
      <c r="AT2031" s="288" t="s">
        <v>225</v>
      </c>
      <c r="AU2031" s="276">
        <v>0.65625</v>
      </c>
      <c r="AV2031" s="288">
        <v>2</v>
      </c>
      <c r="AW2031" s="288" t="s">
        <v>66</v>
      </c>
      <c r="AX2031" s="314"/>
      <c r="AY2031" s="314"/>
      <c r="AZ2031" s="314"/>
      <c r="BA2031" s="314"/>
    </row>
    <row r="2032" spans="1:53" s="301" customFormat="1" x14ac:dyDescent="0.25">
      <c r="A2032" s="312">
        <v>79</v>
      </c>
      <c r="B2032" s="311">
        <v>44932.75</v>
      </c>
      <c r="C2032" s="308">
        <v>0.75347222222222221</v>
      </c>
      <c r="D2032" s="308">
        <v>0.76041666666666663</v>
      </c>
      <c r="E2032" s="308">
        <v>0.77083333333333337</v>
      </c>
      <c r="F2032" s="309" t="s">
        <v>170</v>
      </c>
      <c r="G2032" s="309" t="s">
        <v>5003</v>
      </c>
      <c r="H2032" s="307" t="s">
        <v>301</v>
      </c>
      <c r="I2032" s="307" t="s">
        <v>395</v>
      </c>
      <c r="J2032" s="309" t="s">
        <v>37</v>
      </c>
      <c r="K2032" s="307" t="s">
        <v>63</v>
      </c>
      <c r="L2032" s="307" t="s">
        <v>206</v>
      </c>
      <c r="M2032" s="309" t="s">
        <v>5004</v>
      </c>
      <c r="N2032" s="309" t="s">
        <v>42</v>
      </c>
      <c r="O2032" s="309" t="s">
        <v>5005</v>
      </c>
      <c r="P2032" s="309">
        <v>29251</v>
      </c>
      <c r="Q2032" s="303">
        <f t="shared" ref="Q2032" si="312">S2032+U2032</f>
        <v>85</v>
      </c>
      <c r="R2032" s="303">
        <f t="shared" ref="R2032" si="313">T2032+V2032</f>
        <v>780</v>
      </c>
      <c r="S2032" s="309">
        <v>85</v>
      </c>
      <c r="T2032" s="309">
        <f>337-21+269-15+237-27</f>
        <v>780</v>
      </c>
      <c r="U2032" s="309">
        <v>0</v>
      </c>
      <c r="V2032" s="309">
        <v>0</v>
      </c>
      <c r="W2032" s="309">
        <v>751.3</v>
      </c>
      <c r="X2032" s="309">
        <v>58</v>
      </c>
      <c r="Y2032" s="309">
        <v>38</v>
      </c>
      <c r="Z2032" s="309">
        <v>26</v>
      </c>
      <c r="AA2032" s="309">
        <v>67</v>
      </c>
      <c r="AB2032" s="307">
        <f t="shared" si="282"/>
        <v>639.89466666666669</v>
      </c>
      <c r="AC2032" s="307">
        <f t="shared" si="283"/>
        <v>3.8547871485943777</v>
      </c>
      <c r="AD2032" s="309">
        <v>32317.5</v>
      </c>
      <c r="AE2032" s="309" t="s">
        <v>109</v>
      </c>
      <c r="AF2032" s="309" t="s">
        <v>317</v>
      </c>
      <c r="AG2032" s="309" t="s">
        <v>317</v>
      </c>
      <c r="AH2032" s="309" t="s">
        <v>5006</v>
      </c>
      <c r="AI2032" s="309"/>
      <c r="AJ2032" s="309"/>
      <c r="AK2032" s="309" t="s">
        <v>48</v>
      </c>
      <c r="AL2032" s="309" t="s">
        <v>50</v>
      </c>
      <c r="AM2032" s="299">
        <f t="shared" ca="1" si="295"/>
        <v>0.92361111110949423</v>
      </c>
      <c r="AN2032" s="313"/>
      <c r="AO2032" s="288" t="s">
        <v>247</v>
      </c>
      <c r="AP2032" s="275" t="s">
        <v>5043</v>
      </c>
      <c r="AQ2032" s="288" t="s">
        <v>5042</v>
      </c>
      <c r="AR2032" s="277">
        <v>44933.673611111109</v>
      </c>
      <c r="AS2032" s="272" t="s">
        <v>438</v>
      </c>
      <c r="AT2032" s="288" t="s">
        <v>65</v>
      </c>
      <c r="AU2032" s="276">
        <v>0.67361111111111116</v>
      </c>
      <c r="AV2032" s="288">
        <v>1</v>
      </c>
      <c r="AW2032" s="288" t="s">
        <v>66</v>
      </c>
      <c r="AX2032" s="314"/>
      <c r="AY2032" s="314"/>
      <c r="AZ2032" s="314"/>
      <c r="BA2032" s="314"/>
    </row>
    <row r="2033" spans="1:53" s="301" customFormat="1" x14ac:dyDescent="0.25">
      <c r="A2033" s="312">
        <v>79</v>
      </c>
      <c r="B2033" s="311">
        <v>44932.75</v>
      </c>
      <c r="C2033" s="308">
        <v>0.75347222222222221</v>
      </c>
      <c r="D2033" s="308">
        <v>0.76041666666666663</v>
      </c>
      <c r="E2033" s="308">
        <v>0.77083333333333337</v>
      </c>
      <c r="F2033" s="309" t="s">
        <v>170</v>
      </c>
      <c r="G2033" s="309" t="s">
        <v>5003</v>
      </c>
      <c r="H2033" s="307" t="s">
        <v>301</v>
      </c>
      <c r="I2033" s="307" t="s">
        <v>395</v>
      </c>
      <c r="J2033" s="309" t="s">
        <v>37</v>
      </c>
      <c r="K2033" s="307" t="s">
        <v>63</v>
      </c>
      <c r="L2033" s="307" t="s">
        <v>206</v>
      </c>
      <c r="M2033" s="309" t="s">
        <v>5004</v>
      </c>
      <c r="N2033" s="309" t="s">
        <v>42</v>
      </c>
      <c r="O2033" s="309" t="s">
        <v>5005</v>
      </c>
      <c r="P2033" s="309">
        <v>29251</v>
      </c>
      <c r="Q2033" s="303">
        <f t="shared" ref="Q2033" si="314">S2033+U2033</f>
        <v>0</v>
      </c>
      <c r="R2033" s="303">
        <f t="shared" ref="R2033" si="315">T2033+V2033</f>
        <v>0</v>
      </c>
      <c r="S2033" s="309">
        <v>0</v>
      </c>
      <c r="T2033" s="309">
        <v>0</v>
      </c>
      <c r="U2033" s="309">
        <v>0</v>
      </c>
      <c r="V2033" s="309">
        <v>0</v>
      </c>
      <c r="W2033" s="309">
        <v>0</v>
      </c>
      <c r="X2033" s="309">
        <v>58</v>
      </c>
      <c r="Y2033" s="309">
        <v>38</v>
      </c>
      <c r="Z2033" s="309">
        <v>18</v>
      </c>
      <c r="AA2033" s="309">
        <v>18</v>
      </c>
      <c r="AB2033" s="307">
        <f t="shared" si="282"/>
        <v>119.01600000000001</v>
      </c>
      <c r="AC2033" s="307">
        <f t="shared" si="283"/>
        <v>0.71696385542168672</v>
      </c>
      <c r="AD2033" s="309">
        <v>0</v>
      </c>
      <c r="AE2033" s="309">
        <v>0</v>
      </c>
      <c r="AF2033" s="309" t="s">
        <v>317</v>
      </c>
      <c r="AG2033" s="309" t="s">
        <v>317</v>
      </c>
      <c r="AH2033" s="309" t="s">
        <v>5006</v>
      </c>
      <c r="AI2033" s="309"/>
      <c r="AJ2033" s="309"/>
      <c r="AK2033" s="309" t="s">
        <v>48</v>
      </c>
      <c r="AL2033" s="309" t="s">
        <v>50</v>
      </c>
      <c r="AM2033" s="299">
        <f t="shared" ca="1" si="295"/>
        <v>0.92361111110949423</v>
      </c>
      <c r="AN2033" s="313"/>
      <c r="AO2033" s="288" t="s">
        <v>247</v>
      </c>
      <c r="AP2033" s="275" t="s">
        <v>5043</v>
      </c>
      <c r="AQ2033" s="288" t="s">
        <v>5042</v>
      </c>
      <c r="AR2033" s="277">
        <v>44933.673611111109</v>
      </c>
      <c r="AS2033" s="272" t="s">
        <v>438</v>
      </c>
      <c r="AT2033" s="288" t="s">
        <v>65</v>
      </c>
      <c r="AU2033" s="276">
        <v>0.67361111111111116</v>
      </c>
      <c r="AV2033" s="288">
        <v>1</v>
      </c>
      <c r="AW2033" s="288" t="s">
        <v>66</v>
      </c>
      <c r="AX2033" s="314"/>
      <c r="AY2033" s="314"/>
      <c r="AZ2033" s="314"/>
      <c r="BA2033" s="314"/>
    </row>
    <row r="2034" spans="1:53" s="301" customFormat="1" ht="15.75" thickBot="1" x14ac:dyDescent="0.3">
      <c r="A2034" s="312">
        <v>80</v>
      </c>
      <c r="B2034" s="311">
        <v>44932.770833333336</v>
      </c>
      <c r="C2034" s="308">
        <v>0.77430555555555547</v>
      </c>
      <c r="D2034" s="308">
        <v>0.77777777777777779</v>
      </c>
      <c r="E2034" s="308">
        <v>0.78125</v>
      </c>
      <c r="F2034" s="309" t="s">
        <v>171</v>
      </c>
      <c r="G2034" s="309" t="s">
        <v>244</v>
      </c>
      <c r="H2034" s="307" t="s">
        <v>5007</v>
      </c>
      <c r="I2034" s="307" t="s">
        <v>299</v>
      </c>
      <c r="J2034" s="309" t="s">
        <v>37</v>
      </c>
      <c r="K2034" s="309" t="s">
        <v>180</v>
      </c>
      <c r="L2034" s="307" t="s">
        <v>209</v>
      </c>
      <c r="M2034" s="309" t="s">
        <v>5008</v>
      </c>
      <c r="N2034" s="309" t="s">
        <v>2947</v>
      </c>
      <c r="O2034" s="309" t="s">
        <v>5009</v>
      </c>
      <c r="P2034" s="309">
        <v>4500062971</v>
      </c>
      <c r="Q2034" s="303">
        <f t="shared" ref="Q2034" si="316">S2034+U2034</f>
        <v>1</v>
      </c>
      <c r="R2034" s="303">
        <f t="shared" ref="R2034" si="317">T2034+V2034</f>
        <v>83</v>
      </c>
      <c r="S2034" s="309">
        <v>0</v>
      </c>
      <c r="T2034" s="309">
        <v>0</v>
      </c>
      <c r="U2034" s="309">
        <v>1</v>
      </c>
      <c r="V2034" s="309">
        <v>83</v>
      </c>
      <c r="W2034" s="309">
        <v>82.1</v>
      </c>
      <c r="X2034" s="309">
        <v>79</v>
      </c>
      <c r="Y2034" s="309">
        <v>61</v>
      </c>
      <c r="Z2034" s="309">
        <v>63</v>
      </c>
      <c r="AA2034" s="309">
        <v>1</v>
      </c>
      <c r="AB2034" s="307">
        <f t="shared" si="282"/>
        <v>50.599499999999999</v>
      </c>
      <c r="AC2034" s="307">
        <f t="shared" si="283"/>
        <v>0.30481626506024095</v>
      </c>
      <c r="AD2034" s="309">
        <v>3705.85</v>
      </c>
      <c r="AE2034" s="309" t="s">
        <v>109</v>
      </c>
      <c r="AF2034" s="309" t="s">
        <v>1566</v>
      </c>
      <c r="AG2034" s="309" t="s">
        <v>1566</v>
      </c>
      <c r="AH2034" s="309" t="s">
        <v>5010</v>
      </c>
      <c r="AI2034" s="309"/>
      <c r="AJ2034" s="309"/>
      <c r="AK2034" s="309" t="s">
        <v>41</v>
      </c>
      <c r="AL2034" s="309" t="s">
        <v>39</v>
      </c>
      <c r="AM2034" s="299">
        <f t="shared" ca="1" si="295"/>
        <v>0.78125</v>
      </c>
      <c r="AN2034" s="313"/>
      <c r="AO2034" s="288" t="s">
        <v>246</v>
      </c>
      <c r="AP2034" s="275" t="s">
        <v>5008</v>
      </c>
      <c r="AQ2034" s="288" t="s">
        <v>5033</v>
      </c>
      <c r="AR2034" s="277">
        <v>44933.552083333336</v>
      </c>
      <c r="AS2034" s="272" t="s">
        <v>297</v>
      </c>
      <c r="AT2034" s="288" t="s">
        <v>65</v>
      </c>
      <c r="AU2034" s="276">
        <v>0.55208333333333337</v>
      </c>
      <c r="AV2034" s="288">
        <v>1</v>
      </c>
      <c r="AW2034" s="288" t="s">
        <v>66</v>
      </c>
      <c r="AX2034" s="314"/>
      <c r="AY2034" s="314"/>
      <c r="AZ2034" s="314"/>
      <c r="BA2034" s="314"/>
    </row>
    <row r="2035" spans="1:53" s="301" customFormat="1" ht="15.75" thickBot="1" x14ac:dyDescent="0.3">
      <c r="A2035" s="312">
        <v>81</v>
      </c>
      <c r="B2035" s="311">
        <v>44933.430555555555</v>
      </c>
      <c r="C2035" s="308">
        <v>0.43402777777777773</v>
      </c>
      <c r="D2035" s="308">
        <v>0.4375</v>
      </c>
      <c r="E2035" s="308">
        <v>0.44444444444444442</v>
      </c>
      <c r="F2035" s="309" t="s">
        <v>171</v>
      </c>
      <c r="G2035" s="309" t="s">
        <v>5011</v>
      </c>
      <c r="H2035" s="309" t="s">
        <v>199</v>
      </c>
      <c r="I2035" s="309" t="s">
        <v>174</v>
      </c>
      <c r="J2035" s="309" t="s">
        <v>37</v>
      </c>
      <c r="K2035" s="309" t="s">
        <v>180</v>
      </c>
      <c r="L2035" s="237" t="s">
        <v>206</v>
      </c>
      <c r="M2035" s="309" t="s">
        <v>5012</v>
      </c>
      <c r="N2035" s="309" t="s">
        <v>42</v>
      </c>
      <c r="O2035" s="309">
        <v>274010924</v>
      </c>
      <c r="P2035" s="309" t="s">
        <v>5013</v>
      </c>
      <c r="Q2035" s="303">
        <f t="shared" ref="Q2035:Q2041" si="318">S2035+U2035</f>
        <v>8</v>
      </c>
      <c r="R2035" s="303">
        <f t="shared" ref="R2035:R2041" si="319">T2035+V2035</f>
        <v>607</v>
      </c>
      <c r="S2035" s="309">
        <v>5</v>
      </c>
      <c r="T2035" s="309">
        <v>96</v>
      </c>
      <c r="U2035" s="309">
        <v>3</v>
      </c>
      <c r="V2035" s="309">
        <v>511</v>
      </c>
      <c r="W2035" s="309">
        <v>617.71</v>
      </c>
      <c r="X2035" s="309">
        <v>123</v>
      </c>
      <c r="Y2035" s="309">
        <v>83</v>
      </c>
      <c r="Z2035" s="309">
        <v>75</v>
      </c>
      <c r="AA2035" s="309">
        <v>3</v>
      </c>
      <c r="AB2035" s="307">
        <f t="shared" ref="AB2035:AB2041" si="320">X2035*Y2035*Z2035*AA2035/6000</f>
        <v>382.83749999999998</v>
      </c>
      <c r="AC2035" s="307">
        <f t="shared" ref="AC2035:AC2041" si="321">AB2035/166</f>
        <v>2.3062499999999999</v>
      </c>
      <c r="AD2035" s="309">
        <v>14153.04</v>
      </c>
      <c r="AE2035" s="309" t="s">
        <v>109</v>
      </c>
      <c r="AF2035" s="309">
        <v>6740603</v>
      </c>
      <c r="AG2035" s="309" t="s">
        <v>5014</v>
      </c>
      <c r="AH2035" s="309">
        <v>0</v>
      </c>
      <c r="AI2035" s="309"/>
      <c r="AJ2035" s="309"/>
      <c r="AK2035" s="309" t="s">
        <v>37</v>
      </c>
      <c r="AL2035" s="309" t="s">
        <v>54</v>
      </c>
      <c r="AM2035" s="299">
        <f t="shared" ca="1" si="295"/>
        <v>8.3333333335758653E-2</v>
      </c>
      <c r="AN2035" s="41"/>
      <c r="AO2035" s="288" t="s">
        <v>232</v>
      </c>
      <c r="AP2035" s="288" t="s">
        <v>5031</v>
      </c>
      <c r="AQ2035" s="288" t="s">
        <v>5032</v>
      </c>
      <c r="AR2035" s="277">
        <v>44933.513888888891</v>
      </c>
      <c r="AS2035" s="272" t="s">
        <v>173</v>
      </c>
      <c r="AT2035" s="288" t="s">
        <v>225</v>
      </c>
      <c r="AU2035" s="276">
        <v>0.51388888888888895</v>
      </c>
      <c r="AV2035" s="288">
        <v>1</v>
      </c>
      <c r="AW2035" s="288" t="s">
        <v>66</v>
      </c>
      <c r="AX2035" s="314"/>
      <c r="AY2035" s="314"/>
      <c r="AZ2035" s="314"/>
      <c r="BA2035" s="314"/>
    </row>
    <row r="2036" spans="1:53" s="301" customFormat="1" ht="15.75" thickBot="1" x14ac:dyDescent="0.3">
      <c r="A2036" s="312">
        <v>81</v>
      </c>
      <c r="B2036" s="311">
        <v>44933.430555555555</v>
      </c>
      <c r="C2036" s="308">
        <v>0.43402777777777773</v>
      </c>
      <c r="D2036" s="308">
        <v>0.4375</v>
      </c>
      <c r="E2036" s="308">
        <v>0.44444444444444442</v>
      </c>
      <c r="F2036" s="309" t="s">
        <v>171</v>
      </c>
      <c r="G2036" s="309" t="s">
        <v>5011</v>
      </c>
      <c r="H2036" s="309" t="s">
        <v>199</v>
      </c>
      <c r="I2036" s="309" t="s">
        <v>174</v>
      </c>
      <c r="J2036" s="309" t="s">
        <v>37</v>
      </c>
      <c r="K2036" s="309" t="s">
        <v>180</v>
      </c>
      <c r="L2036" s="237" t="s">
        <v>206</v>
      </c>
      <c r="M2036" s="309" t="s">
        <v>5012</v>
      </c>
      <c r="N2036" s="309" t="s">
        <v>42</v>
      </c>
      <c r="O2036" s="309">
        <v>274010924</v>
      </c>
      <c r="P2036" s="309" t="s">
        <v>5013</v>
      </c>
      <c r="Q2036" s="303">
        <f t="shared" si="318"/>
        <v>0</v>
      </c>
      <c r="R2036" s="303">
        <f t="shared" si="319"/>
        <v>0</v>
      </c>
      <c r="S2036" s="309">
        <v>0</v>
      </c>
      <c r="T2036" s="309">
        <v>0</v>
      </c>
      <c r="U2036" s="309">
        <v>0</v>
      </c>
      <c r="V2036" s="309">
        <v>0</v>
      </c>
      <c r="W2036" s="309">
        <v>0</v>
      </c>
      <c r="X2036" s="309">
        <v>60</v>
      </c>
      <c r="Y2036" s="309">
        <v>40</v>
      </c>
      <c r="Z2036" s="309">
        <v>30</v>
      </c>
      <c r="AA2036" s="309">
        <v>5</v>
      </c>
      <c r="AB2036" s="307">
        <f t="shared" si="320"/>
        <v>60</v>
      </c>
      <c r="AC2036" s="307">
        <f t="shared" si="321"/>
        <v>0.36144578313253012</v>
      </c>
      <c r="AD2036" s="309">
        <v>0</v>
      </c>
      <c r="AE2036" s="309">
        <v>0</v>
      </c>
      <c r="AF2036" s="309">
        <v>6740603</v>
      </c>
      <c r="AG2036" s="309" t="s">
        <v>5014</v>
      </c>
      <c r="AH2036" s="309">
        <v>0</v>
      </c>
      <c r="AI2036" s="309"/>
      <c r="AJ2036" s="309"/>
      <c r="AK2036" s="309" t="s">
        <v>37</v>
      </c>
      <c r="AL2036" s="309" t="s">
        <v>54</v>
      </c>
      <c r="AM2036" s="299">
        <f t="shared" ca="1" si="295"/>
        <v>8.3333333335758653E-2</v>
      </c>
      <c r="AN2036" s="41"/>
      <c r="AO2036" s="288" t="s">
        <v>232</v>
      </c>
      <c r="AP2036" s="288" t="s">
        <v>5031</v>
      </c>
      <c r="AQ2036" s="288" t="s">
        <v>5032</v>
      </c>
      <c r="AR2036" s="277">
        <v>44933.513888888891</v>
      </c>
      <c r="AS2036" s="272" t="s">
        <v>173</v>
      </c>
      <c r="AT2036" s="288" t="s">
        <v>225</v>
      </c>
      <c r="AU2036" s="276">
        <v>0.51388888888888895</v>
      </c>
      <c r="AV2036" s="288">
        <v>1</v>
      </c>
      <c r="AW2036" s="288" t="s">
        <v>66</v>
      </c>
      <c r="AX2036" s="314"/>
      <c r="AY2036" s="314"/>
      <c r="AZ2036" s="314"/>
      <c r="BA2036" s="314"/>
    </row>
    <row r="2037" spans="1:53" s="301" customFormat="1" ht="15.75" thickBot="1" x14ac:dyDescent="0.3">
      <c r="A2037" s="312">
        <v>82</v>
      </c>
      <c r="B2037" s="311">
        <v>44933.451388888891</v>
      </c>
      <c r="C2037" s="308">
        <v>0.4548611111111111</v>
      </c>
      <c r="D2037" s="308">
        <v>0.45833333333333331</v>
      </c>
      <c r="E2037" s="308">
        <v>0.45833333333333331</v>
      </c>
      <c r="F2037" s="309" t="s">
        <v>170</v>
      </c>
      <c r="G2037" s="309" t="s">
        <v>5015</v>
      </c>
      <c r="H2037" s="309" t="s">
        <v>204</v>
      </c>
      <c r="I2037" s="309" t="s">
        <v>73</v>
      </c>
      <c r="J2037" s="309" t="s">
        <v>37</v>
      </c>
      <c r="K2037" s="309" t="s">
        <v>63</v>
      </c>
      <c r="L2037" s="309" t="s">
        <v>212</v>
      </c>
      <c r="M2037" s="309" t="s">
        <v>5016</v>
      </c>
      <c r="N2037" s="309" t="s">
        <v>59</v>
      </c>
      <c r="O2037" s="309" t="s">
        <v>5017</v>
      </c>
      <c r="P2037" s="309">
        <v>505198981</v>
      </c>
      <c r="Q2037" s="303">
        <f t="shared" si="318"/>
        <v>1</v>
      </c>
      <c r="R2037" s="303">
        <f t="shared" si="319"/>
        <v>120</v>
      </c>
      <c r="S2037" s="309">
        <v>0</v>
      </c>
      <c r="T2037" s="309">
        <v>0</v>
      </c>
      <c r="U2037" s="309">
        <v>1</v>
      </c>
      <c r="V2037" s="309">
        <v>120</v>
      </c>
      <c r="W2037" s="309">
        <v>123</v>
      </c>
      <c r="X2037" s="309">
        <v>65</v>
      </c>
      <c r="Y2037" s="309">
        <v>55</v>
      </c>
      <c r="Z2037" s="309">
        <v>37</v>
      </c>
      <c r="AA2037" s="309">
        <v>1</v>
      </c>
      <c r="AB2037" s="307">
        <f t="shared" si="320"/>
        <v>22.045833333333334</v>
      </c>
      <c r="AC2037" s="307">
        <f t="shared" si="321"/>
        <v>0.1328062248995984</v>
      </c>
      <c r="AD2037" s="309">
        <v>4793.8100000000004</v>
      </c>
      <c r="AE2037" s="309" t="s">
        <v>109</v>
      </c>
      <c r="AF2037" s="309" t="s">
        <v>317</v>
      </c>
      <c r="AG2037" s="309" t="s">
        <v>317</v>
      </c>
      <c r="AH2037" s="309" t="s">
        <v>5018</v>
      </c>
      <c r="AI2037" s="309"/>
      <c r="AJ2037" s="309"/>
      <c r="AK2037" s="309" t="s">
        <v>41</v>
      </c>
      <c r="AL2037" s="309" t="s">
        <v>94</v>
      </c>
      <c r="AM2037" s="299">
        <f t="shared" ca="1" si="295"/>
        <v>2.1944444444452529</v>
      </c>
      <c r="AN2037" s="41"/>
      <c r="AO2037" s="288" t="s">
        <v>70</v>
      </c>
      <c r="AP2037" s="275" t="s">
        <v>5016</v>
      </c>
      <c r="AQ2037" s="288" t="s">
        <v>5126</v>
      </c>
      <c r="AR2037" s="277">
        <v>44935.645833333336</v>
      </c>
      <c r="AS2037" s="272" t="s">
        <v>326</v>
      </c>
      <c r="AT2037" s="288" t="s">
        <v>65</v>
      </c>
      <c r="AU2037" s="276">
        <v>0.64583333333333337</v>
      </c>
      <c r="AV2037" s="288">
        <v>1</v>
      </c>
      <c r="AW2037" s="288" t="s">
        <v>66</v>
      </c>
      <c r="AX2037" s="314"/>
      <c r="AY2037" s="314"/>
      <c r="AZ2037" s="314"/>
      <c r="BA2037" s="314"/>
    </row>
    <row r="2038" spans="1:53" s="301" customFormat="1" ht="15.75" thickBot="1" x14ac:dyDescent="0.3">
      <c r="A2038" s="312">
        <v>83</v>
      </c>
      <c r="B2038" s="311">
        <v>44933.506944444445</v>
      </c>
      <c r="C2038" s="308">
        <v>0.51041666666666663</v>
      </c>
      <c r="D2038" s="308">
        <v>0.52083333333333337</v>
      </c>
      <c r="E2038" s="308">
        <v>0.53125</v>
      </c>
      <c r="F2038" s="309" t="s">
        <v>170</v>
      </c>
      <c r="G2038" s="309" t="s">
        <v>5019</v>
      </c>
      <c r="H2038" s="309" t="s">
        <v>227</v>
      </c>
      <c r="I2038" s="309" t="s">
        <v>189</v>
      </c>
      <c r="J2038" s="309" t="s">
        <v>37</v>
      </c>
      <c r="K2038" s="309" t="s">
        <v>63</v>
      </c>
      <c r="L2038" s="237" t="s">
        <v>206</v>
      </c>
      <c r="M2038" s="309" t="s">
        <v>5020</v>
      </c>
      <c r="N2038" s="309" t="s">
        <v>43</v>
      </c>
      <c r="O2038" s="309" t="s">
        <v>5021</v>
      </c>
      <c r="P2038" s="309">
        <v>28079</v>
      </c>
      <c r="Q2038" s="303">
        <f t="shared" si="318"/>
        <v>6</v>
      </c>
      <c r="R2038" s="303">
        <f t="shared" si="319"/>
        <v>1494</v>
      </c>
      <c r="S2038" s="309">
        <v>0</v>
      </c>
      <c r="T2038" s="309">
        <v>0</v>
      </c>
      <c r="U2038" s="309">
        <v>6</v>
      </c>
      <c r="V2038" s="309">
        <v>1494</v>
      </c>
      <c r="W2038" s="309">
        <v>1495</v>
      </c>
      <c r="X2038" s="309">
        <v>158</v>
      </c>
      <c r="Y2038" s="309">
        <v>74</v>
      </c>
      <c r="Z2038" s="309">
        <v>78</v>
      </c>
      <c r="AA2038" s="309">
        <v>1</v>
      </c>
      <c r="AB2038" s="307">
        <f t="shared" si="320"/>
        <v>151.99600000000001</v>
      </c>
      <c r="AC2038" s="307">
        <f t="shared" si="321"/>
        <v>0.91563855421686757</v>
      </c>
      <c r="AD2038" s="309" t="s">
        <v>48</v>
      </c>
      <c r="AE2038" s="309" t="s">
        <v>48</v>
      </c>
      <c r="AF2038" s="309" t="s">
        <v>317</v>
      </c>
      <c r="AG2038" s="309" t="s">
        <v>317</v>
      </c>
      <c r="AH2038" s="309" t="s">
        <v>5022</v>
      </c>
      <c r="AI2038" s="309"/>
      <c r="AJ2038" s="309"/>
      <c r="AK2038" s="309" t="s">
        <v>37</v>
      </c>
      <c r="AL2038" s="309" t="s">
        <v>54</v>
      </c>
      <c r="AM2038" s="299">
        <f t="shared" ca="1" si="295"/>
        <v>0.20486111110949423</v>
      </c>
      <c r="AN2038" s="41"/>
      <c r="AO2038" s="288" t="s">
        <v>179</v>
      </c>
      <c r="AP2038" s="275" t="s">
        <v>5020</v>
      </c>
      <c r="AQ2038" s="288" t="s">
        <v>5046</v>
      </c>
      <c r="AR2038" s="277">
        <v>44933.711805555555</v>
      </c>
      <c r="AS2038" s="272" t="s">
        <v>297</v>
      </c>
      <c r="AT2038" s="288" t="s">
        <v>65</v>
      </c>
      <c r="AU2038" s="276">
        <v>0.71180555555555547</v>
      </c>
      <c r="AV2038" s="288">
        <v>1</v>
      </c>
      <c r="AW2038" s="288" t="s">
        <v>66</v>
      </c>
      <c r="AX2038" s="314"/>
      <c r="AY2038" s="314"/>
      <c r="AZ2038" s="314"/>
      <c r="BA2038" s="314"/>
    </row>
    <row r="2039" spans="1:53" s="301" customFormat="1" ht="15.75" thickBot="1" x14ac:dyDescent="0.3">
      <c r="A2039" s="312">
        <v>83</v>
      </c>
      <c r="B2039" s="311">
        <v>44933.506944444445</v>
      </c>
      <c r="C2039" s="308">
        <v>0.51041666666666663</v>
      </c>
      <c r="D2039" s="308">
        <v>0.52083333333333337</v>
      </c>
      <c r="E2039" s="308">
        <v>0.53125</v>
      </c>
      <c r="F2039" s="309" t="s">
        <v>170</v>
      </c>
      <c r="G2039" s="309" t="s">
        <v>5019</v>
      </c>
      <c r="H2039" s="309" t="s">
        <v>227</v>
      </c>
      <c r="I2039" s="309" t="s">
        <v>189</v>
      </c>
      <c r="J2039" s="309" t="s">
        <v>37</v>
      </c>
      <c r="K2039" s="309" t="s">
        <v>63</v>
      </c>
      <c r="L2039" s="237" t="s">
        <v>206</v>
      </c>
      <c r="M2039" s="309" t="s">
        <v>5020</v>
      </c>
      <c r="N2039" s="309" t="s">
        <v>43</v>
      </c>
      <c r="O2039" s="309" t="s">
        <v>5021</v>
      </c>
      <c r="P2039" s="309">
        <v>28079</v>
      </c>
      <c r="Q2039" s="303">
        <f t="shared" si="318"/>
        <v>0</v>
      </c>
      <c r="R2039" s="303">
        <f t="shared" si="319"/>
        <v>0</v>
      </c>
      <c r="S2039" s="309">
        <v>0</v>
      </c>
      <c r="T2039" s="309">
        <v>0</v>
      </c>
      <c r="U2039" s="309">
        <v>0</v>
      </c>
      <c r="V2039" s="309">
        <v>0</v>
      </c>
      <c r="W2039" s="309">
        <v>0</v>
      </c>
      <c r="X2039" s="309">
        <v>104</v>
      </c>
      <c r="Y2039" s="309">
        <v>46</v>
      </c>
      <c r="Z2039" s="309">
        <v>45</v>
      </c>
      <c r="AA2039" s="309">
        <v>5</v>
      </c>
      <c r="AB2039" s="307">
        <f t="shared" si="320"/>
        <v>179.4</v>
      </c>
      <c r="AC2039" s="307">
        <f t="shared" si="321"/>
        <v>1.080722891566265</v>
      </c>
      <c r="AD2039" s="309">
        <v>0</v>
      </c>
      <c r="AE2039" s="309">
        <v>0</v>
      </c>
      <c r="AF2039" s="309" t="s">
        <v>317</v>
      </c>
      <c r="AG2039" s="309" t="s">
        <v>317</v>
      </c>
      <c r="AH2039" s="309" t="s">
        <v>5022</v>
      </c>
      <c r="AI2039" s="309"/>
      <c r="AJ2039" s="309"/>
      <c r="AK2039" s="309" t="s">
        <v>37</v>
      </c>
      <c r="AL2039" s="309" t="s">
        <v>54</v>
      </c>
      <c r="AM2039" s="299">
        <f t="shared" ca="1" si="295"/>
        <v>0.20486111110949423</v>
      </c>
      <c r="AN2039" s="41"/>
      <c r="AO2039" s="288" t="s">
        <v>179</v>
      </c>
      <c r="AP2039" s="275" t="s">
        <v>5020</v>
      </c>
      <c r="AQ2039" s="288" t="s">
        <v>5046</v>
      </c>
      <c r="AR2039" s="277">
        <v>44933.711805555555</v>
      </c>
      <c r="AS2039" s="272" t="s">
        <v>297</v>
      </c>
      <c r="AT2039" s="288" t="s">
        <v>65</v>
      </c>
      <c r="AU2039" s="276">
        <v>0.71180555555555547</v>
      </c>
      <c r="AV2039" s="288">
        <v>1</v>
      </c>
      <c r="AW2039" s="288" t="s">
        <v>66</v>
      </c>
      <c r="AX2039" s="314"/>
      <c r="AY2039" s="314"/>
      <c r="AZ2039" s="314"/>
      <c r="BA2039" s="314"/>
    </row>
    <row r="2040" spans="1:53" s="301" customFormat="1" ht="15.75" thickBot="1" x14ac:dyDescent="0.3">
      <c r="A2040" s="312">
        <v>84</v>
      </c>
      <c r="B2040" s="311">
        <v>44933.506944444445</v>
      </c>
      <c r="C2040" s="308">
        <v>0.51041666666666663</v>
      </c>
      <c r="D2040" s="308">
        <v>0.52083333333333337</v>
      </c>
      <c r="E2040" s="308">
        <v>0.53125</v>
      </c>
      <c r="F2040" s="309" t="s">
        <v>170</v>
      </c>
      <c r="G2040" s="309" t="s">
        <v>5019</v>
      </c>
      <c r="H2040" s="309" t="s">
        <v>227</v>
      </c>
      <c r="I2040" s="309" t="s">
        <v>189</v>
      </c>
      <c r="J2040" s="309" t="s">
        <v>37</v>
      </c>
      <c r="K2040" s="309" t="s">
        <v>63</v>
      </c>
      <c r="L2040" s="237" t="s">
        <v>206</v>
      </c>
      <c r="M2040" s="309" t="s">
        <v>5023</v>
      </c>
      <c r="N2040" s="309" t="s">
        <v>43</v>
      </c>
      <c r="O2040" s="309">
        <v>1228</v>
      </c>
      <c r="P2040" s="309">
        <v>32373</v>
      </c>
      <c r="Q2040" s="303">
        <f t="shared" si="318"/>
        <v>13</v>
      </c>
      <c r="R2040" s="303">
        <f t="shared" si="319"/>
        <v>209</v>
      </c>
      <c r="S2040" s="309">
        <v>13</v>
      </c>
      <c r="T2040" s="292">
        <v>209</v>
      </c>
      <c r="U2040" s="309">
        <v>0</v>
      </c>
      <c r="V2040" s="309">
        <v>0</v>
      </c>
      <c r="W2040" s="292">
        <v>133.74</v>
      </c>
      <c r="X2040" s="309">
        <v>83</v>
      </c>
      <c r="Y2040" s="309">
        <v>52</v>
      </c>
      <c r="Z2040" s="309">
        <v>61</v>
      </c>
      <c r="AA2040" s="309">
        <v>9</v>
      </c>
      <c r="AB2040" s="307">
        <f t="shared" si="320"/>
        <v>394.91399999999999</v>
      </c>
      <c r="AC2040" s="307">
        <f t="shared" si="321"/>
        <v>2.379</v>
      </c>
      <c r="AD2040" s="309">
        <v>10940</v>
      </c>
      <c r="AE2040" s="309" t="s">
        <v>109</v>
      </c>
      <c r="AF2040" s="309" t="s">
        <v>317</v>
      </c>
      <c r="AG2040" s="309" t="s">
        <v>317</v>
      </c>
      <c r="AH2040" s="309" t="s">
        <v>5024</v>
      </c>
      <c r="AI2040" s="309"/>
      <c r="AJ2040" s="309"/>
      <c r="AK2040" s="309" t="s">
        <v>48</v>
      </c>
      <c r="AL2040" s="309" t="s">
        <v>50</v>
      </c>
      <c r="AM2040" s="299">
        <f t="shared" ca="1" si="295"/>
        <v>0.20486111110949423</v>
      </c>
      <c r="AN2040" s="41"/>
      <c r="AO2040" s="288" t="s">
        <v>179</v>
      </c>
      <c r="AP2040" s="275" t="s">
        <v>5020</v>
      </c>
      <c r="AQ2040" s="288" t="s">
        <v>5046</v>
      </c>
      <c r="AR2040" s="277">
        <v>44933.711805555555</v>
      </c>
      <c r="AS2040" s="272" t="s">
        <v>297</v>
      </c>
      <c r="AT2040" s="288" t="s">
        <v>65</v>
      </c>
      <c r="AU2040" s="276">
        <v>0.71180555555555547</v>
      </c>
      <c r="AV2040" s="288">
        <v>1</v>
      </c>
      <c r="AW2040" s="288" t="s">
        <v>66</v>
      </c>
      <c r="AX2040" s="314"/>
      <c r="AY2040" s="314"/>
      <c r="AZ2040" s="314"/>
      <c r="BA2040" s="314"/>
    </row>
    <row r="2041" spans="1:53" s="301" customFormat="1" ht="15.75" thickBot="1" x14ac:dyDescent="0.3">
      <c r="A2041" s="312">
        <v>84</v>
      </c>
      <c r="B2041" s="311">
        <v>44933.506944444445</v>
      </c>
      <c r="C2041" s="308">
        <v>0.51041666666666663</v>
      </c>
      <c r="D2041" s="308">
        <v>0.52083333333333337</v>
      </c>
      <c r="E2041" s="308">
        <v>0.53125</v>
      </c>
      <c r="F2041" s="309" t="s">
        <v>170</v>
      </c>
      <c r="G2041" s="309" t="s">
        <v>5019</v>
      </c>
      <c r="H2041" s="309" t="s">
        <v>227</v>
      </c>
      <c r="I2041" s="309" t="s">
        <v>189</v>
      </c>
      <c r="J2041" s="309" t="s">
        <v>37</v>
      </c>
      <c r="K2041" s="309" t="s">
        <v>63</v>
      </c>
      <c r="L2041" s="237" t="s">
        <v>206</v>
      </c>
      <c r="M2041" s="309" t="s">
        <v>5023</v>
      </c>
      <c r="N2041" s="309" t="s">
        <v>43</v>
      </c>
      <c r="O2041" s="309">
        <v>1228</v>
      </c>
      <c r="P2041" s="309">
        <v>32373</v>
      </c>
      <c r="Q2041" s="303">
        <f t="shared" si="318"/>
        <v>0</v>
      </c>
      <c r="R2041" s="303">
        <f t="shared" si="319"/>
        <v>0</v>
      </c>
      <c r="S2041" s="309">
        <v>0</v>
      </c>
      <c r="T2041" s="309">
        <v>0</v>
      </c>
      <c r="U2041" s="309">
        <v>0</v>
      </c>
      <c r="V2041" s="309">
        <v>0</v>
      </c>
      <c r="W2041" s="309">
        <v>0</v>
      </c>
      <c r="X2041" s="309">
        <v>90</v>
      </c>
      <c r="Y2041" s="309">
        <v>37</v>
      </c>
      <c r="Z2041" s="309">
        <v>50</v>
      </c>
      <c r="AA2041" s="309">
        <v>4</v>
      </c>
      <c r="AB2041" s="307">
        <f t="shared" si="320"/>
        <v>111</v>
      </c>
      <c r="AC2041" s="307">
        <f t="shared" si="321"/>
        <v>0.66867469879518071</v>
      </c>
      <c r="AD2041" s="309">
        <v>0</v>
      </c>
      <c r="AE2041" s="309">
        <v>0</v>
      </c>
      <c r="AF2041" s="309" t="s">
        <v>317</v>
      </c>
      <c r="AG2041" s="309" t="s">
        <v>317</v>
      </c>
      <c r="AH2041" s="309" t="s">
        <v>5024</v>
      </c>
      <c r="AI2041" s="309"/>
      <c r="AJ2041" s="309"/>
      <c r="AK2041" s="309" t="s">
        <v>48</v>
      </c>
      <c r="AL2041" s="309" t="s">
        <v>50</v>
      </c>
      <c r="AM2041" s="299">
        <f t="shared" ca="1" si="295"/>
        <v>0.20486111110949423</v>
      </c>
      <c r="AN2041" s="41"/>
      <c r="AO2041" s="288" t="s">
        <v>179</v>
      </c>
      <c r="AP2041" s="275" t="s">
        <v>5020</v>
      </c>
      <c r="AQ2041" s="288" t="s">
        <v>5046</v>
      </c>
      <c r="AR2041" s="277">
        <v>44933.711805555555</v>
      </c>
      <c r="AS2041" s="272" t="s">
        <v>297</v>
      </c>
      <c r="AT2041" s="288" t="s">
        <v>65</v>
      </c>
      <c r="AU2041" s="276">
        <v>0.71180555555555547</v>
      </c>
      <c r="AV2041" s="288">
        <v>1</v>
      </c>
      <c r="AW2041" s="288" t="s">
        <v>66</v>
      </c>
      <c r="AX2041" s="314"/>
      <c r="AY2041" s="314"/>
      <c r="AZ2041" s="314"/>
      <c r="BA2041" s="314"/>
    </row>
    <row r="2042" spans="1:53" s="301" customFormat="1" x14ac:dyDescent="0.25">
      <c r="A2042" s="312">
        <v>85</v>
      </c>
      <c r="B2042" s="311">
        <v>44933.638888888891</v>
      </c>
      <c r="C2042" s="308">
        <v>0.64236111111111105</v>
      </c>
      <c r="D2042" s="308">
        <v>0.64583333333333337</v>
      </c>
      <c r="E2042" s="308">
        <v>0.65972222222222221</v>
      </c>
      <c r="F2042" s="309" t="s">
        <v>171</v>
      </c>
      <c r="G2042" s="309" t="s">
        <v>200</v>
      </c>
      <c r="H2042" s="307" t="s">
        <v>75</v>
      </c>
      <c r="I2042" s="307" t="s">
        <v>110</v>
      </c>
      <c r="J2042" s="309" t="s">
        <v>37</v>
      </c>
      <c r="K2042" s="307" t="s">
        <v>180</v>
      </c>
      <c r="L2042" s="293" t="s">
        <v>209</v>
      </c>
      <c r="M2042" s="309" t="s">
        <v>5025</v>
      </c>
      <c r="N2042" s="309" t="s">
        <v>154</v>
      </c>
      <c r="O2042" s="309" t="s">
        <v>5026</v>
      </c>
      <c r="P2042" s="309">
        <v>60028765</v>
      </c>
      <c r="Q2042" s="303">
        <f t="shared" ref="Q2042" si="322">S2042+U2042</f>
        <v>1</v>
      </c>
      <c r="R2042" s="303">
        <f t="shared" ref="R2042" si="323">T2042+V2042</f>
        <v>104</v>
      </c>
      <c r="S2042" s="309">
        <v>0</v>
      </c>
      <c r="T2042" s="309">
        <v>0</v>
      </c>
      <c r="U2042" s="309">
        <v>1</v>
      </c>
      <c r="V2042" s="309">
        <v>104</v>
      </c>
      <c r="W2042" s="309">
        <v>104</v>
      </c>
      <c r="X2042" s="309">
        <v>71</v>
      </c>
      <c r="Y2042" s="309">
        <v>70</v>
      </c>
      <c r="Z2042" s="309">
        <v>45</v>
      </c>
      <c r="AA2042" s="309">
        <v>1</v>
      </c>
      <c r="AB2042" s="307">
        <f t="shared" ref="AB2042:AB2092" si="324">X2042*Y2042*Z2042*AA2042/6000</f>
        <v>37.274999999999999</v>
      </c>
      <c r="AC2042" s="307">
        <f t="shared" ref="AC2042:AC2092" si="325">AB2042/166</f>
        <v>0.22454819277108432</v>
      </c>
      <c r="AD2042" s="309">
        <v>7347.2</v>
      </c>
      <c r="AE2042" s="309" t="s">
        <v>109</v>
      </c>
      <c r="AF2042" s="309" t="s">
        <v>5027</v>
      </c>
      <c r="AG2042" s="309" t="s">
        <v>5028</v>
      </c>
      <c r="AH2042" s="309" t="s">
        <v>5029</v>
      </c>
      <c r="AI2042" s="309"/>
      <c r="AJ2042" s="309"/>
      <c r="AK2042" s="309" t="s">
        <v>37</v>
      </c>
      <c r="AL2042" s="309" t="s">
        <v>49</v>
      </c>
      <c r="AM2042" s="299">
        <f t="shared" ca="1" si="295"/>
        <v>2.8611111111094942</v>
      </c>
      <c r="AN2042" s="313"/>
      <c r="AO2042" s="288" t="s">
        <v>194</v>
      </c>
      <c r="AP2042" s="275" t="s">
        <v>5025</v>
      </c>
      <c r="AQ2042" s="288" t="s">
        <v>5182</v>
      </c>
      <c r="AR2042" s="277">
        <v>44936.5</v>
      </c>
      <c r="AS2042" s="272" t="s">
        <v>136</v>
      </c>
      <c r="AT2042" s="288" t="s">
        <v>225</v>
      </c>
      <c r="AU2042" s="276">
        <v>0.5</v>
      </c>
      <c r="AV2042" s="288">
        <v>1</v>
      </c>
      <c r="AW2042" s="288" t="s">
        <v>66</v>
      </c>
      <c r="AX2042" s="314"/>
      <c r="AY2042" s="314"/>
      <c r="AZ2042" s="314"/>
      <c r="BA2042" s="314"/>
    </row>
    <row r="2043" spans="1:53" s="301" customFormat="1" x14ac:dyDescent="0.25">
      <c r="A2043" s="312">
        <v>86</v>
      </c>
      <c r="B2043" s="311">
        <v>44933.680555555555</v>
      </c>
      <c r="C2043" s="308">
        <v>0.68402777777777779</v>
      </c>
      <c r="D2043" s="308">
        <v>0.69791666666666663</v>
      </c>
      <c r="E2043" s="308">
        <v>0.78125</v>
      </c>
      <c r="F2043" s="309" t="s">
        <v>170</v>
      </c>
      <c r="G2043" s="309" t="s">
        <v>5047</v>
      </c>
      <c r="H2043" s="307" t="s">
        <v>356</v>
      </c>
      <c r="I2043" s="307" t="s">
        <v>40</v>
      </c>
      <c r="J2043" s="309" t="s">
        <v>41</v>
      </c>
      <c r="K2043" s="307" t="s">
        <v>63</v>
      </c>
      <c r="L2043" s="307">
        <v>0</v>
      </c>
      <c r="M2043" s="309" t="s">
        <v>5048</v>
      </c>
      <c r="N2043" s="309" t="s">
        <v>42</v>
      </c>
      <c r="O2043" s="309">
        <v>8275002310</v>
      </c>
      <c r="P2043" s="309">
        <v>4513650496</v>
      </c>
      <c r="Q2043" s="303">
        <f t="shared" ref="Q2043:Q2065" si="326">S2043+U2043</f>
        <v>2</v>
      </c>
      <c r="R2043" s="303">
        <f t="shared" ref="R2043:R2065" si="327">T2043+V2043</f>
        <v>593</v>
      </c>
      <c r="S2043" s="309">
        <v>0</v>
      </c>
      <c r="T2043" s="309">
        <v>0</v>
      </c>
      <c r="U2043" s="309">
        <v>2</v>
      </c>
      <c r="V2043" s="309">
        <v>593</v>
      </c>
      <c r="W2043" s="309">
        <v>648</v>
      </c>
      <c r="X2043" s="309">
        <v>148</v>
      </c>
      <c r="Y2043" s="309">
        <v>72</v>
      </c>
      <c r="Z2043" s="309">
        <v>47</v>
      </c>
      <c r="AA2043" s="309">
        <v>1</v>
      </c>
      <c r="AB2043" s="307">
        <f t="shared" si="324"/>
        <v>83.471999999999994</v>
      </c>
      <c r="AC2043" s="307">
        <f t="shared" si="325"/>
        <v>0.5028433734939759</v>
      </c>
      <c r="AD2043" s="309">
        <v>4712</v>
      </c>
      <c r="AE2043" s="309" t="s">
        <v>109</v>
      </c>
      <c r="AF2043" s="309" t="s">
        <v>317</v>
      </c>
      <c r="AG2043" s="309" t="s">
        <v>317</v>
      </c>
      <c r="AH2043" s="309" t="s">
        <v>5049</v>
      </c>
      <c r="AI2043" s="309"/>
      <c r="AJ2043" s="309"/>
      <c r="AK2043" s="309" t="s">
        <v>37</v>
      </c>
      <c r="AL2043" s="309" t="s">
        <v>49</v>
      </c>
      <c r="AM2043" s="299">
        <f t="shared" ca="1" si="295"/>
        <v>2.7916666666642413</v>
      </c>
      <c r="AN2043" s="313"/>
      <c r="AO2043" s="288" t="s">
        <v>120</v>
      </c>
      <c r="AP2043" s="275" t="s">
        <v>5048</v>
      </c>
      <c r="AQ2043" s="288" t="s">
        <v>5174</v>
      </c>
      <c r="AR2043" s="277">
        <v>44936.472222222219</v>
      </c>
      <c r="AS2043" s="272" t="s">
        <v>173</v>
      </c>
      <c r="AT2043" s="288" t="s">
        <v>225</v>
      </c>
      <c r="AU2043" s="276">
        <v>0.47222222222222227</v>
      </c>
      <c r="AV2043" s="288">
        <v>1</v>
      </c>
      <c r="AW2043" s="288" t="s">
        <v>66</v>
      </c>
      <c r="AX2043" s="314"/>
      <c r="AY2043" s="314"/>
      <c r="AZ2043" s="314"/>
      <c r="BA2043" s="314"/>
    </row>
    <row r="2044" spans="1:53" s="301" customFormat="1" x14ac:dyDescent="0.25">
      <c r="A2044" s="312">
        <v>86</v>
      </c>
      <c r="B2044" s="311">
        <v>44933.680555555555</v>
      </c>
      <c r="C2044" s="308">
        <v>0.68402777777777779</v>
      </c>
      <c r="D2044" s="308">
        <v>0.69791666666666663</v>
      </c>
      <c r="E2044" s="308">
        <v>0.78125</v>
      </c>
      <c r="F2044" s="309" t="s">
        <v>170</v>
      </c>
      <c r="G2044" s="309" t="s">
        <v>5047</v>
      </c>
      <c r="H2044" s="307" t="s">
        <v>356</v>
      </c>
      <c r="I2044" s="307" t="s">
        <v>40</v>
      </c>
      <c r="J2044" s="309" t="s">
        <v>41</v>
      </c>
      <c r="K2044" s="307" t="s">
        <v>63</v>
      </c>
      <c r="L2044" s="307">
        <v>0</v>
      </c>
      <c r="M2044" s="309" t="s">
        <v>5048</v>
      </c>
      <c r="N2044" s="309" t="s">
        <v>42</v>
      </c>
      <c r="O2044" s="309">
        <v>8275002310</v>
      </c>
      <c r="P2044" s="309">
        <v>4513650496</v>
      </c>
      <c r="Q2044" s="303">
        <f t="shared" si="326"/>
        <v>0</v>
      </c>
      <c r="R2044" s="303">
        <f t="shared" si="327"/>
        <v>0</v>
      </c>
      <c r="S2044" s="309">
        <v>0</v>
      </c>
      <c r="T2044" s="309">
        <v>0</v>
      </c>
      <c r="U2044" s="309">
        <v>0</v>
      </c>
      <c r="V2044" s="309">
        <v>0</v>
      </c>
      <c r="W2044" s="309">
        <v>0</v>
      </c>
      <c r="X2044" s="309">
        <v>134</v>
      </c>
      <c r="Y2044" s="309">
        <v>107</v>
      </c>
      <c r="Z2044" s="309">
        <v>52</v>
      </c>
      <c r="AA2044" s="309">
        <v>1</v>
      </c>
      <c r="AB2044" s="307">
        <f t="shared" si="324"/>
        <v>124.26266666666666</v>
      </c>
      <c r="AC2044" s="307">
        <f t="shared" si="325"/>
        <v>0.74857028112449797</v>
      </c>
      <c r="AD2044" s="309">
        <v>0</v>
      </c>
      <c r="AE2044" s="309">
        <v>0</v>
      </c>
      <c r="AF2044" s="309" t="s">
        <v>317</v>
      </c>
      <c r="AG2044" s="309" t="s">
        <v>317</v>
      </c>
      <c r="AH2044" s="309" t="s">
        <v>5049</v>
      </c>
      <c r="AI2044" s="309"/>
      <c r="AJ2044" s="309"/>
      <c r="AK2044" s="309" t="s">
        <v>37</v>
      </c>
      <c r="AL2044" s="309" t="s">
        <v>49</v>
      </c>
      <c r="AM2044" s="299">
        <f t="shared" ca="1" si="295"/>
        <v>2.7916666666642413</v>
      </c>
      <c r="AN2044" s="313"/>
      <c r="AO2044" s="288" t="s">
        <v>120</v>
      </c>
      <c r="AP2044" s="275" t="s">
        <v>5048</v>
      </c>
      <c r="AQ2044" s="288" t="s">
        <v>5174</v>
      </c>
      <c r="AR2044" s="277">
        <v>44936.472222222219</v>
      </c>
      <c r="AS2044" s="272" t="s">
        <v>173</v>
      </c>
      <c r="AT2044" s="288" t="s">
        <v>225</v>
      </c>
      <c r="AU2044" s="276">
        <v>0.47222222222222227</v>
      </c>
      <c r="AV2044" s="288">
        <v>1</v>
      </c>
      <c r="AW2044" s="288" t="s">
        <v>66</v>
      </c>
      <c r="AX2044" s="314"/>
      <c r="AY2044" s="314"/>
      <c r="AZ2044" s="314"/>
      <c r="BA2044" s="314"/>
    </row>
    <row r="2045" spans="1:53" s="301" customFormat="1" x14ac:dyDescent="0.25">
      <c r="A2045" s="312">
        <v>87</v>
      </c>
      <c r="B2045" s="311">
        <v>44933.680555555555</v>
      </c>
      <c r="C2045" s="308">
        <v>0.68402777777777779</v>
      </c>
      <c r="D2045" s="308">
        <v>0.69791666666666663</v>
      </c>
      <c r="E2045" s="308">
        <v>0.78125</v>
      </c>
      <c r="F2045" s="309" t="s">
        <v>170</v>
      </c>
      <c r="G2045" s="309" t="s">
        <v>5047</v>
      </c>
      <c r="H2045" s="307" t="s">
        <v>356</v>
      </c>
      <c r="I2045" s="307" t="s">
        <v>40</v>
      </c>
      <c r="J2045" s="309" t="s">
        <v>41</v>
      </c>
      <c r="K2045" s="307" t="s">
        <v>63</v>
      </c>
      <c r="L2045" s="307">
        <v>0</v>
      </c>
      <c r="M2045" s="309" t="s">
        <v>5050</v>
      </c>
      <c r="N2045" s="309" t="s">
        <v>42</v>
      </c>
      <c r="O2045" s="309">
        <v>8275002322</v>
      </c>
      <c r="P2045" s="309">
        <v>4513629774</v>
      </c>
      <c r="Q2045" s="303">
        <f t="shared" si="326"/>
        <v>1</v>
      </c>
      <c r="R2045" s="303">
        <f t="shared" si="327"/>
        <v>545</v>
      </c>
      <c r="S2045" s="309">
        <v>0</v>
      </c>
      <c r="T2045" s="309">
        <v>0</v>
      </c>
      <c r="U2045" s="309">
        <v>1</v>
      </c>
      <c r="V2045" s="309">
        <v>545</v>
      </c>
      <c r="W2045" s="309">
        <v>601</v>
      </c>
      <c r="X2045" s="309">
        <v>100</v>
      </c>
      <c r="Y2045" s="309">
        <v>72</v>
      </c>
      <c r="Z2045" s="309">
        <v>80</v>
      </c>
      <c r="AA2045" s="309">
        <v>1</v>
      </c>
      <c r="AB2045" s="307">
        <f t="shared" si="324"/>
        <v>96</v>
      </c>
      <c r="AC2045" s="307">
        <f t="shared" si="325"/>
        <v>0.57831325301204817</v>
      </c>
      <c r="AD2045" s="309">
        <v>3001.4</v>
      </c>
      <c r="AE2045" s="309" t="s">
        <v>109</v>
      </c>
      <c r="AF2045" s="309" t="s">
        <v>317</v>
      </c>
      <c r="AG2045" s="309" t="s">
        <v>317</v>
      </c>
      <c r="AH2045" s="309" t="s">
        <v>5051</v>
      </c>
      <c r="AI2045" s="309"/>
      <c r="AJ2045" s="309"/>
      <c r="AK2045" s="309" t="s">
        <v>37</v>
      </c>
      <c r="AL2045" s="309" t="s">
        <v>49</v>
      </c>
      <c r="AM2045" s="299">
        <f t="shared" ca="1" si="295"/>
        <v>2.0243055555547471</v>
      </c>
      <c r="AN2045" s="313"/>
      <c r="AO2045" s="288" t="s">
        <v>120</v>
      </c>
      <c r="AP2045" s="275" t="s">
        <v>5129</v>
      </c>
      <c r="AQ2045" s="288" t="s">
        <v>5128</v>
      </c>
      <c r="AR2045" s="277">
        <v>44935.704861111109</v>
      </c>
      <c r="AS2045" s="288" t="s">
        <v>240</v>
      </c>
      <c r="AT2045" s="276" t="s">
        <v>65</v>
      </c>
      <c r="AU2045" s="276">
        <v>0.70486111111111116</v>
      </c>
      <c r="AV2045" s="288">
        <v>1</v>
      </c>
      <c r="AW2045" s="288" t="s">
        <v>66</v>
      </c>
      <c r="AX2045" s="314"/>
      <c r="AY2045" s="314"/>
      <c r="AZ2045" s="314"/>
      <c r="BA2045" s="314"/>
    </row>
    <row r="2046" spans="1:53" s="301" customFormat="1" x14ac:dyDescent="0.25">
      <c r="A2046" s="312">
        <v>88</v>
      </c>
      <c r="B2046" s="311">
        <v>44933.680555555555</v>
      </c>
      <c r="C2046" s="308">
        <v>0.68402777777777779</v>
      </c>
      <c r="D2046" s="308">
        <v>0.69791666666666663</v>
      </c>
      <c r="E2046" s="308">
        <v>0.78125</v>
      </c>
      <c r="F2046" s="309" t="s">
        <v>170</v>
      </c>
      <c r="G2046" s="309" t="s">
        <v>5047</v>
      </c>
      <c r="H2046" s="307" t="s">
        <v>356</v>
      </c>
      <c r="I2046" s="307" t="s">
        <v>40</v>
      </c>
      <c r="J2046" s="309" t="s">
        <v>41</v>
      </c>
      <c r="K2046" s="307" t="s">
        <v>63</v>
      </c>
      <c r="L2046" s="307">
        <v>0</v>
      </c>
      <c r="M2046" s="309" t="s">
        <v>5052</v>
      </c>
      <c r="N2046" s="309" t="s">
        <v>42</v>
      </c>
      <c r="O2046" s="309">
        <v>8275002326</v>
      </c>
      <c r="P2046" s="309">
        <v>4513721209</v>
      </c>
      <c r="Q2046" s="303">
        <f t="shared" si="326"/>
        <v>1</v>
      </c>
      <c r="R2046" s="303">
        <f t="shared" si="327"/>
        <v>239</v>
      </c>
      <c r="S2046" s="309">
        <v>0</v>
      </c>
      <c r="T2046" s="309">
        <v>0</v>
      </c>
      <c r="U2046" s="309">
        <v>1</v>
      </c>
      <c r="V2046" s="309">
        <v>239</v>
      </c>
      <c r="W2046" s="309">
        <v>222</v>
      </c>
      <c r="X2046" s="309">
        <v>90</v>
      </c>
      <c r="Y2046" s="309">
        <v>62</v>
      </c>
      <c r="Z2046" s="309">
        <v>67</v>
      </c>
      <c r="AA2046" s="309">
        <v>1</v>
      </c>
      <c r="AB2046" s="307">
        <f t="shared" si="324"/>
        <v>62.31</v>
      </c>
      <c r="AC2046" s="307">
        <f t="shared" si="325"/>
        <v>0.37536144578313252</v>
      </c>
      <c r="AD2046" s="309">
        <v>1356</v>
      </c>
      <c r="AE2046" s="309" t="s">
        <v>109</v>
      </c>
      <c r="AF2046" s="309" t="s">
        <v>317</v>
      </c>
      <c r="AG2046" s="309" t="s">
        <v>317</v>
      </c>
      <c r="AH2046" s="309" t="s">
        <v>5053</v>
      </c>
      <c r="AI2046" s="309"/>
      <c r="AJ2046" s="309"/>
      <c r="AK2046" s="309" t="s">
        <v>37</v>
      </c>
      <c r="AL2046" s="309" t="s">
        <v>49</v>
      </c>
      <c r="AM2046" s="299">
        <f t="shared" ca="1" si="295"/>
        <v>2.7916666666642413</v>
      </c>
      <c r="AN2046" s="313"/>
      <c r="AO2046" s="288" t="s">
        <v>120</v>
      </c>
      <c r="AP2046" s="275" t="s">
        <v>5052</v>
      </c>
      <c r="AQ2046" s="288" t="s">
        <v>5174</v>
      </c>
      <c r="AR2046" s="277">
        <v>44936.472222222219</v>
      </c>
      <c r="AS2046" s="272" t="s">
        <v>173</v>
      </c>
      <c r="AT2046" s="288" t="s">
        <v>225</v>
      </c>
      <c r="AU2046" s="276">
        <v>0.47222222222222227</v>
      </c>
      <c r="AV2046" s="288">
        <v>1</v>
      </c>
      <c r="AW2046" s="288" t="s">
        <v>66</v>
      </c>
      <c r="AX2046" s="314"/>
      <c r="AY2046" s="314"/>
      <c r="AZ2046" s="314"/>
      <c r="BA2046" s="314"/>
    </row>
    <row r="2047" spans="1:53" s="301" customFormat="1" x14ac:dyDescent="0.25">
      <c r="A2047" s="312">
        <v>89</v>
      </c>
      <c r="B2047" s="311">
        <v>44933.680555555555</v>
      </c>
      <c r="C2047" s="308">
        <v>0.68402777777777779</v>
      </c>
      <c r="D2047" s="308">
        <v>0.69791666666666663</v>
      </c>
      <c r="E2047" s="308">
        <v>0.78125</v>
      </c>
      <c r="F2047" s="309" t="s">
        <v>170</v>
      </c>
      <c r="G2047" s="309" t="s">
        <v>5047</v>
      </c>
      <c r="H2047" s="307" t="s">
        <v>356</v>
      </c>
      <c r="I2047" s="307" t="s">
        <v>40</v>
      </c>
      <c r="J2047" s="309" t="s">
        <v>41</v>
      </c>
      <c r="K2047" s="307" t="s">
        <v>63</v>
      </c>
      <c r="L2047" s="307">
        <v>0</v>
      </c>
      <c r="M2047" s="309" t="s">
        <v>5054</v>
      </c>
      <c r="N2047" s="309" t="s">
        <v>42</v>
      </c>
      <c r="O2047" s="309">
        <v>8275002309</v>
      </c>
      <c r="P2047" s="309">
        <v>4513605481</v>
      </c>
      <c r="Q2047" s="303">
        <f t="shared" si="326"/>
        <v>1</v>
      </c>
      <c r="R2047" s="303">
        <f t="shared" si="327"/>
        <v>111</v>
      </c>
      <c r="S2047" s="309">
        <v>0</v>
      </c>
      <c r="T2047" s="309">
        <v>0</v>
      </c>
      <c r="U2047" s="309">
        <v>1</v>
      </c>
      <c r="V2047" s="309">
        <v>111</v>
      </c>
      <c r="W2047" s="309">
        <v>103</v>
      </c>
      <c r="X2047" s="309">
        <v>72</v>
      </c>
      <c r="Y2047" s="309">
        <v>62</v>
      </c>
      <c r="Z2047" s="309">
        <v>75</v>
      </c>
      <c r="AA2047" s="309">
        <v>1</v>
      </c>
      <c r="AB2047" s="307">
        <f t="shared" si="324"/>
        <v>55.8</v>
      </c>
      <c r="AC2047" s="307">
        <f t="shared" si="325"/>
        <v>0.33614457831325301</v>
      </c>
      <c r="AD2047" s="309">
        <v>516.5</v>
      </c>
      <c r="AE2047" s="309" t="s">
        <v>109</v>
      </c>
      <c r="AF2047" s="309" t="s">
        <v>317</v>
      </c>
      <c r="AG2047" s="309" t="s">
        <v>317</v>
      </c>
      <c r="AH2047" s="309" t="s">
        <v>5055</v>
      </c>
      <c r="AI2047" s="309"/>
      <c r="AJ2047" s="309"/>
      <c r="AK2047" s="309" t="s">
        <v>37</v>
      </c>
      <c r="AL2047" s="309" t="s">
        <v>49</v>
      </c>
      <c r="AM2047" s="299">
        <f t="shared" ca="1" si="295"/>
        <v>2.7916666666642413</v>
      </c>
      <c r="AN2047" s="313"/>
      <c r="AO2047" s="288" t="s">
        <v>120</v>
      </c>
      <c r="AP2047" s="275" t="s">
        <v>5054</v>
      </c>
      <c r="AQ2047" s="288" t="s">
        <v>5174</v>
      </c>
      <c r="AR2047" s="277">
        <v>44936.472222222219</v>
      </c>
      <c r="AS2047" s="272" t="s">
        <v>173</v>
      </c>
      <c r="AT2047" s="288" t="s">
        <v>225</v>
      </c>
      <c r="AU2047" s="276">
        <v>0.47222222222222227</v>
      </c>
      <c r="AV2047" s="288">
        <v>1</v>
      </c>
      <c r="AW2047" s="288" t="s">
        <v>66</v>
      </c>
      <c r="AX2047" s="314"/>
      <c r="AY2047" s="314"/>
      <c r="AZ2047" s="314"/>
      <c r="BA2047" s="314"/>
    </row>
    <row r="2048" spans="1:53" s="301" customFormat="1" x14ac:dyDescent="0.25">
      <c r="A2048" s="312">
        <v>90</v>
      </c>
      <c r="B2048" s="311">
        <v>44933.680555555555</v>
      </c>
      <c r="C2048" s="308">
        <v>0.68402777777777779</v>
      </c>
      <c r="D2048" s="308">
        <v>0.69791666666666663</v>
      </c>
      <c r="E2048" s="308">
        <v>0.78125</v>
      </c>
      <c r="F2048" s="309" t="s">
        <v>170</v>
      </c>
      <c r="G2048" s="309" t="s">
        <v>5047</v>
      </c>
      <c r="H2048" s="307" t="s">
        <v>356</v>
      </c>
      <c r="I2048" s="307" t="s">
        <v>40</v>
      </c>
      <c r="J2048" s="309" t="s">
        <v>41</v>
      </c>
      <c r="K2048" s="307" t="s">
        <v>63</v>
      </c>
      <c r="L2048" s="307">
        <v>0</v>
      </c>
      <c r="M2048" s="309" t="s">
        <v>5056</v>
      </c>
      <c r="N2048" s="309" t="s">
        <v>42</v>
      </c>
      <c r="O2048" s="309">
        <v>8275002325</v>
      </c>
      <c r="P2048" s="309">
        <v>4513578928</v>
      </c>
      <c r="Q2048" s="303">
        <f t="shared" si="326"/>
        <v>1</v>
      </c>
      <c r="R2048" s="303">
        <f t="shared" si="327"/>
        <v>113</v>
      </c>
      <c r="S2048" s="309">
        <v>0</v>
      </c>
      <c r="T2048" s="309">
        <v>0</v>
      </c>
      <c r="U2048" s="309">
        <v>1</v>
      </c>
      <c r="V2048" s="309">
        <v>113</v>
      </c>
      <c r="W2048" s="309">
        <v>103</v>
      </c>
      <c r="X2048" s="309">
        <v>77</v>
      </c>
      <c r="Y2048" s="309">
        <v>62</v>
      </c>
      <c r="Z2048" s="309">
        <v>60</v>
      </c>
      <c r="AA2048" s="309">
        <v>1</v>
      </c>
      <c r="AB2048" s="307">
        <f t="shared" si="324"/>
        <v>47.74</v>
      </c>
      <c r="AC2048" s="307">
        <f t="shared" si="325"/>
        <v>0.28759036144578315</v>
      </c>
      <c r="AD2048" s="309">
        <v>708</v>
      </c>
      <c r="AE2048" s="309" t="s">
        <v>109</v>
      </c>
      <c r="AF2048" s="309" t="s">
        <v>317</v>
      </c>
      <c r="AG2048" s="309" t="s">
        <v>317</v>
      </c>
      <c r="AH2048" s="309" t="s">
        <v>5057</v>
      </c>
      <c r="AI2048" s="309"/>
      <c r="AJ2048" s="309"/>
      <c r="AK2048" s="309" t="s">
        <v>37</v>
      </c>
      <c r="AL2048" s="309" t="s">
        <v>49</v>
      </c>
      <c r="AM2048" s="299">
        <f t="shared" ca="1" si="295"/>
        <v>2.7916666666642413</v>
      </c>
      <c r="AN2048" s="313"/>
      <c r="AO2048" s="288" t="s">
        <v>120</v>
      </c>
      <c r="AP2048" s="275" t="s">
        <v>5176</v>
      </c>
      <c r="AQ2048" s="288" t="s">
        <v>5174</v>
      </c>
      <c r="AR2048" s="277">
        <v>44936.472222222219</v>
      </c>
      <c r="AS2048" s="272" t="s">
        <v>173</v>
      </c>
      <c r="AT2048" s="288" t="s">
        <v>225</v>
      </c>
      <c r="AU2048" s="276">
        <v>0.47222222222222227</v>
      </c>
      <c r="AV2048" s="288">
        <v>1</v>
      </c>
      <c r="AW2048" s="288" t="s">
        <v>66</v>
      </c>
      <c r="AX2048" s="314"/>
      <c r="AY2048" s="314"/>
      <c r="AZ2048" s="314"/>
      <c r="BA2048" s="314"/>
    </row>
    <row r="2049" spans="1:53" s="301" customFormat="1" x14ac:dyDescent="0.25">
      <c r="A2049" s="312">
        <v>91</v>
      </c>
      <c r="B2049" s="311">
        <v>44933.680555555555</v>
      </c>
      <c r="C2049" s="308">
        <v>0.68402777777777779</v>
      </c>
      <c r="D2049" s="308">
        <v>0.69791666666666663</v>
      </c>
      <c r="E2049" s="308">
        <v>0.78125</v>
      </c>
      <c r="F2049" s="309" t="s">
        <v>170</v>
      </c>
      <c r="G2049" s="309" t="s">
        <v>5047</v>
      </c>
      <c r="H2049" s="307" t="s">
        <v>356</v>
      </c>
      <c r="I2049" s="307" t="s">
        <v>40</v>
      </c>
      <c r="J2049" s="309" t="s">
        <v>41</v>
      </c>
      <c r="K2049" s="307" t="s">
        <v>63</v>
      </c>
      <c r="L2049" s="307">
        <v>0</v>
      </c>
      <c r="M2049" s="309" t="s">
        <v>5058</v>
      </c>
      <c r="N2049" s="309" t="s">
        <v>42</v>
      </c>
      <c r="O2049" s="309">
        <v>8275002327</v>
      </c>
      <c r="P2049" s="309">
        <v>4513658813</v>
      </c>
      <c r="Q2049" s="303">
        <f t="shared" si="326"/>
        <v>1</v>
      </c>
      <c r="R2049" s="303">
        <f t="shared" si="327"/>
        <v>117</v>
      </c>
      <c r="S2049" s="309">
        <v>0</v>
      </c>
      <c r="T2049" s="309">
        <v>0</v>
      </c>
      <c r="U2049" s="309">
        <v>1</v>
      </c>
      <c r="V2049" s="309">
        <v>117</v>
      </c>
      <c r="W2049" s="309">
        <v>103</v>
      </c>
      <c r="X2049" s="309">
        <v>85</v>
      </c>
      <c r="Y2049" s="309">
        <v>64</v>
      </c>
      <c r="Z2049" s="309">
        <v>72</v>
      </c>
      <c r="AA2049" s="309">
        <v>1</v>
      </c>
      <c r="AB2049" s="307">
        <f t="shared" si="324"/>
        <v>65.28</v>
      </c>
      <c r="AC2049" s="307">
        <f t="shared" si="325"/>
        <v>0.3932530120481928</v>
      </c>
      <c r="AD2049" s="309">
        <v>528</v>
      </c>
      <c r="AE2049" s="309" t="s">
        <v>109</v>
      </c>
      <c r="AF2049" s="309" t="s">
        <v>317</v>
      </c>
      <c r="AG2049" s="309" t="s">
        <v>317</v>
      </c>
      <c r="AH2049" s="309" t="s">
        <v>5059</v>
      </c>
      <c r="AI2049" s="309"/>
      <c r="AJ2049" s="309"/>
      <c r="AK2049" s="309" t="s">
        <v>37</v>
      </c>
      <c r="AL2049" s="309" t="s">
        <v>49</v>
      </c>
      <c r="AM2049" s="299">
        <f t="shared" ca="1" si="295"/>
        <v>2.7916666666642413</v>
      </c>
      <c r="AN2049" s="313"/>
      <c r="AO2049" s="288" t="s">
        <v>120</v>
      </c>
      <c r="AP2049" s="275" t="s">
        <v>5177</v>
      </c>
      <c r="AQ2049" s="288" t="s">
        <v>5174</v>
      </c>
      <c r="AR2049" s="277">
        <v>44936.472222222219</v>
      </c>
      <c r="AS2049" s="272" t="s">
        <v>173</v>
      </c>
      <c r="AT2049" s="288" t="s">
        <v>225</v>
      </c>
      <c r="AU2049" s="276">
        <v>0.47222222222222227</v>
      </c>
      <c r="AV2049" s="288">
        <v>1</v>
      </c>
      <c r="AW2049" s="288" t="s">
        <v>66</v>
      </c>
      <c r="AX2049" s="314"/>
      <c r="AY2049" s="314"/>
      <c r="AZ2049" s="314"/>
      <c r="BA2049" s="314"/>
    </row>
    <row r="2050" spans="1:53" s="301" customFormat="1" x14ac:dyDescent="0.25">
      <c r="A2050" s="312">
        <v>92</v>
      </c>
      <c r="B2050" s="311">
        <v>44933.680555555555</v>
      </c>
      <c r="C2050" s="308">
        <v>0.68402777777777779</v>
      </c>
      <c r="D2050" s="308">
        <v>0.69791666666666663</v>
      </c>
      <c r="E2050" s="308">
        <v>0.78125</v>
      </c>
      <c r="F2050" s="309" t="s">
        <v>170</v>
      </c>
      <c r="G2050" s="309" t="s">
        <v>5047</v>
      </c>
      <c r="H2050" s="307" t="s">
        <v>356</v>
      </c>
      <c r="I2050" s="307" t="s">
        <v>40</v>
      </c>
      <c r="J2050" s="309" t="s">
        <v>41</v>
      </c>
      <c r="K2050" s="307" t="s">
        <v>63</v>
      </c>
      <c r="L2050" s="307">
        <v>0</v>
      </c>
      <c r="M2050" s="309" t="s">
        <v>5060</v>
      </c>
      <c r="N2050" s="309" t="s">
        <v>42</v>
      </c>
      <c r="O2050" s="309">
        <v>8275002323</v>
      </c>
      <c r="P2050" s="309">
        <v>4513643579</v>
      </c>
      <c r="Q2050" s="303">
        <f t="shared" si="326"/>
        <v>1</v>
      </c>
      <c r="R2050" s="303">
        <f t="shared" si="327"/>
        <v>284</v>
      </c>
      <c r="S2050" s="309">
        <v>0</v>
      </c>
      <c r="T2050" s="309">
        <v>0</v>
      </c>
      <c r="U2050" s="309">
        <v>1</v>
      </c>
      <c r="V2050" s="309">
        <v>284</v>
      </c>
      <c r="W2050" s="309">
        <v>221</v>
      </c>
      <c r="X2050" s="309">
        <v>80</v>
      </c>
      <c r="Y2050" s="309">
        <v>59</v>
      </c>
      <c r="Z2050" s="309">
        <v>90</v>
      </c>
      <c r="AA2050" s="309">
        <v>1</v>
      </c>
      <c r="AB2050" s="307">
        <f t="shared" si="324"/>
        <v>70.8</v>
      </c>
      <c r="AC2050" s="307">
        <f t="shared" si="325"/>
        <v>0.42650602409638555</v>
      </c>
      <c r="AD2050" s="309">
        <v>1486</v>
      </c>
      <c r="AE2050" s="309" t="s">
        <v>109</v>
      </c>
      <c r="AF2050" s="309" t="s">
        <v>317</v>
      </c>
      <c r="AG2050" s="309" t="s">
        <v>317</v>
      </c>
      <c r="AH2050" s="309" t="s">
        <v>5061</v>
      </c>
      <c r="AI2050" s="309"/>
      <c r="AJ2050" s="309"/>
      <c r="AK2050" s="309" t="s">
        <v>37</v>
      </c>
      <c r="AL2050" s="309" t="s">
        <v>49</v>
      </c>
      <c r="AM2050" s="299">
        <f t="shared" ca="1" si="295"/>
        <v>2.7916666666642413</v>
      </c>
      <c r="AN2050" s="313"/>
      <c r="AO2050" s="288" t="s">
        <v>120</v>
      </c>
      <c r="AP2050" s="275" t="s">
        <v>5060</v>
      </c>
      <c r="AQ2050" s="288" t="s">
        <v>5174</v>
      </c>
      <c r="AR2050" s="277">
        <v>44936.472222222219</v>
      </c>
      <c r="AS2050" s="272" t="s">
        <v>173</v>
      </c>
      <c r="AT2050" s="288" t="s">
        <v>225</v>
      </c>
      <c r="AU2050" s="276">
        <v>0.47222222222222227</v>
      </c>
      <c r="AV2050" s="288">
        <v>1</v>
      </c>
      <c r="AW2050" s="288" t="s">
        <v>66</v>
      </c>
      <c r="AX2050" s="314"/>
      <c r="AY2050" s="314"/>
      <c r="AZ2050" s="314"/>
      <c r="BA2050" s="314"/>
    </row>
    <row r="2051" spans="1:53" s="301" customFormat="1" x14ac:dyDescent="0.25">
      <c r="A2051" s="312">
        <v>93</v>
      </c>
      <c r="B2051" s="311">
        <v>44933.680555555555</v>
      </c>
      <c r="C2051" s="308">
        <v>0.68402777777777779</v>
      </c>
      <c r="D2051" s="308">
        <v>0.69791666666666663</v>
      </c>
      <c r="E2051" s="308">
        <v>0.78125</v>
      </c>
      <c r="F2051" s="309" t="s">
        <v>170</v>
      </c>
      <c r="G2051" s="309" t="s">
        <v>5047</v>
      </c>
      <c r="H2051" s="307" t="s">
        <v>356</v>
      </c>
      <c r="I2051" s="307" t="s">
        <v>40</v>
      </c>
      <c r="J2051" s="309" t="s">
        <v>41</v>
      </c>
      <c r="K2051" s="307" t="s">
        <v>63</v>
      </c>
      <c r="L2051" s="307">
        <v>0</v>
      </c>
      <c r="M2051" s="309" t="s">
        <v>5062</v>
      </c>
      <c r="N2051" s="309" t="s">
        <v>42</v>
      </c>
      <c r="O2051" s="309">
        <v>8275002311</v>
      </c>
      <c r="P2051" s="309">
        <v>4513611357</v>
      </c>
      <c r="Q2051" s="303">
        <f t="shared" si="326"/>
        <v>2</v>
      </c>
      <c r="R2051" s="303">
        <f t="shared" si="327"/>
        <v>511</v>
      </c>
      <c r="S2051" s="309">
        <v>0</v>
      </c>
      <c r="T2051" s="309">
        <v>0</v>
      </c>
      <c r="U2051" s="309">
        <v>2</v>
      </c>
      <c r="V2051" s="309">
        <v>511</v>
      </c>
      <c r="W2051" s="309">
        <v>498</v>
      </c>
      <c r="X2051" s="309">
        <v>111</v>
      </c>
      <c r="Y2051" s="309">
        <v>96</v>
      </c>
      <c r="Z2051" s="309">
        <v>50</v>
      </c>
      <c r="AA2051" s="309">
        <v>2</v>
      </c>
      <c r="AB2051" s="307">
        <f t="shared" si="324"/>
        <v>177.6</v>
      </c>
      <c r="AC2051" s="307">
        <f t="shared" si="325"/>
        <v>1.0698795180722891</v>
      </c>
      <c r="AD2051" s="309">
        <v>3435</v>
      </c>
      <c r="AE2051" s="309" t="s">
        <v>109</v>
      </c>
      <c r="AF2051" s="309" t="s">
        <v>317</v>
      </c>
      <c r="AG2051" s="309" t="s">
        <v>317</v>
      </c>
      <c r="AH2051" s="309" t="s">
        <v>5063</v>
      </c>
      <c r="AI2051" s="309"/>
      <c r="AJ2051" s="309"/>
      <c r="AK2051" s="309" t="s">
        <v>37</v>
      </c>
      <c r="AL2051" s="309" t="s">
        <v>49</v>
      </c>
      <c r="AM2051" s="299">
        <f t="shared" ca="1" si="295"/>
        <v>2.7916666666642413</v>
      </c>
      <c r="AN2051" s="313"/>
      <c r="AO2051" s="288" t="s">
        <v>120</v>
      </c>
      <c r="AP2051" s="275" t="s">
        <v>5175</v>
      </c>
      <c r="AQ2051" s="288" t="s">
        <v>5174</v>
      </c>
      <c r="AR2051" s="277">
        <v>44936.472222222219</v>
      </c>
      <c r="AS2051" s="272" t="s">
        <v>173</v>
      </c>
      <c r="AT2051" s="288" t="s">
        <v>225</v>
      </c>
      <c r="AU2051" s="276">
        <v>0.47222222222222227</v>
      </c>
      <c r="AV2051" s="288">
        <v>1</v>
      </c>
      <c r="AW2051" s="288" t="s">
        <v>66</v>
      </c>
      <c r="AX2051" s="314"/>
      <c r="AY2051" s="314"/>
      <c r="AZ2051" s="314"/>
      <c r="BA2051" s="314"/>
    </row>
    <row r="2052" spans="1:53" s="301" customFormat="1" x14ac:dyDescent="0.25">
      <c r="A2052" s="312">
        <v>94</v>
      </c>
      <c r="B2052" s="311">
        <v>44933.680555555555</v>
      </c>
      <c r="C2052" s="308">
        <v>0.68402777777777779</v>
      </c>
      <c r="D2052" s="308">
        <v>0.69791666666666663</v>
      </c>
      <c r="E2052" s="308">
        <v>0.78125</v>
      </c>
      <c r="F2052" s="309" t="s">
        <v>170</v>
      </c>
      <c r="G2052" s="309" t="s">
        <v>5047</v>
      </c>
      <c r="H2052" s="307" t="s">
        <v>356</v>
      </c>
      <c r="I2052" s="307" t="s">
        <v>40</v>
      </c>
      <c r="J2052" s="309" t="s">
        <v>41</v>
      </c>
      <c r="K2052" s="307" t="s">
        <v>63</v>
      </c>
      <c r="L2052" s="307">
        <v>0</v>
      </c>
      <c r="M2052" s="309" t="s">
        <v>5064</v>
      </c>
      <c r="N2052" s="309" t="s">
        <v>42</v>
      </c>
      <c r="O2052" s="309">
        <v>8275002324</v>
      </c>
      <c r="P2052" s="309">
        <v>4513631156</v>
      </c>
      <c r="Q2052" s="303">
        <f t="shared" si="326"/>
        <v>1</v>
      </c>
      <c r="R2052" s="303">
        <f t="shared" si="327"/>
        <v>285</v>
      </c>
      <c r="S2052" s="309">
        <v>0</v>
      </c>
      <c r="T2052" s="309">
        <v>0</v>
      </c>
      <c r="U2052" s="309">
        <v>1</v>
      </c>
      <c r="V2052" s="309">
        <v>285</v>
      </c>
      <c r="W2052" s="309">
        <v>221</v>
      </c>
      <c r="X2052" s="309">
        <v>80</v>
      </c>
      <c r="Y2052" s="309">
        <v>59</v>
      </c>
      <c r="Z2052" s="309">
        <v>90</v>
      </c>
      <c r="AA2052" s="309">
        <v>1</v>
      </c>
      <c r="AB2052" s="307">
        <f t="shared" si="324"/>
        <v>70.8</v>
      </c>
      <c r="AC2052" s="307">
        <f t="shared" si="325"/>
        <v>0.42650602409638555</v>
      </c>
      <c r="AD2052" s="309">
        <v>1486</v>
      </c>
      <c r="AE2052" s="309" t="s">
        <v>109</v>
      </c>
      <c r="AF2052" s="309" t="s">
        <v>317</v>
      </c>
      <c r="AG2052" s="309" t="s">
        <v>317</v>
      </c>
      <c r="AH2052" s="309" t="s">
        <v>5065</v>
      </c>
      <c r="AI2052" s="309"/>
      <c r="AJ2052" s="309"/>
      <c r="AK2052" s="309" t="s">
        <v>37</v>
      </c>
      <c r="AL2052" s="309" t="s">
        <v>49</v>
      </c>
      <c r="AM2052" s="299">
        <f t="shared" ca="1" si="295"/>
        <v>2.7916666666642413</v>
      </c>
      <c r="AN2052" s="313"/>
      <c r="AO2052" s="288" t="s">
        <v>120</v>
      </c>
      <c r="AP2052" s="275" t="s">
        <v>5064</v>
      </c>
      <c r="AQ2052" s="288" t="s">
        <v>5174</v>
      </c>
      <c r="AR2052" s="277">
        <v>44936.472222222219</v>
      </c>
      <c r="AS2052" s="272" t="s">
        <v>173</v>
      </c>
      <c r="AT2052" s="288" t="s">
        <v>225</v>
      </c>
      <c r="AU2052" s="276">
        <v>0.47222222222222227</v>
      </c>
      <c r="AV2052" s="288">
        <v>1</v>
      </c>
      <c r="AW2052" s="288" t="s">
        <v>66</v>
      </c>
      <c r="AX2052" s="314"/>
      <c r="AY2052" s="314"/>
      <c r="AZ2052" s="314"/>
      <c r="BA2052" s="314"/>
    </row>
    <row r="2053" spans="1:53" s="301" customFormat="1" x14ac:dyDescent="0.25">
      <c r="A2053" s="312">
        <v>95</v>
      </c>
      <c r="B2053" s="311">
        <v>44933.677083333336</v>
      </c>
      <c r="C2053" s="308">
        <v>0.68055555555555547</v>
      </c>
      <c r="D2053" s="308">
        <v>0.69791666666666663</v>
      </c>
      <c r="E2053" s="308">
        <v>0.78125</v>
      </c>
      <c r="F2053" s="309" t="s">
        <v>169</v>
      </c>
      <c r="G2053" s="309" t="s">
        <v>5066</v>
      </c>
      <c r="H2053" s="307" t="s">
        <v>129</v>
      </c>
      <c r="I2053" s="307" t="s">
        <v>40</v>
      </c>
      <c r="J2053" s="307" t="s">
        <v>37</v>
      </c>
      <c r="K2053" s="307" t="s">
        <v>63</v>
      </c>
      <c r="L2053" s="307" t="s">
        <v>221</v>
      </c>
      <c r="M2053" s="309" t="s">
        <v>5067</v>
      </c>
      <c r="N2053" s="309" t="s">
        <v>42</v>
      </c>
      <c r="O2053" s="309" t="s">
        <v>5068</v>
      </c>
      <c r="P2053" s="309">
        <v>4513563662</v>
      </c>
      <c r="Q2053" s="303">
        <f t="shared" si="326"/>
        <v>10</v>
      </c>
      <c r="R2053" s="303">
        <f t="shared" si="327"/>
        <v>6330</v>
      </c>
      <c r="S2053" s="309">
        <v>0</v>
      </c>
      <c r="T2053" s="309">
        <v>0</v>
      </c>
      <c r="U2053" s="309">
        <v>10</v>
      </c>
      <c r="V2053" s="309">
        <f>633+637+635+631+623+636+637+633+631+634</f>
        <v>6330</v>
      </c>
      <c r="W2053" s="309">
        <v>13045</v>
      </c>
      <c r="X2053" s="309">
        <v>100</v>
      </c>
      <c r="Y2053" s="309">
        <v>76</v>
      </c>
      <c r="Z2053" s="309">
        <v>76</v>
      </c>
      <c r="AA2053" s="309">
        <v>10</v>
      </c>
      <c r="AB2053" s="307">
        <f t="shared" si="324"/>
        <v>962.66666666666663</v>
      </c>
      <c r="AC2053" s="307">
        <f t="shared" si="325"/>
        <v>5.7991967871485945</v>
      </c>
      <c r="AD2053" s="309">
        <v>75687.55</v>
      </c>
      <c r="AE2053" s="309" t="s">
        <v>109</v>
      </c>
      <c r="AF2053" s="309" t="s">
        <v>317</v>
      </c>
      <c r="AG2053" s="309" t="s">
        <v>317</v>
      </c>
      <c r="AH2053" s="309" t="s">
        <v>5069</v>
      </c>
      <c r="AI2053" s="309"/>
      <c r="AJ2053" s="309"/>
      <c r="AK2053" s="309" t="s">
        <v>37</v>
      </c>
      <c r="AL2053" s="309" t="s">
        <v>49</v>
      </c>
      <c r="AM2053" s="299">
        <f t="shared" ca="1" si="295"/>
        <v>1.8784722222189885</v>
      </c>
      <c r="AN2053" s="313"/>
      <c r="AO2053" s="288" t="s">
        <v>120</v>
      </c>
      <c r="AP2053" s="275" t="s">
        <v>5067</v>
      </c>
      <c r="AQ2053" s="288" t="s">
        <v>5122</v>
      </c>
      <c r="AR2053" s="277">
        <v>44935.555555555555</v>
      </c>
      <c r="AS2053" s="272" t="s">
        <v>5123</v>
      </c>
      <c r="AT2053" s="288" t="s">
        <v>225</v>
      </c>
      <c r="AU2053" s="276">
        <v>0.55555555555555558</v>
      </c>
      <c r="AV2053" s="288">
        <v>1</v>
      </c>
      <c r="AW2053" s="288" t="s">
        <v>66</v>
      </c>
      <c r="AX2053" s="314"/>
      <c r="AY2053" s="314"/>
      <c r="AZ2053" s="314"/>
      <c r="BA2053" s="314"/>
    </row>
    <row r="2054" spans="1:53" s="301" customFormat="1" x14ac:dyDescent="0.25">
      <c r="A2054" s="312">
        <v>96</v>
      </c>
      <c r="B2054" s="311">
        <v>44933.71875</v>
      </c>
      <c r="C2054" s="308">
        <v>0.72222222222222221</v>
      </c>
      <c r="D2054" s="308">
        <v>0.72569444444444453</v>
      </c>
      <c r="E2054" s="308">
        <v>0.76388888888888884</v>
      </c>
      <c r="F2054" s="309" t="s">
        <v>171</v>
      </c>
      <c r="G2054" s="309" t="s">
        <v>136</v>
      </c>
      <c r="H2054" s="307" t="s">
        <v>91</v>
      </c>
      <c r="I2054" s="307" t="s">
        <v>318</v>
      </c>
      <c r="J2054" s="307" t="s">
        <v>41</v>
      </c>
      <c r="K2054" s="307" t="s">
        <v>180</v>
      </c>
      <c r="L2054" s="307" t="s">
        <v>206</v>
      </c>
      <c r="M2054" s="309" t="s">
        <v>5070</v>
      </c>
      <c r="N2054" s="309" t="s">
        <v>44</v>
      </c>
      <c r="O2054" s="309">
        <v>1054970232</v>
      </c>
      <c r="P2054" s="309">
        <v>1214103929</v>
      </c>
      <c r="Q2054" s="303">
        <f t="shared" si="326"/>
        <v>3</v>
      </c>
      <c r="R2054" s="303">
        <f t="shared" si="327"/>
        <v>665</v>
      </c>
      <c r="S2054" s="309">
        <v>0</v>
      </c>
      <c r="T2054" s="309">
        <v>0</v>
      </c>
      <c r="U2054" s="309">
        <v>3</v>
      </c>
      <c r="V2054" s="309">
        <v>665</v>
      </c>
      <c r="W2054" s="309">
        <v>644</v>
      </c>
      <c r="X2054" s="309">
        <v>120</v>
      </c>
      <c r="Y2054" s="309">
        <v>80</v>
      </c>
      <c r="Z2054" s="309">
        <v>78</v>
      </c>
      <c r="AA2054" s="309">
        <v>3</v>
      </c>
      <c r="AB2054" s="307">
        <f t="shared" si="324"/>
        <v>374.4</v>
      </c>
      <c r="AC2054" s="307">
        <f t="shared" si="325"/>
        <v>2.2554216867469878</v>
      </c>
      <c r="AD2054" s="309">
        <v>37221.33</v>
      </c>
      <c r="AE2054" s="309" t="s">
        <v>109</v>
      </c>
      <c r="AF2054" s="309">
        <v>6780470</v>
      </c>
      <c r="AG2054" s="309" t="s">
        <v>5071</v>
      </c>
      <c r="AH2054" s="309" t="s">
        <v>5072</v>
      </c>
      <c r="AI2054" s="309"/>
      <c r="AJ2054" s="309"/>
      <c r="AK2054" s="309" t="s">
        <v>37</v>
      </c>
      <c r="AL2054" s="309" t="s">
        <v>54</v>
      </c>
      <c r="AM2054" s="299">
        <f t="shared" ca="1" si="295"/>
        <v>2.9131944444452529</v>
      </c>
      <c r="AN2054" s="313"/>
      <c r="AO2054" s="288" t="s">
        <v>323</v>
      </c>
      <c r="AP2054" s="275" t="s">
        <v>5070</v>
      </c>
      <c r="AQ2054" s="288" t="s">
        <v>5185</v>
      </c>
      <c r="AR2054" s="277">
        <v>44936.631944444445</v>
      </c>
      <c r="AS2054" s="272" t="s">
        <v>173</v>
      </c>
      <c r="AT2054" s="288" t="s">
        <v>225</v>
      </c>
      <c r="AU2054" s="276">
        <v>0.63194444444444442</v>
      </c>
      <c r="AV2054" s="288">
        <v>2</v>
      </c>
      <c r="AW2054" s="288" t="s">
        <v>66</v>
      </c>
      <c r="AX2054" s="314"/>
      <c r="AY2054" s="314"/>
      <c r="AZ2054" s="314"/>
      <c r="BA2054" s="314"/>
    </row>
    <row r="2055" spans="1:53" s="301" customFormat="1" x14ac:dyDescent="0.25">
      <c r="A2055" s="312">
        <v>97</v>
      </c>
      <c r="B2055" s="311">
        <v>44933.75</v>
      </c>
      <c r="C2055" s="308">
        <v>0.75347222222222221</v>
      </c>
      <c r="D2055" s="308">
        <v>0.75694444444444453</v>
      </c>
      <c r="E2055" s="308">
        <v>0.78472222222222221</v>
      </c>
      <c r="F2055" s="309" t="s">
        <v>170</v>
      </c>
      <c r="G2055" s="309" t="s">
        <v>276</v>
      </c>
      <c r="H2055" s="307" t="s">
        <v>57</v>
      </c>
      <c r="I2055" s="307" t="s">
        <v>162</v>
      </c>
      <c r="J2055" s="307" t="s">
        <v>37</v>
      </c>
      <c r="K2055" s="307" t="s">
        <v>63</v>
      </c>
      <c r="L2055" s="307" t="s">
        <v>209</v>
      </c>
      <c r="M2055" s="309" t="s">
        <v>5073</v>
      </c>
      <c r="N2055" s="309" t="s">
        <v>158</v>
      </c>
      <c r="O2055" s="309" t="s">
        <v>5074</v>
      </c>
      <c r="P2055" s="309">
        <v>81990446</v>
      </c>
      <c r="Q2055" s="303">
        <f t="shared" si="326"/>
        <v>2</v>
      </c>
      <c r="R2055" s="303">
        <f t="shared" si="327"/>
        <v>662</v>
      </c>
      <c r="S2055" s="309">
        <v>0</v>
      </c>
      <c r="T2055" s="309">
        <v>0</v>
      </c>
      <c r="U2055" s="309">
        <v>2</v>
      </c>
      <c r="V2055" s="309">
        <v>662</v>
      </c>
      <c r="W2055" s="309">
        <v>656</v>
      </c>
      <c r="X2055" s="309">
        <v>83</v>
      </c>
      <c r="Y2055" s="309">
        <v>83</v>
      </c>
      <c r="Z2055" s="309">
        <v>92</v>
      </c>
      <c r="AA2055" s="309">
        <v>2</v>
      </c>
      <c r="AB2055" s="307">
        <f t="shared" si="324"/>
        <v>211.26266666666666</v>
      </c>
      <c r="AC2055" s="307">
        <f t="shared" si="325"/>
        <v>1.2726666666666666</v>
      </c>
      <c r="AD2055" s="309">
        <v>3185.56</v>
      </c>
      <c r="AE2055" s="309" t="s">
        <v>109</v>
      </c>
      <c r="AF2055" s="309" t="s">
        <v>317</v>
      </c>
      <c r="AG2055" s="309" t="s">
        <v>317</v>
      </c>
      <c r="AH2055" s="309" t="s">
        <v>5075</v>
      </c>
      <c r="AI2055" s="309"/>
      <c r="AJ2055" s="309"/>
      <c r="AK2055" s="309" t="s">
        <v>37</v>
      </c>
      <c r="AL2055" s="309" t="s">
        <v>39</v>
      </c>
      <c r="AM2055" s="299">
        <f t="shared" ca="1" si="295"/>
        <v>2.8819444444452529</v>
      </c>
      <c r="AN2055" s="313"/>
      <c r="AO2055" s="288" t="s">
        <v>159</v>
      </c>
      <c r="AP2055" s="275" t="s">
        <v>5073</v>
      </c>
      <c r="AQ2055" s="288" t="s">
        <v>5186</v>
      </c>
      <c r="AR2055" s="277">
        <v>44936.631944444445</v>
      </c>
      <c r="AS2055" s="272" t="s">
        <v>173</v>
      </c>
      <c r="AT2055" s="288" t="s">
        <v>225</v>
      </c>
      <c r="AU2055" s="276">
        <v>0.63194444444444442</v>
      </c>
      <c r="AV2055" s="288">
        <v>2</v>
      </c>
      <c r="AW2055" s="288" t="s">
        <v>66</v>
      </c>
      <c r="AX2055" s="314"/>
      <c r="AY2055" s="314"/>
      <c r="AZ2055" s="314"/>
      <c r="BA2055" s="314"/>
    </row>
    <row r="2056" spans="1:53" s="301" customFormat="1" x14ac:dyDescent="0.25">
      <c r="A2056" s="312">
        <v>98</v>
      </c>
      <c r="B2056" s="311">
        <v>44933.75</v>
      </c>
      <c r="C2056" s="308">
        <v>0.75347222222222221</v>
      </c>
      <c r="D2056" s="308">
        <v>0.75694444444444453</v>
      </c>
      <c r="E2056" s="308">
        <v>0.78472222222222221</v>
      </c>
      <c r="F2056" s="309" t="s">
        <v>170</v>
      </c>
      <c r="G2056" s="309" t="s">
        <v>276</v>
      </c>
      <c r="H2056" s="307" t="s">
        <v>57</v>
      </c>
      <c r="I2056" s="307" t="s">
        <v>162</v>
      </c>
      <c r="J2056" s="307" t="s">
        <v>37</v>
      </c>
      <c r="K2056" s="307" t="s">
        <v>63</v>
      </c>
      <c r="L2056" s="307" t="s">
        <v>209</v>
      </c>
      <c r="M2056" s="309" t="s">
        <v>5076</v>
      </c>
      <c r="N2056" s="309" t="s">
        <v>154</v>
      </c>
      <c r="O2056" s="309" t="s">
        <v>5077</v>
      </c>
      <c r="P2056" s="309">
        <v>81992976</v>
      </c>
      <c r="Q2056" s="303">
        <f t="shared" si="326"/>
        <v>2</v>
      </c>
      <c r="R2056" s="303">
        <f t="shared" si="327"/>
        <v>143</v>
      </c>
      <c r="S2056" s="309">
        <v>0</v>
      </c>
      <c r="T2056" s="309">
        <v>0</v>
      </c>
      <c r="U2056" s="309">
        <v>2</v>
      </c>
      <c r="V2056" s="309">
        <v>143</v>
      </c>
      <c r="W2056" s="309">
        <v>148</v>
      </c>
      <c r="X2056" s="309">
        <v>80</v>
      </c>
      <c r="Y2056" s="309">
        <v>59</v>
      </c>
      <c r="Z2056" s="309">
        <v>68</v>
      </c>
      <c r="AA2056" s="309">
        <v>2</v>
      </c>
      <c r="AB2056" s="307">
        <f t="shared" si="324"/>
        <v>106.98666666666666</v>
      </c>
      <c r="AC2056" s="307">
        <f t="shared" si="325"/>
        <v>0.6444979919678715</v>
      </c>
      <c r="AD2056" s="309">
        <v>11004.12</v>
      </c>
      <c r="AE2056" s="309" t="s">
        <v>109</v>
      </c>
      <c r="AF2056" s="309" t="s">
        <v>317</v>
      </c>
      <c r="AG2056" s="309" t="s">
        <v>317</v>
      </c>
      <c r="AH2056" s="309" t="s">
        <v>5078</v>
      </c>
      <c r="AI2056" s="309"/>
      <c r="AJ2056" s="309"/>
      <c r="AK2056" s="309" t="s">
        <v>37</v>
      </c>
      <c r="AL2056" s="309" t="s">
        <v>39</v>
      </c>
      <c r="AM2056" s="299">
        <f t="shared" ca="1" si="295"/>
        <v>2.75</v>
      </c>
      <c r="AN2056" s="313"/>
      <c r="AO2056" s="288" t="s">
        <v>150</v>
      </c>
      <c r="AP2056" s="275" t="s">
        <v>5076</v>
      </c>
      <c r="AQ2056" s="288" t="s">
        <v>5183</v>
      </c>
      <c r="AR2056" s="277">
        <v>44936.5</v>
      </c>
      <c r="AS2056" s="272" t="s">
        <v>136</v>
      </c>
      <c r="AT2056" s="288" t="s">
        <v>225</v>
      </c>
      <c r="AU2056" s="276">
        <v>0.5</v>
      </c>
      <c r="AV2056" s="288">
        <v>1</v>
      </c>
      <c r="AW2056" s="288" t="s">
        <v>66</v>
      </c>
      <c r="AX2056" s="314"/>
      <c r="AY2056" s="314"/>
      <c r="AZ2056" s="314"/>
      <c r="BA2056" s="314"/>
    </row>
    <row r="2057" spans="1:53" s="301" customFormat="1" x14ac:dyDescent="0.25">
      <c r="A2057" s="312">
        <v>99</v>
      </c>
      <c r="B2057" s="311">
        <v>44933.75</v>
      </c>
      <c r="C2057" s="308">
        <v>0.75347222222222221</v>
      </c>
      <c r="D2057" s="308">
        <v>0.75694444444444453</v>
      </c>
      <c r="E2057" s="308">
        <v>0.78472222222222221</v>
      </c>
      <c r="F2057" s="309" t="s">
        <v>170</v>
      </c>
      <c r="G2057" s="309" t="s">
        <v>276</v>
      </c>
      <c r="H2057" s="307" t="s">
        <v>459</v>
      </c>
      <c r="I2057" s="307" t="s">
        <v>5079</v>
      </c>
      <c r="J2057" s="307" t="s">
        <v>37</v>
      </c>
      <c r="K2057" s="307" t="s">
        <v>63</v>
      </c>
      <c r="L2057" s="293" t="s">
        <v>206</v>
      </c>
      <c r="M2057" s="309" t="s">
        <v>5080</v>
      </c>
      <c r="N2057" s="309" t="s">
        <v>64</v>
      </c>
      <c r="O2057" s="309">
        <v>516</v>
      </c>
      <c r="P2057" s="309">
        <v>4418202637</v>
      </c>
      <c r="Q2057" s="303">
        <f t="shared" si="326"/>
        <v>1</v>
      </c>
      <c r="R2057" s="303">
        <f t="shared" si="327"/>
        <v>301</v>
      </c>
      <c r="S2057" s="309">
        <v>0</v>
      </c>
      <c r="T2057" s="309">
        <v>0</v>
      </c>
      <c r="U2057" s="309">
        <v>1</v>
      </c>
      <c r="V2057" s="309">
        <v>301</v>
      </c>
      <c r="W2057" s="309">
        <v>296</v>
      </c>
      <c r="X2057" s="309">
        <v>70</v>
      </c>
      <c r="Y2057" s="309">
        <v>69</v>
      </c>
      <c r="Z2057" s="309">
        <v>60</v>
      </c>
      <c r="AA2057" s="309">
        <v>1</v>
      </c>
      <c r="AB2057" s="307">
        <f t="shared" si="324"/>
        <v>48.3</v>
      </c>
      <c r="AC2057" s="307">
        <f t="shared" si="325"/>
        <v>0.29096385542168673</v>
      </c>
      <c r="AD2057" s="309">
        <v>2017.38</v>
      </c>
      <c r="AE2057" s="309" t="s">
        <v>111</v>
      </c>
      <c r="AF2057" s="309" t="s">
        <v>317</v>
      </c>
      <c r="AG2057" s="309" t="s">
        <v>317</v>
      </c>
      <c r="AH2057" s="309" t="s">
        <v>5081</v>
      </c>
      <c r="AI2057" s="309"/>
      <c r="AJ2057" s="309"/>
      <c r="AK2057" s="309" t="s">
        <v>41</v>
      </c>
      <c r="AL2057" s="309" t="s">
        <v>39</v>
      </c>
      <c r="AM2057" s="299">
        <f t="shared" ca="1" si="295"/>
        <v>2.75</v>
      </c>
      <c r="AN2057" s="313"/>
      <c r="AO2057" s="288" t="s">
        <v>77</v>
      </c>
      <c r="AP2057" s="275" t="s">
        <v>5080</v>
      </c>
      <c r="AQ2057" s="288" t="s">
        <v>5179</v>
      </c>
      <c r="AR2057" s="277">
        <v>44936.5</v>
      </c>
      <c r="AS2057" s="272" t="s">
        <v>136</v>
      </c>
      <c r="AT2057" s="288" t="s">
        <v>225</v>
      </c>
      <c r="AU2057" s="276">
        <v>0.5</v>
      </c>
      <c r="AV2057" s="288">
        <v>1</v>
      </c>
      <c r="AW2057" s="288" t="s">
        <v>66</v>
      </c>
      <c r="AX2057" s="314"/>
      <c r="AY2057" s="314"/>
      <c r="AZ2057" s="314"/>
      <c r="BA2057" s="314"/>
    </row>
    <row r="2058" spans="1:53" s="301" customFormat="1" x14ac:dyDescent="0.25">
      <c r="A2058" s="312">
        <v>100</v>
      </c>
      <c r="B2058" s="311">
        <v>44933.75</v>
      </c>
      <c r="C2058" s="308">
        <v>0.75347222222222221</v>
      </c>
      <c r="D2058" s="308">
        <v>0.75694444444444453</v>
      </c>
      <c r="E2058" s="308">
        <v>0.78472222222222221</v>
      </c>
      <c r="F2058" s="309" t="s">
        <v>170</v>
      </c>
      <c r="G2058" s="309" t="s">
        <v>276</v>
      </c>
      <c r="H2058" s="307" t="s">
        <v>187</v>
      </c>
      <c r="I2058" s="307" t="s">
        <v>153</v>
      </c>
      <c r="J2058" s="307" t="s">
        <v>37</v>
      </c>
      <c r="K2058" s="309" t="s">
        <v>63</v>
      </c>
      <c r="L2058" s="309" t="s">
        <v>212</v>
      </c>
      <c r="M2058" s="309" t="s">
        <v>5082</v>
      </c>
      <c r="N2058" s="309" t="s">
        <v>42</v>
      </c>
      <c r="O2058" s="309">
        <v>21222231718</v>
      </c>
      <c r="P2058" s="309">
        <v>5052014984</v>
      </c>
      <c r="Q2058" s="303">
        <f t="shared" si="326"/>
        <v>1</v>
      </c>
      <c r="R2058" s="303">
        <f t="shared" si="327"/>
        <v>44</v>
      </c>
      <c r="S2058" s="309">
        <v>0</v>
      </c>
      <c r="T2058" s="309">
        <v>0</v>
      </c>
      <c r="U2058" s="309">
        <v>1</v>
      </c>
      <c r="V2058" s="309">
        <v>44</v>
      </c>
      <c r="W2058" s="309">
        <v>43.103999999999999</v>
      </c>
      <c r="X2058" s="309">
        <v>80</v>
      </c>
      <c r="Y2058" s="309">
        <v>60</v>
      </c>
      <c r="Z2058" s="309">
        <v>45</v>
      </c>
      <c r="AA2058" s="309">
        <v>1</v>
      </c>
      <c r="AB2058" s="307">
        <f t="shared" si="324"/>
        <v>36</v>
      </c>
      <c r="AC2058" s="307">
        <f t="shared" si="325"/>
        <v>0.21686746987951808</v>
      </c>
      <c r="AD2058" s="309">
        <v>8180</v>
      </c>
      <c r="AE2058" s="309" t="s">
        <v>109</v>
      </c>
      <c r="AF2058" s="309" t="s">
        <v>317</v>
      </c>
      <c r="AG2058" s="309" t="s">
        <v>317</v>
      </c>
      <c r="AH2058" s="309" t="s">
        <v>5083</v>
      </c>
      <c r="AI2058" s="309"/>
      <c r="AJ2058" s="309"/>
      <c r="AK2058" s="309" t="s">
        <v>41</v>
      </c>
      <c r="AL2058" s="309" t="s">
        <v>39</v>
      </c>
      <c r="AM2058" s="299">
        <f t="shared" ca="1" si="295"/>
        <v>2.7222222222189885</v>
      </c>
      <c r="AN2058" s="313"/>
      <c r="AO2058" s="288" t="s">
        <v>120</v>
      </c>
      <c r="AP2058" s="275" t="s">
        <v>5082</v>
      </c>
      <c r="AQ2058" s="288" t="s">
        <v>5174</v>
      </c>
      <c r="AR2058" s="277">
        <v>44936.472222222219</v>
      </c>
      <c r="AS2058" s="272" t="s">
        <v>173</v>
      </c>
      <c r="AT2058" s="288" t="s">
        <v>225</v>
      </c>
      <c r="AU2058" s="276">
        <v>0.47222222222222227</v>
      </c>
      <c r="AV2058" s="288">
        <v>1</v>
      </c>
      <c r="AW2058" s="288" t="s">
        <v>66</v>
      </c>
      <c r="AX2058" s="314"/>
      <c r="AY2058" s="314"/>
      <c r="AZ2058" s="314"/>
      <c r="BA2058" s="314"/>
    </row>
    <row r="2059" spans="1:53" s="301" customFormat="1" x14ac:dyDescent="0.25">
      <c r="A2059" s="312">
        <v>101</v>
      </c>
      <c r="B2059" s="311">
        <v>44933.75</v>
      </c>
      <c r="C2059" s="308">
        <v>0.75347222222222221</v>
      </c>
      <c r="D2059" s="308">
        <v>0.75694444444444453</v>
      </c>
      <c r="E2059" s="308">
        <v>0.78472222222222221</v>
      </c>
      <c r="F2059" s="309" t="s">
        <v>170</v>
      </c>
      <c r="G2059" s="309" t="s">
        <v>276</v>
      </c>
      <c r="H2059" s="307" t="s">
        <v>187</v>
      </c>
      <c r="I2059" s="307" t="s">
        <v>153</v>
      </c>
      <c r="J2059" s="307" t="s">
        <v>37</v>
      </c>
      <c r="K2059" s="309" t="s">
        <v>63</v>
      </c>
      <c r="L2059" s="309" t="s">
        <v>212</v>
      </c>
      <c r="M2059" s="309" t="s">
        <v>5082</v>
      </c>
      <c r="N2059" s="309" t="s">
        <v>42</v>
      </c>
      <c r="O2059" s="309">
        <v>21222231769</v>
      </c>
      <c r="P2059" s="309">
        <v>5052030297</v>
      </c>
      <c r="Q2059" s="303">
        <f t="shared" si="326"/>
        <v>2</v>
      </c>
      <c r="R2059" s="303">
        <f t="shared" si="327"/>
        <v>450</v>
      </c>
      <c r="S2059" s="309">
        <v>0</v>
      </c>
      <c r="T2059" s="309">
        <v>0</v>
      </c>
      <c r="U2059" s="309">
        <v>2</v>
      </c>
      <c r="V2059" s="309">
        <v>450</v>
      </c>
      <c r="W2059" s="309">
        <v>480</v>
      </c>
      <c r="X2059" s="309">
        <v>93</v>
      </c>
      <c r="Y2059" s="309">
        <v>93</v>
      </c>
      <c r="Z2059" s="309">
        <v>63</v>
      </c>
      <c r="AA2059" s="309">
        <v>2</v>
      </c>
      <c r="AB2059" s="307">
        <f t="shared" si="324"/>
        <v>181.62899999999999</v>
      </c>
      <c r="AC2059" s="307">
        <f t="shared" si="325"/>
        <v>1.0941506024096386</v>
      </c>
      <c r="AD2059" s="309">
        <v>1789.36</v>
      </c>
      <c r="AE2059" s="309" t="s">
        <v>109</v>
      </c>
      <c r="AF2059" s="309" t="s">
        <v>317</v>
      </c>
      <c r="AG2059" s="309" t="s">
        <v>317</v>
      </c>
      <c r="AH2059" s="309" t="s">
        <v>5084</v>
      </c>
      <c r="AI2059" s="309"/>
      <c r="AJ2059" s="309"/>
      <c r="AK2059" s="309" t="s">
        <v>41</v>
      </c>
      <c r="AL2059" s="309" t="s">
        <v>39</v>
      </c>
      <c r="AM2059" s="299">
        <f t="shared" ca="1" si="295"/>
        <v>2.7222222222189885</v>
      </c>
      <c r="AN2059" s="313"/>
      <c r="AO2059" s="288" t="s">
        <v>120</v>
      </c>
      <c r="AP2059" s="275" t="s">
        <v>5082</v>
      </c>
      <c r="AQ2059" s="288" t="s">
        <v>5174</v>
      </c>
      <c r="AR2059" s="277">
        <v>44936.472222222219</v>
      </c>
      <c r="AS2059" s="272" t="s">
        <v>173</v>
      </c>
      <c r="AT2059" s="288" t="s">
        <v>225</v>
      </c>
      <c r="AU2059" s="276">
        <v>0.47222222222222227</v>
      </c>
      <c r="AV2059" s="288">
        <v>1</v>
      </c>
      <c r="AW2059" s="288" t="s">
        <v>66</v>
      </c>
      <c r="AX2059" s="314"/>
      <c r="AY2059" s="314"/>
      <c r="AZ2059" s="314"/>
      <c r="BA2059" s="314"/>
    </row>
    <row r="2060" spans="1:53" s="301" customFormat="1" x14ac:dyDescent="0.25">
      <c r="A2060" s="312">
        <v>102</v>
      </c>
      <c r="B2060" s="311">
        <v>44933.75</v>
      </c>
      <c r="C2060" s="308">
        <v>0.75347222222222221</v>
      </c>
      <c r="D2060" s="308">
        <v>0.75694444444444453</v>
      </c>
      <c r="E2060" s="308">
        <v>0.78472222222222221</v>
      </c>
      <c r="F2060" s="309" t="s">
        <v>170</v>
      </c>
      <c r="G2060" s="309" t="s">
        <v>276</v>
      </c>
      <c r="H2060" s="307" t="s">
        <v>187</v>
      </c>
      <c r="I2060" s="307" t="s">
        <v>153</v>
      </c>
      <c r="J2060" s="307" t="s">
        <v>37</v>
      </c>
      <c r="K2060" s="309" t="s">
        <v>63</v>
      </c>
      <c r="L2060" s="309" t="s">
        <v>212</v>
      </c>
      <c r="M2060" s="309" t="s">
        <v>5082</v>
      </c>
      <c r="N2060" s="309" t="s">
        <v>42</v>
      </c>
      <c r="O2060" s="309">
        <v>21222231714</v>
      </c>
      <c r="P2060" s="309">
        <v>5052005041</v>
      </c>
      <c r="Q2060" s="303">
        <f t="shared" si="326"/>
        <v>1</v>
      </c>
      <c r="R2060" s="303">
        <f t="shared" si="327"/>
        <v>5</v>
      </c>
      <c r="S2060" s="309">
        <v>1</v>
      </c>
      <c r="T2060" s="309">
        <v>5</v>
      </c>
      <c r="U2060" s="309">
        <v>0</v>
      </c>
      <c r="V2060" s="309">
        <v>0</v>
      </c>
      <c r="W2060" s="309">
        <v>4.75</v>
      </c>
      <c r="X2060" s="309">
        <v>32</v>
      </c>
      <c r="Y2060" s="309">
        <v>31</v>
      </c>
      <c r="Z2060" s="309">
        <v>21</v>
      </c>
      <c r="AA2060" s="309">
        <v>1</v>
      </c>
      <c r="AB2060" s="307">
        <f t="shared" si="324"/>
        <v>3.472</v>
      </c>
      <c r="AC2060" s="307">
        <f t="shared" si="325"/>
        <v>2.091566265060241E-2</v>
      </c>
      <c r="AD2060" s="309">
        <v>142.38999999999999</v>
      </c>
      <c r="AE2060" s="309" t="s">
        <v>109</v>
      </c>
      <c r="AF2060" s="309" t="s">
        <v>317</v>
      </c>
      <c r="AG2060" s="309" t="s">
        <v>317</v>
      </c>
      <c r="AH2060" s="309" t="s">
        <v>5085</v>
      </c>
      <c r="AI2060" s="309"/>
      <c r="AJ2060" s="309"/>
      <c r="AK2060" s="309" t="s">
        <v>48</v>
      </c>
      <c r="AL2060" s="309" t="s">
        <v>39</v>
      </c>
      <c r="AM2060" s="299">
        <f t="shared" ca="1" si="295"/>
        <v>2.7222222222189885</v>
      </c>
      <c r="AN2060" s="313"/>
      <c r="AO2060" s="288" t="s">
        <v>120</v>
      </c>
      <c r="AP2060" s="275" t="s">
        <v>5082</v>
      </c>
      <c r="AQ2060" s="288" t="s">
        <v>5174</v>
      </c>
      <c r="AR2060" s="277">
        <v>44936.472222222219</v>
      </c>
      <c r="AS2060" s="272" t="s">
        <v>173</v>
      </c>
      <c r="AT2060" s="288" t="s">
        <v>225</v>
      </c>
      <c r="AU2060" s="276">
        <v>0.47222222222222227</v>
      </c>
      <c r="AV2060" s="288">
        <v>1</v>
      </c>
      <c r="AW2060" s="288" t="s">
        <v>66</v>
      </c>
      <c r="AX2060" s="314"/>
      <c r="AY2060" s="314"/>
      <c r="AZ2060" s="314"/>
      <c r="BA2060" s="314"/>
    </row>
    <row r="2061" spans="1:53" s="301" customFormat="1" x14ac:dyDescent="0.25">
      <c r="A2061" s="312">
        <v>103</v>
      </c>
      <c r="B2061" s="311">
        <v>44933.75</v>
      </c>
      <c r="C2061" s="308">
        <v>0.75347222222222221</v>
      </c>
      <c r="D2061" s="308">
        <v>0.75694444444444453</v>
      </c>
      <c r="E2061" s="308">
        <v>0.78472222222222221</v>
      </c>
      <c r="F2061" s="309" t="s">
        <v>170</v>
      </c>
      <c r="G2061" s="309" t="s">
        <v>276</v>
      </c>
      <c r="H2061" s="307" t="s">
        <v>187</v>
      </c>
      <c r="I2061" s="307" t="s">
        <v>153</v>
      </c>
      <c r="J2061" s="307" t="s">
        <v>37</v>
      </c>
      <c r="K2061" s="309" t="s">
        <v>63</v>
      </c>
      <c r="L2061" s="309" t="s">
        <v>212</v>
      </c>
      <c r="M2061" s="309" t="s">
        <v>5082</v>
      </c>
      <c r="N2061" s="309" t="s">
        <v>42</v>
      </c>
      <c r="O2061" s="309">
        <v>21222231789</v>
      </c>
      <c r="P2061" s="309">
        <v>5052027153</v>
      </c>
      <c r="Q2061" s="303">
        <f t="shared" si="326"/>
        <v>1</v>
      </c>
      <c r="R2061" s="303">
        <f t="shared" si="327"/>
        <v>4</v>
      </c>
      <c r="S2061" s="309">
        <v>1</v>
      </c>
      <c r="T2061" s="309">
        <v>4</v>
      </c>
      <c r="U2061" s="309">
        <v>0</v>
      </c>
      <c r="V2061" s="309">
        <v>0</v>
      </c>
      <c r="W2061" s="309">
        <v>4.0999999999999996</v>
      </c>
      <c r="X2061" s="309">
        <v>31</v>
      </c>
      <c r="Y2061" s="309">
        <v>30</v>
      </c>
      <c r="Z2061" s="309">
        <v>21</v>
      </c>
      <c r="AA2061" s="309">
        <v>1</v>
      </c>
      <c r="AB2061" s="307">
        <f t="shared" si="324"/>
        <v>3.2549999999999999</v>
      </c>
      <c r="AC2061" s="307">
        <f t="shared" si="325"/>
        <v>1.960843373493976E-2</v>
      </c>
      <c r="AD2061" s="309">
        <v>133.25</v>
      </c>
      <c r="AE2061" s="309" t="s">
        <v>109</v>
      </c>
      <c r="AF2061" s="309" t="s">
        <v>317</v>
      </c>
      <c r="AG2061" s="309" t="s">
        <v>317</v>
      </c>
      <c r="AH2061" s="309" t="s">
        <v>5086</v>
      </c>
      <c r="AI2061" s="309"/>
      <c r="AJ2061" s="309"/>
      <c r="AK2061" s="309" t="s">
        <v>48</v>
      </c>
      <c r="AL2061" s="309" t="s">
        <v>39</v>
      </c>
      <c r="AM2061" s="299">
        <f t="shared" ca="1" si="295"/>
        <v>2.7222222222189885</v>
      </c>
      <c r="AN2061" s="313"/>
      <c r="AO2061" s="288" t="s">
        <v>120</v>
      </c>
      <c r="AP2061" s="275" t="s">
        <v>5082</v>
      </c>
      <c r="AQ2061" s="288" t="s">
        <v>5174</v>
      </c>
      <c r="AR2061" s="277">
        <v>44936.472222222219</v>
      </c>
      <c r="AS2061" s="272" t="s">
        <v>173</v>
      </c>
      <c r="AT2061" s="288" t="s">
        <v>225</v>
      </c>
      <c r="AU2061" s="276">
        <v>0.47222222222222227</v>
      </c>
      <c r="AV2061" s="288">
        <v>1</v>
      </c>
      <c r="AW2061" s="288" t="s">
        <v>66</v>
      </c>
      <c r="AX2061" s="314"/>
      <c r="AY2061" s="314"/>
      <c r="AZ2061" s="314"/>
      <c r="BA2061" s="314"/>
    </row>
    <row r="2062" spans="1:53" s="301" customFormat="1" x14ac:dyDescent="0.25">
      <c r="A2062" s="312">
        <v>104</v>
      </c>
      <c r="B2062" s="311">
        <v>44933.75</v>
      </c>
      <c r="C2062" s="308">
        <v>0.75347222222222221</v>
      </c>
      <c r="D2062" s="308">
        <v>0.75694444444444453</v>
      </c>
      <c r="E2062" s="308">
        <v>0.78472222222222221</v>
      </c>
      <c r="F2062" s="309" t="s">
        <v>170</v>
      </c>
      <c r="G2062" s="309" t="s">
        <v>276</v>
      </c>
      <c r="H2062" s="307" t="s">
        <v>187</v>
      </c>
      <c r="I2062" s="307" t="s">
        <v>153</v>
      </c>
      <c r="J2062" s="307" t="s">
        <v>37</v>
      </c>
      <c r="K2062" s="309" t="s">
        <v>63</v>
      </c>
      <c r="L2062" s="309" t="s">
        <v>212</v>
      </c>
      <c r="M2062" s="309" t="s">
        <v>5082</v>
      </c>
      <c r="N2062" s="309" t="s">
        <v>42</v>
      </c>
      <c r="O2062" s="309">
        <v>21222231715</v>
      </c>
      <c r="P2062" s="309">
        <v>5052008453</v>
      </c>
      <c r="Q2062" s="303">
        <f t="shared" si="326"/>
        <v>1</v>
      </c>
      <c r="R2062" s="303">
        <f t="shared" si="327"/>
        <v>2</v>
      </c>
      <c r="S2062" s="309">
        <v>1</v>
      </c>
      <c r="T2062" s="309">
        <v>2</v>
      </c>
      <c r="U2062" s="309">
        <v>0</v>
      </c>
      <c r="V2062" s="309">
        <v>0</v>
      </c>
      <c r="W2062" s="309">
        <v>2.1</v>
      </c>
      <c r="X2062" s="309">
        <v>27</v>
      </c>
      <c r="Y2062" s="309">
        <v>21</v>
      </c>
      <c r="Z2062" s="309">
        <v>18</v>
      </c>
      <c r="AA2062" s="309">
        <v>1</v>
      </c>
      <c r="AB2062" s="307">
        <f t="shared" si="324"/>
        <v>1.7010000000000001</v>
      </c>
      <c r="AC2062" s="307">
        <f t="shared" si="325"/>
        <v>1.0246987951807229E-2</v>
      </c>
      <c r="AD2062" s="309">
        <v>63.34</v>
      </c>
      <c r="AE2062" s="309" t="s">
        <v>109</v>
      </c>
      <c r="AF2062" s="309" t="s">
        <v>317</v>
      </c>
      <c r="AG2062" s="309" t="s">
        <v>317</v>
      </c>
      <c r="AH2062" s="309" t="s">
        <v>5087</v>
      </c>
      <c r="AI2062" s="309"/>
      <c r="AJ2062" s="309"/>
      <c r="AK2062" s="309" t="s">
        <v>48</v>
      </c>
      <c r="AL2062" s="309" t="s">
        <v>39</v>
      </c>
      <c r="AM2062" s="299">
        <f t="shared" ca="1" si="295"/>
        <v>2.7222222222189885</v>
      </c>
      <c r="AN2062" s="313"/>
      <c r="AO2062" s="288" t="s">
        <v>120</v>
      </c>
      <c r="AP2062" s="275" t="s">
        <v>5082</v>
      </c>
      <c r="AQ2062" s="288" t="s">
        <v>5174</v>
      </c>
      <c r="AR2062" s="277">
        <v>44936.472222222219</v>
      </c>
      <c r="AS2062" s="272" t="s">
        <v>173</v>
      </c>
      <c r="AT2062" s="288" t="s">
        <v>225</v>
      </c>
      <c r="AU2062" s="276">
        <v>0.47222222222222227</v>
      </c>
      <c r="AV2062" s="288">
        <v>1</v>
      </c>
      <c r="AW2062" s="288" t="s">
        <v>66</v>
      </c>
      <c r="AX2062" s="314"/>
      <c r="AY2062" s="314"/>
      <c r="AZ2062" s="314"/>
      <c r="BA2062" s="314"/>
    </row>
    <row r="2063" spans="1:53" s="301" customFormat="1" x14ac:dyDescent="0.25">
      <c r="A2063" s="312">
        <v>105</v>
      </c>
      <c r="B2063" s="311">
        <v>44933.75</v>
      </c>
      <c r="C2063" s="308">
        <v>0.75347222222222221</v>
      </c>
      <c r="D2063" s="308">
        <v>0.75694444444444453</v>
      </c>
      <c r="E2063" s="308">
        <v>0.78472222222222221</v>
      </c>
      <c r="F2063" s="309" t="s">
        <v>170</v>
      </c>
      <c r="G2063" s="309" t="s">
        <v>276</v>
      </c>
      <c r="H2063" s="307" t="s">
        <v>187</v>
      </c>
      <c r="I2063" s="307" t="s">
        <v>153</v>
      </c>
      <c r="J2063" s="307" t="s">
        <v>37</v>
      </c>
      <c r="K2063" s="309" t="s">
        <v>63</v>
      </c>
      <c r="L2063" s="309" t="s">
        <v>212</v>
      </c>
      <c r="M2063" s="309" t="s">
        <v>5082</v>
      </c>
      <c r="N2063" s="309" t="s">
        <v>42</v>
      </c>
      <c r="O2063" s="309">
        <v>21222231716</v>
      </c>
      <c r="P2063" s="309">
        <v>5052011021</v>
      </c>
      <c r="Q2063" s="303">
        <f t="shared" si="326"/>
        <v>1</v>
      </c>
      <c r="R2063" s="303">
        <f t="shared" si="327"/>
        <v>1</v>
      </c>
      <c r="S2063" s="309">
        <v>1</v>
      </c>
      <c r="T2063" s="309">
        <v>1</v>
      </c>
      <c r="U2063" s="309">
        <v>0</v>
      </c>
      <c r="V2063" s="309">
        <v>0</v>
      </c>
      <c r="W2063" s="309">
        <v>1.2</v>
      </c>
      <c r="X2063" s="309">
        <v>27</v>
      </c>
      <c r="Y2063" s="309">
        <v>21</v>
      </c>
      <c r="Z2063" s="309">
        <v>18</v>
      </c>
      <c r="AA2063" s="309">
        <v>1</v>
      </c>
      <c r="AB2063" s="307">
        <f t="shared" si="324"/>
        <v>1.7010000000000001</v>
      </c>
      <c r="AC2063" s="307">
        <f t="shared" si="325"/>
        <v>1.0246987951807229E-2</v>
      </c>
      <c r="AD2063" s="309">
        <v>31.67</v>
      </c>
      <c r="AE2063" s="309" t="s">
        <v>109</v>
      </c>
      <c r="AF2063" s="309" t="s">
        <v>317</v>
      </c>
      <c r="AG2063" s="309" t="s">
        <v>317</v>
      </c>
      <c r="AH2063" s="309" t="s">
        <v>5088</v>
      </c>
      <c r="AI2063" s="309"/>
      <c r="AJ2063" s="309"/>
      <c r="AK2063" s="309" t="s">
        <v>48</v>
      </c>
      <c r="AL2063" s="309" t="s">
        <v>39</v>
      </c>
      <c r="AM2063" s="299">
        <f t="shared" ca="1" si="295"/>
        <v>2.7222222222189885</v>
      </c>
      <c r="AN2063" s="313"/>
      <c r="AO2063" s="288" t="s">
        <v>120</v>
      </c>
      <c r="AP2063" s="275" t="s">
        <v>5082</v>
      </c>
      <c r="AQ2063" s="288" t="s">
        <v>5174</v>
      </c>
      <c r="AR2063" s="277">
        <v>44936.472222222219</v>
      </c>
      <c r="AS2063" s="272" t="s">
        <v>173</v>
      </c>
      <c r="AT2063" s="288" t="s">
        <v>225</v>
      </c>
      <c r="AU2063" s="276">
        <v>0.47222222222222227</v>
      </c>
      <c r="AV2063" s="288">
        <v>1</v>
      </c>
      <c r="AW2063" s="288" t="s">
        <v>66</v>
      </c>
      <c r="AX2063" s="314"/>
      <c r="AY2063" s="314"/>
      <c r="AZ2063" s="314"/>
      <c r="BA2063" s="314"/>
    </row>
    <row r="2064" spans="1:53" s="301" customFormat="1" x14ac:dyDescent="0.25">
      <c r="A2064" s="312">
        <v>106</v>
      </c>
      <c r="B2064" s="311">
        <v>44933.75</v>
      </c>
      <c r="C2064" s="308">
        <v>0.75347222222222221</v>
      </c>
      <c r="D2064" s="308">
        <v>0.75694444444444453</v>
      </c>
      <c r="E2064" s="308">
        <v>0.78472222222222221</v>
      </c>
      <c r="F2064" s="309" t="s">
        <v>170</v>
      </c>
      <c r="G2064" s="309" t="s">
        <v>276</v>
      </c>
      <c r="H2064" s="307" t="s">
        <v>46</v>
      </c>
      <c r="I2064" s="307" t="s">
        <v>73</v>
      </c>
      <c r="J2064" s="307" t="s">
        <v>41</v>
      </c>
      <c r="K2064" s="307" t="s">
        <v>63</v>
      </c>
      <c r="L2064" s="307" t="s">
        <v>214</v>
      </c>
      <c r="M2064" s="309" t="s">
        <v>5089</v>
      </c>
      <c r="N2064" s="309" t="s">
        <v>59</v>
      </c>
      <c r="O2064" s="309" t="s">
        <v>5090</v>
      </c>
      <c r="P2064" s="309" t="s">
        <v>5091</v>
      </c>
      <c r="Q2064" s="303">
        <f t="shared" si="326"/>
        <v>2</v>
      </c>
      <c r="R2064" s="303">
        <f t="shared" si="327"/>
        <v>280</v>
      </c>
      <c r="S2064" s="309">
        <v>0</v>
      </c>
      <c r="T2064" s="309">
        <v>0</v>
      </c>
      <c r="U2064" s="309">
        <v>2</v>
      </c>
      <c r="V2064" s="309">
        <v>280</v>
      </c>
      <c r="W2064" s="309">
        <v>281.5</v>
      </c>
      <c r="X2064" s="309">
        <v>93</v>
      </c>
      <c r="Y2064" s="309">
        <v>50</v>
      </c>
      <c r="Z2064" s="309">
        <v>53</v>
      </c>
      <c r="AA2064" s="309">
        <v>1</v>
      </c>
      <c r="AB2064" s="307">
        <f t="shared" si="324"/>
        <v>41.075000000000003</v>
      </c>
      <c r="AC2064" s="307">
        <f t="shared" si="325"/>
        <v>0.2474397590361446</v>
      </c>
      <c r="AD2064" s="309" t="s">
        <v>48</v>
      </c>
      <c r="AE2064" s="309" t="s">
        <v>48</v>
      </c>
      <c r="AF2064" s="309" t="s">
        <v>317</v>
      </c>
      <c r="AG2064" s="309" t="s">
        <v>317</v>
      </c>
      <c r="AH2064" s="309" t="s">
        <v>5092</v>
      </c>
      <c r="AI2064" s="309"/>
      <c r="AJ2064" s="309"/>
      <c r="AK2064" s="309" t="s">
        <v>41</v>
      </c>
      <c r="AL2064" s="309" t="s">
        <v>39</v>
      </c>
      <c r="AM2064" s="299">
        <f t="shared" ca="1" si="295"/>
        <v>1.8958333333357587</v>
      </c>
      <c r="AN2064" s="313"/>
      <c r="AO2064" s="288" t="s">
        <v>70</v>
      </c>
      <c r="AP2064" s="275" t="s">
        <v>5089</v>
      </c>
      <c r="AQ2064" s="288" t="s">
        <v>5126</v>
      </c>
      <c r="AR2064" s="277">
        <v>44935.645833333336</v>
      </c>
      <c r="AS2064" s="272" t="s">
        <v>326</v>
      </c>
      <c r="AT2064" s="288" t="s">
        <v>65</v>
      </c>
      <c r="AU2064" s="276">
        <v>0.64583333333333337</v>
      </c>
      <c r="AV2064" s="288">
        <v>1</v>
      </c>
      <c r="AW2064" s="288" t="s">
        <v>66</v>
      </c>
      <c r="AX2064" s="314"/>
      <c r="AY2064" s="314"/>
      <c r="AZ2064" s="314"/>
      <c r="BA2064" s="314"/>
    </row>
    <row r="2065" spans="1:53" s="301" customFormat="1" x14ac:dyDescent="0.25">
      <c r="A2065" s="312">
        <v>106</v>
      </c>
      <c r="B2065" s="311">
        <v>44933.75</v>
      </c>
      <c r="C2065" s="308">
        <v>0.75347222222222221</v>
      </c>
      <c r="D2065" s="308">
        <v>0.75694444444444453</v>
      </c>
      <c r="E2065" s="308">
        <v>0.78472222222222221</v>
      </c>
      <c r="F2065" s="309" t="s">
        <v>170</v>
      </c>
      <c r="G2065" s="309" t="s">
        <v>276</v>
      </c>
      <c r="H2065" s="307" t="s">
        <v>46</v>
      </c>
      <c r="I2065" s="307" t="s">
        <v>73</v>
      </c>
      <c r="J2065" s="307" t="s">
        <v>41</v>
      </c>
      <c r="K2065" s="307" t="s">
        <v>63</v>
      </c>
      <c r="L2065" s="307" t="s">
        <v>214</v>
      </c>
      <c r="M2065" s="309" t="s">
        <v>5089</v>
      </c>
      <c r="N2065" s="309" t="s">
        <v>59</v>
      </c>
      <c r="O2065" s="309" t="s">
        <v>5090</v>
      </c>
      <c r="P2065" s="309" t="s">
        <v>5091</v>
      </c>
      <c r="Q2065" s="303">
        <f t="shared" si="326"/>
        <v>0</v>
      </c>
      <c r="R2065" s="303">
        <f t="shared" si="327"/>
        <v>0</v>
      </c>
      <c r="S2065" s="309">
        <v>0</v>
      </c>
      <c r="T2065" s="309">
        <v>0</v>
      </c>
      <c r="U2065" s="309">
        <v>0</v>
      </c>
      <c r="V2065" s="309">
        <v>0</v>
      </c>
      <c r="W2065" s="309">
        <v>0</v>
      </c>
      <c r="X2065" s="309">
        <v>82</v>
      </c>
      <c r="Y2065" s="309">
        <v>45</v>
      </c>
      <c r="Z2065" s="309">
        <v>49</v>
      </c>
      <c r="AA2065" s="309">
        <v>1</v>
      </c>
      <c r="AB2065" s="307">
        <f t="shared" si="324"/>
        <v>30.135000000000002</v>
      </c>
      <c r="AC2065" s="307">
        <f t="shared" si="325"/>
        <v>0.18153614457831327</v>
      </c>
      <c r="AD2065" s="309">
        <v>0</v>
      </c>
      <c r="AE2065" s="309">
        <v>0</v>
      </c>
      <c r="AF2065" s="309" t="s">
        <v>317</v>
      </c>
      <c r="AG2065" s="309" t="s">
        <v>317</v>
      </c>
      <c r="AH2065" s="309" t="s">
        <v>5092</v>
      </c>
      <c r="AI2065" s="309"/>
      <c r="AJ2065" s="309"/>
      <c r="AK2065" s="309" t="s">
        <v>41</v>
      </c>
      <c r="AL2065" s="309" t="s">
        <v>39</v>
      </c>
      <c r="AM2065" s="299">
        <f t="shared" ca="1" si="295"/>
        <v>1.8958333333357587</v>
      </c>
      <c r="AN2065" s="313"/>
      <c r="AO2065" s="288" t="s">
        <v>70</v>
      </c>
      <c r="AP2065" s="275" t="s">
        <v>5089</v>
      </c>
      <c r="AQ2065" s="288" t="s">
        <v>5126</v>
      </c>
      <c r="AR2065" s="277">
        <v>44935.645833333336</v>
      </c>
      <c r="AS2065" s="272" t="s">
        <v>326</v>
      </c>
      <c r="AT2065" s="288" t="s">
        <v>65</v>
      </c>
      <c r="AU2065" s="276">
        <v>0.64583333333333337</v>
      </c>
      <c r="AV2065" s="288">
        <v>1</v>
      </c>
      <c r="AW2065" s="288" t="s">
        <v>66</v>
      </c>
      <c r="AX2065" s="314"/>
      <c r="AY2065" s="314"/>
      <c r="AZ2065" s="314"/>
      <c r="BA2065" s="314"/>
    </row>
    <row r="2066" spans="1:53" s="301" customFormat="1" x14ac:dyDescent="0.25">
      <c r="A2066" s="312">
        <v>107</v>
      </c>
      <c r="B2066" s="311">
        <v>44935.395833333336</v>
      </c>
      <c r="C2066" s="308">
        <v>0.39930555555555558</v>
      </c>
      <c r="D2066" s="308">
        <v>0.41666666666666669</v>
      </c>
      <c r="E2066" s="308">
        <v>0.42708333333333331</v>
      </c>
      <c r="F2066" s="309" t="s">
        <v>170</v>
      </c>
      <c r="G2066" s="309" t="s">
        <v>4315</v>
      </c>
      <c r="H2066" s="307" t="s">
        <v>227</v>
      </c>
      <c r="I2066" s="307" t="s">
        <v>189</v>
      </c>
      <c r="J2066" s="307" t="s">
        <v>37</v>
      </c>
      <c r="K2066" s="307" t="s">
        <v>63</v>
      </c>
      <c r="L2066" s="293" t="s">
        <v>206</v>
      </c>
      <c r="M2066" s="309" t="s">
        <v>5098</v>
      </c>
      <c r="N2066" s="309" t="s">
        <v>42</v>
      </c>
      <c r="O2066" s="309" t="s">
        <v>5093</v>
      </c>
      <c r="P2066" s="309" t="s">
        <v>5094</v>
      </c>
      <c r="Q2066" s="303">
        <f t="shared" ref="Q2066" si="328">S2066+U2066</f>
        <v>9</v>
      </c>
      <c r="R2066" s="303">
        <f t="shared" ref="R2066" si="329">T2066+V2066</f>
        <v>2127</v>
      </c>
      <c r="S2066" s="309">
        <v>0</v>
      </c>
      <c r="T2066" s="309">
        <v>0</v>
      </c>
      <c r="U2066" s="309">
        <v>9</v>
      </c>
      <c r="V2066" s="292">
        <f>400+599+298+298+118+543-129</f>
        <v>2127</v>
      </c>
      <c r="W2066" s="292">
        <v>2446.5</v>
      </c>
      <c r="X2066" s="309">
        <v>105</v>
      </c>
      <c r="Y2066" s="309">
        <v>46</v>
      </c>
      <c r="Z2066" s="309">
        <v>45</v>
      </c>
      <c r="AA2066" s="309">
        <v>6</v>
      </c>
      <c r="AB2066" s="307">
        <f t="shared" si="324"/>
        <v>217.35</v>
      </c>
      <c r="AC2066" s="307">
        <f t="shared" si="325"/>
        <v>1.3093373493975904</v>
      </c>
      <c r="AD2066" s="309">
        <f>2584+7150+5529.76</f>
        <v>15263.76</v>
      </c>
      <c r="AE2066" s="309" t="s">
        <v>109</v>
      </c>
      <c r="AF2066" s="309" t="s">
        <v>317</v>
      </c>
      <c r="AG2066" s="309" t="s">
        <v>317</v>
      </c>
      <c r="AH2066" s="309" t="s">
        <v>5095</v>
      </c>
      <c r="AI2066" s="309"/>
      <c r="AJ2066" s="309"/>
      <c r="AK2066" s="309" t="s">
        <v>37</v>
      </c>
      <c r="AL2066" s="309" t="s">
        <v>39</v>
      </c>
      <c r="AM2066" s="299">
        <f t="shared" ca="1" si="295"/>
        <v>0.25</v>
      </c>
      <c r="AN2066" s="313"/>
      <c r="AO2066" s="288" t="s">
        <v>89</v>
      </c>
      <c r="AP2066" s="275" t="s">
        <v>5098</v>
      </c>
      <c r="AQ2066" s="288" t="s">
        <v>5124</v>
      </c>
      <c r="AR2066" s="277">
        <v>44935.645833333336</v>
      </c>
      <c r="AS2066" s="272" t="s">
        <v>326</v>
      </c>
      <c r="AT2066" s="288" t="s">
        <v>65</v>
      </c>
      <c r="AU2066" s="276">
        <v>0.64583333333333337</v>
      </c>
      <c r="AV2066" s="288">
        <v>1</v>
      </c>
      <c r="AW2066" s="288" t="s">
        <v>66</v>
      </c>
      <c r="AX2066" s="314"/>
      <c r="AY2066" s="314"/>
      <c r="AZ2066" s="314"/>
      <c r="BA2066" s="314"/>
    </row>
    <row r="2067" spans="1:53" s="301" customFormat="1" x14ac:dyDescent="0.25">
      <c r="A2067" s="312">
        <v>107</v>
      </c>
      <c r="B2067" s="311">
        <v>44935.395833333336</v>
      </c>
      <c r="C2067" s="308">
        <v>0.39930555555555558</v>
      </c>
      <c r="D2067" s="308">
        <v>0.41666666666666669</v>
      </c>
      <c r="E2067" s="308">
        <v>0.42708333333333331</v>
      </c>
      <c r="F2067" s="309" t="s">
        <v>170</v>
      </c>
      <c r="G2067" s="309" t="s">
        <v>4315</v>
      </c>
      <c r="H2067" s="307" t="s">
        <v>227</v>
      </c>
      <c r="I2067" s="307" t="s">
        <v>189</v>
      </c>
      <c r="J2067" s="307" t="s">
        <v>37</v>
      </c>
      <c r="K2067" s="307" t="s">
        <v>63</v>
      </c>
      <c r="L2067" s="293" t="s">
        <v>206</v>
      </c>
      <c r="M2067" s="309" t="s">
        <v>5098</v>
      </c>
      <c r="N2067" s="309" t="s">
        <v>42</v>
      </c>
      <c r="O2067" s="309" t="s">
        <v>5093</v>
      </c>
      <c r="P2067" s="309" t="s">
        <v>5094</v>
      </c>
      <c r="Q2067" s="303">
        <f t="shared" ref="Q2067:Q2068" si="330">S2067+U2067</f>
        <v>0</v>
      </c>
      <c r="R2067" s="303">
        <f t="shared" ref="R2067:R2068" si="331">T2067+V2067</f>
        <v>0</v>
      </c>
      <c r="S2067" s="309">
        <v>0</v>
      </c>
      <c r="T2067" s="309">
        <v>0</v>
      </c>
      <c r="U2067" s="309">
        <v>0</v>
      </c>
      <c r="V2067" s="309">
        <v>0</v>
      </c>
      <c r="W2067" s="309">
        <v>0</v>
      </c>
      <c r="X2067" s="309">
        <v>158</v>
      </c>
      <c r="Y2067" s="309">
        <v>73</v>
      </c>
      <c r="Z2067" s="309">
        <v>78</v>
      </c>
      <c r="AA2067" s="309">
        <v>1</v>
      </c>
      <c r="AB2067" s="307">
        <f t="shared" si="324"/>
        <v>149.94200000000001</v>
      </c>
      <c r="AC2067" s="307">
        <f t="shared" si="325"/>
        <v>0.90326506024096387</v>
      </c>
      <c r="AD2067" s="309">
        <v>0</v>
      </c>
      <c r="AE2067" s="309">
        <v>0</v>
      </c>
      <c r="AF2067" s="309" t="s">
        <v>317</v>
      </c>
      <c r="AG2067" s="309" t="s">
        <v>317</v>
      </c>
      <c r="AH2067" s="309">
        <v>0</v>
      </c>
      <c r="AI2067" s="309"/>
      <c r="AJ2067" s="309"/>
      <c r="AK2067" s="309" t="s">
        <v>37</v>
      </c>
      <c r="AL2067" s="309" t="s">
        <v>39</v>
      </c>
      <c r="AM2067" s="299">
        <f t="shared" ca="1" si="295"/>
        <v>0.25</v>
      </c>
      <c r="AN2067" s="313"/>
      <c r="AO2067" s="288" t="s">
        <v>89</v>
      </c>
      <c r="AP2067" s="275" t="s">
        <v>5098</v>
      </c>
      <c r="AQ2067" s="288" t="s">
        <v>5124</v>
      </c>
      <c r="AR2067" s="277">
        <v>44935.645833333336</v>
      </c>
      <c r="AS2067" s="272" t="s">
        <v>326</v>
      </c>
      <c r="AT2067" s="288" t="s">
        <v>65</v>
      </c>
      <c r="AU2067" s="276">
        <v>0.64583333333333337</v>
      </c>
      <c r="AV2067" s="288">
        <v>1</v>
      </c>
      <c r="AW2067" s="288" t="s">
        <v>66</v>
      </c>
      <c r="AX2067" s="314"/>
      <c r="AY2067" s="314"/>
      <c r="AZ2067" s="314"/>
      <c r="BA2067" s="314"/>
    </row>
    <row r="2068" spans="1:53" s="301" customFormat="1" x14ac:dyDescent="0.25">
      <c r="A2068" s="312">
        <v>107</v>
      </c>
      <c r="B2068" s="311">
        <v>44935.395833333336</v>
      </c>
      <c r="C2068" s="308">
        <v>0.39930555555555558</v>
      </c>
      <c r="D2068" s="308">
        <v>0.41666666666666669</v>
      </c>
      <c r="E2068" s="308">
        <v>0.42708333333333331</v>
      </c>
      <c r="F2068" s="309" t="s">
        <v>170</v>
      </c>
      <c r="G2068" s="309" t="s">
        <v>4315</v>
      </c>
      <c r="H2068" s="307" t="s">
        <v>227</v>
      </c>
      <c r="I2068" s="307" t="s">
        <v>189</v>
      </c>
      <c r="J2068" s="307" t="s">
        <v>37</v>
      </c>
      <c r="K2068" s="307" t="s">
        <v>63</v>
      </c>
      <c r="L2068" s="293" t="s">
        <v>206</v>
      </c>
      <c r="M2068" s="309" t="s">
        <v>5098</v>
      </c>
      <c r="N2068" s="309" t="s">
        <v>42</v>
      </c>
      <c r="O2068" s="309" t="s">
        <v>5093</v>
      </c>
      <c r="P2068" s="309" t="s">
        <v>5094</v>
      </c>
      <c r="Q2068" s="303">
        <f t="shared" si="330"/>
        <v>0</v>
      </c>
      <c r="R2068" s="303">
        <f t="shared" si="331"/>
        <v>0</v>
      </c>
      <c r="S2068" s="309">
        <v>0</v>
      </c>
      <c r="T2068" s="309">
        <v>0</v>
      </c>
      <c r="U2068" s="309">
        <v>0</v>
      </c>
      <c r="V2068" s="309">
        <v>0</v>
      </c>
      <c r="W2068" s="309">
        <v>0</v>
      </c>
      <c r="X2068" s="309">
        <v>159</v>
      </c>
      <c r="Y2068" s="309">
        <v>136</v>
      </c>
      <c r="Z2068" s="309">
        <v>80</v>
      </c>
      <c r="AA2068" s="309">
        <v>2</v>
      </c>
      <c r="AB2068" s="307">
        <f t="shared" si="324"/>
        <v>576.64</v>
      </c>
      <c r="AC2068" s="307">
        <f t="shared" si="325"/>
        <v>3.4737349397590362</v>
      </c>
      <c r="AD2068" s="309">
        <v>0</v>
      </c>
      <c r="AE2068" s="309">
        <v>0</v>
      </c>
      <c r="AF2068" s="309" t="s">
        <v>317</v>
      </c>
      <c r="AG2068" s="309" t="s">
        <v>317</v>
      </c>
      <c r="AH2068" s="309">
        <v>0</v>
      </c>
      <c r="AI2068" s="309"/>
      <c r="AJ2068" s="309"/>
      <c r="AK2068" s="309" t="s">
        <v>37</v>
      </c>
      <c r="AL2068" s="309" t="s">
        <v>39</v>
      </c>
      <c r="AM2068" s="299">
        <f t="shared" ca="1" si="295"/>
        <v>0.25</v>
      </c>
      <c r="AN2068" s="313"/>
      <c r="AO2068" s="288" t="s">
        <v>89</v>
      </c>
      <c r="AP2068" s="275" t="s">
        <v>5098</v>
      </c>
      <c r="AQ2068" s="288" t="s">
        <v>5124</v>
      </c>
      <c r="AR2068" s="277">
        <v>44935.645833333336</v>
      </c>
      <c r="AS2068" s="272" t="s">
        <v>326</v>
      </c>
      <c r="AT2068" s="288" t="s">
        <v>65</v>
      </c>
      <c r="AU2068" s="276">
        <v>0.64583333333333337</v>
      </c>
      <c r="AV2068" s="288">
        <v>1</v>
      </c>
      <c r="AW2068" s="288" t="s">
        <v>66</v>
      </c>
      <c r="AX2068" s="314"/>
      <c r="AY2068" s="314"/>
      <c r="AZ2068" s="314"/>
      <c r="BA2068" s="314"/>
    </row>
    <row r="2069" spans="1:53" s="301" customFormat="1" x14ac:dyDescent="0.25">
      <c r="A2069" s="312">
        <v>108</v>
      </c>
      <c r="B2069" s="311">
        <v>44935.395833333336</v>
      </c>
      <c r="C2069" s="308">
        <v>0.39930555555555558</v>
      </c>
      <c r="D2069" s="308">
        <v>0.41666666666666669</v>
      </c>
      <c r="E2069" s="308">
        <v>0.42708333333333331</v>
      </c>
      <c r="F2069" s="309" t="s">
        <v>170</v>
      </c>
      <c r="G2069" s="309" t="s">
        <v>4315</v>
      </c>
      <c r="H2069" s="307" t="s">
        <v>227</v>
      </c>
      <c r="I2069" s="307" t="s">
        <v>189</v>
      </c>
      <c r="J2069" s="307" t="s">
        <v>37</v>
      </c>
      <c r="K2069" s="307" t="s">
        <v>63</v>
      </c>
      <c r="L2069" s="293" t="s">
        <v>206</v>
      </c>
      <c r="M2069" s="309" t="s">
        <v>5099</v>
      </c>
      <c r="N2069" s="309" t="s">
        <v>43</v>
      </c>
      <c r="O2069" s="309" t="s">
        <v>5096</v>
      </c>
      <c r="P2069" s="309">
        <v>32373</v>
      </c>
      <c r="Q2069" s="303">
        <f t="shared" ref="Q2069" si="332">S2069+U2069</f>
        <v>6</v>
      </c>
      <c r="R2069" s="303">
        <f t="shared" ref="R2069" si="333">T2069+V2069</f>
        <v>73</v>
      </c>
      <c r="S2069" s="309">
        <v>6</v>
      </c>
      <c r="T2069" s="292">
        <f>89-16</f>
        <v>73</v>
      </c>
      <c r="U2069" s="309">
        <v>0</v>
      </c>
      <c r="V2069" s="309">
        <v>0</v>
      </c>
      <c r="W2069" s="292">
        <v>62.54</v>
      </c>
      <c r="X2069" s="309">
        <v>84</v>
      </c>
      <c r="Y2069" s="309">
        <v>53</v>
      </c>
      <c r="Z2069" s="309">
        <v>63</v>
      </c>
      <c r="AA2069" s="309">
        <v>1</v>
      </c>
      <c r="AB2069" s="307">
        <f t="shared" si="324"/>
        <v>46.746000000000002</v>
      </c>
      <c r="AC2069" s="307">
        <f t="shared" si="325"/>
        <v>0.28160240963855421</v>
      </c>
      <c r="AD2069" s="309">
        <v>5360</v>
      </c>
      <c r="AE2069" s="309" t="s">
        <v>109</v>
      </c>
      <c r="AF2069" s="309" t="s">
        <v>317</v>
      </c>
      <c r="AG2069" s="309" t="s">
        <v>317</v>
      </c>
      <c r="AH2069" s="309" t="s">
        <v>5097</v>
      </c>
      <c r="AI2069" s="309"/>
      <c r="AJ2069" s="309"/>
      <c r="AK2069" s="309" t="s">
        <v>48</v>
      </c>
      <c r="AL2069" s="309" t="s">
        <v>39</v>
      </c>
      <c r="AM2069" s="299">
        <f t="shared" ca="1" si="295"/>
        <v>1.2951388888832298</v>
      </c>
      <c r="AN2069" s="313"/>
      <c r="AO2069" s="288" t="s">
        <v>179</v>
      </c>
      <c r="AP2069" s="275" t="s">
        <v>5099</v>
      </c>
      <c r="AQ2069" s="288" t="s">
        <v>5190</v>
      </c>
      <c r="AR2069" s="277">
        <v>44936.690972222219</v>
      </c>
      <c r="AS2069" s="272" t="s">
        <v>240</v>
      </c>
      <c r="AT2069" s="288" t="s">
        <v>65</v>
      </c>
      <c r="AU2069" s="276">
        <v>0.69097222222222221</v>
      </c>
      <c r="AV2069" s="288">
        <v>1</v>
      </c>
      <c r="AW2069" s="288" t="s">
        <v>66</v>
      </c>
      <c r="AX2069" s="314"/>
      <c r="AY2069" s="314"/>
      <c r="AZ2069" s="314"/>
      <c r="BA2069" s="314"/>
    </row>
    <row r="2070" spans="1:53" s="301" customFormat="1" x14ac:dyDescent="0.25">
      <c r="A2070" s="312">
        <v>108</v>
      </c>
      <c r="B2070" s="311">
        <v>44935.395833333336</v>
      </c>
      <c r="C2070" s="308">
        <v>0.39930555555555558</v>
      </c>
      <c r="D2070" s="308">
        <v>0.41666666666666669</v>
      </c>
      <c r="E2070" s="308">
        <v>0.42708333333333331</v>
      </c>
      <c r="F2070" s="309" t="s">
        <v>170</v>
      </c>
      <c r="G2070" s="309" t="s">
        <v>4315</v>
      </c>
      <c r="H2070" s="307" t="s">
        <v>227</v>
      </c>
      <c r="I2070" s="307" t="s">
        <v>189</v>
      </c>
      <c r="J2070" s="307" t="s">
        <v>37</v>
      </c>
      <c r="K2070" s="307" t="s">
        <v>63</v>
      </c>
      <c r="L2070" s="293" t="s">
        <v>206</v>
      </c>
      <c r="M2070" s="309" t="s">
        <v>5099</v>
      </c>
      <c r="N2070" s="309" t="s">
        <v>43</v>
      </c>
      <c r="O2070" s="309" t="s">
        <v>5096</v>
      </c>
      <c r="P2070" s="309">
        <v>32373</v>
      </c>
      <c r="Q2070" s="303">
        <f t="shared" ref="Q2070:Q2071" si="334">S2070+U2070</f>
        <v>0</v>
      </c>
      <c r="R2070" s="303">
        <f t="shared" ref="R2070:R2071" si="335">T2070+V2070</f>
        <v>0</v>
      </c>
      <c r="S2070" s="309">
        <v>0</v>
      </c>
      <c r="T2070" s="309">
        <v>0</v>
      </c>
      <c r="U2070" s="309">
        <v>0</v>
      </c>
      <c r="V2070" s="309">
        <v>0</v>
      </c>
      <c r="W2070" s="309">
        <v>0</v>
      </c>
      <c r="X2070" s="309">
        <v>91</v>
      </c>
      <c r="Y2070" s="309">
        <v>36</v>
      </c>
      <c r="Z2070" s="309">
        <v>50</v>
      </c>
      <c r="AA2070" s="309">
        <v>4</v>
      </c>
      <c r="AB2070" s="307">
        <f t="shared" si="324"/>
        <v>109.2</v>
      </c>
      <c r="AC2070" s="307">
        <f t="shared" si="325"/>
        <v>0.65783132530120481</v>
      </c>
      <c r="AD2070" s="309">
        <v>0</v>
      </c>
      <c r="AE2070" s="309">
        <v>0</v>
      </c>
      <c r="AF2070" s="309" t="s">
        <v>317</v>
      </c>
      <c r="AG2070" s="309" t="s">
        <v>317</v>
      </c>
      <c r="AH2070" s="309">
        <v>0</v>
      </c>
      <c r="AI2070" s="309"/>
      <c r="AJ2070" s="309"/>
      <c r="AK2070" s="309" t="s">
        <v>48</v>
      </c>
      <c r="AL2070" s="309" t="s">
        <v>39</v>
      </c>
      <c r="AM2070" s="299">
        <f t="shared" ca="1" si="295"/>
        <v>1.2951388888832298</v>
      </c>
      <c r="AN2070" s="313"/>
      <c r="AO2070" s="288" t="s">
        <v>179</v>
      </c>
      <c r="AP2070" s="275" t="s">
        <v>5099</v>
      </c>
      <c r="AQ2070" s="288" t="s">
        <v>5190</v>
      </c>
      <c r="AR2070" s="277">
        <v>44936.690972222219</v>
      </c>
      <c r="AS2070" s="272" t="s">
        <v>240</v>
      </c>
      <c r="AT2070" s="288" t="s">
        <v>65</v>
      </c>
      <c r="AU2070" s="276">
        <v>0.69097222222222221</v>
      </c>
      <c r="AV2070" s="288">
        <v>1</v>
      </c>
      <c r="AW2070" s="288" t="s">
        <v>66</v>
      </c>
      <c r="AX2070" s="314"/>
      <c r="AY2070" s="314"/>
      <c r="AZ2070" s="314"/>
      <c r="BA2070" s="314"/>
    </row>
    <row r="2071" spans="1:53" s="301" customFormat="1" x14ac:dyDescent="0.25">
      <c r="A2071" s="312">
        <v>108</v>
      </c>
      <c r="B2071" s="311">
        <v>44935.395833333336</v>
      </c>
      <c r="C2071" s="308">
        <v>0.39930555555555558</v>
      </c>
      <c r="D2071" s="308">
        <v>0.41666666666666669</v>
      </c>
      <c r="E2071" s="308">
        <v>0.42708333333333331</v>
      </c>
      <c r="F2071" s="309" t="s">
        <v>170</v>
      </c>
      <c r="G2071" s="309" t="s">
        <v>4315</v>
      </c>
      <c r="H2071" s="307" t="s">
        <v>227</v>
      </c>
      <c r="I2071" s="307" t="s">
        <v>189</v>
      </c>
      <c r="J2071" s="307" t="s">
        <v>37</v>
      </c>
      <c r="K2071" s="307" t="s">
        <v>63</v>
      </c>
      <c r="L2071" s="293" t="s">
        <v>206</v>
      </c>
      <c r="M2071" s="309" t="s">
        <v>5099</v>
      </c>
      <c r="N2071" s="309" t="s">
        <v>43</v>
      </c>
      <c r="O2071" s="309" t="s">
        <v>5096</v>
      </c>
      <c r="P2071" s="309">
        <v>32373</v>
      </c>
      <c r="Q2071" s="303">
        <f t="shared" si="334"/>
        <v>0</v>
      </c>
      <c r="R2071" s="303">
        <f t="shared" si="335"/>
        <v>0</v>
      </c>
      <c r="S2071" s="309">
        <v>0</v>
      </c>
      <c r="T2071" s="309">
        <v>0</v>
      </c>
      <c r="U2071" s="309">
        <v>0</v>
      </c>
      <c r="V2071" s="309">
        <v>0</v>
      </c>
      <c r="W2071" s="309">
        <v>0</v>
      </c>
      <c r="X2071" s="309">
        <v>60</v>
      </c>
      <c r="Y2071" s="309">
        <v>50</v>
      </c>
      <c r="Z2071" s="309">
        <v>46</v>
      </c>
      <c r="AA2071" s="309">
        <v>1</v>
      </c>
      <c r="AB2071" s="307">
        <f t="shared" si="324"/>
        <v>23</v>
      </c>
      <c r="AC2071" s="307">
        <f t="shared" si="325"/>
        <v>0.13855421686746988</v>
      </c>
      <c r="AD2071" s="309">
        <v>0</v>
      </c>
      <c r="AE2071" s="309">
        <v>0</v>
      </c>
      <c r="AF2071" s="309" t="s">
        <v>317</v>
      </c>
      <c r="AG2071" s="309" t="s">
        <v>317</v>
      </c>
      <c r="AH2071" s="309">
        <v>0</v>
      </c>
      <c r="AI2071" s="309"/>
      <c r="AJ2071" s="309"/>
      <c r="AK2071" s="309" t="s">
        <v>48</v>
      </c>
      <c r="AL2071" s="309" t="s">
        <v>39</v>
      </c>
      <c r="AM2071" s="299">
        <f t="shared" ca="1" si="295"/>
        <v>1.2951388888832298</v>
      </c>
      <c r="AN2071" s="313"/>
      <c r="AO2071" s="288" t="s">
        <v>179</v>
      </c>
      <c r="AP2071" s="275" t="s">
        <v>5099</v>
      </c>
      <c r="AQ2071" s="288" t="s">
        <v>5190</v>
      </c>
      <c r="AR2071" s="277">
        <v>44936.690972222219</v>
      </c>
      <c r="AS2071" s="272" t="s">
        <v>240</v>
      </c>
      <c r="AT2071" s="288" t="s">
        <v>65</v>
      </c>
      <c r="AU2071" s="276">
        <v>0.69097222222222221</v>
      </c>
      <c r="AV2071" s="288">
        <v>1</v>
      </c>
      <c r="AW2071" s="288" t="s">
        <v>66</v>
      </c>
      <c r="AX2071" s="314"/>
      <c r="AY2071" s="314"/>
      <c r="AZ2071" s="314"/>
      <c r="BA2071" s="314"/>
    </row>
    <row r="2072" spans="1:53" s="301" customFormat="1" x14ac:dyDescent="0.25">
      <c r="A2072" s="312">
        <v>109</v>
      </c>
      <c r="B2072" s="311">
        <v>44935.395833333336</v>
      </c>
      <c r="C2072" s="308">
        <v>0.4236111111111111</v>
      </c>
      <c r="D2072" s="308">
        <v>0.43055555555555558</v>
      </c>
      <c r="E2072" s="308">
        <v>0.44444444444444442</v>
      </c>
      <c r="F2072" s="309" t="s">
        <v>170</v>
      </c>
      <c r="G2072" s="309" t="s">
        <v>2600</v>
      </c>
      <c r="H2072" s="309" t="s">
        <v>228</v>
      </c>
      <c r="I2072" s="309" t="s">
        <v>40</v>
      </c>
      <c r="J2072" s="307" t="s">
        <v>37</v>
      </c>
      <c r="K2072" s="307" t="s">
        <v>63</v>
      </c>
      <c r="L2072" s="307" t="s">
        <v>212</v>
      </c>
      <c r="M2072" s="309" t="s">
        <v>5103</v>
      </c>
      <c r="N2072" s="309" t="s">
        <v>42</v>
      </c>
      <c r="O2072" s="309" t="s">
        <v>5100</v>
      </c>
      <c r="P2072" s="309" t="s">
        <v>5101</v>
      </c>
      <c r="Q2072" s="303">
        <f t="shared" ref="Q2072" si="336">S2072+U2072</f>
        <v>2</v>
      </c>
      <c r="R2072" s="303">
        <f t="shared" ref="R2072" si="337">T2072+V2072</f>
        <v>1257</v>
      </c>
      <c r="S2072" s="309">
        <v>0</v>
      </c>
      <c r="T2072" s="309">
        <v>0</v>
      </c>
      <c r="U2072" s="309">
        <v>2</v>
      </c>
      <c r="V2072" s="309">
        <f>1258-67+66</f>
        <v>1257</v>
      </c>
      <c r="W2072" s="309">
        <v>1241</v>
      </c>
      <c r="X2072" s="309">
        <v>102</v>
      </c>
      <c r="Y2072" s="309">
        <v>85</v>
      </c>
      <c r="Z2072" s="309">
        <v>95</v>
      </c>
      <c r="AA2072" s="309">
        <v>1</v>
      </c>
      <c r="AB2072" s="307">
        <f t="shared" si="324"/>
        <v>137.27500000000001</v>
      </c>
      <c r="AC2072" s="307">
        <f t="shared" si="325"/>
        <v>0.82695783132530121</v>
      </c>
      <c r="AD2072" s="309">
        <v>5053.8599999999997</v>
      </c>
      <c r="AE2072" s="309" t="s">
        <v>109</v>
      </c>
      <c r="AF2072" s="309" t="s">
        <v>317</v>
      </c>
      <c r="AG2072" s="309" t="s">
        <v>317</v>
      </c>
      <c r="AH2072" s="309" t="s">
        <v>5102</v>
      </c>
      <c r="AI2072" s="309"/>
      <c r="AJ2072" s="309"/>
      <c r="AK2072" s="309" t="s">
        <v>37</v>
      </c>
      <c r="AL2072" s="309" t="s">
        <v>39</v>
      </c>
      <c r="AM2072" s="299">
        <f t="shared" ca="1" si="295"/>
        <v>0.36111111110949423</v>
      </c>
      <c r="AN2072" s="313"/>
      <c r="AO2072" s="288" t="s">
        <v>120</v>
      </c>
      <c r="AP2072" s="275" t="s">
        <v>5103</v>
      </c>
      <c r="AQ2072" s="288" t="s">
        <v>5130</v>
      </c>
      <c r="AR2072" s="277">
        <v>44935.756944444445</v>
      </c>
      <c r="AS2072" s="272" t="s">
        <v>3968</v>
      </c>
      <c r="AT2072" s="288" t="s">
        <v>225</v>
      </c>
      <c r="AU2072" s="276">
        <v>0.75694444444444453</v>
      </c>
      <c r="AV2072" s="288">
        <v>2</v>
      </c>
      <c r="AW2072" s="288" t="s">
        <v>66</v>
      </c>
      <c r="AX2072" s="314"/>
      <c r="AY2072" s="314"/>
      <c r="AZ2072" s="314"/>
      <c r="BA2072" s="314"/>
    </row>
    <row r="2073" spans="1:53" s="301" customFormat="1" x14ac:dyDescent="0.25">
      <c r="A2073" s="312">
        <v>109</v>
      </c>
      <c r="B2073" s="311">
        <v>44935.395833333336</v>
      </c>
      <c r="C2073" s="308">
        <v>0.4236111111111111</v>
      </c>
      <c r="D2073" s="308">
        <v>0.43055555555555558</v>
      </c>
      <c r="E2073" s="308">
        <v>0.44444444444444442</v>
      </c>
      <c r="F2073" s="309" t="s">
        <v>170</v>
      </c>
      <c r="G2073" s="309" t="s">
        <v>2600</v>
      </c>
      <c r="H2073" s="309" t="s">
        <v>228</v>
      </c>
      <c r="I2073" s="309" t="s">
        <v>40</v>
      </c>
      <c r="J2073" s="307" t="s">
        <v>37</v>
      </c>
      <c r="K2073" s="307" t="s">
        <v>63</v>
      </c>
      <c r="L2073" s="307" t="s">
        <v>212</v>
      </c>
      <c r="M2073" s="309" t="s">
        <v>5103</v>
      </c>
      <c r="N2073" s="309" t="s">
        <v>42</v>
      </c>
      <c r="O2073" s="309" t="s">
        <v>5100</v>
      </c>
      <c r="P2073" s="309" t="s">
        <v>5101</v>
      </c>
      <c r="Q2073" s="303">
        <f t="shared" ref="Q2073" si="338">S2073+U2073</f>
        <v>0</v>
      </c>
      <c r="R2073" s="303">
        <f t="shared" ref="R2073" si="339">T2073+V2073</f>
        <v>0</v>
      </c>
      <c r="S2073" s="309">
        <v>0</v>
      </c>
      <c r="T2073" s="309">
        <v>0</v>
      </c>
      <c r="U2073" s="309">
        <v>0</v>
      </c>
      <c r="V2073" s="309">
        <v>0</v>
      </c>
      <c r="W2073" s="309">
        <v>0</v>
      </c>
      <c r="X2073" s="309">
        <v>37</v>
      </c>
      <c r="Y2073" s="309">
        <v>37</v>
      </c>
      <c r="Z2073" s="309">
        <v>43</v>
      </c>
      <c r="AA2073" s="309">
        <v>1</v>
      </c>
      <c r="AB2073" s="307">
        <f t="shared" si="324"/>
        <v>9.8111666666666668</v>
      </c>
      <c r="AC2073" s="307">
        <f t="shared" si="325"/>
        <v>5.9103413654618478E-2</v>
      </c>
      <c r="AD2073" s="309">
        <v>0</v>
      </c>
      <c r="AE2073" s="309">
        <v>0</v>
      </c>
      <c r="AF2073" s="309" t="s">
        <v>317</v>
      </c>
      <c r="AG2073" s="309" t="s">
        <v>317</v>
      </c>
      <c r="AH2073" s="309">
        <v>0</v>
      </c>
      <c r="AI2073" s="309"/>
      <c r="AJ2073" s="309"/>
      <c r="AK2073" s="309">
        <v>0</v>
      </c>
      <c r="AL2073" s="309">
        <v>0</v>
      </c>
      <c r="AM2073" s="299">
        <f t="shared" ca="1" si="295"/>
        <v>0.36111111110949423</v>
      </c>
      <c r="AN2073" s="313"/>
      <c r="AO2073" s="288" t="s">
        <v>120</v>
      </c>
      <c r="AP2073" s="275" t="s">
        <v>5103</v>
      </c>
      <c r="AQ2073" s="288" t="s">
        <v>5130</v>
      </c>
      <c r="AR2073" s="277">
        <v>44935.756944444445</v>
      </c>
      <c r="AS2073" s="272" t="s">
        <v>3968</v>
      </c>
      <c r="AT2073" s="288" t="s">
        <v>225</v>
      </c>
      <c r="AU2073" s="276">
        <v>0.75694444444444453</v>
      </c>
      <c r="AV2073" s="288">
        <v>2</v>
      </c>
      <c r="AW2073" s="288" t="s">
        <v>66</v>
      </c>
      <c r="AX2073" s="314"/>
      <c r="AY2073" s="314"/>
      <c r="AZ2073" s="314"/>
      <c r="BA2073" s="314"/>
    </row>
    <row r="2074" spans="1:53" s="301" customFormat="1" x14ac:dyDescent="0.25">
      <c r="A2074" s="312">
        <v>110</v>
      </c>
      <c r="B2074" s="311">
        <v>44935.395833333336</v>
      </c>
      <c r="C2074" s="308">
        <v>0.4236111111111111</v>
      </c>
      <c r="D2074" s="308">
        <v>0.43055555555555558</v>
      </c>
      <c r="E2074" s="308">
        <v>0.44444444444444442</v>
      </c>
      <c r="F2074" s="309" t="s">
        <v>170</v>
      </c>
      <c r="G2074" s="309" t="s">
        <v>2600</v>
      </c>
      <c r="H2074" s="309" t="s">
        <v>228</v>
      </c>
      <c r="I2074" s="309" t="s">
        <v>40</v>
      </c>
      <c r="J2074" s="307" t="s">
        <v>37</v>
      </c>
      <c r="K2074" s="307" t="s">
        <v>63</v>
      </c>
      <c r="L2074" s="307" t="s">
        <v>212</v>
      </c>
      <c r="M2074" s="309" t="s">
        <v>5103</v>
      </c>
      <c r="N2074" s="309" t="s">
        <v>42</v>
      </c>
      <c r="O2074" s="309" t="s">
        <v>5104</v>
      </c>
      <c r="P2074" s="309">
        <v>8669</v>
      </c>
      <c r="Q2074" s="303">
        <f t="shared" ref="Q2074" si="340">S2074+U2074</f>
        <v>1</v>
      </c>
      <c r="R2074" s="303">
        <f t="shared" ref="R2074" si="341">T2074+V2074</f>
        <v>324</v>
      </c>
      <c r="S2074" s="309">
        <v>0</v>
      </c>
      <c r="T2074" s="309">
        <v>0</v>
      </c>
      <c r="U2074" s="309">
        <v>1</v>
      </c>
      <c r="V2074" s="309">
        <v>324</v>
      </c>
      <c r="W2074" s="309">
        <v>320</v>
      </c>
      <c r="X2074" s="309">
        <v>80</v>
      </c>
      <c r="Y2074" s="309">
        <v>80</v>
      </c>
      <c r="Z2074" s="309">
        <v>54</v>
      </c>
      <c r="AA2074" s="309">
        <v>1</v>
      </c>
      <c r="AB2074" s="307">
        <f t="shared" si="324"/>
        <v>57.6</v>
      </c>
      <c r="AC2074" s="307">
        <f t="shared" si="325"/>
        <v>0.34698795180722891</v>
      </c>
      <c r="AD2074" s="309">
        <v>1988.54</v>
      </c>
      <c r="AE2074" s="309" t="s">
        <v>109</v>
      </c>
      <c r="AF2074" s="309" t="s">
        <v>317</v>
      </c>
      <c r="AG2074" s="309" t="s">
        <v>317</v>
      </c>
      <c r="AH2074" s="309" t="s">
        <v>5105</v>
      </c>
      <c r="AI2074" s="309"/>
      <c r="AJ2074" s="309"/>
      <c r="AK2074" s="309" t="s">
        <v>37</v>
      </c>
      <c r="AL2074" s="309" t="s">
        <v>39</v>
      </c>
      <c r="AM2074" s="299">
        <f t="shared" ca="1" si="295"/>
        <v>0.36111111110949423</v>
      </c>
      <c r="AN2074" s="313"/>
      <c r="AO2074" s="288" t="s">
        <v>120</v>
      </c>
      <c r="AP2074" s="275" t="s">
        <v>5103</v>
      </c>
      <c r="AQ2074" s="288" t="s">
        <v>5130</v>
      </c>
      <c r="AR2074" s="277">
        <v>44935.756944444445</v>
      </c>
      <c r="AS2074" s="272" t="s">
        <v>3968</v>
      </c>
      <c r="AT2074" s="288" t="s">
        <v>225</v>
      </c>
      <c r="AU2074" s="276">
        <v>0.75694444444444453</v>
      </c>
      <c r="AV2074" s="288">
        <v>2</v>
      </c>
      <c r="AW2074" s="288" t="s">
        <v>66</v>
      </c>
      <c r="AX2074" s="314"/>
      <c r="AY2074" s="314"/>
      <c r="AZ2074" s="314"/>
      <c r="BA2074" s="314"/>
    </row>
    <row r="2075" spans="1:53" s="301" customFormat="1" x14ac:dyDescent="0.25">
      <c r="A2075" s="312">
        <v>111</v>
      </c>
      <c r="B2075" s="311">
        <v>44935.395833333336</v>
      </c>
      <c r="C2075" s="308">
        <v>0.4236111111111111</v>
      </c>
      <c r="D2075" s="308">
        <v>0.43055555555555558</v>
      </c>
      <c r="E2075" s="308">
        <v>0.44444444444444442</v>
      </c>
      <c r="F2075" s="309" t="s">
        <v>170</v>
      </c>
      <c r="G2075" s="309" t="s">
        <v>2600</v>
      </c>
      <c r="H2075" s="309" t="s">
        <v>228</v>
      </c>
      <c r="I2075" s="309" t="s">
        <v>40</v>
      </c>
      <c r="J2075" s="307" t="s">
        <v>37</v>
      </c>
      <c r="K2075" s="307" t="s">
        <v>63</v>
      </c>
      <c r="L2075" s="307" t="s">
        <v>212</v>
      </c>
      <c r="M2075" s="309" t="s">
        <v>5106</v>
      </c>
      <c r="N2075" s="309" t="s">
        <v>42</v>
      </c>
      <c r="O2075" s="309" t="s">
        <v>5107</v>
      </c>
      <c r="P2075" s="309">
        <v>4400013251</v>
      </c>
      <c r="Q2075" s="303">
        <f t="shared" ref="Q2075" si="342">S2075+U2075</f>
        <v>1</v>
      </c>
      <c r="R2075" s="303">
        <f t="shared" ref="R2075" si="343">T2075+V2075</f>
        <v>41</v>
      </c>
      <c r="S2075" s="309">
        <v>0</v>
      </c>
      <c r="T2075" s="309">
        <v>0</v>
      </c>
      <c r="U2075" s="309">
        <v>1</v>
      </c>
      <c r="V2075" s="309">
        <v>41</v>
      </c>
      <c r="W2075" s="309">
        <v>41</v>
      </c>
      <c r="X2075" s="309">
        <v>55</v>
      </c>
      <c r="Y2075" s="309">
        <v>30</v>
      </c>
      <c r="Z2075" s="309">
        <v>38</v>
      </c>
      <c r="AA2075" s="309">
        <v>1</v>
      </c>
      <c r="AB2075" s="307">
        <f t="shared" si="324"/>
        <v>10.45</v>
      </c>
      <c r="AC2075" s="307">
        <f t="shared" si="325"/>
        <v>6.2951807228915663E-2</v>
      </c>
      <c r="AD2075" s="309">
        <v>176.6</v>
      </c>
      <c r="AE2075" s="309" t="s">
        <v>109</v>
      </c>
      <c r="AF2075" s="309" t="s">
        <v>317</v>
      </c>
      <c r="AG2075" s="309" t="s">
        <v>317</v>
      </c>
      <c r="AH2075" s="309" t="s">
        <v>5108</v>
      </c>
      <c r="AI2075" s="309"/>
      <c r="AJ2075" s="309"/>
      <c r="AK2075" s="309" t="s">
        <v>37</v>
      </c>
      <c r="AL2075" s="309" t="s">
        <v>39</v>
      </c>
      <c r="AM2075" s="299">
        <f t="shared" ca="1" si="295"/>
        <v>1.0763888888832298</v>
      </c>
      <c r="AN2075" s="313"/>
      <c r="AO2075" s="288" t="s">
        <v>120</v>
      </c>
      <c r="AP2075" s="275" t="s">
        <v>5106</v>
      </c>
      <c r="AQ2075" s="288" t="s">
        <v>5174</v>
      </c>
      <c r="AR2075" s="277">
        <v>44936.472222222219</v>
      </c>
      <c r="AS2075" s="272" t="s">
        <v>173</v>
      </c>
      <c r="AT2075" s="288" t="s">
        <v>225</v>
      </c>
      <c r="AU2075" s="276">
        <v>0.47222222222222227</v>
      </c>
      <c r="AV2075" s="288">
        <v>1</v>
      </c>
      <c r="AW2075" s="288" t="s">
        <v>66</v>
      </c>
      <c r="AX2075" s="314"/>
      <c r="AY2075" s="314"/>
      <c r="AZ2075" s="314"/>
      <c r="BA2075" s="314"/>
    </row>
    <row r="2076" spans="1:53" s="301" customFormat="1" x14ac:dyDescent="0.25">
      <c r="A2076" s="312">
        <v>112</v>
      </c>
      <c r="B2076" s="311">
        <v>44935.434027777781</v>
      </c>
      <c r="C2076" s="308">
        <v>0.4375</v>
      </c>
      <c r="D2076" s="308">
        <v>0.4513888888888889</v>
      </c>
      <c r="E2076" s="308">
        <v>0.4513888888888889</v>
      </c>
      <c r="F2076" s="309" t="s">
        <v>169</v>
      </c>
      <c r="G2076" s="309" t="s">
        <v>5109</v>
      </c>
      <c r="H2076" s="307" t="s">
        <v>129</v>
      </c>
      <c r="I2076" s="307" t="s">
        <v>40</v>
      </c>
      <c r="J2076" s="307" t="s">
        <v>37</v>
      </c>
      <c r="K2076" s="307" t="s">
        <v>63</v>
      </c>
      <c r="L2076" s="307" t="s">
        <v>221</v>
      </c>
      <c r="M2076" s="309" t="s">
        <v>5067</v>
      </c>
      <c r="N2076" s="309" t="s">
        <v>42</v>
      </c>
      <c r="O2076" s="309" t="s">
        <v>5068</v>
      </c>
      <c r="P2076" s="309">
        <v>4513597994</v>
      </c>
      <c r="Q2076" s="303">
        <f t="shared" ref="Q2076" si="344">S2076+U2076</f>
        <v>11</v>
      </c>
      <c r="R2076" s="303">
        <f t="shared" ref="R2076" si="345">T2076+V2076</f>
        <v>6854</v>
      </c>
      <c r="S2076" s="309">
        <v>0</v>
      </c>
      <c r="T2076" s="309">
        <v>0</v>
      </c>
      <c r="U2076" s="309">
        <v>11</v>
      </c>
      <c r="V2076" s="309">
        <f>643+639+469+637+636+635+629+641+640+641+644</f>
        <v>6854</v>
      </c>
      <c r="W2076" s="309">
        <v>13045</v>
      </c>
      <c r="X2076" s="309">
        <v>100</v>
      </c>
      <c r="Y2076" s="309">
        <v>76</v>
      </c>
      <c r="Z2076" s="309">
        <v>76</v>
      </c>
      <c r="AA2076" s="309">
        <v>10</v>
      </c>
      <c r="AB2076" s="307">
        <f t="shared" si="324"/>
        <v>962.66666666666663</v>
      </c>
      <c r="AC2076" s="307">
        <f t="shared" si="325"/>
        <v>5.7991967871485945</v>
      </c>
      <c r="AD2076" s="309" t="s">
        <v>48</v>
      </c>
      <c r="AE2076" s="309" t="s">
        <v>48</v>
      </c>
      <c r="AF2076" s="309" t="s">
        <v>317</v>
      </c>
      <c r="AG2076" s="309" t="s">
        <v>317</v>
      </c>
      <c r="AH2076" s="309" t="s">
        <v>5069</v>
      </c>
      <c r="AI2076" s="309"/>
      <c r="AJ2076" s="309"/>
      <c r="AK2076" s="309" t="s">
        <v>37</v>
      </c>
      <c r="AL2076" s="309" t="s">
        <v>39</v>
      </c>
      <c r="AM2076" s="299">
        <f t="shared" ca="1" si="295"/>
        <v>0.12152777777373558</v>
      </c>
      <c r="AN2076" s="313"/>
      <c r="AO2076" s="288" t="s">
        <v>120</v>
      </c>
      <c r="AP2076" s="275" t="s">
        <v>5067</v>
      </c>
      <c r="AQ2076" s="288" t="s">
        <v>5122</v>
      </c>
      <c r="AR2076" s="277">
        <v>44935.555555555555</v>
      </c>
      <c r="AS2076" s="272" t="s">
        <v>5123</v>
      </c>
      <c r="AT2076" s="288" t="s">
        <v>225</v>
      </c>
      <c r="AU2076" s="276">
        <v>0.55555555555555558</v>
      </c>
      <c r="AV2076" s="288">
        <v>1</v>
      </c>
      <c r="AW2076" s="288" t="s">
        <v>66</v>
      </c>
      <c r="AX2076" s="314"/>
      <c r="AY2076" s="314"/>
      <c r="AZ2076" s="314"/>
      <c r="BA2076" s="314"/>
    </row>
    <row r="2077" spans="1:53" s="301" customFormat="1" x14ac:dyDescent="0.25">
      <c r="A2077" s="312">
        <v>112</v>
      </c>
      <c r="B2077" s="311">
        <v>44935.434027777781</v>
      </c>
      <c r="C2077" s="308">
        <v>0.4375</v>
      </c>
      <c r="D2077" s="308">
        <v>0.4513888888888889</v>
      </c>
      <c r="E2077" s="308">
        <v>0.4513888888888889</v>
      </c>
      <c r="F2077" s="309" t="s">
        <v>169</v>
      </c>
      <c r="G2077" s="309" t="s">
        <v>5109</v>
      </c>
      <c r="H2077" s="307" t="s">
        <v>129</v>
      </c>
      <c r="I2077" s="307" t="s">
        <v>40</v>
      </c>
      <c r="J2077" s="307" t="s">
        <v>37</v>
      </c>
      <c r="K2077" s="307" t="s">
        <v>63</v>
      </c>
      <c r="L2077" s="307" t="s">
        <v>221</v>
      </c>
      <c r="M2077" s="309" t="s">
        <v>5067</v>
      </c>
      <c r="N2077" s="309" t="s">
        <v>42</v>
      </c>
      <c r="O2077" s="309" t="s">
        <v>5068</v>
      </c>
      <c r="P2077" s="309">
        <v>4513597994</v>
      </c>
      <c r="Q2077" s="303">
        <f t="shared" ref="Q2077" si="346">S2077+U2077</f>
        <v>0</v>
      </c>
      <c r="R2077" s="303">
        <f t="shared" ref="R2077" si="347">T2077+V2077</f>
        <v>0</v>
      </c>
      <c r="S2077" s="309">
        <v>0</v>
      </c>
      <c r="T2077" s="309">
        <v>0</v>
      </c>
      <c r="U2077" s="309">
        <v>0</v>
      </c>
      <c r="V2077" s="309">
        <v>0</v>
      </c>
      <c r="W2077" s="309">
        <v>0</v>
      </c>
      <c r="X2077" s="309">
        <v>93</v>
      </c>
      <c r="Y2077" s="309">
        <v>91</v>
      </c>
      <c r="Z2077" s="309">
        <v>56</v>
      </c>
      <c r="AA2077" s="309">
        <v>1</v>
      </c>
      <c r="AB2077" s="307">
        <f t="shared" si="324"/>
        <v>78.988</v>
      </c>
      <c r="AC2077" s="307">
        <f t="shared" si="325"/>
        <v>0.47583132530120481</v>
      </c>
      <c r="AD2077" s="309">
        <v>0</v>
      </c>
      <c r="AE2077" s="309">
        <v>0</v>
      </c>
      <c r="AF2077" s="309" t="s">
        <v>317</v>
      </c>
      <c r="AG2077" s="309" t="s">
        <v>317</v>
      </c>
      <c r="AH2077" s="309" t="s">
        <v>5069</v>
      </c>
      <c r="AI2077" s="309"/>
      <c r="AJ2077" s="309"/>
      <c r="AK2077" s="309" t="s">
        <v>37</v>
      </c>
      <c r="AL2077" s="309" t="s">
        <v>39</v>
      </c>
      <c r="AM2077" s="299">
        <f t="shared" ca="1" si="295"/>
        <v>0.12152777777373558</v>
      </c>
      <c r="AN2077" s="313"/>
      <c r="AO2077" s="288" t="s">
        <v>120</v>
      </c>
      <c r="AP2077" s="275" t="s">
        <v>5067</v>
      </c>
      <c r="AQ2077" s="288" t="s">
        <v>5122</v>
      </c>
      <c r="AR2077" s="277">
        <v>44935.555555555555</v>
      </c>
      <c r="AS2077" s="272" t="s">
        <v>5123</v>
      </c>
      <c r="AT2077" s="288" t="s">
        <v>225</v>
      </c>
      <c r="AU2077" s="276">
        <v>0.55555555555555558</v>
      </c>
      <c r="AV2077" s="288">
        <v>1</v>
      </c>
      <c r="AW2077" s="288" t="s">
        <v>66</v>
      </c>
      <c r="AX2077" s="314"/>
      <c r="AY2077" s="314"/>
      <c r="AZ2077" s="314"/>
      <c r="BA2077" s="314"/>
    </row>
    <row r="2078" spans="1:53" s="301" customFormat="1" x14ac:dyDescent="0.25">
      <c r="A2078" s="312">
        <v>113</v>
      </c>
      <c r="B2078" s="311">
        <v>44935.65625</v>
      </c>
      <c r="C2078" s="308">
        <v>0.65972222222222221</v>
      </c>
      <c r="D2078" s="308">
        <v>0.66319444444444442</v>
      </c>
      <c r="E2078" s="308">
        <v>0.66666666666666663</v>
      </c>
      <c r="F2078" s="309" t="s">
        <v>171</v>
      </c>
      <c r="G2078" s="309" t="s">
        <v>101</v>
      </c>
      <c r="H2078" s="307" t="s">
        <v>292</v>
      </c>
      <c r="I2078" s="307" t="s">
        <v>472</v>
      </c>
      <c r="J2078" s="307" t="s">
        <v>37</v>
      </c>
      <c r="K2078" s="307" t="s">
        <v>180</v>
      </c>
      <c r="L2078" s="293" t="s">
        <v>206</v>
      </c>
      <c r="M2078" s="309" t="s">
        <v>5110</v>
      </c>
      <c r="N2078" s="309" t="s">
        <v>44</v>
      </c>
      <c r="O2078" s="309">
        <v>226076456</v>
      </c>
      <c r="P2078" s="309" t="s">
        <v>351</v>
      </c>
      <c r="Q2078" s="303">
        <f t="shared" ref="Q2078" si="348">S2078+U2078</f>
        <v>4</v>
      </c>
      <c r="R2078" s="303">
        <f t="shared" ref="R2078" si="349">T2078+V2078</f>
        <v>64</v>
      </c>
      <c r="S2078" s="309">
        <v>4</v>
      </c>
      <c r="T2078" s="309">
        <v>64</v>
      </c>
      <c r="U2078" s="309">
        <v>0</v>
      </c>
      <c r="V2078" s="309">
        <v>0</v>
      </c>
      <c r="W2078" s="309">
        <v>63</v>
      </c>
      <c r="X2078" s="309">
        <v>44</v>
      </c>
      <c r="Y2078" s="309">
        <v>34</v>
      </c>
      <c r="Z2078" s="309">
        <v>45</v>
      </c>
      <c r="AA2078" s="309">
        <v>4</v>
      </c>
      <c r="AB2078" s="307">
        <f t="shared" si="324"/>
        <v>44.88</v>
      </c>
      <c r="AC2078" s="307">
        <f t="shared" si="325"/>
        <v>0.27036144578313254</v>
      </c>
      <c r="AD2078" s="309">
        <v>13294</v>
      </c>
      <c r="AE2078" s="309" t="s">
        <v>109</v>
      </c>
      <c r="AF2078" s="309">
        <v>226076456</v>
      </c>
      <c r="AG2078" s="309" t="s">
        <v>5111</v>
      </c>
      <c r="AH2078" s="309" t="s">
        <v>5112</v>
      </c>
      <c r="AI2078" s="309"/>
      <c r="AJ2078" s="309"/>
      <c r="AK2078" s="309" t="s">
        <v>48</v>
      </c>
      <c r="AL2078" s="309" t="s">
        <v>56</v>
      </c>
      <c r="AM2078" s="299">
        <f t="shared" ca="1" si="295"/>
        <v>0.97569444444525288</v>
      </c>
      <c r="AN2078" s="313"/>
      <c r="AO2078" s="288" t="s">
        <v>53</v>
      </c>
      <c r="AP2078" s="275" t="s">
        <v>5110</v>
      </c>
      <c r="AQ2078" s="288" t="s">
        <v>5185</v>
      </c>
      <c r="AR2078" s="277">
        <v>44936.631944444445</v>
      </c>
      <c r="AS2078" s="272" t="s">
        <v>173</v>
      </c>
      <c r="AT2078" s="288" t="s">
        <v>225</v>
      </c>
      <c r="AU2078" s="276">
        <v>0.63194444444444442</v>
      </c>
      <c r="AV2078" s="288">
        <v>2</v>
      </c>
      <c r="AW2078" s="288" t="s">
        <v>66</v>
      </c>
      <c r="AX2078" s="314"/>
      <c r="AY2078" s="314"/>
      <c r="AZ2078" s="314"/>
      <c r="BA2078" s="314"/>
    </row>
    <row r="2079" spans="1:53" s="301" customFormat="1" x14ac:dyDescent="0.25">
      <c r="A2079" s="312">
        <v>114</v>
      </c>
      <c r="B2079" s="311">
        <v>44935.690972222219</v>
      </c>
      <c r="C2079" s="308">
        <v>0.69444444444444453</v>
      </c>
      <c r="D2079" s="308">
        <v>0.69791666666666663</v>
      </c>
      <c r="E2079" s="308">
        <v>0.70833333333333337</v>
      </c>
      <c r="F2079" s="309" t="s">
        <v>171</v>
      </c>
      <c r="G2079" s="309" t="s">
        <v>811</v>
      </c>
      <c r="H2079" s="309" t="s">
        <v>400</v>
      </c>
      <c r="I2079" s="310" t="s">
        <v>401</v>
      </c>
      <c r="J2079" s="310" t="s">
        <v>37</v>
      </c>
      <c r="K2079" s="310" t="s">
        <v>180</v>
      </c>
      <c r="L2079" s="156" t="s">
        <v>206</v>
      </c>
      <c r="M2079" s="309" t="s">
        <v>5118</v>
      </c>
      <c r="N2079" s="309" t="s">
        <v>160</v>
      </c>
      <c r="O2079" s="309" t="s">
        <v>5114</v>
      </c>
      <c r="P2079" s="309">
        <v>6236165</v>
      </c>
      <c r="Q2079" s="303">
        <f t="shared" ref="Q2079" si="350">S2079+U2079</f>
        <v>10</v>
      </c>
      <c r="R2079" s="303">
        <f t="shared" ref="R2079" si="351">T2079+V2079</f>
        <v>74</v>
      </c>
      <c r="S2079" s="309">
        <v>10</v>
      </c>
      <c r="T2079" s="309">
        <f>90-16</f>
        <v>74</v>
      </c>
      <c r="U2079" s="309">
        <v>0</v>
      </c>
      <c r="V2079" s="309">
        <v>0</v>
      </c>
      <c r="W2079" s="309">
        <v>86</v>
      </c>
      <c r="X2079" s="309">
        <v>36</v>
      </c>
      <c r="Y2079" s="309">
        <v>29</v>
      </c>
      <c r="Z2079" s="309">
        <v>28</v>
      </c>
      <c r="AA2079" s="309">
        <v>10</v>
      </c>
      <c r="AB2079" s="307">
        <f t="shared" si="324"/>
        <v>48.72</v>
      </c>
      <c r="AC2079" s="307">
        <f t="shared" si="325"/>
        <v>0.29349397590361442</v>
      </c>
      <c r="AD2079" s="309" t="s">
        <v>48</v>
      </c>
      <c r="AE2079" s="309" t="s">
        <v>48</v>
      </c>
      <c r="AF2079" s="309" t="s">
        <v>1566</v>
      </c>
      <c r="AG2079" s="309" t="s">
        <v>1566</v>
      </c>
      <c r="AH2079" s="309" t="s">
        <v>5117</v>
      </c>
      <c r="AI2079" s="309"/>
      <c r="AJ2079" s="309"/>
      <c r="AK2079" s="309" t="s">
        <v>48</v>
      </c>
      <c r="AL2079" s="309" t="s">
        <v>50</v>
      </c>
      <c r="AM2079" s="299">
        <f t="shared" ca="1" si="295"/>
        <v>0.80902777778101154</v>
      </c>
      <c r="AN2079" s="313"/>
      <c r="AO2079" s="288" t="s">
        <v>229</v>
      </c>
      <c r="AP2079" s="275" t="s">
        <v>5118</v>
      </c>
      <c r="AQ2079" s="288" t="s">
        <v>5181</v>
      </c>
      <c r="AR2079" s="277">
        <v>44936.5</v>
      </c>
      <c r="AS2079" s="272" t="s">
        <v>136</v>
      </c>
      <c r="AT2079" s="288" t="s">
        <v>225</v>
      </c>
      <c r="AU2079" s="276">
        <v>0.5</v>
      </c>
      <c r="AV2079" s="288">
        <v>1</v>
      </c>
      <c r="AW2079" s="288" t="s">
        <v>66</v>
      </c>
      <c r="AX2079" s="314"/>
      <c r="AY2079" s="314"/>
      <c r="AZ2079" s="314"/>
      <c r="BA2079" s="314"/>
    </row>
    <row r="2080" spans="1:53" s="301" customFormat="1" x14ac:dyDescent="0.25">
      <c r="A2080" s="312">
        <v>115</v>
      </c>
      <c r="B2080" s="311">
        <v>44935.697916666664</v>
      </c>
      <c r="C2080" s="308">
        <v>0.70138888888888884</v>
      </c>
      <c r="D2080" s="308">
        <v>0.70486111111111116</v>
      </c>
      <c r="E2080" s="308">
        <v>0.71875</v>
      </c>
      <c r="F2080" s="309" t="s">
        <v>169</v>
      </c>
      <c r="G2080" s="309" t="s">
        <v>5119</v>
      </c>
      <c r="H2080" s="307" t="s">
        <v>4735</v>
      </c>
      <c r="I2080" s="303" t="s">
        <v>4381</v>
      </c>
      <c r="J2080" s="303" t="s">
        <v>41</v>
      </c>
      <c r="K2080" s="307" t="s">
        <v>241</v>
      </c>
      <c r="L2080" s="303" t="s">
        <v>4736</v>
      </c>
      <c r="M2080" s="309" t="s">
        <v>5113</v>
      </c>
      <c r="N2080" s="309" t="s">
        <v>44</v>
      </c>
      <c r="O2080" s="309" t="s">
        <v>5120</v>
      </c>
      <c r="P2080" s="309">
        <v>30906</v>
      </c>
      <c r="Q2080" s="303">
        <f t="shared" ref="Q2080" si="352">S2080+U2080</f>
        <v>9</v>
      </c>
      <c r="R2080" s="303">
        <f t="shared" ref="R2080" si="353">T2080+V2080</f>
        <v>58</v>
      </c>
      <c r="S2080" s="309">
        <v>9</v>
      </c>
      <c r="T2080" s="309">
        <f>73-15</f>
        <v>58</v>
      </c>
      <c r="U2080" s="309">
        <v>0</v>
      </c>
      <c r="V2080" s="309">
        <v>0</v>
      </c>
      <c r="W2080" s="309">
        <v>58.22</v>
      </c>
      <c r="X2080" s="309">
        <v>51</v>
      </c>
      <c r="Y2080" s="309">
        <v>38</v>
      </c>
      <c r="Z2080" s="309">
        <v>28</v>
      </c>
      <c r="AA2080" s="309">
        <v>5</v>
      </c>
      <c r="AB2080" s="307">
        <f t="shared" si="324"/>
        <v>45.22</v>
      </c>
      <c r="AC2080" s="307">
        <f t="shared" si="325"/>
        <v>0.27240963855421685</v>
      </c>
      <c r="AD2080" s="309">
        <v>1014.9</v>
      </c>
      <c r="AE2080" s="309" t="s">
        <v>109</v>
      </c>
      <c r="AF2080" s="309" t="s">
        <v>5115</v>
      </c>
      <c r="AG2080" s="309" t="s">
        <v>5116</v>
      </c>
      <c r="AH2080" s="309" t="s">
        <v>5121</v>
      </c>
      <c r="AI2080" s="309"/>
      <c r="AJ2080" s="309"/>
      <c r="AK2080" s="309" t="s">
        <v>48</v>
      </c>
      <c r="AL2080" s="309" t="s">
        <v>50</v>
      </c>
      <c r="AM2080" s="299">
        <f t="shared" ca="1" si="295"/>
        <v>0.93402777778101154</v>
      </c>
      <c r="AN2080" s="313"/>
      <c r="AO2080" s="288" t="s">
        <v>53</v>
      </c>
      <c r="AP2080" s="275" t="s">
        <v>5113</v>
      </c>
      <c r="AQ2080" s="288" t="s">
        <v>5185</v>
      </c>
      <c r="AR2080" s="277">
        <v>44936.631944444445</v>
      </c>
      <c r="AS2080" s="272" t="s">
        <v>173</v>
      </c>
      <c r="AT2080" s="288" t="s">
        <v>225</v>
      </c>
      <c r="AU2080" s="276">
        <v>0.63194444444444442</v>
      </c>
      <c r="AV2080" s="288">
        <v>2</v>
      </c>
      <c r="AW2080" s="288" t="s">
        <v>66</v>
      </c>
      <c r="AX2080" s="314"/>
      <c r="AY2080" s="314"/>
      <c r="AZ2080" s="314"/>
      <c r="BA2080" s="314"/>
    </row>
    <row r="2081" spans="1:53" s="301" customFormat="1" x14ac:dyDescent="0.25">
      <c r="A2081" s="312">
        <v>115</v>
      </c>
      <c r="B2081" s="311">
        <v>44935.697916666664</v>
      </c>
      <c r="C2081" s="308">
        <v>0.70138888888888884</v>
      </c>
      <c r="D2081" s="308">
        <v>0.70486111111111116</v>
      </c>
      <c r="E2081" s="308">
        <v>0.71875</v>
      </c>
      <c r="F2081" s="309" t="s">
        <v>169</v>
      </c>
      <c r="G2081" s="309" t="s">
        <v>5119</v>
      </c>
      <c r="H2081" s="307" t="s">
        <v>4735</v>
      </c>
      <c r="I2081" s="303" t="s">
        <v>4381</v>
      </c>
      <c r="J2081" s="303" t="s">
        <v>41</v>
      </c>
      <c r="K2081" s="307" t="s">
        <v>241</v>
      </c>
      <c r="L2081" s="303" t="s">
        <v>4736</v>
      </c>
      <c r="M2081" s="309" t="s">
        <v>5113</v>
      </c>
      <c r="N2081" s="309" t="s">
        <v>44</v>
      </c>
      <c r="O2081" s="309" t="s">
        <v>5120</v>
      </c>
      <c r="P2081" s="309">
        <v>30906</v>
      </c>
      <c r="Q2081" s="303">
        <f t="shared" ref="Q2081:Q2082" si="354">S2081+U2081</f>
        <v>0</v>
      </c>
      <c r="R2081" s="303">
        <f t="shared" ref="R2081:R2082" si="355">T2081+V2081</f>
        <v>0</v>
      </c>
      <c r="S2081" s="309">
        <v>0</v>
      </c>
      <c r="T2081" s="309">
        <v>0</v>
      </c>
      <c r="U2081" s="309">
        <v>0</v>
      </c>
      <c r="V2081" s="309">
        <v>0</v>
      </c>
      <c r="W2081" s="309">
        <v>0</v>
      </c>
      <c r="X2081" s="309">
        <v>48</v>
      </c>
      <c r="Y2081" s="309">
        <v>45</v>
      </c>
      <c r="Z2081" s="309">
        <v>23</v>
      </c>
      <c r="AA2081" s="309">
        <v>2</v>
      </c>
      <c r="AB2081" s="307">
        <f t="shared" si="324"/>
        <v>16.559999999999999</v>
      </c>
      <c r="AC2081" s="307">
        <f t="shared" si="325"/>
        <v>9.9759036144578303E-2</v>
      </c>
      <c r="AD2081" s="309">
        <v>0</v>
      </c>
      <c r="AE2081" s="309">
        <v>0</v>
      </c>
      <c r="AF2081" s="309" t="s">
        <v>5115</v>
      </c>
      <c r="AG2081" s="309" t="s">
        <v>5116</v>
      </c>
      <c r="AH2081" s="309" t="s">
        <v>5121</v>
      </c>
      <c r="AI2081" s="309"/>
      <c r="AJ2081" s="309"/>
      <c r="AK2081" s="309" t="s">
        <v>48</v>
      </c>
      <c r="AL2081" s="309" t="s">
        <v>50</v>
      </c>
      <c r="AM2081" s="299">
        <f t="shared" ca="1" si="295"/>
        <v>0.93402777778101154</v>
      </c>
      <c r="AN2081" s="313"/>
      <c r="AO2081" s="288" t="s">
        <v>53</v>
      </c>
      <c r="AP2081" s="275" t="s">
        <v>5113</v>
      </c>
      <c r="AQ2081" s="288" t="s">
        <v>5185</v>
      </c>
      <c r="AR2081" s="277">
        <v>44936.631944444445</v>
      </c>
      <c r="AS2081" s="272" t="s">
        <v>173</v>
      </c>
      <c r="AT2081" s="288" t="s">
        <v>225</v>
      </c>
      <c r="AU2081" s="276">
        <v>0.63194444444444442</v>
      </c>
      <c r="AV2081" s="288">
        <v>2</v>
      </c>
      <c r="AW2081" s="288" t="s">
        <v>66</v>
      </c>
      <c r="AX2081" s="314"/>
      <c r="AY2081" s="314"/>
      <c r="AZ2081" s="314"/>
      <c r="BA2081" s="314"/>
    </row>
    <row r="2082" spans="1:53" s="301" customFormat="1" x14ac:dyDescent="0.25">
      <c r="A2082" s="312">
        <v>115</v>
      </c>
      <c r="B2082" s="311">
        <v>44935.697916666664</v>
      </c>
      <c r="C2082" s="308">
        <v>0.70138888888888884</v>
      </c>
      <c r="D2082" s="308">
        <v>0.70486111111111116</v>
      </c>
      <c r="E2082" s="308">
        <v>0.71875</v>
      </c>
      <c r="F2082" s="309" t="s">
        <v>169</v>
      </c>
      <c r="G2082" s="309" t="s">
        <v>5119</v>
      </c>
      <c r="H2082" s="307" t="s">
        <v>4735</v>
      </c>
      <c r="I2082" s="303" t="s">
        <v>4381</v>
      </c>
      <c r="J2082" s="303" t="s">
        <v>41</v>
      </c>
      <c r="K2082" s="307" t="s">
        <v>241</v>
      </c>
      <c r="L2082" s="303" t="s">
        <v>4736</v>
      </c>
      <c r="M2082" s="309" t="s">
        <v>5113</v>
      </c>
      <c r="N2082" s="309" t="s">
        <v>44</v>
      </c>
      <c r="O2082" s="309" t="s">
        <v>5120</v>
      </c>
      <c r="P2082" s="309">
        <v>30906</v>
      </c>
      <c r="Q2082" s="303">
        <f t="shared" si="354"/>
        <v>0</v>
      </c>
      <c r="R2082" s="303">
        <f t="shared" si="355"/>
        <v>0</v>
      </c>
      <c r="S2082" s="309">
        <v>0</v>
      </c>
      <c r="T2082" s="309">
        <v>0</v>
      </c>
      <c r="U2082" s="309">
        <v>0</v>
      </c>
      <c r="V2082" s="309">
        <v>0</v>
      </c>
      <c r="W2082" s="309">
        <v>0</v>
      </c>
      <c r="X2082" s="309">
        <v>42</v>
      </c>
      <c r="Y2082" s="309">
        <v>32</v>
      </c>
      <c r="Z2082" s="309">
        <v>17</v>
      </c>
      <c r="AA2082" s="309">
        <v>2</v>
      </c>
      <c r="AB2082" s="307">
        <f t="shared" si="324"/>
        <v>7.6159999999999997</v>
      </c>
      <c r="AC2082" s="307">
        <f t="shared" si="325"/>
        <v>4.5879518072289155E-2</v>
      </c>
      <c r="AD2082" s="309">
        <v>0</v>
      </c>
      <c r="AE2082" s="309">
        <v>0</v>
      </c>
      <c r="AF2082" s="309" t="s">
        <v>5115</v>
      </c>
      <c r="AG2082" s="309" t="s">
        <v>5116</v>
      </c>
      <c r="AH2082" s="309" t="s">
        <v>5121</v>
      </c>
      <c r="AI2082" s="309"/>
      <c r="AJ2082" s="309"/>
      <c r="AK2082" s="309" t="s">
        <v>48</v>
      </c>
      <c r="AL2082" s="309" t="s">
        <v>50</v>
      </c>
      <c r="AM2082" s="299">
        <f t="shared" ca="1" si="295"/>
        <v>0.93402777778101154</v>
      </c>
      <c r="AN2082" s="313"/>
      <c r="AO2082" s="288" t="s">
        <v>53</v>
      </c>
      <c r="AP2082" s="275" t="s">
        <v>5113</v>
      </c>
      <c r="AQ2082" s="288" t="s">
        <v>5185</v>
      </c>
      <c r="AR2082" s="277">
        <v>44936.631944444445</v>
      </c>
      <c r="AS2082" s="272" t="s">
        <v>173</v>
      </c>
      <c r="AT2082" s="288" t="s">
        <v>225</v>
      </c>
      <c r="AU2082" s="276">
        <v>0.63194444444444442</v>
      </c>
      <c r="AV2082" s="288">
        <v>2</v>
      </c>
      <c r="AW2082" s="288" t="s">
        <v>66</v>
      </c>
      <c r="AX2082" s="314"/>
      <c r="AY2082" s="314"/>
      <c r="AZ2082" s="314"/>
      <c r="BA2082" s="314"/>
    </row>
    <row r="2083" spans="1:53" s="301" customFormat="1" x14ac:dyDescent="0.25">
      <c r="A2083" s="312">
        <v>116</v>
      </c>
      <c r="B2083" s="311">
        <v>44935.763888888891</v>
      </c>
      <c r="C2083" s="308">
        <v>0.76736111111111116</v>
      </c>
      <c r="D2083" s="308">
        <v>0.77083333333333337</v>
      </c>
      <c r="E2083" s="308">
        <v>0.78472222222222221</v>
      </c>
      <c r="F2083" s="309" t="s">
        <v>171</v>
      </c>
      <c r="G2083" s="309" t="s">
        <v>173</v>
      </c>
      <c r="H2083" s="307" t="s">
        <v>195</v>
      </c>
      <c r="I2083" s="307" t="s">
        <v>195</v>
      </c>
      <c r="J2083" s="307" t="s">
        <v>37</v>
      </c>
      <c r="K2083" s="307" t="s">
        <v>180</v>
      </c>
      <c r="L2083" s="307" t="s">
        <v>209</v>
      </c>
      <c r="M2083" s="309" t="s">
        <v>5131</v>
      </c>
      <c r="N2083" s="309" t="s">
        <v>186</v>
      </c>
      <c r="O2083" s="309" t="s">
        <v>5132</v>
      </c>
      <c r="P2083" s="309">
        <v>2101110714</v>
      </c>
      <c r="Q2083" s="303">
        <f t="shared" ref="Q2083" si="356">S2083+U2083</f>
        <v>1</v>
      </c>
      <c r="R2083" s="303">
        <f t="shared" ref="R2083" si="357">T2083+V2083</f>
        <v>242</v>
      </c>
      <c r="S2083" s="309">
        <v>0</v>
      </c>
      <c r="T2083" s="309">
        <v>0</v>
      </c>
      <c r="U2083" s="309">
        <v>1</v>
      </c>
      <c r="V2083" s="309">
        <v>242</v>
      </c>
      <c r="W2083" s="309">
        <v>240</v>
      </c>
      <c r="X2083" s="309">
        <v>116</v>
      </c>
      <c r="Y2083" s="309">
        <v>80</v>
      </c>
      <c r="Z2083" s="309">
        <v>75</v>
      </c>
      <c r="AA2083" s="309">
        <v>1</v>
      </c>
      <c r="AB2083" s="307">
        <f t="shared" si="324"/>
        <v>116</v>
      </c>
      <c r="AC2083" s="307">
        <f t="shared" si="325"/>
        <v>0.6987951807228916</v>
      </c>
      <c r="AD2083" s="309">
        <v>16149.6</v>
      </c>
      <c r="AE2083" s="309" t="s">
        <v>109</v>
      </c>
      <c r="AF2083" s="309">
        <v>6809558</v>
      </c>
      <c r="AG2083" s="309" t="s">
        <v>5116</v>
      </c>
      <c r="AH2083" s="309" t="s">
        <v>5133</v>
      </c>
      <c r="AI2083" s="309"/>
      <c r="AJ2083" s="309"/>
      <c r="AK2083" s="309" t="s">
        <v>37</v>
      </c>
      <c r="AL2083" s="309" t="s">
        <v>54</v>
      </c>
      <c r="AM2083" s="299">
        <f t="shared" ca="1" si="295"/>
        <v>3.7638888888905058</v>
      </c>
      <c r="AN2083" s="313"/>
      <c r="AO2083" s="288" t="s">
        <v>131</v>
      </c>
      <c r="AP2083" s="275" t="s">
        <v>5131</v>
      </c>
      <c r="AQ2083" s="288" t="s">
        <v>5392</v>
      </c>
      <c r="AR2083" s="277">
        <v>44939.527777777781</v>
      </c>
      <c r="AS2083" s="272" t="s">
        <v>2535</v>
      </c>
      <c r="AT2083" s="288" t="s">
        <v>65</v>
      </c>
      <c r="AU2083" s="276">
        <v>0.52777777777777779</v>
      </c>
      <c r="AV2083" s="288">
        <v>1</v>
      </c>
      <c r="AW2083" s="288" t="s">
        <v>66</v>
      </c>
      <c r="AX2083" s="314"/>
      <c r="AY2083" s="314"/>
      <c r="AZ2083" s="314"/>
      <c r="BA2083" s="314"/>
    </row>
    <row r="2084" spans="1:53" s="301" customFormat="1" x14ac:dyDescent="0.25">
      <c r="A2084" s="312">
        <v>117</v>
      </c>
      <c r="B2084" s="311">
        <v>44935.763888888891</v>
      </c>
      <c r="C2084" s="308">
        <v>0.76736111111111116</v>
      </c>
      <c r="D2084" s="308">
        <v>0.77083333333333337</v>
      </c>
      <c r="E2084" s="308">
        <v>0.78472222222222221</v>
      </c>
      <c r="F2084" s="309" t="s">
        <v>171</v>
      </c>
      <c r="G2084" s="309" t="s">
        <v>173</v>
      </c>
      <c r="H2084" s="307" t="s">
        <v>195</v>
      </c>
      <c r="I2084" s="307" t="s">
        <v>195</v>
      </c>
      <c r="J2084" s="307" t="s">
        <v>37</v>
      </c>
      <c r="K2084" s="307" t="s">
        <v>180</v>
      </c>
      <c r="L2084" s="307" t="s">
        <v>209</v>
      </c>
      <c r="M2084" s="309" t="s">
        <v>5134</v>
      </c>
      <c r="N2084" s="309" t="s">
        <v>44</v>
      </c>
      <c r="O2084" s="309" t="s">
        <v>5135</v>
      </c>
      <c r="P2084" s="309">
        <v>2101110715</v>
      </c>
      <c r="Q2084" s="303">
        <f t="shared" ref="Q2084" si="358">S2084+U2084</f>
        <v>1</v>
      </c>
      <c r="R2084" s="303">
        <f t="shared" ref="R2084" si="359">T2084+V2084</f>
        <v>89</v>
      </c>
      <c r="S2084" s="309">
        <v>0</v>
      </c>
      <c r="T2084" s="309">
        <v>0</v>
      </c>
      <c r="U2084" s="309">
        <v>1</v>
      </c>
      <c r="V2084" s="309">
        <v>89</v>
      </c>
      <c r="W2084" s="309">
        <v>89</v>
      </c>
      <c r="X2084" s="309">
        <v>83</v>
      </c>
      <c r="Y2084" s="309">
        <v>59</v>
      </c>
      <c r="Z2084" s="309">
        <v>54</v>
      </c>
      <c r="AA2084" s="309">
        <v>1</v>
      </c>
      <c r="AB2084" s="307">
        <f t="shared" si="324"/>
        <v>44.073</v>
      </c>
      <c r="AC2084" s="307">
        <f t="shared" si="325"/>
        <v>0.26550000000000001</v>
      </c>
      <c r="AD2084" s="309">
        <v>4587.84</v>
      </c>
      <c r="AE2084" s="309" t="s">
        <v>109</v>
      </c>
      <c r="AF2084" s="309" t="s">
        <v>1566</v>
      </c>
      <c r="AG2084" s="309" t="s">
        <v>1566</v>
      </c>
      <c r="AH2084" s="309" t="s">
        <v>5136</v>
      </c>
      <c r="AI2084" s="309"/>
      <c r="AJ2084" s="309"/>
      <c r="AK2084" s="309" t="s">
        <v>37</v>
      </c>
      <c r="AL2084" s="309" t="s">
        <v>54</v>
      </c>
      <c r="AM2084" s="299">
        <f t="shared" ca="1" si="295"/>
        <v>0.86805555555474712</v>
      </c>
      <c r="AN2084" s="313"/>
      <c r="AO2084" s="288" t="s">
        <v>53</v>
      </c>
      <c r="AP2084" s="275" t="s">
        <v>5134</v>
      </c>
      <c r="AQ2084" s="288" t="s">
        <v>5185</v>
      </c>
      <c r="AR2084" s="277">
        <v>44936.631944444445</v>
      </c>
      <c r="AS2084" s="272" t="s">
        <v>173</v>
      </c>
      <c r="AT2084" s="288" t="s">
        <v>225</v>
      </c>
      <c r="AU2084" s="276">
        <v>0.63194444444444442</v>
      </c>
      <c r="AV2084" s="288">
        <v>2</v>
      </c>
      <c r="AW2084" s="288" t="s">
        <v>66</v>
      </c>
      <c r="AX2084" s="314"/>
      <c r="AY2084" s="314"/>
      <c r="AZ2084" s="314"/>
      <c r="BA2084" s="314"/>
    </row>
    <row r="2085" spans="1:53" s="301" customFormat="1" x14ac:dyDescent="0.25">
      <c r="A2085" s="312">
        <v>118</v>
      </c>
      <c r="B2085" s="311">
        <v>44935.770833333336</v>
      </c>
      <c r="C2085" s="308">
        <v>0.77430555555555547</v>
      </c>
      <c r="D2085" s="308">
        <v>0.78125</v>
      </c>
      <c r="E2085" s="308">
        <v>0.78819444444444453</v>
      </c>
      <c r="F2085" s="309" t="s">
        <v>171</v>
      </c>
      <c r="G2085" s="309" t="s">
        <v>5137</v>
      </c>
      <c r="H2085" s="307" t="s">
        <v>144</v>
      </c>
      <c r="I2085" s="307" t="s">
        <v>256</v>
      </c>
      <c r="J2085" s="307" t="s">
        <v>37</v>
      </c>
      <c r="K2085" s="307" t="s">
        <v>180</v>
      </c>
      <c r="L2085" s="293" t="s">
        <v>206</v>
      </c>
      <c r="M2085" s="309" t="s">
        <v>5138</v>
      </c>
      <c r="N2085" s="309" t="s">
        <v>42</v>
      </c>
      <c r="O2085" s="309">
        <v>75046125</v>
      </c>
      <c r="P2085" s="309">
        <v>333790</v>
      </c>
      <c r="Q2085" s="303">
        <f t="shared" ref="Q2085" si="360">S2085+U2085</f>
        <v>2</v>
      </c>
      <c r="R2085" s="303">
        <f t="shared" ref="R2085" si="361">T2085+V2085</f>
        <v>331</v>
      </c>
      <c r="S2085" s="309">
        <v>0</v>
      </c>
      <c r="T2085" s="309">
        <v>0</v>
      </c>
      <c r="U2085" s="309">
        <v>2</v>
      </c>
      <c r="V2085" s="309">
        <f>163+168</f>
        <v>331</v>
      </c>
      <c r="W2085" s="309">
        <v>320</v>
      </c>
      <c r="X2085" s="309">
        <v>115</v>
      </c>
      <c r="Y2085" s="309">
        <v>99</v>
      </c>
      <c r="Z2085" s="309">
        <v>114</v>
      </c>
      <c r="AA2085" s="309">
        <v>2</v>
      </c>
      <c r="AB2085" s="307">
        <f t="shared" si="324"/>
        <v>432.63</v>
      </c>
      <c r="AC2085" s="307">
        <f t="shared" si="325"/>
        <v>2.6062048192771083</v>
      </c>
      <c r="AD2085" s="309">
        <v>1998.08</v>
      </c>
      <c r="AE2085" s="309" t="s">
        <v>109</v>
      </c>
      <c r="AF2085" s="309" t="s">
        <v>1566</v>
      </c>
      <c r="AG2085" s="309" t="s">
        <v>1566</v>
      </c>
      <c r="AH2085" s="309" t="s">
        <v>5139</v>
      </c>
      <c r="AI2085" s="309"/>
      <c r="AJ2085" s="309"/>
      <c r="AK2085" s="309" t="s">
        <v>37</v>
      </c>
      <c r="AL2085" s="309" t="s">
        <v>49</v>
      </c>
      <c r="AM2085" s="299">
        <f t="shared" ca="1" si="295"/>
        <v>0.92708333332848269</v>
      </c>
      <c r="AN2085" s="313"/>
      <c r="AO2085" s="288" t="s">
        <v>107</v>
      </c>
      <c r="AP2085" s="275" t="s">
        <v>5138</v>
      </c>
      <c r="AQ2085" s="288" t="s">
        <v>5191</v>
      </c>
      <c r="AR2085" s="277">
        <v>44936.697916666664</v>
      </c>
      <c r="AS2085" s="272" t="s">
        <v>438</v>
      </c>
      <c r="AT2085" s="288" t="s">
        <v>122</v>
      </c>
      <c r="AU2085" s="276">
        <v>0.69791666666666663</v>
      </c>
      <c r="AV2085" s="288">
        <v>1</v>
      </c>
      <c r="AW2085" s="288" t="s">
        <v>66</v>
      </c>
      <c r="AX2085" s="314"/>
      <c r="AY2085" s="314"/>
      <c r="AZ2085" s="314"/>
      <c r="BA2085" s="314"/>
    </row>
    <row r="2086" spans="1:53" s="301" customFormat="1" x14ac:dyDescent="0.25">
      <c r="A2086" s="312">
        <v>119</v>
      </c>
      <c r="B2086" s="311">
        <v>44935.770833333336</v>
      </c>
      <c r="C2086" s="308">
        <v>0.77430555555555547</v>
      </c>
      <c r="D2086" s="308">
        <v>0.78125</v>
      </c>
      <c r="E2086" s="308">
        <v>0.78819444444444453</v>
      </c>
      <c r="F2086" s="309" t="s">
        <v>171</v>
      </c>
      <c r="G2086" s="309" t="s">
        <v>5137</v>
      </c>
      <c r="H2086" s="307" t="s">
        <v>144</v>
      </c>
      <c r="I2086" s="307" t="s">
        <v>256</v>
      </c>
      <c r="J2086" s="307" t="s">
        <v>37</v>
      </c>
      <c r="K2086" s="307" t="s">
        <v>180</v>
      </c>
      <c r="L2086" s="293" t="s">
        <v>206</v>
      </c>
      <c r="M2086" s="309" t="s">
        <v>5146</v>
      </c>
      <c r="N2086" s="309" t="s">
        <v>42</v>
      </c>
      <c r="O2086" s="309">
        <v>75046142</v>
      </c>
      <c r="P2086" s="309">
        <v>87006685</v>
      </c>
      <c r="Q2086" s="303">
        <f t="shared" ref="Q2086" si="362">S2086+U2086</f>
        <v>9</v>
      </c>
      <c r="R2086" s="303">
        <f t="shared" ref="R2086" si="363">T2086+V2086</f>
        <v>67</v>
      </c>
      <c r="S2086" s="309">
        <v>9</v>
      </c>
      <c r="T2086" s="309">
        <f>93-26</f>
        <v>67</v>
      </c>
      <c r="U2086" s="309">
        <v>0</v>
      </c>
      <c r="V2086" s="309">
        <v>0</v>
      </c>
      <c r="W2086" s="309">
        <v>54.36</v>
      </c>
      <c r="X2086" s="309">
        <v>73</v>
      </c>
      <c r="Y2086" s="309">
        <v>39</v>
      </c>
      <c r="Z2086" s="309">
        <v>15</v>
      </c>
      <c r="AA2086" s="309">
        <v>9</v>
      </c>
      <c r="AB2086" s="307">
        <f t="shared" si="324"/>
        <v>64.057500000000005</v>
      </c>
      <c r="AC2086" s="307">
        <f t="shared" si="325"/>
        <v>0.38588855421686752</v>
      </c>
      <c r="AD2086" s="309">
        <v>403.2</v>
      </c>
      <c r="AE2086" s="309" t="s">
        <v>109</v>
      </c>
      <c r="AF2086" s="309" t="s">
        <v>1566</v>
      </c>
      <c r="AG2086" s="309" t="s">
        <v>1566</v>
      </c>
      <c r="AH2086" s="309" t="s">
        <v>5140</v>
      </c>
      <c r="AI2086" s="309"/>
      <c r="AJ2086" s="309"/>
      <c r="AK2086" s="309" t="s">
        <v>48</v>
      </c>
      <c r="AL2086" s="309" t="s">
        <v>50</v>
      </c>
      <c r="AM2086" s="299">
        <f t="shared" ref="AM2086:AM2148" ca="1" si="364">IF(AP2086="",NOW()-B2086,AR2086-B2086)</f>
        <v>0.86111111110949423</v>
      </c>
      <c r="AN2086" s="313"/>
      <c r="AO2086" s="288" t="s">
        <v>247</v>
      </c>
      <c r="AP2086" s="275" t="s">
        <v>5146</v>
      </c>
      <c r="AQ2086" s="288" t="s">
        <v>5187</v>
      </c>
      <c r="AR2086" s="277">
        <v>44936.631944444445</v>
      </c>
      <c r="AS2086" s="272" t="s">
        <v>173</v>
      </c>
      <c r="AT2086" s="288" t="s">
        <v>225</v>
      </c>
      <c r="AU2086" s="276">
        <v>0.63194444444444442</v>
      </c>
      <c r="AV2086" s="288">
        <v>2</v>
      </c>
      <c r="AW2086" s="288" t="s">
        <v>66</v>
      </c>
      <c r="AX2086" s="314"/>
      <c r="AY2086" s="314"/>
      <c r="AZ2086" s="314"/>
      <c r="BA2086" s="314"/>
    </row>
    <row r="2087" spans="1:53" s="301" customFormat="1" x14ac:dyDescent="0.25">
      <c r="A2087" s="312">
        <v>120</v>
      </c>
      <c r="B2087" s="311">
        <v>44935.770833333336</v>
      </c>
      <c r="C2087" s="308">
        <v>0.77430555555555547</v>
      </c>
      <c r="D2087" s="308">
        <v>0.78125</v>
      </c>
      <c r="E2087" s="308">
        <v>0.78819444444444453</v>
      </c>
      <c r="F2087" s="309" t="s">
        <v>171</v>
      </c>
      <c r="G2087" s="309" t="s">
        <v>5137</v>
      </c>
      <c r="H2087" s="307" t="s">
        <v>144</v>
      </c>
      <c r="I2087" s="307" t="s">
        <v>256</v>
      </c>
      <c r="J2087" s="307" t="s">
        <v>37</v>
      </c>
      <c r="K2087" s="307" t="s">
        <v>180</v>
      </c>
      <c r="L2087" s="293" t="s">
        <v>206</v>
      </c>
      <c r="M2087" s="309" t="s">
        <v>5141</v>
      </c>
      <c r="N2087" s="309" t="s">
        <v>42</v>
      </c>
      <c r="O2087" s="309">
        <v>75046124</v>
      </c>
      <c r="P2087" s="309">
        <v>333790</v>
      </c>
      <c r="Q2087" s="303">
        <f t="shared" ref="Q2087" si="365">S2087+U2087</f>
        <v>1</v>
      </c>
      <c r="R2087" s="303">
        <f t="shared" ref="R2087" si="366">T2087+V2087</f>
        <v>196</v>
      </c>
      <c r="S2087" s="309">
        <v>0</v>
      </c>
      <c r="T2087" s="309">
        <v>0</v>
      </c>
      <c r="U2087" s="309">
        <v>1</v>
      </c>
      <c r="V2087" s="309">
        <v>196</v>
      </c>
      <c r="W2087" s="309">
        <v>180</v>
      </c>
      <c r="X2087" s="309">
        <v>115</v>
      </c>
      <c r="Y2087" s="309">
        <v>99</v>
      </c>
      <c r="Z2087" s="309">
        <v>114</v>
      </c>
      <c r="AA2087" s="309">
        <v>1</v>
      </c>
      <c r="AB2087" s="307">
        <f t="shared" si="324"/>
        <v>216.315</v>
      </c>
      <c r="AC2087" s="307">
        <f t="shared" si="325"/>
        <v>1.3031024096385542</v>
      </c>
      <c r="AD2087" s="309">
        <v>1517.2</v>
      </c>
      <c r="AE2087" s="309" t="s">
        <v>109</v>
      </c>
      <c r="AF2087" s="309" t="s">
        <v>1566</v>
      </c>
      <c r="AG2087" s="309" t="s">
        <v>1566</v>
      </c>
      <c r="AH2087" s="309" t="s">
        <v>5142</v>
      </c>
      <c r="AI2087" s="309"/>
      <c r="AJ2087" s="309"/>
      <c r="AK2087" s="309" t="s">
        <v>37</v>
      </c>
      <c r="AL2087" s="309" t="s">
        <v>49</v>
      </c>
      <c r="AM2087" s="299">
        <f t="shared" ca="1" si="364"/>
        <v>0.92708333332848269</v>
      </c>
      <c r="AN2087" s="313"/>
      <c r="AO2087" s="288" t="s">
        <v>107</v>
      </c>
      <c r="AP2087" s="275" t="s">
        <v>5141</v>
      </c>
      <c r="AQ2087" s="288" t="s">
        <v>5191</v>
      </c>
      <c r="AR2087" s="277">
        <v>44936.697916666664</v>
      </c>
      <c r="AS2087" s="272" t="s">
        <v>438</v>
      </c>
      <c r="AT2087" s="288" t="s">
        <v>122</v>
      </c>
      <c r="AU2087" s="276">
        <v>0.69791666666666663</v>
      </c>
      <c r="AV2087" s="288">
        <v>1</v>
      </c>
      <c r="AW2087" s="288" t="s">
        <v>66</v>
      </c>
      <c r="AX2087" s="314"/>
      <c r="AY2087" s="314"/>
      <c r="AZ2087" s="314"/>
      <c r="BA2087" s="314"/>
    </row>
    <row r="2088" spans="1:53" s="301" customFormat="1" x14ac:dyDescent="0.25">
      <c r="A2088" s="312">
        <v>121</v>
      </c>
      <c r="B2088" s="311">
        <v>44935.777777777781</v>
      </c>
      <c r="C2088" s="308">
        <v>0.78125</v>
      </c>
      <c r="D2088" s="308">
        <v>0.79166666666666663</v>
      </c>
      <c r="E2088" s="308">
        <v>0.79513888888888884</v>
      </c>
      <c r="F2088" s="309" t="s">
        <v>171</v>
      </c>
      <c r="G2088" s="309" t="s">
        <v>329</v>
      </c>
      <c r="H2088" s="307" t="s">
        <v>342</v>
      </c>
      <c r="I2088" s="307" t="s">
        <v>342</v>
      </c>
      <c r="J2088" s="307" t="s">
        <v>37</v>
      </c>
      <c r="K2088" s="309" t="s">
        <v>180</v>
      </c>
      <c r="L2088" s="309">
        <v>0</v>
      </c>
      <c r="M2088" s="309" t="s">
        <v>5143</v>
      </c>
      <c r="N2088" s="309" t="s">
        <v>42</v>
      </c>
      <c r="O2088" s="309" t="s">
        <v>5144</v>
      </c>
      <c r="P2088" s="309" t="s">
        <v>3708</v>
      </c>
      <c r="Q2088" s="303">
        <f t="shared" ref="Q2088" si="367">S2088+U2088</f>
        <v>11</v>
      </c>
      <c r="R2088" s="303">
        <f t="shared" ref="R2088" si="368">T2088+V2088</f>
        <v>4978</v>
      </c>
      <c r="S2088" s="309">
        <v>0</v>
      </c>
      <c r="T2088" s="309">
        <v>0</v>
      </c>
      <c r="U2088" s="309">
        <v>11</v>
      </c>
      <c r="V2088" s="309">
        <f>817+349+654+339+796+348+288+331+343+366+347</f>
        <v>4978</v>
      </c>
      <c r="W2088" s="309">
        <v>5070</v>
      </c>
      <c r="X2088" s="309">
        <v>117</v>
      </c>
      <c r="Y2088" s="309">
        <v>62</v>
      </c>
      <c r="Z2088" s="309">
        <v>100</v>
      </c>
      <c r="AA2088" s="309">
        <v>1</v>
      </c>
      <c r="AB2088" s="307">
        <f t="shared" si="324"/>
        <v>120.9</v>
      </c>
      <c r="AC2088" s="307">
        <f t="shared" si="325"/>
        <v>0.72831325301204819</v>
      </c>
      <c r="AD2088" s="309">
        <v>37179.800000000003</v>
      </c>
      <c r="AE2088" s="309" t="s">
        <v>109</v>
      </c>
      <c r="AF2088" s="309" t="s">
        <v>1566</v>
      </c>
      <c r="AG2088" s="309" t="s">
        <v>1566</v>
      </c>
      <c r="AH2088" s="309" t="s">
        <v>5145</v>
      </c>
      <c r="AI2088" s="309"/>
      <c r="AJ2088" s="309"/>
      <c r="AK2088" s="309" t="s">
        <v>37</v>
      </c>
      <c r="AL2088" s="309" t="s">
        <v>49</v>
      </c>
      <c r="AM2088" s="299">
        <f t="shared" ca="1" si="364"/>
        <v>0.84375</v>
      </c>
      <c r="AN2088" s="313"/>
      <c r="AO2088" s="288" t="s">
        <v>107</v>
      </c>
      <c r="AP2088" s="275" t="s">
        <v>5143</v>
      </c>
      <c r="AQ2088" s="288" t="s">
        <v>5184</v>
      </c>
      <c r="AR2088" s="277">
        <v>44936.621527777781</v>
      </c>
      <c r="AS2088" s="272" t="s">
        <v>136</v>
      </c>
      <c r="AT2088" s="288" t="s">
        <v>225</v>
      </c>
      <c r="AU2088" s="276">
        <v>0.62152777777777779</v>
      </c>
      <c r="AV2088" s="288">
        <v>2</v>
      </c>
      <c r="AW2088" s="288" t="s">
        <v>66</v>
      </c>
      <c r="AX2088" s="314"/>
      <c r="AY2088" s="314"/>
      <c r="AZ2088" s="314"/>
      <c r="BA2088" s="314"/>
    </row>
    <row r="2089" spans="1:53" s="301" customFormat="1" x14ac:dyDescent="0.25">
      <c r="A2089" s="312">
        <v>121</v>
      </c>
      <c r="B2089" s="311">
        <v>44935.777777777781</v>
      </c>
      <c r="C2089" s="308">
        <v>0.78125</v>
      </c>
      <c r="D2089" s="308">
        <v>0.79166666666666663</v>
      </c>
      <c r="E2089" s="308">
        <v>0.79513888888888884</v>
      </c>
      <c r="F2089" s="309" t="s">
        <v>171</v>
      </c>
      <c r="G2089" s="309" t="s">
        <v>329</v>
      </c>
      <c r="H2089" s="307" t="s">
        <v>342</v>
      </c>
      <c r="I2089" s="307" t="s">
        <v>342</v>
      </c>
      <c r="J2089" s="307" t="s">
        <v>37</v>
      </c>
      <c r="K2089" s="309" t="s">
        <v>180</v>
      </c>
      <c r="L2089" s="309">
        <v>0</v>
      </c>
      <c r="M2089" s="309" t="s">
        <v>5143</v>
      </c>
      <c r="N2089" s="309" t="s">
        <v>42</v>
      </c>
      <c r="O2089" s="309" t="s">
        <v>5144</v>
      </c>
      <c r="P2089" s="309" t="s">
        <v>3708</v>
      </c>
      <c r="Q2089" s="303">
        <f t="shared" ref="Q2089:Q2093" si="369">S2089+U2089</f>
        <v>0</v>
      </c>
      <c r="R2089" s="303">
        <f t="shared" ref="R2089:R2093" si="370">T2089+V2089</f>
        <v>0</v>
      </c>
      <c r="S2089" s="309">
        <v>0</v>
      </c>
      <c r="T2089" s="309">
        <v>0</v>
      </c>
      <c r="U2089" s="309">
        <v>0</v>
      </c>
      <c r="V2089" s="309">
        <v>0</v>
      </c>
      <c r="W2089" s="309">
        <v>0</v>
      </c>
      <c r="X2089" s="309">
        <v>99</v>
      </c>
      <c r="Y2089" s="309">
        <v>98</v>
      </c>
      <c r="Z2089" s="309">
        <v>75</v>
      </c>
      <c r="AA2089" s="309">
        <v>5</v>
      </c>
      <c r="AB2089" s="307">
        <f t="shared" si="324"/>
        <v>606.375</v>
      </c>
      <c r="AC2089" s="307">
        <f t="shared" si="325"/>
        <v>3.6528614457831323</v>
      </c>
      <c r="AD2089" s="309">
        <v>0</v>
      </c>
      <c r="AE2089" s="309">
        <v>0</v>
      </c>
      <c r="AF2089" s="309" t="s">
        <v>1566</v>
      </c>
      <c r="AG2089" s="309" t="s">
        <v>1566</v>
      </c>
      <c r="AH2089" s="309" t="s">
        <v>5145</v>
      </c>
      <c r="AI2089" s="309"/>
      <c r="AJ2089" s="309"/>
      <c r="AK2089" s="309" t="s">
        <v>37</v>
      </c>
      <c r="AL2089" s="309" t="s">
        <v>49</v>
      </c>
      <c r="AM2089" s="299">
        <f t="shared" ca="1" si="364"/>
        <v>0.84375</v>
      </c>
      <c r="AN2089" s="313"/>
      <c r="AO2089" s="288" t="s">
        <v>107</v>
      </c>
      <c r="AP2089" s="275" t="s">
        <v>5143</v>
      </c>
      <c r="AQ2089" s="288" t="s">
        <v>5184</v>
      </c>
      <c r="AR2089" s="277">
        <v>44936.621527777781</v>
      </c>
      <c r="AS2089" s="272" t="s">
        <v>136</v>
      </c>
      <c r="AT2089" s="288" t="s">
        <v>225</v>
      </c>
      <c r="AU2089" s="276">
        <v>0.62152777777777779</v>
      </c>
      <c r="AV2089" s="288">
        <v>2</v>
      </c>
      <c r="AW2089" s="288" t="s">
        <v>66</v>
      </c>
      <c r="AX2089" s="314"/>
      <c r="AY2089" s="314"/>
      <c r="AZ2089" s="314"/>
      <c r="BA2089" s="314"/>
    </row>
    <row r="2090" spans="1:53" s="301" customFormat="1" x14ac:dyDescent="0.25">
      <c r="A2090" s="312">
        <v>121</v>
      </c>
      <c r="B2090" s="311">
        <v>44935.777777777781</v>
      </c>
      <c r="C2090" s="308">
        <v>0.78125</v>
      </c>
      <c r="D2090" s="308">
        <v>0.79166666666666663</v>
      </c>
      <c r="E2090" s="308">
        <v>0.79513888888888884</v>
      </c>
      <c r="F2090" s="309" t="s">
        <v>171</v>
      </c>
      <c r="G2090" s="309" t="s">
        <v>329</v>
      </c>
      <c r="H2090" s="307" t="s">
        <v>342</v>
      </c>
      <c r="I2090" s="307" t="s">
        <v>342</v>
      </c>
      <c r="J2090" s="307" t="s">
        <v>37</v>
      </c>
      <c r="K2090" s="309" t="s">
        <v>180</v>
      </c>
      <c r="L2090" s="309">
        <v>0</v>
      </c>
      <c r="M2090" s="309" t="s">
        <v>5143</v>
      </c>
      <c r="N2090" s="309" t="s">
        <v>42</v>
      </c>
      <c r="O2090" s="309" t="s">
        <v>5144</v>
      </c>
      <c r="P2090" s="309" t="s">
        <v>3708</v>
      </c>
      <c r="Q2090" s="303">
        <f t="shared" si="369"/>
        <v>0</v>
      </c>
      <c r="R2090" s="303">
        <f t="shared" si="370"/>
        <v>0</v>
      </c>
      <c r="S2090" s="309">
        <v>0</v>
      </c>
      <c r="T2090" s="309">
        <v>0</v>
      </c>
      <c r="U2090" s="309">
        <v>0</v>
      </c>
      <c r="V2090" s="309">
        <v>0</v>
      </c>
      <c r="W2090" s="309">
        <v>0</v>
      </c>
      <c r="X2090" s="309">
        <v>117</v>
      </c>
      <c r="Y2090" s="309">
        <v>62</v>
      </c>
      <c r="Z2090" s="309">
        <v>88</v>
      </c>
      <c r="AA2090" s="309">
        <v>1</v>
      </c>
      <c r="AB2090" s="307">
        <f t="shared" si="324"/>
        <v>106.392</v>
      </c>
      <c r="AC2090" s="307">
        <f t="shared" si="325"/>
        <v>0.6409156626506024</v>
      </c>
      <c r="AD2090" s="309">
        <v>0</v>
      </c>
      <c r="AE2090" s="309">
        <v>0</v>
      </c>
      <c r="AF2090" s="309" t="s">
        <v>1566</v>
      </c>
      <c r="AG2090" s="309" t="s">
        <v>1566</v>
      </c>
      <c r="AH2090" s="309" t="s">
        <v>5145</v>
      </c>
      <c r="AI2090" s="309"/>
      <c r="AJ2090" s="309"/>
      <c r="AK2090" s="309" t="s">
        <v>37</v>
      </c>
      <c r="AL2090" s="309" t="s">
        <v>49</v>
      </c>
      <c r="AM2090" s="299">
        <f t="shared" ca="1" si="364"/>
        <v>0.84375</v>
      </c>
      <c r="AN2090" s="313"/>
      <c r="AO2090" s="288" t="s">
        <v>107</v>
      </c>
      <c r="AP2090" s="275" t="s">
        <v>5143</v>
      </c>
      <c r="AQ2090" s="288" t="s">
        <v>5184</v>
      </c>
      <c r="AR2090" s="277">
        <v>44936.621527777781</v>
      </c>
      <c r="AS2090" s="272" t="s">
        <v>136</v>
      </c>
      <c r="AT2090" s="288" t="s">
        <v>225</v>
      </c>
      <c r="AU2090" s="276">
        <v>0.62152777777777779</v>
      </c>
      <c r="AV2090" s="288">
        <v>2</v>
      </c>
      <c r="AW2090" s="288" t="s">
        <v>66</v>
      </c>
      <c r="AX2090" s="314"/>
      <c r="AY2090" s="314"/>
      <c r="AZ2090" s="314"/>
      <c r="BA2090" s="314"/>
    </row>
    <row r="2091" spans="1:53" s="301" customFormat="1" x14ac:dyDescent="0.25">
      <c r="A2091" s="312">
        <v>121</v>
      </c>
      <c r="B2091" s="311">
        <v>44935.777777777781</v>
      </c>
      <c r="C2091" s="308">
        <v>0.78125</v>
      </c>
      <c r="D2091" s="308">
        <v>0.79166666666666663</v>
      </c>
      <c r="E2091" s="308">
        <v>0.79513888888888884</v>
      </c>
      <c r="F2091" s="309" t="s">
        <v>171</v>
      </c>
      <c r="G2091" s="309" t="s">
        <v>329</v>
      </c>
      <c r="H2091" s="307" t="s">
        <v>342</v>
      </c>
      <c r="I2091" s="307" t="s">
        <v>342</v>
      </c>
      <c r="J2091" s="307" t="s">
        <v>37</v>
      </c>
      <c r="K2091" s="309" t="s">
        <v>180</v>
      </c>
      <c r="L2091" s="309">
        <v>0</v>
      </c>
      <c r="M2091" s="309" t="s">
        <v>5143</v>
      </c>
      <c r="N2091" s="309" t="s">
        <v>42</v>
      </c>
      <c r="O2091" s="309" t="s">
        <v>5144</v>
      </c>
      <c r="P2091" s="309" t="s">
        <v>3708</v>
      </c>
      <c r="Q2091" s="303">
        <f t="shared" si="369"/>
        <v>0</v>
      </c>
      <c r="R2091" s="303">
        <f t="shared" si="370"/>
        <v>0</v>
      </c>
      <c r="S2091" s="309">
        <v>0</v>
      </c>
      <c r="T2091" s="309">
        <v>0</v>
      </c>
      <c r="U2091" s="309">
        <v>0</v>
      </c>
      <c r="V2091" s="309">
        <v>0</v>
      </c>
      <c r="W2091" s="309">
        <v>0</v>
      </c>
      <c r="X2091" s="309">
        <v>120</v>
      </c>
      <c r="Y2091" s="309">
        <v>64</v>
      </c>
      <c r="Z2091" s="309">
        <v>88</v>
      </c>
      <c r="AA2091" s="309">
        <v>1</v>
      </c>
      <c r="AB2091" s="307">
        <f t="shared" si="324"/>
        <v>112.64</v>
      </c>
      <c r="AC2091" s="307">
        <f t="shared" si="325"/>
        <v>0.67855421686746986</v>
      </c>
      <c r="AD2091" s="309">
        <v>0</v>
      </c>
      <c r="AE2091" s="309">
        <v>0</v>
      </c>
      <c r="AF2091" s="309" t="s">
        <v>1566</v>
      </c>
      <c r="AG2091" s="309" t="s">
        <v>1566</v>
      </c>
      <c r="AH2091" s="309" t="s">
        <v>5145</v>
      </c>
      <c r="AI2091" s="309"/>
      <c r="AJ2091" s="309"/>
      <c r="AK2091" s="309" t="s">
        <v>37</v>
      </c>
      <c r="AL2091" s="309" t="s">
        <v>49</v>
      </c>
      <c r="AM2091" s="299">
        <f t="shared" ca="1" si="364"/>
        <v>0.84375</v>
      </c>
      <c r="AN2091" s="313"/>
      <c r="AO2091" s="288" t="s">
        <v>107</v>
      </c>
      <c r="AP2091" s="275" t="s">
        <v>5143</v>
      </c>
      <c r="AQ2091" s="288" t="s">
        <v>5184</v>
      </c>
      <c r="AR2091" s="277">
        <v>44936.621527777781</v>
      </c>
      <c r="AS2091" s="272" t="s">
        <v>136</v>
      </c>
      <c r="AT2091" s="288" t="s">
        <v>225</v>
      </c>
      <c r="AU2091" s="276">
        <v>0.62152777777777779</v>
      </c>
      <c r="AV2091" s="288">
        <v>2</v>
      </c>
      <c r="AW2091" s="288" t="s">
        <v>66</v>
      </c>
      <c r="AX2091" s="314"/>
      <c r="AY2091" s="314"/>
      <c r="AZ2091" s="314"/>
      <c r="BA2091" s="314"/>
    </row>
    <row r="2092" spans="1:53" s="301" customFormat="1" x14ac:dyDescent="0.25">
      <c r="A2092" s="312">
        <v>121</v>
      </c>
      <c r="B2092" s="311">
        <v>44935.777777777781</v>
      </c>
      <c r="C2092" s="308">
        <v>0.78125</v>
      </c>
      <c r="D2092" s="308">
        <v>0.79166666666666663</v>
      </c>
      <c r="E2092" s="308">
        <v>0.79513888888888884</v>
      </c>
      <c r="F2092" s="309" t="s">
        <v>171</v>
      </c>
      <c r="G2092" s="309" t="s">
        <v>329</v>
      </c>
      <c r="H2092" s="307" t="s">
        <v>342</v>
      </c>
      <c r="I2092" s="307" t="s">
        <v>342</v>
      </c>
      <c r="J2092" s="307" t="s">
        <v>37</v>
      </c>
      <c r="K2092" s="309" t="s">
        <v>180</v>
      </c>
      <c r="L2092" s="309">
        <v>0</v>
      </c>
      <c r="M2092" s="309" t="s">
        <v>5143</v>
      </c>
      <c r="N2092" s="309" t="s">
        <v>42</v>
      </c>
      <c r="O2092" s="309" t="s">
        <v>5144</v>
      </c>
      <c r="P2092" s="309" t="s">
        <v>3708</v>
      </c>
      <c r="Q2092" s="303">
        <f t="shared" si="369"/>
        <v>0</v>
      </c>
      <c r="R2092" s="303">
        <f t="shared" si="370"/>
        <v>0</v>
      </c>
      <c r="S2092" s="309">
        <v>0</v>
      </c>
      <c r="T2092" s="309">
        <v>0</v>
      </c>
      <c r="U2092" s="309">
        <v>0</v>
      </c>
      <c r="V2092" s="309">
        <v>0</v>
      </c>
      <c r="W2092" s="309">
        <v>0</v>
      </c>
      <c r="X2092" s="309">
        <v>99</v>
      </c>
      <c r="Y2092" s="309">
        <v>98</v>
      </c>
      <c r="Z2092" s="309">
        <v>69</v>
      </c>
      <c r="AA2092" s="309">
        <v>2</v>
      </c>
      <c r="AB2092" s="307">
        <f t="shared" si="324"/>
        <v>223.14599999999999</v>
      </c>
      <c r="AC2092" s="307">
        <f t="shared" si="325"/>
        <v>1.3442530120481926</v>
      </c>
      <c r="AD2092" s="309">
        <v>0</v>
      </c>
      <c r="AE2092" s="309">
        <v>0</v>
      </c>
      <c r="AF2092" s="309" t="s">
        <v>1566</v>
      </c>
      <c r="AG2092" s="309" t="s">
        <v>1566</v>
      </c>
      <c r="AH2092" s="309" t="s">
        <v>5145</v>
      </c>
      <c r="AI2092" s="309"/>
      <c r="AJ2092" s="309"/>
      <c r="AK2092" s="309" t="s">
        <v>37</v>
      </c>
      <c r="AL2092" s="309" t="s">
        <v>49</v>
      </c>
      <c r="AM2092" s="299">
        <f t="shared" ca="1" si="364"/>
        <v>0.84375</v>
      </c>
      <c r="AN2092" s="313"/>
      <c r="AO2092" s="288" t="s">
        <v>107</v>
      </c>
      <c r="AP2092" s="275" t="s">
        <v>5143</v>
      </c>
      <c r="AQ2092" s="288" t="s">
        <v>5184</v>
      </c>
      <c r="AR2092" s="277">
        <v>44936.621527777781</v>
      </c>
      <c r="AS2092" s="272" t="s">
        <v>136</v>
      </c>
      <c r="AT2092" s="288" t="s">
        <v>225</v>
      </c>
      <c r="AU2092" s="276">
        <v>0.62152777777777779</v>
      </c>
      <c r="AV2092" s="288">
        <v>2</v>
      </c>
      <c r="AW2092" s="288" t="s">
        <v>66</v>
      </c>
      <c r="AX2092" s="314"/>
      <c r="AY2092" s="314"/>
      <c r="AZ2092" s="314"/>
      <c r="BA2092" s="314"/>
    </row>
    <row r="2093" spans="1:53" s="301" customFormat="1" x14ac:dyDescent="0.25">
      <c r="A2093" s="312">
        <v>121</v>
      </c>
      <c r="B2093" s="311">
        <v>44935.777777777781</v>
      </c>
      <c r="C2093" s="308">
        <v>0.78125</v>
      </c>
      <c r="D2093" s="308">
        <v>0.79166666666666663</v>
      </c>
      <c r="E2093" s="308">
        <v>0.79513888888888884</v>
      </c>
      <c r="F2093" s="309" t="s">
        <v>171</v>
      </c>
      <c r="G2093" s="309" t="s">
        <v>329</v>
      </c>
      <c r="H2093" s="307" t="s">
        <v>342</v>
      </c>
      <c r="I2093" s="307" t="s">
        <v>342</v>
      </c>
      <c r="J2093" s="307" t="s">
        <v>37</v>
      </c>
      <c r="K2093" s="309" t="s">
        <v>180</v>
      </c>
      <c r="L2093" s="309">
        <v>0</v>
      </c>
      <c r="M2093" s="309" t="s">
        <v>5143</v>
      </c>
      <c r="N2093" s="309" t="s">
        <v>42</v>
      </c>
      <c r="O2093" s="309" t="s">
        <v>5144</v>
      </c>
      <c r="P2093" s="309" t="s">
        <v>3708</v>
      </c>
      <c r="Q2093" s="303">
        <f t="shared" si="369"/>
        <v>0</v>
      </c>
      <c r="R2093" s="303">
        <f t="shared" si="370"/>
        <v>0</v>
      </c>
      <c r="S2093" s="309">
        <v>0</v>
      </c>
      <c r="T2093" s="309">
        <v>0</v>
      </c>
      <c r="U2093" s="309">
        <v>0</v>
      </c>
      <c r="V2093" s="309">
        <v>0</v>
      </c>
      <c r="W2093" s="309">
        <v>0</v>
      </c>
      <c r="X2093" s="309">
        <v>99</v>
      </c>
      <c r="Y2093" s="309">
        <v>98</v>
      </c>
      <c r="Z2093" s="309">
        <v>66</v>
      </c>
      <c r="AA2093" s="309">
        <v>1</v>
      </c>
      <c r="AB2093" s="307">
        <f t="shared" ref="AB2093:AB2102" si="371">X2093*Y2093*Z2093*AA2093/6000</f>
        <v>106.72199999999999</v>
      </c>
      <c r="AC2093" s="307">
        <f t="shared" ref="AC2093:AC2102" si="372">AB2093/166</f>
        <v>0.64290361445783129</v>
      </c>
      <c r="AD2093" s="309">
        <v>0</v>
      </c>
      <c r="AE2093" s="309">
        <v>0</v>
      </c>
      <c r="AF2093" s="309" t="s">
        <v>1566</v>
      </c>
      <c r="AG2093" s="309" t="s">
        <v>1566</v>
      </c>
      <c r="AH2093" s="309" t="s">
        <v>5145</v>
      </c>
      <c r="AI2093" s="309"/>
      <c r="AJ2093" s="309"/>
      <c r="AK2093" s="309" t="s">
        <v>37</v>
      </c>
      <c r="AL2093" s="309" t="s">
        <v>49</v>
      </c>
      <c r="AM2093" s="299">
        <f t="shared" ca="1" si="364"/>
        <v>0.84375</v>
      </c>
      <c r="AN2093" s="313"/>
      <c r="AO2093" s="288" t="s">
        <v>107</v>
      </c>
      <c r="AP2093" s="275" t="s">
        <v>5143</v>
      </c>
      <c r="AQ2093" s="288" t="s">
        <v>5184</v>
      </c>
      <c r="AR2093" s="277">
        <v>44936.621527777781</v>
      </c>
      <c r="AS2093" s="272" t="s">
        <v>136</v>
      </c>
      <c r="AT2093" s="288" t="s">
        <v>225</v>
      </c>
      <c r="AU2093" s="276">
        <v>0.62152777777777779</v>
      </c>
      <c r="AV2093" s="288">
        <v>2</v>
      </c>
      <c r="AW2093" s="288" t="s">
        <v>66</v>
      </c>
      <c r="AX2093" s="314"/>
      <c r="AY2093" s="314"/>
      <c r="AZ2093" s="314"/>
      <c r="BA2093" s="314"/>
    </row>
    <row r="2094" spans="1:53" s="301" customFormat="1" x14ac:dyDescent="0.25">
      <c r="A2094" s="312">
        <v>122</v>
      </c>
      <c r="B2094" s="311">
        <v>44936.40625</v>
      </c>
      <c r="C2094" s="308">
        <v>0.40972222222222227</v>
      </c>
      <c r="D2094" s="308">
        <v>0.42708333333333331</v>
      </c>
      <c r="E2094" s="308">
        <v>0.44791666666666669</v>
      </c>
      <c r="F2094" s="309" t="s">
        <v>171</v>
      </c>
      <c r="G2094" s="309" t="s">
        <v>151</v>
      </c>
      <c r="H2094" s="307" t="s">
        <v>342</v>
      </c>
      <c r="I2094" s="307" t="s">
        <v>342</v>
      </c>
      <c r="J2094" s="307" t="s">
        <v>37</v>
      </c>
      <c r="K2094" s="309" t="s">
        <v>180</v>
      </c>
      <c r="L2094" s="293" t="s">
        <v>206</v>
      </c>
      <c r="M2094" s="309" t="s">
        <v>5147</v>
      </c>
      <c r="N2094" s="309" t="s">
        <v>42</v>
      </c>
      <c r="O2094" s="309" t="s">
        <v>5148</v>
      </c>
      <c r="P2094" s="309">
        <v>29569612</v>
      </c>
      <c r="Q2094" s="303">
        <f t="shared" ref="Q2094:Q2103" si="373">S2094+U2094</f>
        <v>1</v>
      </c>
      <c r="R2094" s="303">
        <f t="shared" ref="R2094:R2103" si="374">T2094+V2094</f>
        <v>306</v>
      </c>
      <c r="S2094" s="309">
        <v>0</v>
      </c>
      <c r="T2094" s="309">
        <v>0</v>
      </c>
      <c r="U2094" s="309">
        <v>1</v>
      </c>
      <c r="V2094" s="309">
        <v>306</v>
      </c>
      <c r="W2094" s="309">
        <v>302</v>
      </c>
      <c r="X2094" s="309">
        <v>122</v>
      </c>
      <c r="Y2094" s="309">
        <v>116</v>
      </c>
      <c r="Z2094" s="309">
        <v>88</v>
      </c>
      <c r="AA2094" s="309">
        <v>1</v>
      </c>
      <c r="AB2094" s="307">
        <f t="shared" si="371"/>
        <v>207.56266666666667</v>
      </c>
      <c r="AC2094" s="307">
        <f t="shared" si="372"/>
        <v>1.2503775100401606</v>
      </c>
      <c r="AD2094" s="309">
        <v>88.07</v>
      </c>
      <c r="AE2094" s="309" t="s">
        <v>109</v>
      </c>
      <c r="AF2094" s="309" t="s">
        <v>5149</v>
      </c>
      <c r="AG2094" s="53">
        <v>45170</v>
      </c>
      <c r="AH2094" s="309" t="s">
        <v>5150</v>
      </c>
      <c r="AI2094" s="309"/>
      <c r="AJ2094" s="309"/>
      <c r="AK2094" s="309" t="s">
        <v>41</v>
      </c>
      <c r="AL2094" s="309" t="s">
        <v>49</v>
      </c>
      <c r="AM2094" s="299">
        <f t="shared" ca="1" si="364"/>
        <v>0.29166666666424135</v>
      </c>
      <c r="AN2094" s="313"/>
      <c r="AO2094" s="288" t="s">
        <v>107</v>
      </c>
      <c r="AP2094" s="275" t="s">
        <v>5147</v>
      </c>
      <c r="AQ2094" s="288" t="s">
        <v>5191</v>
      </c>
      <c r="AR2094" s="277">
        <v>44936.697916666664</v>
      </c>
      <c r="AS2094" s="272" t="s">
        <v>438</v>
      </c>
      <c r="AT2094" s="288" t="s">
        <v>122</v>
      </c>
      <c r="AU2094" s="276">
        <v>0.69791666666666663</v>
      </c>
      <c r="AV2094" s="288">
        <v>1</v>
      </c>
      <c r="AW2094" s="288" t="s">
        <v>66</v>
      </c>
      <c r="AX2094" s="314"/>
      <c r="AY2094" s="314"/>
      <c r="AZ2094" s="314"/>
      <c r="BA2094" s="314"/>
    </row>
    <row r="2095" spans="1:53" s="301" customFormat="1" x14ac:dyDescent="0.25">
      <c r="A2095" s="312">
        <v>123</v>
      </c>
      <c r="B2095" s="311">
        <v>44936.40625</v>
      </c>
      <c r="C2095" s="308">
        <v>0.40972222222222227</v>
      </c>
      <c r="D2095" s="308">
        <v>0.42708333333333331</v>
      </c>
      <c r="E2095" s="308">
        <v>0.44791666666666669</v>
      </c>
      <c r="F2095" s="309" t="s">
        <v>171</v>
      </c>
      <c r="G2095" s="309" t="s">
        <v>151</v>
      </c>
      <c r="H2095" s="307" t="s">
        <v>342</v>
      </c>
      <c r="I2095" s="307" t="s">
        <v>342</v>
      </c>
      <c r="J2095" s="307" t="s">
        <v>37</v>
      </c>
      <c r="K2095" s="309" t="s">
        <v>180</v>
      </c>
      <c r="L2095" s="293" t="s">
        <v>206</v>
      </c>
      <c r="M2095" s="309" t="s">
        <v>5147</v>
      </c>
      <c r="N2095" s="309" t="s">
        <v>42</v>
      </c>
      <c r="O2095" s="309" t="s">
        <v>5151</v>
      </c>
      <c r="P2095" s="309">
        <v>29569610</v>
      </c>
      <c r="Q2095" s="303">
        <f t="shared" si="373"/>
        <v>1</v>
      </c>
      <c r="R2095" s="303">
        <f t="shared" si="374"/>
        <v>190</v>
      </c>
      <c r="S2095" s="309">
        <v>0</v>
      </c>
      <c r="T2095" s="309">
        <v>0</v>
      </c>
      <c r="U2095" s="309">
        <v>1</v>
      </c>
      <c r="V2095" s="309">
        <v>190</v>
      </c>
      <c r="W2095" s="309">
        <v>189</v>
      </c>
      <c r="X2095" s="309">
        <v>120</v>
      </c>
      <c r="Y2095" s="309">
        <v>116</v>
      </c>
      <c r="Z2095" s="309">
        <v>60</v>
      </c>
      <c r="AA2095" s="309">
        <v>1</v>
      </c>
      <c r="AB2095" s="307">
        <f t="shared" si="371"/>
        <v>139.19999999999999</v>
      </c>
      <c r="AC2095" s="307">
        <f t="shared" si="372"/>
        <v>0.83855421686746978</v>
      </c>
      <c r="AD2095" s="309">
        <v>48.69</v>
      </c>
      <c r="AE2095" s="309" t="s">
        <v>109</v>
      </c>
      <c r="AF2095" s="309" t="s">
        <v>5152</v>
      </c>
      <c r="AG2095" s="53">
        <v>45170</v>
      </c>
      <c r="AH2095" s="309" t="s">
        <v>5153</v>
      </c>
      <c r="AI2095" s="309"/>
      <c r="AJ2095" s="309"/>
      <c r="AK2095" s="309" t="s">
        <v>41</v>
      </c>
      <c r="AL2095" s="309" t="s">
        <v>49</v>
      </c>
      <c r="AM2095" s="299">
        <f t="shared" ca="1" si="364"/>
        <v>0.29166666666424135</v>
      </c>
      <c r="AN2095" s="313"/>
      <c r="AO2095" s="288" t="s">
        <v>107</v>
      </c>
      <c r="AP2095" s="275" t="s">
        <v>5147</v>
      </c>
      <c r="AQ2095" s="288" t="s">
        <v>5191</v>
      </c>
      <c r="AR2095" s="277">
        <v>44936.697916666664</v>
      </c>
      <c r="AS2095" s="272" t="s">
        <v>438</v>
      </c>
      <c r="AT2095" s="288" t="s">
        <v>122</v>
      </c>
      <c r="AU2095" s="276">
        <v>0.69791666666666663</v>
      </c>
      <c r="AV2095" s="288">
        <v>1</v>
      </c>
      <c r="AW2095" s="288" t="s">
        <v>66</v>
      </c>
      <c r="AX2095" s="314"/>
      <c r="AY2095" s="314"/>
      <c r="AZ2095" s="314"/>
      <c r="BA2095" s="314"/>
    </row>
    <row r="2096" spans="1:53" s="301" customFormat="1" x14ac:dyDescent="0.25">
      <c r="A2096" s="312">
        <v>124</v>
      </c>
      <c r="B2096" s="311">
        <v>44936.458333333336</v>
      </c>
      <c r="C2096" s="308">
        <v>0.46527777777777773</v>
      </c>
      <c r="D2096" s="308">
        <v>0.47222222222222227</v>
      </c>
      <c r="E2096" s="308">
        <v>0.47222222222222227</v>
      </c>
      <c r="F2096" s="309" t="s">
        <v>171</v>
      </c>
      <c r="G2096" s="309" t="s">
        <v>2085</v>
      </c>
      <c r="H2096" s="307" t="s">
        <v>85</v>
      </c>
      <c r="I2096" s="307" t="s">
        <v>86</v>
      </c>
      <c r="J2096" s="307" t="s">
        <v>37</v>
      </c>
      <c r="K2096" s="307" t="s">
        <v>180</v>
      </c>
      <c r="L2096" s="307" t="s">
        <v>207</v>
      </c>
      <c r="M2096" s="309" t="s">
        <v>5154</v>
      </c>
      <c r="N2096" s="309" t="s">
        <v>42</v>
      </c>
      <c r="O2096" s="309" t="s">
        <v>5155</v>
      </c>
      <c r="P2096" s="309" t="s">
        <v>5156</v>
      </c>
      <c r="Q2096" s="303">
        <f t="shared" si="373"/>
        <v>2</v>
      </c>
      <c r="R2096" s="303">
        <f t="shared" si="374"/>
        <v>492</v>
      </c>
      <c r="S2096" s="309">
        <v>0</v>
      </c>
      <c r="T2096" s="309">
        <v>0</v>
      </c>
      <c r="U2096" s="309">
        <v>2</v>
      </c>
      <c r="V2096" s="309">
        <v>492</v>
      </c>
      <c r="W2096" s="309">
        <v>485</v>
      </c>
      <c r="X2096" s="309">
        <v>120</v>
      </c>
      <c r="Y2096" s="309">
        <v>80</v>
      </c>
      <c r="Z2096" s="309">
        <v>52</v>
      </c>
      <c r="AA2096" s="309">
        <v>1</v>
      </c>
      <c r="AB2096" s="307">
        <f t="shared" si="371"/>
        <v>83.2</v>
      </c>
      <c r="AC2096" s="307">
        <f t="shared" si="372"/>
        <v>0.50120481927710847</v>
      </c>
      <c r="AD2096" s="309">
        <v>11501.76</v>
      </c>
      <c r="AE2096" s="309" t="s">
        <v>109</v>
      </c>
      <c r="AF2096" s="309" t="s">
        <v>5157</v>
      </c>
      <c r="AG2096" s="53">
        <v>45170</v>
      </c>
      <c r="AH2096" s="309" t="s">
        <v>5158</v>
      </c>
      <c r="AI2096" s="309"/>
      <c r="AJ2096" s="309"/>
      <c r="AK2096" s="309" t="s">
        <v>37</v>
      </c>
      <c r="AL2096" s="309" t="s">
        <v>54</v>
      </c>
      <c r="AM2096" s="299">
        <f t="shared" ca="1" si="364"/>
        <v>0.16319444444525288</v>
      </c>
      <c r="AN2096" s="313"/>
      <c r="AO2096" s="288" t="s">
        <v>87</v>
      </c>
      <c r="AP2096" s="275" t="s">
        <v>5154</v>
      </c>
      <c r="AQ2096" s="288" t="s">
        <v>5184</v>
      </c>
      <c r="AR2096" s="277">
        <v>44936.621527777781</v>
      </c>
      <c r="AS2096" s="272" t="s">
        <v>136</v>
      </c>
      <c r="AT2096" s="288" t="s">
        <v>225</v>
      </c>
      <c r="AU2096" s="276">
        <v>0.62152777777777779</v>
      </c>
      <c r="AV2096" s="288">
        <v>2</v>
      </c>
      <c r="AW2096" s="288" t="s">
        <v>66</v>
      </c>
      <c r="AX2096" s="314"/>
      <c r="AY2096" s="314"/>
      <c r="AZ2096" s="314"/>
      <c r="BA2096" s="314"/>
    </row>
    <row r="2097" spans="1:53" s="301" customFormat="1" x14ac:dyDescent="0.25">
      <c r="A2097" s="312">
        <v>124</v>
      </c>
      <c r="B2097" s="311">
        <v>44936.458333333336</v>
      </c>
      <c r="C2097" s="308">
        <v>0.46527777777777773</v>
      </c>
      <c r="D2097" s="308">
        <v>0.47222222222222227</v>
      </c>
      <c r="E2097" s="308">
        <v>0.47222222222222227</v>
      </c>
      <c r="F2097" s="309" t="s">
        <v>171</v>
      </c>
      <c r="G2097" s="309" t="s">
        <v>2085</v>
      </c>
      <c r="H2097" s="307" t="s">
        <v>85</v>
      </c>
      <c r="I2097" s="307" t="s">
        <v>86</v>
      </c>
      <c r="J2097" s="307" t="s">
        <v>37</v>
      </c>
      <c r="K2097" s="307" t="s">
        <v>180</v>
      </c>
      <c r="L2097" s="307" t="s">
        <v>207</v>
      </c>
      <c r="M2097" s="309" t="s">
        <v>5154</v>
      </c>
      <c r="N2097" s="309" t="s">
        <v>42</v>
      </c>
      <c r="O2097" s="309" t="s">
        <v>5155</v>
      </c>
      <c r="P2097" s="309" t="s">
        <v>5156</v>
      </c>
      <c r="Q2097" s="303">
        <f t="shared" ref="Q2097" si="375">S2097+U2097</f>
        <v>0</v>
      </c>
      <c r="R2097" s="303">
        <f t="shared" si="374"/>
        <v>0</v>
      </c>
      <c r="S2097" s="309">
        <v>0</v>
      </c>
      <c r="T2097" s="309">
        <v>0</v>
      </c>
      <c r="U2097" s="309">
        <v>0</v>
      </c>
      <c r="V2097" s="309">
        <v>0</v>
      </c>
      <c r="W2097" s="309">
        <v>0</v>
      </c>
      <c r="X2097" s="309">
        <v>120</v>
      </c>
      <c r="Y2097" s="309">
        <v>80</v>
      </c>
      <c r="Z2097" s="309">
        <v>68</v>
      </c>
      <c r="AA2097" s="309">
        <v>1</v>
      </c>
      <c r="AB2097" s="307">
        <f t="shared" si="371"/>
        <v>108.8</v>
      </c>
      <c r="AC2097" s="307">
        <f t="shared" si="372"/>
        <v>0.65542168674698797</v>
      </c>
      <c r="AD2097" s="309">
        <v>0</v>
      </c>
      <c r="AE2097" s="309">
        <v>0</v>
      </c>
      <c r="AF2097" s="309" t="s">
        <v>5157</v>
      </c>
      <c r="AG2097" s="53">
        <v>45170</v>
      </c>
      <c r="AH2097" s="309" t="s">
        <v>5158</v>
      </c>
      <c r="AI2097" s="309"/>
      <c r="AJ2097" s="309"/>
      <c r="AK2097" s="309" t="s">
        <v>37</v>
      </c>
      <c r="AL2097" s="309" t="s">
        <v>54</v>
      </c>
      <c r="AM2097" s="299">
        <f t="shared" ca="1" si="364"/>
        <v>0.16319444444525288</v>
      </c>
      <c r="AN2097" s="313"/>
      <c r="AO2097" s="288" t="s">
        <v>87</v>
      </c>
      <c r="AP2097" s="275" t="s">
        <v>5154</v>
      </c>
      <c r="AQ2097" s="288" t="s">
        <v>5184</v>
      </c>
      <c r="AR2097" s="277">
        <v>44936.621527777781</v>
      </c>
      <c r="AS2097" s="272" t="s">
        <v>136</v>
      </c>
      <c r="AT2097" s="288" t="s">
        <v>225</v>
      </c>
      <c r="AU2097" s="276">
        <v>0.62152777777777779</v>
      </c>
      <c r="AV2097" s="288">
        <v>2</v>
      </c>
      <c r="AW2097" s="288" t="s">
        <v>66</v>
      </c>
      <c r="AX2097" s="314"/>
      <c r="AY2097" s="314"/>
      <c r="AZ2097" s="314"/>
      <c r="BA2097" s="314"/>
    </row>
    <row r="2098" spans="1:53" s="301" customFormat="1" x14ac:dyDescent="0.25">
      <c r="A2098" s="312">
        <v>125</v>
      </c>
      <c r="B2098" s="311">
        <v>44936.458333333336</v>
      </c>
      <c r="C2098" s="308">
        <v>0.46527777777777773</v>
      </c>
      <c r="D2098" s="308">
        <v>0.47569444444444442</v>
      </c>
      <c r="E2098" s="308">
        <v>0.51041666666666663</v>
      </c>
      <c r="F2098" s="309" t="s">
        <v>171</v>
      </c>
      <c r="G2098" s="309" t="s">
        <v>5159</v>
      </c>
      <c r="H2098" s="307" t="s">
        <v>91</v>
      </c>
      <c r="I2098" s="307" t="s">
        <v>472</v>
      </c>
      <c r="J2098" s="307" t="s">
        <v>41</v>
      </c>
      <c r="K2098" s="307" t="s">
        <v>180</v>
      </c>
      <c r="L2098" s="309" t="s">
        <v>206</v>
      </c>
      <c r="M2098" s="309" t="s">
        <v>5160</v>
      </c>
      <c r="N2098" s="309" t="s">
        <v>44</v>
      </c>
      <c r="O2098" s="309">
        <v>1054970237</v>
      </c>
      <c r="P2098" s="309">
        <v>1214103608</v>
      </c>
      <c r="Q2098" s="303">
        <f t="shared" si="373"/>
        <v>3</v>
      </c>
      <c r="R2098" s="303">
        <f t="shared" si="374"/>
        <v>31</v>
      </c>
      <c r="S2098" s="309">
        <v>3</v>
      </c>
      <c r="T2098" s="309">
        <v>31</v>
      </c>
      <c r="U2098" s="309">
        <v>0</v>
      </c>
      <c r="V2098" s="309">
        <v>0</v>
      </c>
      <c r="W2098" s="309">
        <v>33</v>
      </c>
      <c r="X2098" s="309">
        <v>41</v>
      </c>
      <c r="Y2098" s="309">
        <v>39</v>
      </c>
      <c r="Z2098" s="309">
        <v>29</v>
      </c>
      <c r="AA2098" s="309">
        <v>1</v>
      </c>
      <c r="AB2098" s="307">
        <f t="shared" si="371"/>
        <v>7.7285000000000004</v>
      </c>
      <c r="AC2098" s="307">
        <f t="shared" si="372"/>
        <v>4.6557228915662656E-2</v>
      </c>
      <c r="AD2098" s="309">
        <v>148849.16</v>
      </c>
      <c r="AE2098" s="309" t="s">
        <v>111</v>
      </c>
      <c r="AF2098" s="309">
        <v>6824882</v>
      </c>
      <c r="AG2098" s="53">
        <v>45170</v>
      </c>
      <c r="AH2098" s="309" t="s">
        <v>5161</v>
      </c>
      <c r="AI2098" s="309"/>
      <c r="AJ2098" s="309"/>
      <c r="AK2098" s="309" t="s">
        <v>48</v>
      </c>
      <c r="AL2098" s="309" t="s">
        <v>50</v>
      </c>
      <c r="AM2098" s="299">
        <f t="shared" ca="1" si="364"/>
        <v>0.17361111110949423</v>
      </c>
      <c r="AN2098" s="313"/>
      <c r="AO2098" s="288" t="s">
        <v>53</v>
      </c>
      <c r="AP2098" s="275" t="s">
        <v>5160</v>
      </c>
      <c r="AQ2098" s="288" t="s">
        <v>5185</v>
      </c>
      <c r="AR2098" s="277">
        <v>44936.631944444445</v>
      </c>
      <c r="AS2098" s="272" t="s">
        <v>173</v>
      </c>
      <c r="AT2098" s="288" t="s">
        <v>225</v>
      </c>
      <c r="AU2098" s="276">
        <v>0.63194444444444442</v>
      </c>
      <c r="AV2098" s="288">
        <v>2</v>
      </c>
      <c r="AW2098" s="288" t="s">
        <v>66</v>
      </c>
      <c r="AX2098" s="314"/>
      <c r="AY2098" s="314"/>
      <c r="AZ2098" s="314"/>
      <c r="BA2098" s="314"/>
    </row>
    <row r="2099" spans="1:53" s="301" customFormat="1" x14ac:dyDescent="0.25">
      <c r="A2099" s="312">
        <v>125</v>
      </c>
      <c r="B2099" s="311">
        <v>44936.458333333336</v>
      </c>
      <c r="C2099" s="308">
        <v>0.46527777777777773</v>
      </c>
      <c r="D2099" s="308">
        <v>0.47569444444444442</v>
      </c>
      <c r="E2099" s="308">
        <v>0.51041666666666663</v>
      </c>
      <c r="F2099" s="309" t="s">
        <v>171</v>
      </c>
      <c r="G2099" s="309" t="s">
        <v>5159</v>
      </c>
      <c r="H2099" s="307" t="s">
        <v>91</v>
      </c>
      <c r="I2099" s="307" t="s">
        <v>472</v>
      </c>
      <c r="J2099" s="307" t="s">
        <v>41</v>
      </c>
      <c r="K2099" s="307" t="s">
        <v>180</v>
      </c>
      <c r="L2099" s="309" t="s">
        <v>206</v>
      </c>
      <c r="M2099" s="309" t="s">
        <v>5160</v>
      </c>
      <c r="N2099" s="309" t="s">
        <v>44</v>
      </c>
      <c r="O2099" s="309">
        <v>1054970237</v>
      </c>
      <c r="P2099" s="309">
        <v>1214103608</v>
      </c>
      <c r="Q2099" s="303">
        <f t="shared" ref="Q2099:Q2100" si="376">S2099+U2099</f>
        <v>0</v>
      </c>
      <c r="R2099" s="303">
        <f t="shared" si="374"/>
        <v>0</v>
      </c>
      <c r="S2099" s="309">
        <v>0</v>
      </c>
      <c r="T2099" s="309">
        <v>0</v>
      </c>
      <c r="U2099" s="309">
        <v>0</v>
      </c>
      <c r="V2099" s="309">
        <v>0</v>
      </c>
      <c r="W2099" s="309">
        <v>0</v>
      </c>
      <c r="X2099" s="309">
        <v>42</v>
      </c>
      <c r="Y2099" s="309">
        <v>38</v>
      </c>
      <c r="Z2099" s="309">
        <v>40</v>
      </c>
      <c r="AA2099" s="309">
        <v>1</v>
      </c>
      <c r="AB2099" s="307">
        <f t="shared" si="371"/>
        <v>10.64</v>
      </c>
      <c r="AC2099" s="307">
        <f t="shared" si="372"/>
        <v>6.4096385542168677E-2</v>
      </c>
      <c r="AD2099" s="309">
        <v>0</v>
      </c>
      <c r="AE2099" s="309">
        <v>0</v>
      </c>
      <c r="AF2099" s="309">
        <v>6824882</v>
      </c>
      <c r="AG2099" s="53">
        <v>45170</v>
      </c>
      <c r="AH2099" s="309">
        <v>0</v>
      </c>
      <c r="AI2099" s="309"/>
      <c r="AJ2099" s="309"/>
      <c r="AK2099" s="309" t="s">
        <v>48</v>
      </c>
      <c r="AL2099" s="309" t="s">
        <v>50</v>
      </c>
      <c r="AM2099" s="299">
        <f t="shared" ca="1" si="364"/>
        <v>0.17361111110949423</v>
      </c>
      <c r="AN2099" s="313"/>
      <c r="AO2099" s="288" t="s">
        <v>53</v>
      </c>
      <c r="AP2099" s="275" t="s">
        <v>5160</v>
      </c>
      <c r="AQ2099" s="288" t="s">
        <v>5185</v>
      </c>
      <c r="AR2099" s="277">
        <v>44936.631944444445</v>
      </c>
      <c r="AS2099" s="272" t="s">
        <v>173</v>
      </c>
      <c r="AT2099" s="288" t="s">
        <v>225</v>
      </c>
      <c r="AU2099" s="276">
        <v>0.63194444444444442</v>
      </c>
      <c r="AV2099" s="288">
        <v>2</v>
      </c>
      <c r="AW2099" s="288" t="s">
        <v>66</v>
      </c>
      <c r="AX2099" s="314"/>
      <c r="AY2099" s="314"/>
      <c r="AZ2099" s="314"/>
      <c r="BA2099" s="314"/>
    </row>
    <row r="2100" spans="1:53" s="301" customFormat="1" x14ac:dyDescent="0.25">
      <c r="A2100" s="312">
        <v>125</v>
      </c>
      <c r="B2100" s="311">
        <v>44936.458333333336</v>
      </c>
      <c r="C2100" s="308">
        <v>0.46527777777777773</v>
      </c>
      <c r="D2100" s="308">
        <v>0.47569444444444442</v>
      </c>
      <c r="E2100" s="308">
        <v>0.51041666666666663</v>
      </c>
      <c r="F2100" s="309" t="s">
        <v>171</v>
      </c>
      <c r="G2100" s="309" t="s">
        <v>5159</v>
      </c>
      <c r="H2100" s="307" t="s">
        <v>91</v>
      </c>
      <c r="I2100" s="307" t="s">
        <v>472</v>
      </c>
      <c r="J2100" s="307" t="s">
        <v>41</v>
      </c>
      <c r="K2100" s="307" t="s">
        <v>180</v>
      </c>
      <c r="L2100" s="309" t="s">
        <v>206</v>
      </c>
      <c r="M2100" s="309" t="s">
        <v>5160</v>
      </c>
      <c r="N2100" s="309" t="s">
        <v>44</v>
      </c>
      <c r="O2100" s="309">
        <v>1054970237</v>
      </c>
      <c r="P2100" s="309">
        <v>1214103608</v>
      </c>
      <c r="Q2100" s="303">
        <f t="shared" si="376"/>
        <v>0</v>
      </c>
      <c r="R2100" s="303">
        <f t="shared" si="374"/>
        <v>0</v>
      </c>
      <c r="S2100" s="309">
        <v>0</v>
      </c>
      <c r="T2100" s="309">
        <v>0</v>
      </c>
      <c r="U2100" s="309">
        <v>0</v>
      </c>
      <c r="V2100" s="309">
        <v>0</v>
      </c>
      <c r="W2100" s="309">
        <v>0</v>
      </c>
      <c r="X2100" s="309">
        <v>39</v>
      </c>
      <c r="Y2100" s="309">
        <v>39</v>
      </c>
      <c r="Z2100" s="309">
        <v>20</v>
      </c>
      <c r="AA2100" s="309">
        <v>1</v>
      </c>
      <c r="AB2100" s="307">
        <f t="shared" si="371"/>
        <v>5.07</v>
      </c>
      <c r="AC2100" s="307">
        <f t="shared" si="372"/>
        <v>3.0542168674698798E-2</v>
      </c>
      <c r="AD2100" s="309">
        <v>0</v>
      </c>
      <c r="AE2100" s="309">
        <v>0</v>
      </c>
      <c r="AF2100" s="309">
        <v>6824882</v>
      </c>
      <c r="AG2100" s="53">
        <v>45170</v>
      </c>
      <c r="AH2100" s="309">
        <v>0</v>
      </c>
      <c r="AI2100" s="309"/>
      <c r="AJ2100" s="309"/>
      <c r="AK2100" s="309" t="s">
        <v>48</v>
      </c>
      <c r="AL2100" s="309" t="s">
        <v>50</v>
      </c>
      <c r="AM2100" s="299">
        <f t="shared" ca="1" si="364"/>
        <v>0.17361111110949423</v>
      </c>
      <c r="AN2100" s="313"/>
      <c r="AO2100" s="288" t="s">
        <v>53</v>
      </c>
      <c r="AP2100" s="275" t="s">
        <v>5160</v>
      </c>
      <c r="AQ2100" s="288" t="s">
        <v>5185</v>
      </c>
      <c r="AR2100" s="277">
        <v>44936.631944444445</v>
      </c>
      <c r="AS2100" s="272" t="s">
        <v>173</v>
      </c>
      <c r="AT2100" s="288" t="s">
        <v>225</v>
      </c>
      <c r="AU2100" s="276">
        <v>0.63194444444444442</v>
      </c>
      <c r="AV2100" s="288">
        <v>2</v>
      </c>
      <c r="AW2100" s="288" t="s">
        <v>66</v>
      </c>
      <c r="AX2100" s="314"/>
      <c r="AY2100" s="314"/>
      <c r="AZ2100" s="314"/>
      <c r="BA2100" s="314"/>
    </row>
    <row r="2101" spans="1:53" s="301" customFormat="1" x14ac:dyDescent="0.25">
      <c r="A2101" s="312">
        <v>126</v>
      </c>
      <c r="B2101" s="311">
        <v>44936.458333333336</v>
      </c>
      <c r="C2101" s="308">
        <v>0.46527777777777773</v>
      </c>
      <c r="D2101" s="308">
        <v>0.47569444444444442</v>
      </c>
      <c r="E2101" s="308">
        <v>0.51041666666666663</v>
      </c>
      <c r="F2101" s="309" t="s">
        <v>171</v>
      </c>
      <c r="G2101" s="309" t="s">
        <v>5159</v>
      </c>
      <c r="H2101" s="307" t="s">
        <v>91</v>
      </c>
      <c r="I2101" s="307" t="s">
        <v>287</v>
      </c>
      <c r="J2101" s="307" t="s">
        <v>41</v>
      </c>
      <c r="K2101" s="307" t="s">
        <v>180</v>
      </c>
      <c r="L2101" s="309" t="s">
        <v>206</v>
      </c>
      <c r="M2101" s="309" t="s">
        <v>5162</v>
      </c>
      <c r="N2101" s="309" t="s">
        <v>44</v>
      </c>
      <c r="O2101" s="309">
        <v>1054970226</v>
      </c>
      <c r="P2101" s="309">
        <v>1214099046</v>
      </c>
      <c r="Q2101" s="303">
        <f t="shared" si="373"/>
        <v>1</v>
      </c>
      <c r="R2101" s="303">
        <f t="shared" si="374"/>
        <v>54</v>
      </c>
      <c r="S2101" s="309">
        <v>1</v>
      </c>
      <c r="T2101" s="309">
        <v>54</v>
      </c>
      <c r="U2101" s="309">
        <v>0</v>
      </c>
      <c r="V2101" s="309">
        <v>0</v>
      </c>
      <c r="W2101" s="309">
        <v>58</v>
      </c>
      <c r="X2101" s="309">
        <v>100</v>
      </c>
      <c r="Y2101" s="309">
        <v>76</v>
      </c>
      <c r="Z2101" s="309">
        <v>53</v>
      </c>
      <c r="AA2101" s="309">
        <v>1</v>
      </c>
      <c r="AB2101" s="307">
        <f t="shared" si="371"/>
        <v>67.13333333333334</v>
      </c>
      <c r="AC2101" s="307">
        <f t="shared" si="372"/>
        <v>0.40441767068273099</v>
      </c>
      <c r="AD2101" s="309">
        <v>21191.42</v>
      </c>
      <c r="AE2101" s="309" t="s">
        <v>109</v>
      </c>
      <c r="AF2101" s="309" t="s">
        <v>317</v>
      </c>
      <c r="AG2101" s="309" t="s">
        <v>317</v>
      </c>
      <c r="AH2101" s="309">
        <v>0</v>
      </c>
      <c r="AI2101" s="309"/>
      <c r="AJ2101" s="309"/>
      <c r="AK2101" s="309" t="s">
        <v>37</v>
      </c>
      <c r="AL2101" s="309" t="s">
        <v>39</v>
      </c>
      <c r="AM2101" s="299">
        <f t="shared" ca="1" si="364"/>
        <v>0.17361111110949423</v>
      </c>
      <c r="AN2101" s="313"/>
      <c r="AO2101" s="288" t="s">
        <v>53</v>
      </c>
      <c r="AP2101" s="275" t="s">
        <v>5162</v>
      </c>
      <c r="AQ2101" s="288" t="s">
        <v>5185</v>
      </c>
      <c r="AR2101" s="277">
        <v>44936.631944444445</v>
      </c>
      <c r="AS2101" s="272" t="s">
        <v>173</v>
      </c>
      <c r="AT2101" s="288" t="s">
        <v>225</v>
      </c>
      <c r="AU2101" s="276">
        <v>0.63194444444444442</v>
      </c>
      <c r="AV2101" s="288">
        <v>2</v>
      </c>
      <c r="AW2101" s="288" t="s">
        <v>66</v>
      </c>
      <c r="AX2101" s="314"/>
      <c r="AY2101" s="314"/>
      <c r="AZ2101" s="314"/>
      <c r="BA2101" s="314"/>
    </row>
    <row r="2102" spans="1:53" s="301" customFormat="1" x14ac:dyDescent="0.25">
      <c r="A2102" s="312">
        <v>127</v>
      </c>
      <c r="B2102" s="311">
        <v>44936.458333333336</v>
      </c>
      <c r="C2102" s="308">
        <v>0.5</v>
      </c>
      <c r="D2102" s="308">
        <v>0.51041666666666663</v>
      </c>
      <c r="E2102" s="308">
        <v>0.52430555555555558</v>
      </c>
      <c r="F2102" s="309" t="s">
        <v>171</v>
      </c>
      <c r="G2102" s="309" t="s">
        <v>5163</v>
      </c>
      <c r="H2102" s="307" t="s">
        <v>342</v>
      </c>
      <c r="I2102" s="307" t="s">
        <v>342</v>
      </c>
      <c r="J2102" s="307" t="s">
        <v>37</v>
      </c>
      <c r="K2102" s="307" t="s">
        <v>180</v>
      </c>
      <c r="L2102" s="309" t="s">
        <v>206</v>
      </c>
      <c r="M2102" s="309" t="s">
        <v>5164</v>
      </c>
      <c r="N2102" s="309" t="s">
        <v>68</v>
      </c>
      <c r="O2102" s="309" t="s">
        <v>5165</v>
      </c>
      <c r="P2102" s="309" t="s">
        <v>5166</v>
      </c>
      <c r="Q2102" s="303">
        <f t="shared" si="373"/>
        <v>25</v>
      </c>
      <c r="R2102" s="303">
        <f t="shared" si="374"/>
        <v>4545</v>
      </c>
      <c r="S2102" s="309">
        <v>0</v>
      </c>
      <c r="T2102" s="309">
        <v>0</v>
      </c>
      <c r="U2102" s="309">
        <v>25</v>
      </c>
      <c r="V2102" s="292">
        <v>4545</v>
      </c>
      <c r="W2102" s="292">
        <v>3005.05</v>
      </c>
      <c r="X2102" s="309">
        <v>94</v>
      </c>
      <c r="Y2102" s="309">
        <v>58</v>
      </c>
      <c r="Z2102" s="309">
        <v>73</v>
      </c>
      <c r="AA2102" s="309">
        <v>25</v>
      </c>
      <c r="AB2102" s="307">
        <f t="shared" si="371"/>
        <v>1658.3166666666666</v>
      </c>
      <c r="AC2102" s="307">
        <f t="shared" si="372"/>
        <v>9.9898594377510044</v>
      </c>
      <c r="AD2102" s="309">
        <v>59720</v>
      </c>
      <c r="AE2102" s="309" t="s">
        <v>109</v>
      </c>
      <c r="AF2102" s="309" t="s">
        <v>317</v>
      </c>
      <c r="AG2102" s="309" t="s">
        <v>317</v>
      </c>
      <c r="AH2102" s="309" t="s">
        <v>5167</v>
      </c>
      <c r="AI2102" s="309"/>
      <c r="AJ2102" s="309"/>
      <c r="AK2102" s="309" t="s">
        <v>37</v>
      </c>
      <c r="AL2102" s="309" t="s">
        <v>39</v>
      </c>
      <c r="AM2102" s="299">
        <f t="shared" ca="1" si="364"/>
        <v>0.23263888888322981</v>
      </c>
      <c r="AN2102" s="313"/>
      <c r="AO2102" s="288" t="s">
        <v>68</v>
      </c>
      <c r="AP2102" s="275" t="s">
        <v>5164</v>
      </c>
      <c r="AQ2102" s="288" t="s">
        <v>5188</v>
      </c>
      <c r="AR2102" s="277">
        <v>44936.690972222219</v>
      </c>
      <c r="AS2102" s="272" t="s">
        <v>5189</v>
      </c>
      <c r="AT2102" s="288" t="s">
        <v>65</v>
      </c>
      <c r="AU2102" s="276">
        <v>0.69097222222222221</v>
      </c>
      <c r="AV2102" s="288">
        <v>1</v>
      </c>
      <c r="AW2102" s="288" t="s">
        <v>66</v>
      </c>
      <c r="AX2102" s="314"/>
      <c r="AY2102" s="314"/>
      <c r="AZ2102" s="314"/>
      <c r="BA2102" s="314"/>
    </row>
    <row r="2103" spans="1:53" s="301" customFormat="1" x14ac:dyDescent="0.25">
      <c r="A2103" s="312">
        <v>128</v>
      </c>
      <c r="B2103" s="311">
        <v>44936.631944444445</v>
      </c>
      <c r="C2103" s="308">
        <v>0.63541666666666663</v>
      </c>
      <c r="D2103" s="308">
        <v>0.65625</v>
      </c>
      <c r="E2103" s="308">
        <v>0.66666666666666663</v>
      </c>
      <c r="F2103" s="309" t="s">
        <v>169</v>
      </c>
      <c r="G2103" s="309" t="s">
        <v>5168</v>
      </c>
      <c r="H2103" s="307" t="s">
        <v>5169</v>
      </c>
      <c r="I2103" s="307" t="s">
        <v>354</v>
      </c>
      <c r="J2103" s="307" t="s">
        <v>37</v>
      </c>
      <c r="K2103" s="309" t="s">
        <v>241</v>
      </c>
      <c r="L2103" s="309">
        <v>0</v>
      </c>
      <c r="M2103" s="309" t="s">
        <v>5170</v>
      </c>
      <c r="N2103" s="309" t="s">
        <v>42</v>
      </c>
      <c r="O2103" s="309" t="s">
        <v>5171</v>
      </c>
      <c r="P2103" s="309">
        <v>10244124</v>
      </c>
      <c r="Q2103" s="303">
        <f t="shared" si="373"/>
        <v>229</v>
      </c>
      <c r="R2103" s="303">
        <f t="shared" si="374"/>
        <v>994</v>
      </c>
      <c r="S2103" s="309">
        <v>229</v>
      </c>
      <c r="T2103" s="309">
        <v>994</v>
      </c>
      <c r="U2103" s="309">
        <v>0</v>
      </c>
      <c r="V2103" s="309">
        <v>0</v>
      </c>
      <c r="W2103" s="309">
        <v>972.76</v>
      </c>
      <c r="X2103" s="309">
        <v>57</v>
      </c>
      <c r="Y2103" s="309">
        <v>37</v>
      </c>
      <c r="Z2103" s="309">
        <v>16</v>
      </c>
      <c r="AA2103" s="309">
        <v>229</v>
      </c>
      <c r="AB2103" s="307">
        <f t="shared" ref="AB2103:AB2105" si="377">X2103*Y2103*Z2103*AA2103/6000</f>
        <v>1287.896</v>
      </c>
      <c r="AC2103" s="307">
        <f t="shared" ref="AC2103:AC2105" si="378">AB2103/166</f>
        <v>7.7584096385542169</v>
      </c>
      <c r="AD2103" s="309">
        <v>27047.5</v>
      </c>
      <c r="AE2103" s="309" t="s">
        <v>109</v>
      </c>
      <c r="AF2103" s="309">
        <v>6820829</v>
      </c>
      <c r="AG2103" s="309" t="s">
        <v>5172</v>
      </c>
      <c r="AH2103" s="309" t="s">
        <v>5173</v>
      </c>
      <c r="AI2103" s="309"/>
      <c r="AJ2103" s="309"/>
      <c r="AK2103" s="309" t="s">
        <v>48</v>
      </c>
      <c r="AL2103" s="309" t="s">
        <v>50</v>
      </c>
      <c r="AM2103" s="299">
        <f t="shared" ca="1" si="364"/>
        <v>6.875</v>
      </c>
      <c r="AN2103" s="313"/>
      <c r="AO2103" s="288" t="s">
        <v>259</v>
      </c>
      <c r="AP2103" s="275" t="s">
        <v>5170</v>
      </c>
      <c r="AQ2103" s="288" t="s">
        <v>5532</v>
      </c>
      <c r="AR2103" s="277">
        <v>44943.506944444445</v>
      </c>
      <c r="AS2103" s="272" t="s">
        <v>173</v>
      </c>
      <c r="AT2103" s="288" t="s">
        <v>65</v>
      </c>
      <c r="AU2103" s="276">
        <v>0.50694444444444442</v>
      </c>
      <c r="AV2103" s="288">
        <v>1</v>
      </c>
      <c r="AW2103" s="288" t="s">
        <v>66</v>
      </c>
      <c r="AX2103" s="314"/>
      <c r="AY2103" s="314"/>
      <c r="AZ2103" s="314"/>
      <c r="BA2103" s="314"/>
    </row>
    <row r="2104" spans="1:53" s="301" customFormat="1" x14ac:dyDescent="0.25">
      <c r="A2104" s="312">
        <v>129</v>
      </c>
      <c r="B2104" s="311">
        <v>44936.711805555555</v>
      </c>
      <c r="C2104" s="308">
        <v>0.71527777777777779</v>
      </c>
      <c r="D2104" s="308">
        <v>0.72569444444444453</v>
      </c>
      <c r="E2104" s="308">
        <v>0.75694444444444453</v>
      </c>
      <c r="F2104" s="309" t="s">
        <v>171</v>
      </c>
      <c r="G2104" s="309" t="s">
        <v>290</v>
      </c>
      <c r="H2104" s="307" t="s">
        <v>91</v>
      </c>
      <c r="I2104" s="307" t="s">
        <v>318</v>
      </c>
      <c r="J2104" s="307" t="s">
        <v>41</v>
      </c>
      <c r="K2104" s="307" t="s">
        <v>180</v>
      </c>
      <c r="L2104" s="307" t="s">
        <v>206</v>
      </c>
      <c r="M2104" s="309" t="s">
        <v>5192</v>
      </c>
      <c r="N2104" s="309" t="s">
        <v>44</v>
      </c>
      <c r="O2104" s="309">
        <v>1054970278</v>
      </c>
      <c r="P2104" s="309">
        <v>1214109933</v>
      </c>
      <c r="Q2104" s="303">
        <f t="shared" ref="Q2104:Q2105" si="379">S2104+U2104</f>
        <v>3</v>
      </c>
      <c r="R2104" s="303">
        <f t="shared" ref="R2104:R2105" si="380">T2104+V2104</f>
        <v>669</v>
      </c>
      <c r="S2104" s="309">
        <v>0</v>
      </c>
      <c r="T2104" s="309">
        <v>0</v>
      </c>
      <c r="U2104" s="309">
        <v>3</v>
      </c>
      <c r="V2104" s="309">
        <v>669</v>
      </c>
      <c r="W2104" s="309">
        <v>643</v>
      </c>
      <c r="X2104" s="309">
        <v>120</v>
      </c>
      <c r="Y2104" s="309">
        <v>80</v>
      </c>
      <c r="Z2104" s="309">
        <v>78</v>
      </c>
      <c r="AA2104" s="309">
        <v>3</v>
      </c>
      <c r="AB2104" s="307">
        <f t="shared" si="377"/>
        <v>374.4</v>
      </c>
      <c r="AC2104" s="307">
        <f t="shared" si="378"/>
        <v>2.2554216867469878</v>
      </c>
      <c r="AD2104" s="309">
        <v>37221.33</v>
      </c>
      <c r="AE2104" s="309" t="s">
        <v>109</v>
      </c>
      <c r="AF2104" s="309" t="s">
        <v>5193</v>
      </c>
      <c r="AG2104" s="53">
        <v>45200</v>
      </c>
      <c r="AH2104" s="309" t="s">
        <v>5194</v>
      </c>
      <c r="AI2104" s="309"/>
      <c r="AJ2104" s="309"/>
      <c r="AK2104" s="309" t="s">
        <v>37</v>
      </c>
      <c r="AL2104" s="309" t="s">
        <v>49</v>
      </c>
      <c r="AM2104" s="299">
        <f t="shared" ca="1" si="364"/>
        <v>0.84027777778101154</v>
      </c>
      <c r="AN2104" s="313"/>
      <c r="AO2104" s="288" t="s">
        <v>323</v>
      </c>
      <c r="AP2104" s="275" t="s">
        <v>5192</v>
      </c>
      <c r="AQ2104" s="288" t="s">
        <v>5254</v>
      </c>
      <c r="AR2104" s="277">
        <v>44937.552083333336</v>
      </c>
      <c r="AS2104" s="272" t="s">
        <v>173</v>
      </c>
      <c r="AT2104" s="288" t="s">
        <v>225</v>
      </c>
      <c r="AU2104" s="276">
        <v>0.55208333333333337</v>
      </c>
      <c r="AV2104" s="288">
        <v>1</v>
      </c>
      <c r="AW2104" s="288" t="s">
        <v>66</v>
      </c>
      <c r="AX2104" s="314"/>
      <c r="AY2104" s="314"/>
      <c r="AZ2104" s="314"/>
      <c r="BA2104" s="314"/>
    </row>
    <row r="2105" spans="1:53" s="301" customFormat="1" x14ac:dyDescent="0.25">
      <c r="A2105" s="312">
        <v>130</v>
      </c>
      <c r="B2105" s="311">
        <v>44936.711805555555</v>
      </c>
      <c r="C2105" s="308">
        <v>0.71527777777777779</v>
      </c>
      <c r="D2105" s="308">
        <v>0.72569444444444453</v>
      </c>
      <c r="E2105" s="308">
        <v>0.75694444444444453</v>
      </c>
      <c r="F2105" s="309" t="s">
        <v>171</v>
      </c>
      <c r="G2105" s="309" t="s">
        <v>290</v>
      </c>
      <c r="H2105" s="307" t="s">
        <v>91</v>
      </c>
      <c r="I2105" s="307" t="s">
        <v>472</v>
      </c>
      <c r="J2105" s="307" t="s">
        <v>41</v>
      </c>
      <c r="K2105" s="307" t="s">
        <v>180</v>
      </c>
      <c r="L2105" s="307" t="s">
        <v>206</v>
      </c>
      <c r="M2105" s="309" t="s">
        <v>5195</v>
      </c>
      <c r="N2105" s="309" t="s">
        <v>44</v>
      </c>
      <c r="O2105" s="309">
        <v>1054970255</v>
      </c>
      <c r="P2105" s="309">
        <v>1214106452</v>
      </c>
      <c r="Q2105" s="303">
        <f t="shared" si="379"/>
        <v>1</v>
      </c>
      <c r="R2105" s="303">
        <f t="shared" si="380"/>
        <v>57</v>
      </c>
      <c r="S2105" s="309">
        <v>0</v>
      </c>
      <c r="T2105" s="309">
        <v>0</v>
      </c>
      <c r="U2105" s="309">
        <v>1</v>
      </c>
      <c r="V2105" s="292">
        <v>57</v>
      </c>
      <c r="W2105" s="292">
        <v>120</v>
      </c>
      <c r="X2105" s="309">
        <v>133</v>
      </c>
      <c r="Y2105" s="309">
        <v>76</v>
      </c>
      <c r="Z2105" s="309">
        <v>73</v>
      </c>
      <c r="AA2105" s="309">
        <v>1</v>
      </c>
      <c r="AB2105" s="307">
        <f t="shared" si="377"/>
        <v>122.98066666666666</v>
      </c>
      <c r="AC2105" s="307">
        <f t="shared" si="378"/>
        <v>0.74084738955823293</v>
      </c>
      <c r="AD2105" s="309">
        <v>2857.7</v>
      </c>
      <c r="AE2105" s="309" t="s">
        <v>109</v>
      </c>
      <c r="AF2105" s="309" t="s">
        <v>5196</v>
      </c>
      <c r="AG2105" s="53">
        <v>45200</v>
      </c>
      <c r="AH2105" s="309" t="s">
        <v>5197</v>
      </c>
      <c r="AI2105" s="309"/>
      <c r="AJ2105" s="309"/>
      <c r="AK2105" s="309" t="s">
        <v>37</v>
      </c>
      <c r="AL2105" s="309" t="s">
        <v>49</v>
      </c>
      <c r="AM2105" s="299">
        <f t="shared" ca="1" si="364"/>
        <v>3.0347222222262644</v>
      </c>
      <c r="AN2105" s="313"/>
      <c r="AO2105" s="275" t="s">
        <v>53</v>
      </c>
      <c r="AP2105" s="275" t="s">
        <v>5195</v>
      </c>
      <c r="AQ2105" s="275" t="s">
        <v>5400</v>
      </c>
      <c r="AR2105" s="277">
        <v>44939.746527777781</v>
      </c>
      <c r="AS2105" s="272" t="s">
        <v>173</v>
      </c>
      <c r="AT2105" s="288" t="s">
        <v>225</v>
      </c>
      <c r="AU2105" s="276">
        <v>0.74652777777777779</v>
      </c>
      <c r="AV2105" s="288">
        <v>3</v>
      </c>
      <c r="AW2105" s="288" t="s">
        <v>66</v>
      </c>
      <c r="AX2105" s="314"/>
      <c r="AY2105" s="314"/>
      <c r="AZ2105" s="314"/>
      <c r="BA2105" s="314"/>
    </row>
    <row r="2106" spans="1:53" s="301" customFormat="1" x14ac:dyDescent="0.25">
      <c r="A2106" s="312">
        <v>131</v>
      </c>
      <c r="B2106" s="311">
        <v>44937.409722222219</v>
      </c>
      <c r="C2106" s="308">
        <v>0.41666666666666669</v>
      </c>
      <c r="D2106" s="308">
        <v>0.4201388888888889</v>
      </c>
      <c r="E2106" s="308">
        <v>0.4513888888888889</v>
      </c>
      <c r="F2106" s="309" t="s">
        <v>171</v>
      </c>
      <c r="G2106" s="309" t="s">
        <v>173</v>
      </c>
      <c r="H2106" s="307" t="s">
        <v>144</v>
      </c>
      <c r="I2106" s="307" t="s">
        <v>69</v>
      </c>
      <c r="J2106" s="307" t="s">
        <v>37</v>
      </c>
      <c r="K2106" s="309" t="s">
        <v>180</v>
      </c>
      <c r="L2106" s="237" t="s">
        <v>206</v>
      </c>
      <c r="M2106" s="309" t="s">
        <v>5198</v>
      </c>
      <c r="N2106" s="309" t="s">
        <v>42</v>
      </c>
      <c r="O2106" s="309">
        <v>75046121</v>
      </c>
      <c r="P2106" s="309">
        <v>460000662</v>
      </c>
      <c r="Q2106" s="303">
        <f t="shared" ref="Q2106:Q2119" si="381">S2106+U2106</f>
        <v>1</v>
      </c>
      <c r="R2106" s="303">
        <f t="shared" ref="R2106:R2119" si="382">T2106+V2106</f>
        <v>16</v>
      </c>
      <c r="S2106" s="309">
        <v>1</v>
      </c>
      <c r="T2106" s="309">
        <v>16</v>
      </c>
      <c r="U2106" s="309">
        <v>0</v>
      </c>
      <c r="V2106" s="309">
        <v>0</v>
      </c>
      <c r="W2106" s="309">
        <v>14.472</v>
      </c>
      <c r="X2106" s="309">
        <v>34</v>
      </c>
      <c r="Y2106" s="309">
        <v>33</v>
      </c>
      <c r="Z2106" s="309">
        <v>17</v>
      </c>
      <c r="AA2106" s="309">
        <v>1</v>
      </c>
      <c r="AB2106" s="307">
        <f t="shared" ref="AB2106:AB2120" si="383">X2106*Y2106*Z2106*AA2106/6000</f>
        <v>3.1789999999999998</v>
      </c>
      <c r="AC2106" s="307">
        <f t="shared" ref="AC2106:AC2120" si="384">AB2106/166</f>
        <v>1.9150602409638551E-2</v>
      </c>
      <c r="AD2106" s="309">
        <v>273.24</v>
      </c>
      <c r="AE2106" s="309" t="s">
        <v>109</v>
      </c>
      <c r="AF2106" s="309" t="s">
        <v>5199</v>
      </c>
      <c r="AG2106" s="53">
        <v>45231</v>
      </c>
      <c r="AH2106" s="309" t="s">
        <v>5200</v>
      </c>
      <c r="AI2106" s="309"/>
      <c r="AJ2106" s="309"/>
      <c r="AK2106" s="309" t="s">
        <v>48</v>
      </c>
      <c r="AL2106" s="309" t="s">
        <v>49</v>
      </c>
      <c r="AM2106" s="299">
        <f t="shared" ca="1" si="364"/>
        <v>0.14236111111677019</v>
      </c>
      <c r="AN2106" s="314"/>
      <c r="AO2106" s="288" t="s">
        <v>107</v>
      </c>
      <c r="AP2106" s="275" t="s">
        <v>5198</v>
      </c>
      <c r="AQ2106" s="288" t="s">
        <v>5253</v>
      </c>
      <c r="AR2106" s="277">
        <v>44937.552083333336</v>
      </c>
      <c r="AS2106" s="272" t="s">
        <v>173</v>
      </c>
      <c r="AT2106" s="288" t="s">
        <v>225</v>
      </c>
      <c r="AU2106" s="276">
        <v>0.55208333333333337</v>
      </c>
      <c r="AV2106" s="288">
        <v>1</v>
      </c>
      <c r="AW2106" s="288" t="s">
        <v>66</v>
      </c>
      <c r="AX2106" s="314"/>
      <c r="AY2106" s="314"/>
      <c r="AZ2106" s="314"/>
      <c r="BA2106" s="314"/>
    </row>
    <row r="2107" spans="1:53" s="301" customFormat="1" x14ac:dyDescent="0.25">
      <c r="A2107" s="312">
        <v>132</v>
      </c>
      <c r="B2107" s="311">
        <v>44937.416666666664</v>
      </c>
      <c r="C2107" s="308">
        <v>0.42708333333333331</v>
      </c>
      <c r="D2107" s="308">
        <v>0.43402777777777773</v>
      </c>
      <c r="E2107" s="308">
        <v>0.4513888888888889</v>
      </c>
      <c r="F2107" s="309" t="s">
        <v>170</v>
      </c>
      <c r="G2107" s="309" t="s">
        <v>5201</v>
      </c>
      <c r="H2107" s="307" t="s">
        <v>332</v>
      </c>
      <c r="I2107" s="307" t="s">
        <v>429</v>
      </c>
      <c r="J2107" s="307" t="s">
        <v>37</v>
      </c>
      <c r="K2107" s="307" t="s">
        <v>63</v>
      </c>
      <c r="L2107" s="293" t="s">
        <v>206</v>
      </c>
      <c r="M2107" s="309" t="s">
        <v>5202</v>
      </c>
      <c r="N2107" s="309" t="s">
        <v>42</v>
      </c>
      <c r="O2107" s="309">
        <v>2053092710</v>
      </c>
      <c r="P2107" s="309">
        <v>1052089025</v>
      </c>
      <c r="Q2107" s="303">
        <f t="shared" si="381"/>
        <v>4</v>
      </c>
      <c r="R2107" s="303">
        <f t="shared" si="382"/>
        <v>110</v>
      </c>
      <c r="S2107" s="309">
        <v>0</v>
      </c>
      <c r="T2107" s="309">
        <v>0</v>
      </c>
      <c r="U2107" s="309">
        <v>4</v>
      </c>
      <c r="V2107" s="309">
        <v>110</v>
      </c>
      <c r="W2107" s="309">
        <v>110</v>
      </c>
      <c r="X2107" s="309">
        <v>61</v>
      </c>
      <c r="Y2107" s="309">
        <v>46</v>
      </c>
      <c r="Z2107" s="309">
        <v>51</v>
      </c>
      <c r="AA2107" s="309">
        <v>1</v>
      </c>
      <c r="AB2107" s="307">
        <f t="shared" si="383"/>
        <v>23.850999999999999</v>
      </c>
      <c r="AC2107" s="307">
        <f t="shared" si="384"/>
        <v>0.14368072289156625</v>
      </c>
      <c r="AD2107" s="309">
        <v>1499.19</v>
      </c>
      <c r="AE2107" s="309" t="s">
        <v>109</v>
      </c>
      <c r="AF2107" s="309" t="s">
        <v>317</v>
      </c>
      <c r="AG2107" s="309" t="s">
        <v>317</v>
      </c>
      <c r="AH2107" s="309" t="s">
        <v>5203</v>
      </c>
      <c r="AI2107" s="309"/>
      <c r="AJ2107" s="309"/>
      <c r="AK2107" s="309" t="s">
        <v>41</v>
      </c>
      <c r="AL2107" s="309" t="s">
        <v>49</v>
      </c>
      <c r="AM2107" s="299">
        <f t="shared" ca="1" si="364"/>
        <v>1.1354166666715173</v>
      </c>
      <c r="AN2107" s="314"/>
      <c r="AO2107" s="288" t="s">
        <v>120</v>
      </c>
      <c r="AP2107" s="275" t="s">
        <v>5202</v>
      </c>
      <c r="AQ2107" s="288" t="s">
        <v>5303</v>
      </c>
      <c r="AR2107" s="277">
        <v>44938.552083333336</v>
      </c>
      <c r="AS2107" s="272" t="s">
        <v>173</v>
      </c>
      <c r="AT2107" s="288" t="s">
        <v>225</v>
      </c>
      <c r="AU2107" s="276">
        <v>0.55208333333333337</v>
      </c>
      <c r="AV2107" s="288">
        <v>2</v>
      </c>
      <c r="AW2107" s="288" t="s">
        <v>66</v>
      </c>
      <c r="AX2107" s="314"/>
      <c r="AY2107" s="314"/>
      <c r="AZ2107" s="314"/>
      <c r="BA2107" s="314"/>
    </row>
    <row r="2108" spans="1:53" s="301" customFormat="1" x14ac:dyDescent="0.25">
      <c r="A2108" s="312">
        <v>132</v>
      </c>
      <c r="B2108" s="311">
        <v>44937.416666666664</v>
      </c>
      <c r="C2108" s="308">
        <v>0.42708333333333331</v>
      </c>
      <c r="D2108" s="308">
        <v>0.43402777777777773</v>
      </c>
      <c r="E2108" s="308">
        <v>0.4513888888888889</v>
      </c>
      <c r="F2108" s="309" t="s">
        <v>170</v>
      </c>
      <c r="G2108" s="309" t="s">
        <v>5201</v>
      </c>
      <c r="H2108" s="307" t="s">
        <v>332</v>
      </c>
      <c r="I2108" s="307" t="s">
        <v>429</v>
      </c>
      <c r="J2108" s="307" t="s">
        <v>37</v>
      </c>
      <c r="K2108" s="307" t="s">
        <v>63</v>
      </c>
      <c r="L2108" s="293" t="s">
        <v>206</v>
      </c>
      <c r="M2108" s="309" t="s">
        <v>5202</v>
      </c>
      <c r="N2108" s="309" t="s">
        <v>42</v>
      </c>
      <c r="O2108" s="309">
        <v>2053092710</v>
      </c>
      <c r="P2108" s="309">
        <v>1052089025</v>
      </c>
      <c r="Q2108" s="303">
        <f t="shared" si="381"/>
        <v>0</v>
      </c>
      <c r="R2108" s="303">
        <f t="shared" si="382"/>
        <v>0</v>
      </c>
      <c r="S2108" s="309">
        <v>0</v>
      </c>
      <c r="T2108" s="309">
        <v>0</v>
      </c>
      <c r="U2108" s="309">
        <v>0</v>
      </c>
      <c r="V2108" s="309">
        <v>0</v>
      </c>
      <c r="W2108" s="309">
        <v>0</v>
      </c>
      <c r="X2108" s="309">
        <v>41</v>
      </c>
      <c r="Y2108" s="309">
        <v>26</v>
      </c>
      <c r="Z2108" s="309">
        <v>34</v>
      </c>
      <c r="AA2108" s="309">
        <v>2</v>
      </c>
      <c r="AB2108" s="307">
        <f t="shared" si="383"/>
        <v>12.081333333333333</v>
      </c>
      <c r="AC2108" s="307">
        <f t="shared" si="384"/>
        <v>7.277911646586345E-2</v>
      </c>
      <c r="AD2108" s="309">
        <v>0</v>
      </c>
      <c r="AE2108" s="309">
        <v>0</v>
      </c>
      <c r="AF2108" s="309" t="s">
        <v>317</v>
      </c>
      <c r="AG2108" s="309" t="s">
        <v>317</v>
      </c>
      <c r="AH2108" s="309" t="s">
        <v>5203</v>
      </c>
      <c r="AI2108" s="309"/>
      <c r="AJ2108" s="309"/>
      <c r="AK2108" s="309" t="s">
        <v>41</v>
      </c>
      <c r="AL2108" s="309" t="s">
        <v>49</v>
      </c>
      <c r="AM2108" s="299">
        <f t="shared" ca="1" si="364"/>
        <v>1.1354166666715173</v>
      </c>
      <c r="AN2108" s="314"/>
      <c r="AO2108" s="288" t="s">
        <v>120</v>
      </c>
      <c r="AP2108" s="275" t="s">
        <v>5202</v>
      </c>
      <c r="AQ2108" s="288" t="s">
        <v>5303</v>
      </c>
      <c r="AR2108" s="277">
        <v>44938.552083333336</v>
      </c>
      <c r="AS2108" s="272" t="s">
        <v>173</v>
      </c>
      <c r="AT2108" s="288" t="s">
        <v>225</v>
      </c>
      <c r="AU2108" s="276">
        <v>0.55208333333333337</v>
      </c>
      <c r="AV2108" s="288">
        <v>2</v>
      </c>
      <c r="AW2108" s="288" t="s">
        <v>66</v>
      </c>
      <c r="AX2108" s="314"/>
      <c r="AY2108" s="314"/>
      <c r="AZ2108" s="314"/>
      <c r="BA2108" s="314"/>
    </row>
    <row r="2109" spans="1:53" s="301" customFormat="1" x14ac:dyDescent="0.25">
      <c r="A2109" s="312">
        <v>132</v>
      </c>
      <c r="B2109" s="311">
        <v>44937.416666666664</v>
      </c>
      <c r="C2109" s="308">
        <v>0.42708333333333331</v>
      </c>
      <c r="D2109" s="308">
        <v>0.43402777777777773</v>
      </c>
      <c r="E2109" s="308">
        <v>0.4513888888888889</v>
      </c>
      <c r="F2109" s="309" t="s">
        <v>170</v>
      </c>
      <c r="G2109" s="309" t="s">
        <v>5201</v>
      </c>
      <c r="H2109" s="307" t="s">
        <v>332</v>
      </c>
      <c r="I2109" s="307" t="s">
        <v>429</v>
      </c>
      <c r="J2109" s="307" t="s">
        <v>37</v>
      </c>
      <c r="K2109" s="307" t="s">
        <v>63</v>
      </c>
      <c r="L2109" s="293" t="s">
        <v>206</v>
      </c>
      <c r="M2109" s="309" t="s">
        <v>5202</v>
      </c>
      <c r="N2109" s="309" t="s">
        <v>42</v>
      </c>
      <c r="O2109" s="309">
        <v>2053092710</v>
      </c>
      <c r="P2109" s="309">
        <v>1052089025</v>
      </c>
      <c r="Q2109" s="303">
        <f t="shared" si="381"/>
        <v>0</v>
      </c>
      <c r="R2109" s="303">
        <f t="shared" si="382"/>
        <v>0</v>
      </c>
      <c r="S2109" s="309">
        <v>0</v>
      </c>
      <c r="T2109" s="309">
        <v>0</v>
      </c>
      <c r="U2109" s="309">
        <v>0</v>
      </c>
      <c r="V2109" s="309">
        <v>0</v>
      </c>
      <c r="W2109" s="309">
        <v>0</v>
      </c>
      <c r="X2109" s="309">
        <v>30</v>
      </c>
      <c r="Y2109" s="309">
        <v>30</v>
      </c>
      <c r="Z2109" s="309">
        <v>34</v>
      </c>
      <c r="AA2109" s="309">
        <v>1</v>
      </c>
      <c r="AB2109" s="307">
        <f t="shared" si="383"/>
        <v>5.0999999999999996</v>
      </c>
      <c r="AC2109" s="307">
        <f t="shared" si="384"/>
        <v>3.0722891566265058E-2</v>
      </c>
      <c r="AD2109" s="309">
        <v>0</v>
      </c>
      <c r="AE2109" s="309">
        <v>0</v>
      </c>
      <c r="AF2109" s="309" t="s">
        <v>317</v>
      </c>
      <c r="AG2109" s="309" t="s">
        <v>317</v>
      </c>
      <c r="AH2109" s="309" t="s">
        <v>5203</v>
      </c>
      <c r="AI2109" s="309"/>
      <c r="AJ2109" s="309"/>
      <c r="AK2109" s="309" t="s">
        <v>41</v>
      </c>
      <c r="AL2109" s="309" t="s">
        <v>49</v>
      </c>
      <c r="AM2109" s="299">
        <f t="shared" ca="1" si="364"/>
        <v>1.1354166666715173</v>
      </c>
      <c r="AN2109" s="314"/>
      <c r="AO2109" s="288" t="s">
        <v>120</v>
      </c>
      <c r="AP2109" s="275" t="s">
        <v>5202</v>
      </c>
      <c r="AQ2109" s="288" t="s">
        <v>5303</v>
      </c>
      <c r="AR2109" s="277">
        <v>44938.552083333336</v>
      </c>
      <c r="AS2109" s="272" t="s">
        <v>173</v>
      </c>
      <c r="AT2109" s="288" t="s">
        <v>225</v>
      </c>
      <c r="AU2109" s="276">
        <v>0.55208333333333337</v>
      </c>
      <c r="AV2109" s="288">
        <v>2</v>
      </c>
      <c r="AW2109" s="288" t="s">
        <v>66</v>
      </c>
      <c r="AX2109" s="314"/>
      <c r="AY2109" s="314"/>
      <c r="AZ2109" s="314"/>
      <c r="BA2109" s="314"/>
    </row>
    <row r="2110" spans="1:53" s="301" customFormat="1" x14ac:dyDescent="0.25">
      <c r="A2110" s="312">
        <v>133</v>
      </c>
      <c r="B2110" s="311">
        <v>44937.416666666664</v>
      </c>
      <c r="C2110" s="308">
        <v>0.42708333333333331</v>
      </c>
      <c r="D2110" s="308">
        <v>0.43402777777777773</v>
      </c>
      <c r="E2110" s="308">
        <v>0.4513888888888889</v>
      </c>
      <c r="F2110" s="309" t="s">
        <v>170</v>
      </c>
      <c r="G2110" s="309" t="s">
        <v>5201</v>
      </c>
      <c r="H2110" s="307" t="s">
        <v>332</v>
      </c>
      <c r="I2110" s="307" t="s">
        <v>429</v>
      </c>
      <c r="J2110" s="307" t="s">
        <v>37</v>
      </c>
      <c r="K2110" s="307" t="s">
        <v>63</v>
      </c>
      <c r="L2110" s="293" t="s">
        <v>206</v>
      </c>
      <c r="M2110" s="309" t="s">
        <v>5202</v>
      </c>
      <c r="N2110" s="309" t="s">
        <v>42</v>
      </c>
      <c r="O2110" s="309">
        <v>2053092709</v>
      </c>
      <c r="P2110" s="309">
        <v>1052089021</v>
      </c>
      <c r="Q2110" s="303">
        <f t="shared" si="381"/>
        <v>1</v>
      </c>
      <c r="R2110" s="303">
        <f t="shared" si="382"/>
        <v>12</v>
      </c>
      <c r="S2110" s="309">
        <v>0</v>
      </c>
      <c r="T2110" s="309">
        <v>0</v>
      </c>
      <c r="U2110" s="309">
        <v>1</v>
      </c>
      <c r="V2110" s="309">
        <v>12</v>
      </c>
      <c r="W2110" s="309">
        <v>13</v>
      </c>
      <c r="X2110" s="309">
        <v>30</v>
      </c>
      <c r="Y2110" s="309">
        <v>30</v>
      </c>
      <c r="Z2110" s="309">
        <v>34</v>
      </c>
      <c r="AA2110" s="309">
        <v>1</v>
      </c>
      <c r="AB2110" s="307">
        <f t="shared" si="383"/>
        <v>5.0999999999999996</v>
      </c>
      <c r="AC2110" s="307">
        <f t="shared" si="384"/>
        <v>3.0722891566265058E-2</v>
      </c>
      <c r="AD2110" s="307">
        <v>533.91</v>
      </c>
      <c r="AE2110" s="309" t="s">
        <v>109</v>
      </c>
      <c r="AF2110" s="309" t="s">
        <v>317</v>
      </c>
      <c r="AG2110" s="309" t="s">
        <v>317</v>
      </c>
      <c r="AH2110" s="309" t="s">
        <v>5204</v>
      </c>
      <c r="AI2110" s="309"/>
      <c r="AJ2110" s="309"/>
      <c r="AK2110" s="309" t="s">
        <v>41</v>
      </c>
      <c r="AL2110" s="309" t="s">
        <v>49</v>
      </c>
      <c r="AM2110" s="299">
        <f t="shared" ca="1" si="364"/>
        <v>1.1354166666715173</v>
      </c>
      <c r="AN2110" s="314"/>
      <c r="AO2110" s="288" t="s">
        <v>120</v>
      </c>
      <c r="AP2110" s="275" t="s">
        <v>5202</v>
      </c>
      <c r="AQ2110" s="288" t="s">
        <v>5303</v>
      </c>
      <c r="AR2110" s="277">
        <v>44938.552083333336</v>
      </c>
      <c r="AS2110" s="272" t="s">
        <v>173</v>
      </c>
      <c r="AT2110" s="288" t="s">
        <v>225</v>
      </c>
      <c r="AU2110" s="276">
        <v>0.55208333333333337</v>
      </c>
      <c r="AV2110" s="288">
        <v>2</v>
      </c>
      <c r="AW2110" s="288" t="s">
        <v>66</v>
      </c>
      <c r="AX2110" s="314"/>
      <c r="AY2110" s="314"/>
      <c r="AZ2110" s="314"/>
      <c r="BA2110" s="314"/>
    </row>
    <row r="2111" spans="1:53" s="301" customFormat="1" x14ac:dyDescent="0.25">
      <c r="A2111" s="312">
        <v>134</v>
      </c>
      <c r="B2111" s="311">
        <v>44937.451388888891</v>
      </c>
      <c r="C2111" s="308">
        <v>0.45833333333333331</v>
      </c>
      <c r="D2111" s="308">
        <v>0.46527777777777773</v>
      </c>
      <c r="E2111" s="308">
        <v>0.47222222222222227</v>
      </c>
      <c r="F2111" s="309" t="s">
        <v>170</v>
      </c>
      <c r="G2111" s="309" t="s">
        <v>5205</v>
      </c>
      <c r="H2111" s="307" t="s">
        <v>227</v>
      </c>
      <c r="I2111" s="307" t="s">
        <v>189</v>
      </c>
      <c r="J2111" s="307" t="s">
        <v>37</v>
      </c>
      <c r="K2111" s="307" t="s">
        <v>63</v>
      </c>
      <c r="L2111" s="293" t="s">
        <v>206</v>
      </c>
      <c r="M2111" s="309" t="s">
        <v>5206</v>
      </c>
      <c r="N2111" s="309" t="s">
        <v>42</v>
      </c>
      <c r="O2111" s="309" t="s">
        <v>5207</v>
      </c>
      <c r="P2111" s="309">
        <v>4797</v>
      </c>
      <c r="Q2111" s="303">
        <f t="shared" si="381"/>
        <v>1</v>
      </c>
      <c r="R2111" s="303">
        <f t="shared" si="382"/>
        <v>524</v>
      </c>
      <c r="S2111" s="309">
        <v>0</v>
      </c>
      <c r="T2111" s="309">
        <v>0</v>
      </c>
      <c r="U2111" s="309">
        <v>1</v>
      </c>
      <c r="V2111" s="309">
        <v>524</v>
      </c>
      <c r="W2111" s="309">
        <v>510</v>
      </c>
      <c r="X2111" s="309">
        <v>160</v>
      </c>
      <c r="Y2111" s="309">
        <v>138</v>
      </c>
      <c r="Z2111" s="309">
        <v>79</v>
      </c>
      <c r="AA2111" s="309">
        <v>1</v>
      </c>
      <c r="AB2111" s="307">
        <f t="shared" si="383"/>
        <v>290.72000000000003</v>
      </c>
      <c r="AC2111" s="307">
        <f t="shared" si="384"/>
        <v>1.7513253012048196</v>
      </c>
      <c r="AD2111" s="309" t="s">
        <v>48</v>
      </c>
      <c r="AE2111" s="309" t="s">
        <v>48</v>
      </c>
      <c r="AF2111" s="309" t="s">
        <v>317</v>
      </c>
      <c r="AG2111" s="309" t="s">
        <v>317</v>
      </c>
      <c r="AH2111" s="309" t="s">
        <v>5208</v>
      </c>
      <c r="AI2111" s="309"/>
      <c r="AJ2111" s="309"/>
      <c r="AK2111" s="309" t="s">
        <v>37</v>
      </c>
      <c r="AL2111" s="309" t="s">
        <v>49</v>
      </c>
      <c r="AM2111" s="299">
        <f t="shared" ca="1" si="364"/>
        <v>2.1944444444452529</v>
      </c>
      <c r="AN2111" s="314"/>
      <c r="AO2111" s="288" t="s">
        <v>89</v>
      </c>
      <c r="AP2111" s="275" t="s">
        <v>5395</v>
      </c>
      <c r="AQ2111" s="288" t="s">
        <v>5396</v>
      </c>
      <c r="AR2111" s="277">
        <v>44939.645833333336</v>
      </c>
      <c r="AS2111" s="272" t="s">
        <v>173</v>
      </c>
      <c r="AT2111" s="288" t="s">
        <v>225</v>
      </c>
      <c r="AU2111" s="276">
        <v>0.64583333333333337</v>
      </c>
      <c r="AV2111" s="288">
        <v>2</v>
      </c>
      <c r="AW2111" s="288" t="s">
        <v>66</v>
      </c>
      <c r="AX2111" s="314"/>
      <c r="AY2111" s="314"/>
      <c r="AZ2111" s="314"/>
      <c r="BA2111" s="314"/>
    </row>
    <row r="2112" spans="1:53" s="301" customFormat="1" x14ac:dyDescent="0.25">
      <c r="A2112" s="312">
        <v>135</v>
      </c>
      <c r="B2112" s="311">
        <v>44937.451388888891</v>
      </c>
      <c r="C2112" s="308">
        <v>0.45833333333333331</v>
      </c>
      <c r="D2112" s="308">
        <v>0.46527777777777773</v>
      </c>
      <c r="E2112" s="308">
        <v>0.47222222222222227</v>
      </c>
      <c r="F2112" s="309" t="s">
        <v>170</v>
      </c>
      <c r="G2112" s="309" t="s">
        <v>5205</v>
      </c>
      <c r="H2112" s="307" t="s">
        <v>227</v>
      </c>
      <c r="I2112" s="307" t="s">
        <v>189</v>
      </c>
      <c r="J2112" s="307" t="s">
        <v>37</v>
      </c>
      <c r="K2112" s="307" t="s">
        <v>63</v>
      </c>
      <c r="L2112" s="293" t="s">
        <v>206</v>
      </c>
      <c r="M2112" s="309" t="s">
        <v>5206</v>
      </c>
      <c r="N2112" s="309" t="s">
        <v>42</v>
      </c>
      <c r="O2112" s="309">
        <v>1238</v>
      </c>
      <c r="P2112" s="309">
        <v>3729</v>
      </c>
      <c r="Q2112" s="303">
        <f t="shared" si="381"/>
        <v>4</v>
      </c>
      <c r="R2112" s="303">
        <f t="shared" si="382"/>
        <v>668</v>
      </c>
      <c r="S2112" s="309">
        <v>0</v>
      </c>
      <c r="T2112" s="309">
        <v>0</v>
      </c>
      <c r="U2112" s="309">
        <v>4</v>
      </c>
      <c r="V2112" s="292">
        <v>668</v>
      </c>
      <c r="W2112" s="292">
        <v>520</v>
      </c>
      <c r="X2112" s="309">
        <v>158</v>
      </c>
      <c r="Y2112" s="309">
        <v>74</v>
      </c>
      <c r="Z2112" s="309">
        <v>80</v>
      </c>
      <c r="AA2112" s="309">
        <v>1</v>
      </c>
      <c r="AB2112" s="307">
        <f t="shared" si="383"/>
        <v>155.89333333333335</v>
      </c>
      <c r="AC2112" s="307">
        <f t="shared" si="384"/>
        <v>0.93911646586345388</v>
      </c>
      <c r="AD2112" s="309">
        <v>8690</v>
      </c>
      <c r="AE2112" s="309" t="s">
        <v>109</v>
      </c>
      <c r="AF2112" s="309" t="s">
        <v>317</v>
      </c>
      <c r="AG2112" s="309" t="s">
        <v>317</v>
      </c>
      <c r="AH2112" s="309" t="s">
        <v>5209</v>
      </c>
      <c r="AI2112" s="309"/>
      <c r="AJ2112" s="309"/>
      <c r="AK2112" s="309" t="s">
        <v>37</v>
      </c>
      <c r="AL2112" s="309" t="s">
        <v>49</v>
      </c>
      <c r="AM2112" s="299">
        <f t="shared" ca="1" si="364"/>
        <v>2.1944444444452529</v>
      </c>
      <c r="AN2112" s="314"/>
      <c r="AO2112" s="288" t="s">
        <v>89</v>
      </c>
      <c r="AP2112" s="275" t="s">
        <v>5395</v>
      </c>
      <c r="AQ2112" s="288" t="s">
        <v>5396</v>
      </c>
      <c r="AR2112" s="277">
        <v>44939.645833333336</v>
      </c>
      <c r="AS2112" s="272" t="s">
        <v>173</v>
      </c>
      <c r="AT2112" s="288" t="s">
        <v>225</v>
      </c>
      <c r="AU2112" s="276">
        <v>0.64583333333333337</v>
      </c>
      <c r="AV2112" s="288">
        <v>2</v>
      </c>
      <c r="AW2112" s="288" t="s">
        <v>66</v>
      </c>
      <c r="AX2112" s="314"/>
      <c r="AY2112" s="314"/>
      <c r="AZ2112" s="314"/>
      <c r="BA2112" s="314"/>
    </row>
    <row r="2113" spans="1:53" s="301" customFormat="1" x14ac:dyDescent="0.25">
      <c r="A2113" s="312">
        <v>135</v>
      </c>
      <c r="B2113" s="311">
        <v>44937.451388888891</v>
      </c>
      <c r="C2113" s="308">
        <v>0.45833333333333331</v>
      </c>
      <c r="D2113" s="308">
        <v>0.46527777777777773</v>
      </c>
      <c r="E2113" s="308">
        <v>0.47222222222222227</v>
      </c>
      <c r="F2113" s="309" t="s">
        <v>170</v>
      </c>
      <c r="G2113" s="309" t="s">
        <v>5205</v>
      </c>
      <c r="H2113" s="307" t="s">
        <v>227</v>
      </c>
      <c r="I2113" s="307" t="s">
        <v>189</v>
      </c>
      <c r="J2113" s="307" t="s">
        <v>37</v>
      </c>
      <c r="K2113" s="307" t="s">
        <v>63</v>
      </c>
      <c r="L2113" s="293" t="s">
        <v>206</v>
      </c>
      <c r="M2113" s="309" t="s">
        <v>5206</v>
      </c>
      <c r="N2113" s="309" t="s">
        <v>42</v>
      </c>
      <c r="O2113" s="309">
        <v>1238</v>
      </c>
      <c r="P2113" s="309">
        <v>3729</v>
      </c>
      <c r="Q2113" s="303">
        <f t="shared" si="381"/>
        <v>0</v>
      </c>
      <c r="R2113" s="303">
        <f t="shared" si="382"/>
        <v>0</v>
      </c>
      <c r="S2113" s="309">
        <v>0</v>
      </c>
      <c r="T2113" s="309">
        <v>0</v>
      </c>
      <c r="U2113" s="309">
        <v>0</v>
      </c>
      <c r="V2113" s="309">
        <v>0</v>
      </c>
      <c r="W2113" s="309">
        <v>0</v>
      </c>
      <c r="X2113" s="309">
        <v>159</v>
      </c>
      <c r="Y2113" s="309">
        <v>136</v>
      </c>
      <c r="Z2113" s="309">
        <v>80</v>
      </c>
      <c r="AA2113" s="309">
        <v>3</v>
      </c>
      <c r="AB2113" s="307">
        <f t="shared" si="383"/>
        <v>864.96</v>
      </c>
      <c r="AC2113" s="307">
        <f t="shared" si="384"/>
        <v>5.2106024096385548</v>
      </c>
      <c r="AD2113" s="309">
        <v>0</v>
      </c>
      <c r="AE2113" s="309">
        <v>0</v>
      </c>
      <c r="AF2113" s="309" t="s">
        <v>317</v>
      </c>
      <c r="AG2113" s="309" t="s">
        <v>317</v>
      </c>
      <c r="AH2113" s="309" t="s">
        <v>5209</v>
      </c>
      <c r="AI2113" s="309"/>
      <c r="AJ2113" s="309"/>
      <c r="AK2113" s="309" t="s">
        <v>37</v>
      </c>
      <c r="AL2113" s="309" t="s">
        <v>49</v>
      </c>
      <c r="AM2113" s="299">
        <f t="shared" ca="1" si="364"/>
        <v>2.1944444444452529</v>
      </c>
      <c r="AN2113" s="314" t="s">
        <v>5405</v>
      </c>
      <c r="AO2113" s="288" t="s">
        <v>89</v>
      </c>
      <c r="AP2113" s="275" t="s">
        <v>5395</v>
      </c>
      <c r="AQ2113" s="288" t="s">
        <v>5396</v>
      </c>
      <c r="AR2113" s="277">
        <v>44939.645833333336</v>
      </c>
      <c r="AS2113" s="272" t="s">
        <v>173</v>
      </c>
      <c r="AT2113" s="288" t="s">
        <v>225</v>
      </c>
      <c r="AU2113" s="276">
        <v>0.64583333333333337</v>
      </c>
      <c r="AV2113" s="288">
        <v>2</v>
      </c>
      <c r="AW2113" s="288" t="s">
        <v>66</v>
      </c>
      <c r="AX2113" s="314"/>
      <c r="AY2113" s="314"/>
      <c r="AZ2113" s="314"/>
      <c r="BA2113" s="314"/>
    </row>
    <row r="2114" spans="1:53" s="301" customFormat="1" x14ac:dyDescent="0.25">
      <c r="A2114" s="312">
        <v>136</v>
      </c>
      <c r="B2114" s="311">
        <v>44937.434027777781</v>
      </c>
      <c r="C2114" s="308">
        <v>0.4375</v>
      </c>
      <c r="D2114" s="308">
        <v>0.45833333333333331</v>
      </c>
      <c r="E2114" s="308">
        <v>0.47916666666666669</v>
      </c>
      <c r="F2114" s="309" t="s">
        <v>171</v>
      </c>
      <c r="G2114" s="309" t="s">
        <v>5210</v>
      </c>
      <c r="H2114" s="307" t="s">
        <v>342</v>
      </c>
      <c r="I2114" s="307" t="s">
        <v>342</v>
      </c>
      <c r="J2114" s="307" t="s">
        <v>37</v>
      </c>
      <c r="K2114" s="309" t="s">
        <v>180</v>
      </c>
      <c r="L2114" s="309">
        <v>0</v>
      </c>
      <c r="M2114" s="309" t="s">
        <v>5211</v>
      </c>
      <c r="N2114" s="309" t="s">
        <v>453</v>
      </c>
      <c r="O2114" s="309" t="s">
        <v>5212</v>
      </c>
      <c r="P2114" s="309" t="s">
        <v>5166</v>
      </c>
      <c r="Q2114" s="303">
        <f t="shared" si="381"/>
        <v>25</v>
      </c>
      <c r="R2114" s="303">
        <f t="shared" si="382"/>
        <v>4552</v>
      </c>
      <c r="S2114" s="309">
        <v>0</v>
      </c>
      <c r="T2114" s="309">
        <v>0</v>
      </c>
      <c r="U2114" s="309">
        <v>25</v>
      </c>
      <c r="V2114" s="309">
        <v>4552</v>
      </c>
      <c r="W2114" s="309">
        <v>4550</v>
      </c>
      <c r="X2114" s="309">
        <v>95</v>
      </c>
      <c r="Y2114" s="309">
        <v>58</v>
      </c>
      <c r="Z2114" s="309">
        <v>74</v>
      </c>
      <c r="AA2114" s="309">
        <v>25</v>
      </c>
      <c r="AB2114" s="307">
        <f t="shared" si="383"/>
        <v>1698.9166666666667</v>
      </c>
      <c r="AC2114" s="307">
        <f t="shared" si="384"/>
        <v>10.234437751004016</v>
      </c>
      <c r="AD2114" s="309">
        <v>59720</v>
      </c>
      <c r="AE2114" s="309" t="s">
        <v>109</v>
      </c>
      <c r="AF2114" s="309" t="s">
        <v>5213</v>
      </c>
      <c r="AG2114" s="53">
        <v>45200</v>
      </c>
      <c r="AH2114" s="309" t="s">
        <v>5214</v>
      </c>
      <c r="AI2114" s="309"/>
      <c r="AJ2114" s="309"/>
      <c r="AK2114" s="309" t="s">
        <v>37</v>
      </c>
      <c r="AL2114" s="309" t="s">
        <v>39</v>
      </c>
      <c r="AM2114" s="299">
        <f t="shared" ca="1" si="364"/>
        <v>1.0381944444379769</v>
      </c>
      <c r="AN2114" s="314"/>
      <c r="AO2114" s="288" t="s">
        <v>68</v>
      </c>
      <c r="AP2114" s="275" t="s">
        <v>5211</v>
      </c>
      <c r="AQ2114" s="288" t="s">
        <v>5286</v>
      </c>
      <c r="AR2114" s="277">
        <v>44938.472222222219</v>
      </c>
      <c r="AS2114" s="272" t="s">
        <v>496</v>
      </c>
      <c r="AT2114" s="288" t="s">
        <v>225</v>
      </c>
      <c r="AU2114" s="276">
        <v>0.47222222222222227</v>
      </c>
      <c r="AV2114" s="288">
        <v>1</v>
      </c>
      <c r="AW2114" s="288" t="s">
        <v>66</v>
      </c>
      <c r="AX2114" s="314"/>
      <c r="AY2114" s="314"/>
      <c r="AZ2114" s="314"/>
      <c r="BA2114" s="314"/>
    </row>
    <row r="2115" spans="1:53" s="301" customFormat="1" x14ac:dyDescent="0.25">
      <c r="A2115" s="312">
        <v>137</v>
      </c>
      <c r="B2115" s="311">
        <v>44937.489583333336</v>
      </c>
      <c r="C2115" s="308">
        <v>0.49305555555555558</v>
      </c>
      <c r="D2115" s="308">
        <v>0.50694444444444442</v>
      </c>
      <c r="E2115" s="308">
        <v>0.53472222222222221</v>
      </c>
      <c r="F2115" s="309" t="s">
        <v>170</v>
      </c>
      <c r="G2115" s="309" t="s">
        <v>362</v>
      </c>
      <c r="H2115" s="307" t="s">
        <v>46</v>
      </c>
      <c r="I2115" s="307" t="s">
        <v>73</v>
      </c>
      <c r="J2115" s="307" t="s">
        <v>41</v>
      </c>
      <c r="K2115" s="307" t="s">
        <v>63</v>
      </c>
      <c r="L2115" s="307" t="s">
        <v>214</v>
      </c>
      <c r="M2115" s="309" t="s">
        <v>5215</v>
      </c>
      <c r="N2115" s="309" t="s">
        <v>59</v>
      </c>
      <c r="O2115" s="309" t="s">
        <v>5216</v>
      </c>
      <c r="P2115" s="309" t="s">
        <v>5217</v>
      </c>
      <c r="Q2115" s="303">
        <f t="shared" si="381"/>
        <v>3</v>
      </c>
      <c r="R2115" s="303">
        <f t="shared" si="382"/>
        <v>1066</v>
      </c>
      <c r="S2115" s="309">
        <v>0</v>
      </c>
      <c r="T2115" s="309">
        <v>0</v>
      </c>
      <c r="U2115" s="309">
        <v>3</v>
      </c>
      <c r="V2115" s="309">
        <v>1066</v>
      </c>
      <c r="W2115" s="309">
        <v>1067</v>
      </c>
      <c r="X2115" s="309">
        <v>102</v>
      </c>
      <c r="Y2115" s="309">
        <v>56</v>
      </c>
      <c r="Z2115" s="309">
        <v>66</v>
      </c>
      <c r="AA2115" s="309">
        <v>2</v>
      </c>
      <c r="AB2115" s="307">
        <f t="shared" si="383"/>
        <v>125.664</v>
      </c>
      <c r="AC2115" s="307">
        <f t="shared" si="384"/>
        <v>0.75701204819277113</v>
      </c>
      <c r="AD2115" s="309" t="s">
        <v>48</v>
      </c>
      <c r="AE2115" s="309" t="s">
        <v>48</v>
      </c>
      <c r="AF2115" s="309" t="s">
        <v>317</v>
      </c>
      <c r="AG2115" s="309" t="s">
        <v>317</v>
      </c>
      <c r="AH2115" s="309" t="s">
        <v>5218</v>
      </c>
      <c r="AI2115" s="309"/>
      <c r="AJ2115" s="309"/>
      <c r="AK2115" s="309" t="s">
        <v>41</v>
      </c>
      <c r="AL2115" s="309" t="s">
        <v>49</v>
      </c>
      <c r="AM2115" s="299">
        <f t="shared" ca="1" si="364"/>
        <v>1.9513888888832298</v>
      </c>
      <c r="AN2115" s="314"/>
      <c r="AO2115" s="288" t="s">
        <v>70</v>
      </c>
      <c r="AP2115" s="275" t="s">
        <v>5215</v>
      </c>
      <c r="AQ2115" s="288" t="s">
        <v>5387</v>
      </c>
      <c r="AR2115" s="277">
        <v>44939.440972222219</v>
      </c>
      <c r="AS2115" s="272" t="s">
        <v>136</v>
      </c>
      <c r="AT2115" s="288" t="s">
        <v>225</v>
      </c>
      <c r="AU2115" s="276">
        <v>0.44097222222222227</v>
      </c>
      <c r="AV2115" s="288">
        <v>1</v>
      </c>
      <c r="AW2115" s="288" t="s">
        <v>66</v>
      </c>
      <c r="AX2115" s="314"/>
      <c r="AY2115" s="314"/>
      <c r="AZ2115" s="314"/>
      <c r="BA2115" s="314"/>
    </row>
    <row r="2116" spans="1:53" s="301" customFormat="1" x14ac:dyDescent="0.25">
      <c r="A2116" s="312">
        <v>137</v>
      </c>
      <c r="B2116" s="311">
        <v>44937.489583333336</v>
      </c>
      <c r="C2116" s="308">
        <v>0.49305555555555558</v>
      </c>
      <c r="D2116" s="308">
        <v>0.50694444444444442</v>
      </c>
      <c r="E2116" s="308">
        <v>0.53472222222222221</v>
      </c>
      <c r="F2116" s="309" t="s">
        <v>170</v>
      </c>
      <c r="G2116" s="309" t="s">
        <v>362</v>
      </c>
      <c r="H2116" s="307" t="s">
        <v>46</v>
      </c>
      <c r="I2116" s="307" t="s">
        <v>73</v>
      </c>
      <c r="J2116" s="307" t="s">
        <v>41</v>
      </c>
      <c r="K2116" s="307" t="s">
        <v>63</v>
      </c>
      <c r="L2116" s="307" t="s">
        <v>214</v>
      </c>
      <c r="M2116" s="309" t="s">
        <v>5215</v>
      </c>
      <c r="N2116" s="309" t="s">
        <v>59</v>
      </c>
      <c r="O2116" s="309" t="s">
        <v>5216</v>
      </c>
      <c r="P2116" s="309" t="s">
        <v>5217</v>
      </c>
      <c r="Q2116" s="303">
        <f t="shared" si="381"/>
        <v>0</v>
      </c>
      <c r="R2116" s="303">
        <f t="shared" si="382"/>
        <v>0</v>
      </c>
      <c r="S2116" s="309">
        <v>0</v>
      </c>
      <c r="T2116" s="309">
        <v>0</v>
      </c>
      <c r="U2116" s="309">
        <v>0</v>
      </c>
      <c r="V2116" s="309">
        <v>0</v>
      </c>
      <c r="W2116" s="309">
        <v>0</v>
      </c>
      <c r="X2116" s="309">
        <v>93</v>
      </c>
      <c r="Y2116" s="309">
        <v>50</v>
      </c>
      <c r="Z2116" s="309">
        <v>52</v>
      </c>
      <c r="AA2116" s="309">
        <v>1</v>
      </c>
      <c r="AB2116" s="307">
        <f t="shared" si="383"/>
        <v>40.299999999999997</v>
      </c>
      <c r="AC2116" s="307">
        <f t="shared" si="384"/>
        <v>0.24277108433734937</v>
      </c>
      <c r="AD2116" s="309">
        <v>0</v>
      </c>
      <c r="AE2116" s="309">
        <v>0</v>
      </c>
      <c r="AF2116" s="309" t="s">
        <v>317</v>
      </c>
      <c r="AG2116" s="309" t="s">
        <v>317</v>
      </c>
      <c r="AH2116" s="309" t="s">
        <v>5218</v>
      </c>
      <c r="AI2116" s="309"/>
      <c r="AJ2116" s="309"/>
      <c r="AK2116" s="309" t="s">
        <v>41</v>
      </c>
      <c r="AL2116" s="309" t="s">
        <v>49</v>
      </c>
      <c r="AM2116" s="299">
        <f t="shared" ca="1" si="364"/>
        <v>1.9513888888832298</v>
      </c>
      <c r="AN2116" s="314"/>
      <c r="AO2116" s="288" t="s">
        <v>70</v>
      </c>
      <c r="AP2116" s="275" t="s">
        <v>5215</v>
      </c>
      <c r="AQ2116" s="288" t="s">
        <v>5387</v>
      </c>
      <c r="AR2116" s="277">
        <v>44939.440972222219</v>
      </c>
      <c r="AS2116" s="272" t="s">
        <v>136</v>
      </c>
      <c r="AT2116" s="288" t="s">
        <v>225</v>
      </c>
      <c r="AU2116" s="276">
        <v>0.44097222222222227</v>
      </c>
      <c r="AV2116" s="288">
        <v>1</v>
      </c>
      <c r="AW2116" s="288" t="s">
        <v>66</v>
      </c>
      <c r="AX2116" s="314"/>
      <c r="AY2116" s="314"/>
      <c r="AZ2116" s="314"/>
      <c r="BA2116" s="314"/>
    </row>
    <row r="2117" spans="1:53" s="301" customFormat="1" x14ac:dyDescent="0.25">
      <c r="A2117" s="312">
        <v>138</v>
      </c>
      <c r="B2117" s="311">
        <v>44937.489583333336</v>
      </c>
      <c r="C2117" s="308">
        <v>0.49305555555555558</v>
      </c>
      <c r="D2117" s="308">
        <v>0.50694444444444442</v>
      </c>
      <c r="E2117" s="308">
        <v>0.53472222222222221</v>
      </c>
      <c r="F2117" s="309" t="s">
        <v>170</v>
      </c>
      <c r="G2117" s="309" t="s">
        <v>362</v>
      </c>
      <c r="H2117" s="307" t="s">
        <v>228</v>
      </c>
      <c r="I2117" s="307" t="s">
        <v>40</v>
      </c>
      <c r="J2117" s="307" t="s">
        <v>37</v>
      </c>
      <c r="K2117" s="307" t="s">
        <v>63</v>
      </c>
      <c r="L2117" s="307" t="s">
        <v>212</v>
      </c>
      <c r="M2117" s="309" t="s">
        <v>5219</v>
      </c>
      <c r="N2117" s="309" t="s">
        <v>42</v>
      </c>
      <c r="O2117" s="309" t="s">
        <v>5220</v>
      </c>
      <c r="P2117" s="309">
        <v>4513646675</v>
      </c>
      <c r="Q2117" s="303">
        <f t="shared" si="381"/>
        <v>1</v>
      </c>
      <c r="R2117" s="303">
        <f t="shared" si="382"/>
        <v>547</v>
      </c>
      <c r="S2117" s="309">
        <v>0</v>
      </c>
      <c r="T2117" s="309">
        <v>0</v>
      </c>
      <c r="U2117" s="309">
        <v>1</v>
      </c>
      <c r="V2117" s="309">
        <v>547</v>
      </c>
      <c r="W2117" s="309">
        <v>540</v>
      </c>
      <c r="X2117" s="309">
        <v>97</v>
      </c>
      <c r="Y2117" s="309">
        <v>85</v>
      </c>
      <c r="Z2117" s="309">
        <v>51</v>
      </c>
      <c r="AA2117" s="309">
        <v>1</v>
      </c>
      <c r="AB2117" s="307">
        <f t="shared" si="383"/>
        <v>70.082499999999996</v>
      </c>
      <c r="AC2117" s="307">
        <f t="shared" si="384"/>
        <v>0.42218373493975903</v>
      </c>
      <c r="AD2117" s="309">
        <v>7310.94</v>
      </c>
      <c r="AE2117" s="309" t="s">
        <v>109</v>
      </c>
      <c r="AF2117" s="309" t="s">
        <v>317</v>
      </c>
      <c r="AG2117" s="309" t="s">
        <v>317</v>
      </c>
      <c r="AH2117" s="309" t="s">
        <v>5221</v>
      </c>
      <c r="AI2117" s="309"/>
      <c r="AJ2117" s="309"/>
      <c r="AK2117" s="309" t="s">
        <v>37</v>
      </c>
      <c r="AL2117" s="309" t="s">
        <v>49</v>
      </c>
      <c r="AM2117" s="299">
        <f t="shared" ca="1" si="364"/>
        <v>1.0625</v>
      </c>
      <c r="AN2117" s="314"/>
      <c r="AO2117" s="288" t="s">
        <v>120</v>
      </c>
      <c r="AP2117" s="275" t="s">
        <v>5219</v>
      </c>
      <c r="AQ2117" s="288" t="s">
        <v>5303</v>
      </c>
      <c r="AR2117" s="277">
        <v>44938.552083333336</v>
      </c>
      <c r="AS2117" s="272" t="s">
        <v>173</v>
      </c>
      <c r="AT2117" s="288" t="s">
        <v>225</v>
      </c>
      <c r="AU2117" s="276">
        <v>0.55208333333333337</v>
      </c>
      <c r="AV2117" s="288">
        <v>2</v>
      </c>
      <c r="AW2117" s="288" t="s">
        <v>66</v>
      </c>
      <c r="AX2117" s="314"/>
      <c r="AY2117" s="314"/>
      <c r="AZ2117" s="314"/>
      <c r="BA2117" s="314"/>
    </row>
    <row r="2118" spans="1:53" s="301" customFormat="1" x14ac:dyDescent="0.25">
      <c r="A2118" s="312">
        <v>139</v>
      </c>
      <c r="B2118" s="311">
        <v>44937.489583333336</v>
      </c>
      <c r="C2118" s="308">
        <v>0.49305555555555558</v>
      </c>
      <c r="D2118" s="308">
        <v>0.50694444444444442</v>
      </c>
      <c r="E2118" s="308">
        <v>0.53472222222222221</v>
      </c>
      <c r="F2118" s="309" t="s">
        <v>170</v>
      </c>
      <c r="G2118" s="309" t="s">
        <v>362</v>
      </c>
      <c r="H2118" s="307" t="s">
        <v>356</v>
      </c>
      <c r="I2118" s="307" t="s">
        <v>40</v>
      </c>
      <c r="J2118" s="307" t="s">
        <v>41</v>
      </c>
      <c r="K2118" s="307" t="s">
        <v>63</v>
      </c>
      <c r="L2118" s="307">
        <v>0</v>
      </c>
      <c r="M2118" s="309" t="s">
        <v>5222</v>
      </c>
      <c r="N2118" s="309" t="s">
        <v>42</v>
      </c>
      <c r="O2118" s="309">
        <v>8275002330</v>
      </c>
      <c r="P2118" s="309">
        <v>4400013326</v>
      </c>
      <c r="Q2118" s="303">
        <f t="shared" si="381"/>
        <v>1</v>
      </c>
      <c r="R2118" s="303">
        <f t="shared" si="382"/>
        <v>429</v>
      </c>
      <c r="S2118" s="309">
        <v>0</v>
      </c>
      <c r="T2118" s="309">
        <v>0</v>
      </c>
      <c r="U2118" s="309">
        <v>1</v>
      </c>
      <c r="V2118" s="292">
        <v>429</v>
      </c>
      <c r="W2118" s="292">
        <v>312</v>
      </c>
      <c r="X2118" s="309">
        <v>101</v>
      </c>
      <c r="Y2118" s="309">
        <v>75</v>
      </c>
      <c r="Z2118" s="309">
        <v>90</v>
      </c>
      <c r="AA2118" s="309">
        <v>1</v>
      </c>
      <c r="AB2118" s="307">
        <f t="shared" si="383"/>
        <v>113.625</v>
      </c>
      <c r="AC2118" s="307">
        <f t="shared" si="384"/>
        <v>0.68448795180722888</v>
      </c>
      <c r="AD2118" s="309">
        <v>7028.97</v>
      </c>
      <c r="AE2118" s="309" t="s">
        <v>109</v>
      </c>
      <c r="AF2118" s="309" t="s">
        <v>317</v>
      </c>
      <c r="AG2118" s="309" t="s">
        <v>317</v>
      </c>
      <c r="AH2118" s="309" t="s">
        <v>5223</v>
      </c>
      <c r="AI2118" s="309"/>
      <c r="AJ2118" s="309"/>
      <c r="AK2118" s="309" t="s">
        <v>41</v>
      </c>
      <c r="AL2118" s="309" t="s">
        <v>49</v>
      </c>
      <c r="AM2118" s="299">
        <f t="shared" ca="1" si="364"/>
        <v>1.0625</v>
      </c>
      <c r="AN2118" s="314"/>
      <c r="AO2118" s="288" t="s">
        <v>120</v>
      </c>
      <c r="AP2118" s="275" t="s">
        <v>5222</v>
      </c>
      <c r="AQ2118" s="288" t="s">
        <v>5303</v>
      </c>
      <c r="AR2118" s="277">
        <v>44938.552083333336</v>
      </c>
      <c r="AS2118" s="272" t="s">
        <v>173</v>
      </c>
      <c r="AT2118" s="288" t="s">
        <v>225</v>
      </c>
      <c r="AU2118" s="276">
        <v>0.55208333333333337</v>
      </c>
      <c r="AV2118" s="288">
        <v>2</v>
      </c>
      <c r="AW2118" s="288" t="s">
        <v>66</v>
      </c>
      <c r="AX2118" s="314"/>
      <c r="AY2118" s="314"/>
      <c r="AZ2118" s="314"/>
      <c r="BA2118" s="314"/>
    </row>
    <row r="2119" spans="1:53" s="301" customFormat="1" x14ac:dyDescent="0.25">
      <c r="A2119" s="312">
        <v>140</v>
      </c>
      <c r="B2119" s="311">
        <v>44937.489583333336</v>
      </c>
      <c r="C2119" s="308">
        <v>0.49305555555555558</v>
      </c>
      <c r="D2119" s="308">
        <v>0.50694444444444442</v>
      </c>
      <c r="E2119" s="308">
        <v>0.53472222222222221</v>
      </c>
      <c r="F2119" s="309" t="s">
        <v>170</v>
      </c>
      <c r="G2119" s="309" t="s">
        <v>362</v>
      </c>
      <c r="H2119" s="307" t="s">
        <v>296</v>
      </c>
      <c r="I2119" s="307" t="s">
        <v>338</v>
      </c>
      <c r="J2119" s="307" t="s">
        <v>37</v>
      </c>
      <c r="K2119" s="293" t="s">
        <v>63</v>
      </c>
      <c r="L2119" s="293" t="s">
        <v>206</v>
      </c>
      <c r="M2119" s="309" t="s">
        <v>5224</v>
      </c>
      <c r="N2119" s="309" t="s">
        <v>44</v>
      </c>
      <c r="O2119" s="309">
        <v>2223000230</v>
      </c>
      <c r="P2119" s="309">
        <v>4509746935</v>
      </c>
      <c r="Q2119" s="303">
        <f t="shared" si="381"/>
        <v>1</v>
      </c>
      <c r="R2119" s="303">
        <f t="shared" si="382"/>
        <v>169</v>
      </c>
      <c r="S2119" s="309">
        <v>0</v>
      </c>
      <c r="T2119" s="309">
        <v>0</v>
      </c>
      <c r="U2119" s="309">
        <v>1</v>
      </c>
      <c r="V2119" s="309">
        <v>169</v>
      </c>
      <c r="W2119" s="309">
        <v>164</v>
      </c>
      <c r="X2119" s="309">
        <v>91</v>
      </c>
      <c r="Y2119" s="309">
        <v>71</v>
      </c>
      <c r="Z2119" s="309">
        <v>81</v>
      </c>
      <c r="AA2119" s="309">
        <v>1</v>
      </c>
      <c r="AB2119" s="307">
        <f t="shared" si="383"/>
        <v>87.223500000000001</v>
      </c>
      <c r="AC2119" s="307">
        <f t="shared" si="384"/>
        <v>0.52544277108433735</v>
      </c>
      <c r="AD2119" s="309">
        <v>7500</v>
      </c>
      <c r="AE2119" s="309" t="s">
        <v>109</v>
      </c>
      <c r="AF2119" s="309" t="s">
        <v>317</v>
      </c>
      <c r="AG2119" s="309" t="s">
        <v>317</v>
      </c>
      <c r="AH2119" s="309" t="s">
        <v>5225</v>
      </c>
      <c r="AI2119" s="309"/>
      <c r="AJ2119" s="309"/>
      <c r="AK2119" s="309" t="s">
        <v>37</v>
      </c>
      <c r="AL2119" s="309" t="s">
        <v>49</v>
      </c>
      <c r="AM2119" s="299">
        <f t="shared" ca="1" si="364"/>
        <v>1.9513888888832298</v>
      </c>
      <c r="AN2119" s="314"/>
      <c r="AO2119" s="288" t="s">
        <v>466</v>
      </c>
      <c r="AP2119" s="275" t="s">
        <v>5224</v>
      </c>
      <c r="AQ2119" s="288" t="s">
        <v>5388</v>
      </c>
      <c r="AR2119" s="277">
        <v>44939.440972222219</v>
      </c>
      <c r="AS2119" s="272" t="s">
        <v>136</v>
      </c>
      <c r="AT2119" s="288" t="s">
        <v>225</v>
      </c>
      <c r="AU2119" s="276">
        <v>0.44097222222222227</v>
      </c>
      <c r="AV2119" s="288">
        <v>1</v>
      </c>
      <c r="AW2119" s="288" t="s">
        <v>66</v>
      </c>
      <c r="AX2119" s="314"/>
      <c r="AY2119" s="314"/>
      <c r="AZ2119" s="314"/>
      <c r="BA2119" s="314"/>
    </row>
    <row r="2120" spans="1:53" s="301" customFormat="1" x14ac:dyDescent="0.25">
      <c r="A2120" s="312">
        <v>141</v>
      </c>
      <c r="B2120" s="311">
        <v>44937.600694444445</v>
      </c>
      <c r="C2120" s="308">
        <v>0.61111111111111105</v>
      </c>
      <c r="D2120" s="308">
        <v>0.61458333333333337</v>
      </c>
      <c r="E2120" s="308">
        <v>0.62152777777777779</v>
      </c>
      <c r="F2120" s="309" t="s">
        <v>5226</v>
      </c>
      <c r="G2120" s="309" t="s">
        <v>5227</v>
      </c>
      <c r="H2120" s="309" t="s">
        <v>199</v>
      </c>
      <c r="I2120" s="309" t="s">
        <v>69</v>
      </c>
      <c r="J2120" s="307" t="s">
        <v>37</v>
      </c>
      <c r="K2120" s="307" t="s">
        <v>180</v>
      </c>
      <c r="L2120" s="293" t="s">
        <v>206</v>
      </c>
      <c r="M2120" s="309" t="s">
        <v>5228</v>
      </c>
      <c r="N2120" s="309" t="s">
        <v>42</v>
      </c>
      <c r="O2120" s="309">
        <v>274010953</v>
      </c>
      <c r="P2120" s="309" t="s">
        <v>5229</v>
      </c>
      <c r="Q2120" s="303">
        <f t="shared" ref="Q2120" si="385">S2120+U2120</f>
        <v>2</v>
      </c>
      <c r="R2120" s="303">
        <f t="shared" ref="R2120" si="386">T2120+V2120</f>
        <v>0</v>
      </c>
      <c r="S2120" s="309">
        <v>0</v>
      </c>
      <c r="T2120" s="309">
        <v>0</v>
      </c>
      <c r="U2120" s="309">
        <v>2</v>
      </c>
      <c r="V2120" s="309">
        <v>0</v>
      </c>
      <c r="W2120" s="309">
        <v>410.26</v>
      </c>
      <c r="X2120" s="309">
        <v>123</v>
      </c>
      <c r="Y2120" s="309">
        <v>84</v>
      </c>
      <c r="Z2120" s="309">
        <v>78</v>
      </c>
      <c r="AA2120" s="309">
        <v>2</v>
      </c>
      <c r="AB2120" s="307">
        <f t="shared" si="383"/>
        <v>268.63200000000001</v>
      </c>
      <c r="AC2120" s="307">
        <f t="shared" si="384"/>
        <v>1.6182650602409638</v>
      </c>
      <c r="AD2120" s="309">
        <v>14076.48</v>
      </c>
      <c r="AE2120" s="309" t="s">
        <v>109</v>
      </c>
      <c r="AF2120" s="309" t="s">
        <v>317</v>
      </c>
      <c r="AG2120" s="309" t="s">
        <v>317</v>
      </c>
      <c r="AH2120" s="309" t="s">
        <v>5230</v>
      </c>
      <c r="AI2120" s="309"/>
      <c r="AJ2120" s="309"/>
      <c r="AK2120" s="309" t="s">
        <v>37</v>
      </c>
      <c r="AL2120" s="309" t="s">
        <v>39</v>
      </c>
      <c r="AM2120" s="299">
        <f t="shared" ca="1" si="364"/>
        <v>3.4722222218988463E-2</v>
      </c>
      <c r="AN2120" s="313"/>
      <c r="AO2120" s="288" t="s">
        <v>157</v>
      </c>
      <c r="AP2120" s="288" t="s">
        <v>5228</v>
      </c>
      <c r="AQ2120" s="288" t="s">
        <v>5255</v>
      </c>
      <c r="AR2120" s="277">
        <v>44937.635416666664</v>
      </c>
      <c r="AS2120" s="272" t="s">
        <v>95</v>
      </c>
      <c r="AT2120" s="288" t="s">
        <v>225</v>
      </c>
      <c r="AU2120" s="276">
        <v>0.63541666666666663</v>
      </c>
      <c r="AV2120" s="288">
        <v>1</v>
      </c>
      <c r="AW2120" s="288" t="s">
        <v>66</v>
      </c>
      <c r="AX2120" s="314"/>
      <c r="AY2120" s="314"/>
      <c r="AZ2120" s="314"/>
      <c r="BA2120" s="314"/>
    </row>
    <row r="2121" spans="1:53" s="301" customFormat="1" x14ac:dyDescent="0.25">
      <c r="A2121" s="312">
        <v>142</v>
      </c>
      <c r="B2121" s="311">
        <v>44937.600694444445</v>
      </c>
      <c r="C2121" s="308">
        <v>0.61111111111111105</v>
      </c>
      <c r="D2121" s="308">
        <v>0.61458333333333337</v>
      </c>
      <c r="E2121" s="308">
        <v>0.62152777777777779</v>
      </c>
      <c r="F2121" s="309" t="s">
        <v>5226</v>
      </c>
      <c r="G2121" s="309" t="s">
        <v>5227</v>
      </c>
      <c r="H2121" s="309" t="s">
        <v>199</v>
      </c>
      <c r="I2121" s="309" t="s">
        <v>69</v>
      </c>
      <c r="J2121" s="307" t="s">
        <v>37</v>
      </c>
      <c r="K2121" s="307" t="s">
        <v>180</v>
      </c>
      <c r="L2121" s="293" t="s">
        <v>206</v>
      </c>
      <c r="M2121" s="309" t="s">
        <v>5228</v>
      </c>
      <c r="N2121" s="309" t="s">
        <v>42</v>
      </c>
      <c r="O2121" s="309">
        <v>274010952</v>
      </c>
      <c r="P2121" s="309" t="s">
        <v>5231</v>
      </c>
      <c r="Q2121" s="303">
        <f t="shared" ref="Q2121" si="387">S2121+U2121</f>
        <v>2</v>
      </c>
      <c r="R2121" s="303">
        <f t="shared" ref="R2121" si="388">T2121+V2121</f>
        <v>0</v>
      </c>
      <c r="S2121" s="309">
        <v>0</v>
      </c>
      <c r="T2121" s="309">
        <v>0</v>
      </c>
      <c r="U2121" s="309">
        <v>2</v>
      </c>
      <c r="V2121" s="309">
        <v>0</v>
      </c>
      <c r="W2121" s="309">
        <v>410.26</v>
      </c>
      <c r="X2121" s="309">
        <v>123</v>
      </c>
      <c r="Y2121" s="309">
        <v>84</v>
      </c>
      <c r="Z2121" s="309">
        <v>78</v>
      </c>
      <c r="AA2121" s="309">
        <v>2</v>
      </c>
      <c r="AB2121" s="307">
        <f t="shared" ref="AB2121:AB2130" si="389">X2121*Y2121*Z2121*AA2121/6000</f>
        <v>268.63200000000001</v>
      </c>
      <c r="AC2121" s="307">
        <f t="shared" ref="AC2121:AC2130" si="390">AB2121/166</f>
        <v>1.6182650602409638</v>
      </c>
      <c r="AD2121" s="309">
        <v>14076.48</v>
      </c>
      <c r="AE2121" s="309" t="s">
        <v>109</v>
      </c>
      <c r="AF2121" s="309" t="s">
        <v>317</v>
      </c>
      <c r="AG2121" s="309" t="s">
        <v>317</v>
      </c>
      <c r="AH2121" s="309" t="s">
        <v>5232</v>
      </c>
      <c r="AI2121" s="309"/>
      <c r="AJ2121" s="309"/>
      <c r="AK2121" s="309" t="s">
        <v>37</v>
      </c>
      <c r="AL2121" s="309" t="s">
        <v>39</v>
      </c>
      <c r="AM2121" s="299">
        <f t="shared" ca="1" si="364"/>
        <v>3.4722222218988463E-2</v>
      </c>
      <c r="AN2121" s="313"/>
      <c r="AO2121" s="288" t="s">
        <v>157</v>
      </c>
      <c r="AP2121" s="288" t="s">
        <v>5228</v>
      </c>
      <c r="AQ2121" s="288" t="s">
        <v>5255</v>
      </c>
      <c r="AR2121" s="277">
        <v>44937.635416666664</v>
      </c>
      <c r="AS2121" s="272" t="s">
        <v>95</v>
      </c>
      <c r="AT2121" s="288" t="s">
        <v>225</v>
      </c>
      <c r="AU2121" s="276">
        <v>0.63541666666666663</v>
      </c>
      <c r="AV2121" s="288">
        <v>1</v>
      </c>
      <c r="AW2121" s="288" t="s">
        <v>66</v>
      </c>
      <c r="AX2121" s="314"/>
      <c r="AY2121" s="314"/>
      <c r="AZ2121" s="314"/>
      <c r="BA2121" s="314"/>
    </row>
    <row r="2122" spans="1:53" s="301" customFormat="1" x14ac:dyDescent="0.25">
      <c r="A2122" s="312">
        <v>143</v>
      </c>
      <c r="B2122" s="311">
        <v>44937.611111111109</v>
      </c>
      <c r="C2122" s="308">
        <v>0.64583333333333337</v>
      </c>
      <c r="D2122" s="308">
        <v>0.65972222222222221</v>
      </c>
      <c r="E2122" s="308">
        <v>0.68402777777777779</v>
      </c>
      <c r="F2122" s="309" t="s">
        <v>170</v>
      </c>
      <c r="G2122" s="309" t="s">
        <v>4315</v>
      </c>
      <c r="H2122" s="307" t="s">
        <v>227</v>
      </c>
      <c r="I2122" s="307" t="s">
        <v>189</v>
      </c>
      <c r="J2122" s="307" t="s">
        <v>37</v>
      </c>
      <c r="K2122" s="307" t="s">
        <v>63</v>
      </c>
      <c r="L2122" s="293" t="s">
        <v>206</v>
      </c>
      <c r="M2122" s="309" t="s">
        <v>5241</v>
      </c>
      <c r="N2122" s="309" t="s">
        <v>42</v>
      </c>
      <c r="O2122" s="309" t="s">
        <v>5233</v>
      </c>
      <c r="P2122" s="309" t="s">
        <v>5234</v>
      </c>
      <c r="Q2122" s="303">
        <f t="shared" ref="Q2122" si="391">S2122+U2122</f>
        <v>2</v>
      </c>
      <c r="R2122" s="303">
        <f t="shared" ref="R2122" si="392">T2122+V2122</f>
        <v>816</v>
      </c>
      <c r="S2122" s="309">
        <v>0</v>
      </c>
      <c r="T2122" s="309">
        <v>0</v>
      </c>
      <c r="U2122" s="309">
        <v>2</v>
      </c>
      <c r="V2122" s="292">
        <f>714-62+164</f>
        <v>816</v>
      </c>
      <c r="W2122" s="292">
        <v>995</v>
      </c>
      <c r="X2122" s="309">
        <v>206</v>
      </c>
      <c r="Y2122" s="309">
        <v>147</v>
      </c>
      <c r="Z2122" s="309">
        <v>95</v>
      </c>
      <c r="AA2122" s="309">
        <v>1</v>
      </c>
      <c r="AB2122" s="307">
        <f t="shared" si="389"/>
        <v>479.46499999999997</v>
      </c>
      <c r="AC2122" s="307">
        <f t="shared" si="390"/>
        <v>2.8883433734939756</v>
      </c>
      <c r="AD2122" s="309">
        <v>1413600.62</v>
      </c>
      <c r="AE2122" s="309" t="s">
        <v>109</v>
      </c>
      <c r="AF2122" s="309" t="s">
        <v>317</v>
      </c>
      <c r="AG2122" s="309" t="s">
        <v>317</v>
      </c>
      <c r="AH2122" s="309" t="s">
        <v>5235</v>
      </c>
      <c r="AI2122" s="309" t="s">
        <v>5244</v>
      </c>
      <c r="AJ2122" s="309"/>
      <c r="AK2122" s="309" t="s">
        <v>37</v>
      </c>
      <c r="AL2122" s="309" t="s">
        <v>54</v>
      </c>
      <c r="AM2122" s="299">
        <f t="shared" ca="1" si="364"/>
        <v>0.94097222222626442</v>
      </c>
      <c r="AN2122" s="313"/>
      <c r="AO2122" s="288" t="s">
        <v>89</v>
      </c>
      <c r="AP2122" s="275" t="s">
        <v>5241</v>
      </c>
      <c r="AQ2122" s="288" t="s">
        <v>5304</v>
      </c>
      <c r="AR2122" s="277">
        <v>44938.552083333336</v>
      </c>
      <c r="AS2122" s="272" t="s">
        <v>136</v>
      </c>
      <c r="AT2122" s="288" t="s">
        <v>225</v>
      </c>
      <c r="AU2122" s="276">
        <v>0.55208333333333337</v>
      </c>
      <c r="AV2122" s="288">
        <v>2</v>
      </c>
      <c r="AW2122" s="288" t="s">
        <v>66</v>
      </c>
      <c r="AX2122" s="314"/>
      <c r="AY2122" s="314"/>
      <c r="AZ2122" s="314"/>
      <c r="BA2122" s="314"/>
    </row>
    <row r="2123" spans="1:53" s="301" customFormat="1" x14ac:dyDescent="0.25">
      <c r="A2123" s="312">
        <v>143</v>
      </c>
      <c r="B2123" s="311">
        <v>44937.611111111109</v>
      </c>
      <c r="C2123" s="308">
        <v>0.64583333333333337</v>
      </c>
      <c r="D2123" s="308">
        <v>0.65972222222222221</v>
      </c>
      <c r="E2123" s="308">
        <v>0.68402777777777779</v>
      </c>
      <c r="F2123" s="309" t="s">
        <v>170</v>
      </c>
      <c r="G2123" s="309" t="s">
        <v>4315</v>
      </c>
      <c r="H2123" s="307" t="s">
        <v>227</v>
      </c>
      <c r="I2123" s="307" t="s">
        <v>189</v>
      </c>
      <c r="J2123" s="307" t="s">
        <v>37</v>
      </c>
      <c r="K2123" s="307" t="s">
        <v>63</v>
      </c>
      <c r="L2123" s="293" t="s">
        <v>206</v>
      </c>
      <c r="M2123" s="309" t="s">
        <v>5241</v>
      </c>
      <c r="N2123" s="309" t="s">
        <v>42</v>
      </c>
      <c r="O2123" s="309" t="s">
        <v>5233</v>
      </c>
      <c r="P2123" s="309" t="s">
        <v>5234</v>
      </c>
      <c r="Q2123" s="303">
        <f t="shared" ref="Q2123" si="393">S2123+U2123</f>
        <v>0</v>
      </c>
      <c r="R2123" s="303">
        <f t="shared" ref="R2123" si="394">T2123+V2123</f>
        <v>0</v>
      </c>
      <c r="S2123" s="309">
        <v>0</v>
      </c>
      <c r="T2123" s="309">
        <v>0</v>
      </c>
      <c r="U2123" s="309">
        <v>0</v>
      </c>
      <c r="V2123" s="309">
        <v>0</v>
      </c>
      <c r="W2123" s="309">
        <v>0</v>
      </c>
      <c r="X2123" s="309">
        <v>158</v>
      </c>
      <c r="Y2123" s="309">
        <v>74</v>
      </c>
      <c r="Z2123" s="309">
        <v>79</v>
      </c>
      <c r="AA2123" s="309">
        <v>1</v>
      </c>
      <c r="AB2123" s="307">
        <f t="shared" si="389"/>
        <v>153.94466666666668</v>
      </c>
      <c r="AC2123" s="307">
        <f t="shared" si="390"/>
        <v>0.92737751004016067</v>
      </c>
      <c r="AD2123" s="309">
        <v>0</v>
      </c>
      <c r="AE2123" s="309" t="s">
        <v>109</v>
      </c>
      <c r="AF2123" s="309" t="s">
        <v>317</v>
      </c>
      <c r="AG2123" s="309" t="s">
        <v>317</v>
      </c>
      <c r="AH2123" s="309">
        <v>0</v>
      </c>
      <c r="AI2123" s="309">
        <v>0</v>
      </c>
      <c r="AJ2123" s="309"/>
      <c r="AK2123" s="309" t="s">
        <v>37</v>
      </c>
      <c r="AL2123" s="309" t="s">
        <v>54</v>
      </c>
      <c r="AM2123" s="299">
        <f t="shared" ca="1" si="364"/>
        <v>0.94097222222626442</v>
      </c>
      <c r="AN2123" s="313"/>
      <c r="AO2123" s="288" t="s">
        <v>89</v>
      </c>
      <c r="AP2123" s="275" t="s">
        <v>5241</v>
      </c>
      <c r="AQ2123" s="288" t="s">
        <v>5304</v>
      </c>
      <c r="AR2123" s="277">
        <v>44938.552083333336</v>
      </c>
      <c r="AS2123" s="272" t="s">
        <v>136</v>
      </c>
      <c r="AT2123" s="288" t="s">
        <v>225</v>
      </c>
      <c r="AU2123" s="276">
        <v>0.55208333333333337</v>
      </c>
      <c r="AV2123" s="288">
        <v>2</v>
      </c>
      <c r="AW2123" s="288" t="s">
        <v>66</v>
      </c>
      <c r="AX2123" s="314"/>
      <c r="AY2123" s="314"/>
      <c r="AZ2123" s="314"/>
      <c r="BA2123" s="314"/>
    </row>
    <row r="2124" spans="1:53" s="301" customFormat="1" x14ac:dyDescent="0.25">
      <c r="A2124" s="312">
        <v>144</v>
      </c>
      <c r="B2124" s="311">
        <v>44937.611111111109</v>
      </c>
      <c r="C2124" s="308">
        <v>0.64583333333333337</v>
      </c>
      <c r="D2124" s="308">
        <v>0.65972222222222221</v>
      </c>
      <c r="E2124" s="308">
        <v>0.68402777777777779</v>
      </c>
      <c r="F2124" s="309" t="s">
        <v>170</v>
      </c>
      <c r="G2124" s="309" t="s">
        <v>4315</v>
      </c>
      <c r="H2124" s="307" t="s">
        <v>227</v>
      </c>
      <c r="I2124" s="307" t="s">
        <v>189</v>
      </c>
      <c r="J2124" s="307" t="s">
        <v>37</v>
      </c>
      <c r="K2124" s="307" t="s">
        <v>63</v>
      </c>
      <c r="L2124" s="293" t="s">
        <v>206</v>
      </c>
      <c r="M2124" s="309" t="s">
        <v>5241</v>
      </c>
      <c r="N2124" s="309" t="s">
        <v>42</v>
      </c>
      <c r="O2124" s="309" t="s">
        <v>5236</v>
      </c>
      <c r="P2124" s="309" t="s">
        <v>5237</v>
      </c>
      <c r="Q2124" s="303">
        <f t="shared" ref="Q2124" si="395">S2124+U2124</f>
        <v>3</v>
      </c>
      <c r="R2124" s="303">
        <f t="shared" ref="R2124" si="396">T2124+V2124</f>
        <v>737</v>
      </c>
      <c r="S2124" s="309">
        <v>0</v>
      </c>
      <c r="T2124" s="309">
        <v>0</v>
      </c>
      <c r="U2124" s="309">
        <v>3</v>
      </c>
      <c r="V2124" s="292">
        <f>143+594</f>
        <v>737</v>
      </c>
      <c r="W2124" s="292">
        <v>780</v>
      </c>
      <c r="X2124" s="309">
        <v>104</v>
      </c>
      <c r="Y2124" s="309">
        <v>46</v>
      </c>
      <c r="Z2124" s="309">
        <v>45</v>
      </c>
      <c r="AA2124" s="309">
        <v>3</v>
      </c>
      <c r="AB2124" s="307">
        <f t="shared" si="389"/>
        <v>107.64</v>
      </c>
      <c r="AC2124" s="307">
        <f t="shared" si="390"/>
        <v>0.64843373493975909</v>
      </c>
      <c r="AD2124" s="309">
        <v>55070.400000000001</v>
      </c>
      <c r="AE2124" s="309" t="s">
        <v>109</v>
      </c>
      <c r="AF2124" s="309" t="s">
        <v>317</v>
      </c>
      <c r="AG2124" s="309" t="s">
        <v>317</v>
      </c>
      <c r="AH2124" s="309" t="s">
        <v>5238</v>
      </c>
      <c r="AI2124" s="309" t="s">
        <v>5244</v>
      </c>
      <c r="AJ2124" s="309"/>
      <c r="AK2124" s="309" t="s">
        <v>41</v>
      </c>
      <c r="AL2124" s="309" t="s">
        <v>54</v>
      </c>
      <c r="AM2124" s="299">
        <f t="shared" ca="1" si="364"/>
        <v>0.94097222222626442</v>
      </c>
      <c r="AN2124" s="313"/>
      <c r="AO2124" s="288" t="s">
        <v>89</v>
      </c>
      <c r="AP2124" s="275" t="s">
        <v>5241</v>
      </c>
      <c r="AQ2124" s="288" t="s">
        <v>5304</v>
      </c>
      <c r="AR2124" s="277">
        <v>44938.552083333336</v>
      </c>
      <c r="AS2124" s="272" t="s">
        <v>136</v>
      </c>
      <c r="AT2124" s="288" t="s">
        <v>225</v>
      </c>
      <c r="AU2124" s="276">
        <v>0.55208333333333337</v>
      </c>
      <c r="AV2124" s="288">
        <v>2</v>
      </c>
      <c r="AW2124" s="288" t="s">
        <v>66</v>
      </c>
      <c r="AX2124" s="314"/>
      <c r="AY2124" s="314"/>
      <c r="AZ2124" s="314"/>
      <c r="BA2124" s="314"/>
    </row>
    <row r="2125" spans="1:53" s="301" customFormat="1" x14ac:dyDescent="0.25">
      <c r="A2125" s="312">
        <v>145</v>
      </c>
      <c r="B2125" s="311">
        <v>44937.611111111109</v>
      </c>
      <c r="C2125" s="308">
        <v>0.64583333333333337</v>
      </c>
      <c r="D2125" s="308">
        <v>0.65972222222222221</v>
      </c>
      <c r="E2125" s="308">
        <v>0.68402777777777779</v>
      </c>
      <c r="F2125" s="309" t="s">
        <v>170</v>
      </c>
      <c r="G2125" s="309" t="s">
        <v>4315</v>
      </c>
      <c r="H2125" s="307" t="s">
        <v>227</v>
      </c>
      <c r="I2125" s="307" t="s">
        <v>189</v>
      </c>
      <c r="J2125" s="307" t="s">
        <v>37</v>
      </c>
      <c r="K2125" s="307" t="s">
        <v>63</v>
      </c>
      <c r="L2125" s="293" t="s">
        <v>206</v>
      </c>
      <c r="M2125" s="309" t="s">
        <v>5242</v>
      </c>
      <c r="N2125" s="309" t="s">
        <v>43</v>
      </c>
      <c r="O2125" s="309" t="s">
        <v>5239</v>
      </c>
      <c r="P2125" s="309">
        <v>31785</v>
      </c>
      <c r="Q2125" s="303">
        <f t="shared" ref="Q2125" si="397">S2125+U2125</f>
        <v>5</v>
      </c>
      <c r="R2125" s="303">
        <f t="shared" ref="R2125" si="398">T2125+V2125</f>
        <v>879</v>
      </c>
      <c r="S2125" s="309">
        <v>0</v>
      </c>
      <c r="T2125" s="309">
        <v>0</v>
      </c>
      <c r="U2125" s="309">
        <v>5</v>
      </c>
      <c r="V2125" s="292">
        <f>246-67+418-67+416-67</f>
        <v>879</v>
      </c>
      <c r="W2125" s="292">
        <v>650</v>
      </c>
      <c r="X2125" s="309">
        <v>158</v>
      </c>
      <c r="Y2125" s="309">
        <v>132</v>
      </c>
      <c r="Z2125" s="309">
        <v>79</v>
      </c>
      <c r="AA2125" s="309">
        <v>5</v>
      </c>
      <c r="AB2125" s="307">
        <f t="shared" si="389"/>
        <v>1373.02</v>
      </c>
      <c r="AC2125" s="307">
        <f t="shared" si="390"/>
        <v>8.2712048192771075</v>
      </c>
      <c r="AD2125" s="309">
        <v>829500</v>
      </c>
      <c r="AE2125" s="309" t="s">
        <v>109</v>
      </c>
      <c r="AF2125" s="309" t="s">
        <v>317</v>
      </c>
      <c r="AG2125" s="309" t="s">
        <v>317</v>
      </c>
      <c r="AH2125" s="309" t="s">
        <v>5240</v>
      </c>
      <c r="AI2125" s="309" t="s">
        <v>5244</v>
      </c>
      <c r="AJ2125" s="309"/>
      <c r="AK2125" s="309" t="s">
        <v>37</v>
      </c>
      <c r="AL2125" s="309" t="s">
        <v>54</v>
      </c>
      <c r="AM2125" s="299">
        <f t="shared" ca="1" si="364"/>
        <v>0.87152777778101154</v>
      </c>
      <c r="AN2125" s="313"/>
      <c r="AO2125" s="288" t="s">
        <v>179</v>
      </c>
      <c r="AP2125" s="288" t="s">
        <v>5242</v>
      </c>
      <c r="AQ2125" s="288" t="s">
        <v>5287</v>
      </c>
      <c r="AR2125" s="277">
        <v>44938.482638888891</v>
      </c>
      <c r="AS2125" s="272" t="s">
        <v>95</v>
      </c>
      <c r="AT2125" s="288" t="s">
        <v>225</v>
      </c>
      <c r="AU2125" s="276">
        <v>0.4826388888888889</v>
      </c>
      <c r="AV2125" s="288">
        <v>1</v>
      </c>
      <c r="AW2125" s="288" t="s">
        <v>66</v>
      </c>
      <c r="AX2125" s="314"/>
      <c r="AY2125" s="314"/>
      <c r="AZ2125" s="314"/>
      <c r="BA2125" s="314"/>
    </row>
    <row r="2126" spans="1:53" s="301" customFormat="1" x14ac:dyDescent="0.25">
      <c r="A2126" s="312">
        <v>146</v>
      </c>
      <c r="B2126" s="311">
        <v>44937.6875</v>
      </c>
      <c r="C2126" s="308">
        <v>0.72916666666666663</v>
      </c>
      <c r="D2126" s="308">
        <v>0.73958333333333337</v>
      </c>
      <c r="E2126" s="308">
        <v>0.74305555555555547</v>
      </c>
      <c r="F2126" s="309" t="s">
        <v>169</v>
      </c>
      <c r="G2126" s="309" t="s">
        <v>324</v>
      </c>
      <c r="H2126" s="309" t="s">
        <v>305</v>
      </c>
      <c r="I2126" s="309" t="s">
        <v>407</v>
      </c>
      <c r="J2126" s="309" t="s">
        <v>41</v>
      </c>
      <c r="K2126" s="309" t="s">
        <v>241</v>
      </c>
      <c r="L2126" s="309" t="s">
        <v>325</v>
      </c>
      <c r="M2126" s="309" t="s">
        <v>5245</v>
      </c>
      <c r="N2126" s="309" t="s">
        <v>42</v>
      </c>
      <c r="O2126" s="309">
        <v>95003002</v>
      </c>
      <c r="P2126" s="309">
        <v>5031673</v>
      </c>
      <c r="Q2126" s="303">
        <f t="shared" ref="Q2126:Q2127" si="399">S2126+U2126</f>
        <v>29</v>
      </c>
      <c r="R2126" s="303">
        <f t="shared" ref="R2126:R2127" si="400">T2126+V2126</f>
        <v>466</v>
      </c>
      <c r="S2126" s="309">
        <v>29</v>
      </c>
      <c r="T2126" s="292">
        <f>221-22+280-13</f>
        <v>466</v>
      </c>
      <c r="U2126" s="309">
        <v>0</v>
      </c>
      <c r="V2126" s="309">
        <v>0</v>
      </c>
      <c r="W2126" s="292">
        <v>534.21</v>
      </c>
      <c r="X2126" s="309">
        <v>59</v>
      </c>
      <c r="Y2126" s="309">
        <v>45</v>
      </c>
      <c r="Z2126" s="309">
        <v>26</v>
      </c>
      <c r="AA2126" s="309">
        <v>28</v>
      </c>
      <c r="AB2126" s="307">
        <f t="shared" si="389"/>
        <v>322.14</v>
      </c>
      <c r="AC2126" s="307">
        <f t="shared" si="390"/>
        <v>1.9406024096385541</v>
      </c>
      <c r="AD2126" s="309">
        <v>15289</v>
      </c>
      <c r="AE2126" s="309" t="s">
        <v>109</v>
      </c>
      <c r="AF2126" s="309">
        <v>6884845</v>
      </c>
      <c r="AG2126" s="309" t="s">
        <v>5246</v>
      </c>
      <c r="AH2126" s="309" t="s">
        <v>5247</v>
      </c>
      <c r="AI2126" s="309" t="s">
        <v>5248</v>
      </c>
      <c r="AJ2126" s="309"/>
      <c r="AK2126" s="309" t="s">
        <v>48</v>
      </c>
      <c r="AL2126" s="309" t="s">
        <v>47</v>
      </c>
      <c r="AM2126" s="299">
        <f t="shared" ca="1" si="364"/>
        <v>1.7847222222189885</v>
      </c>
      <c r="AN2126" s="313"/>
      <c r="AO2126" s="288" t="s">
        <v>135</v>
      </c>
      <c r="AP2126" s="275" t="s">
        <v>5245</v>
      </c>
      <c r="AQ2126" s="288" t="s">
        <v>5389</v>
      </c>
      <c r="AR2126" s="277">
        <v>44939.472222222219</v>
      </c>
      <c r="AS2126" s="272" t="s">
        <v>173</v>
      </c>
      <c r="AT2126" s="288" t="s">
        <v>225</v>
      </c>
      <c r="AU2126" s="276">
        <v>0.47222222222222227</v>
      </c>
      <c r="AV2126" s="288">
        <v>1</v>
      </c>
      <c r="AW2126" s="288" t="s">
        <v>66</v>
      </c>
      <c r="AX2126" s="314"/>
      <c r="AY2126" s="314"/>
      <c r="AZ2126" s="314"/>
      <c r="BA2126" s="314"/>
    </row>
    <row r="2127" spans="1:53" s="301" customFormat="1" x14ac:dyDescent="0.25">
      <c r="A2127" s="312">
        <v>146</v>
      </c>
      <c r="B2127" s="311">
        <v>44937.6875</v>
      </c>
      <c r="C2127" s="308">
        <v>0.72916666666666663</v>
      </c>
      <c r="D2127" s="308">
        <v>0.73958333333333337</v>
      </c>
      <c r="E2127" s="308">
        <v>0.74305555555555547</v>
      </c>
      <c r="F2127" s="309" t="s">
        <v>169</v>
      </c>
      <c r="G2127" s="309" t="s">
        <v>324</v>
      </c>
      <c r="H2127" s="309" t="s">
        <v>305</v>
      </c>
      <c r="I2127" s="309" t="s">
        <v>407</v>
      </c>
      <c r="J2127" s="309" t="s">
        <v>41</v>
      </c>
      <c r="K2127" s="309" t="s">
        <v>241</v>
      </c>
      <c r="L2127" s="309" t="s">
        <v>325</v>
      </c>
      <c r="M2127" s="309" t="s">
        <v>5245</v>
      </c>
      <c r="N2127" s="309" t="s">
        <v>42</v>
      </c>
      <c r="O2127" s="309">
        <v>95003002</v>
      </c>
      <c r="P2127" s="309">
        <v>5031673</v>
      </c>
      <c r="Q2127" s="303">
        <f t="shared" si="399"/>
        <v>0</v>
      </c>
      <c r="R2127" s="303">
        <f t="shared" si="400"/>
        <v>0</v>
      </c>
      <c r="S2127" s="309">
        <v>0</v>
      </c>
      <c r="T2127" s="309">
        <v>0</v>
      </c>
      <c r="U2127" s="309">
        <v>0</v>
      </c>
      <c r="V2127" s="309">
        <v>0</v>
      </c>
      <c r="W2127" s="309">
        <v>0</v>
      </c>
      <c r="X2127" s="309">
        <v>59</v>
      </c>
      <c r="Y2127" s="309">
        <v>45</v>
      </c>
      <c r="Z2127" s="309">
        <v>14</v>
      </c>
      <c r="AA2127" s="309">
        <v>1</v>
      </c>
      <c r="AB2127" s="307">
        <f t="shared" si="389"/>
        <v>6.1950000000000003</v>
      </c>
      <c r="AC2127" s="307">
        <f t="shared" si="390"/>
        <v>3.7319277108433739E-2</v>
      </c>
      <c r="AD2127" s="309">
        <v>0</v>
      </c>
      <c r="AE2127" s="309" t="s">
        <v>109</v>
      </c>
      <c r="AF2127" s="309">
        <v>0</v>
      </c>
      <c r="AG2127" s="309">
        <v>0</v>
      </c>
      <c r="AH2127" s="309">
        <v>0</v>
      </c>
      <c r="AI2127" s="309">
        <v>0</v>
      </c>
      <c r="AJ2127" s="309"/>
      <c r="AK2127" s="309" t="s">
        <v>48</v>
      </c>
      <c r="AL2127" s="309" t="s">
        <v>47</v>
      </c>
      <c r="AM2127" s="299">
        <f t="shared" ca="1" si="364"/>
        <v>1.7847222222189885</v>
      </c>
      <c r="AN2127" s="313"/>
      <c r="AO2127" s="288" t="s">
        <v>135</v>
      </c>
      <c r="AP2127" s="275" t="s">
        <v>5245</v>
      </c>
      <c r="AQ2127" s="288" t="s">
        <v>5389</v>
      </c>
      <c r="AR2127" s="277">
        <v>44939.472222222219</v>
      </c>
      <c r="AS2127" s="272" t="s">
        <v>173</v>
      </c>
      <c r="AT2127" s="288" t="s">
        <v>225</v>
      </c>
      <c r="AU2127" s="276">
        <v>0.47222222222222227</v>
      </c>
      <c r="AV2127" s="288">
        <v>1</v>
      </c>
      <c r="AW2127" s="288" t="s">
        <v>66</v>
      </c>
      <c r="AX2127" s="314"/>
      <c r="AY2127" s="314"/>
      <c r="AZ2127" s="314"/>
      <c r="BA2127" s="314"/>
    </row>
    <row r="2128" spans="1:53" s="301" customFormat="1" x14ac:dyDescent="0.25">
      <c r="A2128" s="312">
        <v>147</v>
      </c>
      <c r="B2128" s="311">
        <v>44937.6875</v>
      </c>
      <c r="C2128" s="308">
        <v>0.72916666666666663</v>
      </c>
      <c r="D2128" s="308">
        <v>0.73958333333333337</v>
      </c>
      <c r="E2128" s="308">
        <v>0.74305555555555547</v>
      </c>
      <c r="F2128" s="309" t="s">
        <v>169</v>
      </c>
      <c r="G2128" s="309" t="s">
        <v>324</v>
      </c>
      <c r="H2128" s="309" t="s">
        <v>305</v>
      </c>
      <c r="I2128" s="309" t="s">
        <v>407</v>
      </c>
      <c r="J2128" s="309" t="s">
        <v>41</v>
      </c>
      <c r="K2128" s="309" t="s">
        <v>241</v>
      </c>
      <c r="L2128" s="309" t="s">
        <v>325</v>
      </c>
      <c r="M2128" s="309" t="s">
        <v>5245</v>
      </c>
      <c r="N2128" s="309" t="s">
        <v>42</v>
      </c>
      <c r="O2128" s="309">
        <v>95003006</v>
      </c>
      <c r="P2128" s="309">
        <v>5033199</v>
      </c>
      <c r="Q2128" s="303">
        <f t="shared" ref="Q2128" si="401">S2128+U2128</f>
        <v>2</v>
      </c>
      <c r="R2128" s="303">
        <f t="shared" ref="R2128" si="402">T2128+V2128</f>
        <v>0</v>
      </c>
      <c r="S2128" s="309">
        <v>2</v>
      </c>
      <c r="T2128" s="309">
        <v>0</v>
      </c>
      <c r="U2128" s="309">
        <v>0</v>
      </c>
      <c r="V2128" s="309">
        <v>0</v>
      </c>
      <c r="W2128" s="309">
        <v>14.97</v>
      </c>
      <c r="X2128" s="309">
        <v>59</v>
      </c>
      <c r="Y2128" s="309">
        <v>45</v>
      </c>
      <c r="Z2128" s="309">
        <v>26</v>
      </c>
      <c r="AA2128" s="309">
        <v>1</v>
      </c>
      <c r="AB2128" s="307">
        <f t="shared" si="389"/>
        <v>11.505000000000001</v>
      </c>
      <c r="AC2128" s="307">
        <f t="shared" si="390"/>
        <v>6.9307228915662655E-2</v>
      </c>
      <c r="AD2128" s="309">
        <f>13.89+13.89</f>
        <v>27.78</v>
      </c>
      <c r="AE2128" s="309" t="s">
        <v>109</v>
      </c>
      <c r="AF2128" s="309">
        <v>6884511</v>
      </c>
      <c r="AG2128" s="309" t="s">
        <v>5246</v>
      </c>
      <c r="AH2128" s="309">
        <v>0</v>
      </c>
      <c r="AI2128" s="309">
        <v>0</v>
      </c>
      <c r="AJ2128" s="309"/>
      <c r="AK2128" s="309" t="s">
        <v>48</v>
      </c>
      <c r="AL2128" s="309" t="s">
        <v>47</v>
      </c>
      <c r="AM2128" s="299">
        <f t="shared" ca="1" si="364"/>
        <v>1.7847222222189885</v>
      </c>
      <c r="AN2128" s="313"/>
      <c r="AO2128" s="288" t="s">
        <v>135</v>
      </c>
      <c r="AP2128" s="275" t="s">
        <v>5245</v>
      </c>
      <c r="AQ2128" s="288" t="s">
        <v>5389</v>
      </c>
      <c r="AR2128" s="277">
        <v>44939.472222222219</v>
      </c>
      <c r="AS2128" s="272" t="s">
        <v>173</v>
      </c>
      <c r="AT2128" s="288" t="s">
        <v>225</v>
      </c>
      <c r="AU2128" s="276">
        <v>0.47222222222222227</v>
      </c>
      <c r="AV2128" s="288">
        <v>1</v>
      </c>
      <c r="AW2128" s="288" t="s">
        <v>66</v>
      </c>
      <c r="AX2128" s="314"/>
      <c r="AY2128" s="314"/>
      <c r="AZ2128" s="314"/>
      <c r="BA2128" s="314"/>
    </row>
    <row r="2129" spans="1:53" s="301" customFormat="1" x14ac:dyDescent="0.25">
      <c r="A2129" s="312">
        <v>147</v>
      </c>
      <c r="B2129" s="311">
        <v>44937.6875</v>
      </c>
      <c r="C2129" s="308">
        <v>0.72916666666666663</v>
      </c>
      <c r="D2129" s="308">
        <v>0.73958333333333337</v>
      </c>
      <c r="E2129" s="308">
        <v>0.74305555555555547</v>
      </c>
      <c r="F2129" s="309" t="s">
        <v>169</v>
      </c>
      <c r="G2129" s="309" t="s">
        <v>324</v>
      </c>
      <c r="H2129" s="309" t="s">
        <v>305</v>
      </c>
      <c r="I2129" s="309" t="s">
        <v>407</v>
      </c>
      <c r="J2129" s="309" t="s">
        <v>41</v>
      </c>
      <c r="K2129" s="309" t="s">
        <v>241</v>
      </c>
      <c r="L2129" s="309" t="s">
        <v>325</v>
      </c>
      <c r="M2129" s="309" t="s">
        <v>5245</v>
      </c>
      <c r="N2129" s="309" t="s">
        <v>42</v>
      </c>
      <c r="O2129" s="309">
        <v>95003006</v>
      </c>
      <c r="P2129" s="309">
        <v>5033199</v>
      </c>
      <c r="Q2129" s="303">
        <f t="shared" ref="Q2129" si="403">S2129+U2129</f>
        <v>0</v>
      </c>
      <c r="R2129" s="303">
        <f t="shared" ref="R2129" si="404">T2129+V2129</f>
        <v>0</v>
      </c>
      <c r="S2129" s="309">
        <v>0</v>
      </c>
      <c r="T2129" s="309">
        <v>0</v>
      </c>
      <c r="U2129" s="309">
        <v>0</v>
      </c>
      <c r="V2129" s="309">
        <v>0</v>
      </c>
      <c r="W2129" s="309">
        <v>0</v>
      </c>
      <c r="X2129" s="309">
        <v>59</v>
      </c>
      <c r="Y2129" s="309">
        <v>45</v>
      </c>
      <c r="Z2129" s="309">
        <v>14</v>
      </c>
      <c r="AA2129" s="309">
        <v>1</v>
      </c>
      <c r="AB2129" s="307">
        <f t="shared" si="389"/>
        <v>6.1950000000000003</v>
      </c>
      <c r="AC2129" s="307">
        <f t="shared" si="390"/>
        <v>3.7319277108433739E-2</v>
      </c>
      <c r="AD2129" s="309">
        <v>0</v>
      </c>
      <c r="AE2129" s="309" t="s">
        <v>109</v>
      </c>
      <c r="AF2129" s="309">
        <v>0</v>
      </c>
      <c r="AG2129" s="309">
        <v>0</v>
      </c>
      <c r="AH2129" s="309">
        <v>0</v>
      </c>
      <c r="AI2129" s="309">
        <v>0</v>
      </c>
      <c r="AJ2129" s="309"/>
      <c r="AK2129" s="309" t="s">
        <v>48</v>
      </c>
      <c r="AL2129" s="309" t="s">
        <v>47</v>
      </c>
      <c r="AM2129" s="299">
        <f t="shared" ca="1" si="364"/>
        <v>1.7847222222189885</v>
      </c>
      <c r="AN2129" s="313"/>
      <c r="AO2129" s="288" t="s">
        <v>135</v>
      </c>
      <c r="AP2129" s="275" t="s">
        <v>5245</v>
      </c>
      <c r="AQ2129" s="288" t="s">
        <v>5389</v>
      </c>
      <c r="AR2129" s="277">
        <v>44939.472222222219</v>
      </c>
      <c r="AS2129" s="272" t="s">
        <v>173</v>
      </c>
      <c r="AT2129" s="288" t="s">
        <v>225</v>
      </c>
      <c r="AU2129" s="276">
        <v>0.47222222222222227</v>
      </c>
      <c r="AV2129" s="288">
        <v>1</v>
      </c>
      <c r="AW2129" s="288" t="s">
        <v>66</v>
      </c>
      <c r="AX2129" s="314"/>
      <c r="AY2129" s="314"/>
      <c r="AZ2129" s="314"/>
      <c r="BA2129" s="314"/>
    </row>
    <row r="2130" spans="1:53" s="301" customFormat="1" x14ac:dyDescent="0.25">
      <c r="A2130" s="312">
        <v>148</v>
      </c>
      <c r="B2130" s="311">
        <v>44937.6875</v>
      </c>
      <c r="C2130" s="308">
        <v>0.75694444444444453</v>
      </c>
      <c r="D2130" s="308">
        <v>0.76041666666666663</v>
      </c>
      <c r="E2130" s="308">
        <v>0.76388888888888884</v>
      </c>
      <c r="F2130" s="309" t="s">
        <v>169</v>
      </c>
      <c r="G2130" s="309" t="s">
        <v>4432</v>
      </c>
      <c r="H2130" s="309" t="s">
        <v>312</v>
      </c>
      <c r="I2130" s="309" t="s">
        <v>312</v>
      </c>
      <c r="J2130" s="307" t="s">
        <v>37</v>
      </c>
      <c r="K2130" s="307" t="s">
        <v>233</v>
      </c>
      <c r="L2130" s="307" t="s">
        <v>306</v>
      </c>
      <c r="M2130" s="309" t="s">
        <v>5249</v>
      </c>
      <c r="N2130" s="309" t="s">
        <v>76</v>
      </c>
      <c r="O2130" s="309" t="s">
        <v>5250</v>
      </c>
      <c r="P2130" s="309" t="s">
        <v>5251</v>
      </c>
      <c r="Q2130" s="303">
        <f t="shared" ref="Q2130" si="405">S2130+U2130</f>
        <v>18</v>
      </c>
      <c r="R2130" s="303">
        <f t="shared" ref="R2130" si="406">T2130+V2130</f>
        <v>137</v>
      </c>
      <c r="S2130" s="309">
        <v>18</v>
      </c>
      <c r="T2130" s="309">
        <f>156-19</f>
        <v>137</v>
      </c>
      <c r="U2130" s="309">
        <v>0</v>
      </c>
      <c r="V2130" s="309">
        <v>0</v>
      </c>
      <c r="W2130" s="309">
        <v>133.19999999999999</v>
      </c>
      <c r="X2130" s="309">
        <v>64</v>
      </c>
      <c r="Y2130" s="309">
        <v>52</v>
      </c>
      <c r="Z2130" s="309">
        <v>20</v>
      </c>
      <c r="AA2130" s="309">
        <v>18</v>
      </c>
      <c r="AB2130" s="307">
        <f t="shared" si="389"/>
        <v>199.68</v>
      </c>
      <c r="AC2130" s="307">
        <f t="shared" si="390"/>
        <v>1.2028915662650603</v>
      </c>
      <c r="AD2130" s="309">
        <v>1314</v>
      </c>
      <c r="AE2130" s="309" t="s">
        <v>109</v>
      </c>
      <c r="AF2130" s="309" t="s">
        <v>1566</v>
      </c>
      <c r="AG2130" s="309" t="s">
        <v>1566</v>
      </c>
      <c r="AH2130" s="309" t="s">
        <v>5252</v>
      </c>
      <c r="AI2130" s="309" t="s">
        <v>5248</v>
      </c>
      <c r="AJ2130" s="309"/>
      <c r="AK2130" s="309" t="s">
        <v>48</v>
      </c>
      <c r="AL2130" s="309" t="s">
        <v>47</v>
      </c>
      <c r="AM2130" s="299">
        <f t="shared" ca="1" si="364"/>
        <v>6.1151512731448747</v>
      </c>
      <c r="AN2130" s="313"/>
      <c r="AO2130" s="314"/>
      <c r="AP2130" s="314"/>
      <c r="AQ2130" s="314"/>
      <c r="AR2130" s="314"/>
      <c r="AS2130" s="314"/>
      <c r="AT2130" s="314"/>
      <c r="AU2130" s="314"/>
      <c r="AV2130" s="314"/>
      <c r="AW2130" s="314"/>
      <c r="AX2130" s="314"/>
      <c r="AY2130" s="314"/>
      <c r="AZ2130" s="314"/>
      <c r="BA2130" s="314"/>
    </row>
    <row r="2131" spans="1:53" s="301" customFormat="1" x14ac:dyDescent="0.25">
      <c r="A2131" s="312">
        <v>149</v>
      </c>
      <c r="B2131" s="311">
        <v>44938.40625</v>
      </c>
      <c r="C2131" s="308">
        <v>0.40972222222222227</v>
      </c>
      <c r="D2131" s="308">
        <v>0.41666666666666669</v>
      </c>
      <c r="E2131" s="308">
        <v>0.4513888888888889</v>
      </c>
      <c r="F2131" s="309" t="s">
        <v>171</v>
      </c>
      <c r="G2131" s="309" t="s">
        <v>136</v>
      </c>
      <c r="H2131" s="307" t="s">
        <v>195</v>
      </c>
      <c r="I2131" s="307" t="s">
        <v>195</v>
      </c>
      <c r="J2131" s="307" t="s">
        <v>37</v>
      </c>
      <c r="K2131" s="307" t="s">
        <v>180</v>
      </c>
      <c r="L2131" s="307" t="s">
        <v>209</v>
      </c>
      <c r="M2131" s="309" t="s">
        <v>5256</v>
      </c>
      <c r="N2131" s="309" t="s">
        <v>42</v>
      </c>
      <c r="O2131" s="309" t="s">
        <v>5257</v>
      </c>
      <c r="P2131" s="309">
        <v>2101111816</v>
      </c>
      <c r="Q2131" s="303">
        <f t="shared" ref="Q2131:Q2147" si="407">S2131+U2131</f>
        <v>9</v>
      </c>
      <c r="R2131" s="303">
        <f t="shared" ref="R2131:R2147" si="408">T2131+V2131</f>
        <v>2057</v>
      </c>
      <c r="S2131" s="309">
        <v>0</v>
      </c>
      <c r="T2131" s="309">
        <v>0</v>
      </c>
      <c r="U2131" s="309">
        <v>9</v>
      </c>
      <c r="V2131" s="309">
        <v>2057</v>
      </c>
      <c r="W2131" s="309">
        <v>2189.998</v>
      </c>
      <c r="X2131" s="309">
        <v>114</v>
      </c>
      <c r="Y2131" s="309">
        <v>80</v>
      </c>
      <c r="Z2131" s="309">
        <v>117</v>
      </c>
      <c r="AA2131" s="309">
        <v>3</v>
      </c>
      <c r="AB2131" s="307">
        <f t="shared" ref="AB2131:AB2171" si="409">X2131*Y2131*Z2131*AA2131/6000</f>
        <v>533.52</v>
      </c>
      <c r="AC2131" s="307">
        <f t="shared" ref="AC2131:AC2171" si="410">AB2131/166</f>
        <v>3.2139759036144575</v>
      </c>
      <c r="AD2131" s="309">
        <v>114074.94</v>
      </c>
      <c r="AE2131" s="309" t="s">
        <v>109</v>
      </c>
      <c r="AF2131" s="309" t="s">
        <v>1566</v>
      </c>
      <c r="AG2131" s="309" t="s">
        <v>1566</v>
      </c>
      <c r="AH2131" s="309" t="s">
        <v>5258</v>
      </c>
      <c r="AI2131" s="309" t="s">
        <v>5248</v>
      </c>
      <c r="AJ2131" s="309"/>
      <c r="AK2131" s="309" t="s">
        <v>41</v>
      </c>
      <c r="AL2131" s="309" t="s">
        <v>58</v>
      </c>
      <c r="AM2131" s="299">
        <f t="shared" ca="1" si="364"/>
        <v>1.0659722222189885</v>
      </c>
      <c r="AN2131" s="313"/>
      <c r="AO2131" s="288" t="s">
        <v>128</v>
      </c>
      <c r="AP2131" s="275" t="s">
        <v>5256</v>
      </c>
      <c r="AQ2131" s="288" t="s">
        <v>5389</v>
      </c>
      <c r="AR2131" s="277">
        <v>44939.472222222219</v>
      </c>
      <c r="AS2131" s="272" t="s">
        <v>173</v>
      </c>
      <c r="AT2131" s="288" t="s">
        <v>225</v>
      </c>
      <c r="AU2131" s="276">
        <v>0.47222222222222227</v>
      </c>
      <c r="AV2131" s="288">
        <v>1</v>
      </c>
      <c r="AW2131" s="288" t="s">
        <v>66</v>
      </c>
      <c r="AX2131" s="314"/>
      <c r="AY2131" s="314"/>
      <c r="AZ2131" s="314"/>
      <c r="BA2131" s="314"/>
    </row>
    <row r="2132" spans="1:53" s="301" customFormat="1" x14ac:dyDescent="0.25">
      <c r="A2132" s="312">
        <v>149</v>
      </c>
      <c r="B2132" s="311">
        <v>44938.40625</v>
      </c>
      <c r="C2132" s="308">
        <v>0.40972222222222227</v>
      </c>
      <c r="D2132" s="308">
        <v>0.41666666666666669</v>
      </c>
      <c r="E2132" s="308">
        <v>0.4513888888888889</v>
      </c>
      <c r="F2132" s="309" t="s">
        <v>171</v>
      </c>
      <c r="G2132" s="309" t="s">
        <v>136</v>
      </c>
      <c r="H2132" s="307" t="s">
        <v>195</v>
      </c>
      <c r="I2132" s="307" t="s">
        <v>195</v>
      </c>
      <c r="J2132" s="307" t="s">
        <v>37</v>
      </c>
      <c r="K2132" s="307" t="s">
        <v>180</v>
      </c>
      <c r="L2132" s="307" t="s">
        <v>209</v>
      </c>
      <c r="M2132" s="309" t="s">
        <v>5256</v>
      </c>
      <c r="N2132" s="309" t="s">
        <v>42</v>
      </c>
      <c r="O2132" s="309" t="s">
        <v>5257</v>
      </c>
      <c r="P2132" s="309">
        <v>2101111816</v>
      </c>
      <c r="Q2132" s="303">
        <f t="shared" si="407"/>
        <v>0</v>
      </c>
      <c r="R2132" s="303">
        <f t="shared" si="408"/>
        <v>0</v>
      </c>
      <c r="S2132" s="309">
        <v>0</v>
      </c>
      <c r="T2132" s="309">
        <v>0</v>
      </c>
      <c r="U2132" s="309">
        <v>0</v>
      </c>
      <c r="V2132" s="309">
        <v>0</v>
      </c>
      <c r="W2132" s="309">
        <v>0</v>
      </c>
      <c r="X2132" s="309">
        <v>114</v>
      </c>
      <c r="Y2132" s="309">
        <v>80</v>
      </c>
      <c r="Z2132" s="309">
        <v>113</v>
      </c>
      <c r="AA2132" s="309">
        <v>2</v>
      </c>
      <c r="AB2132" s="307">
        <f t="shared" si="409"/>
        <v>343.52</v>
      </c>
      <c r="AC2132" s="307">
        <f t="shared" si="410"/>
        <v>2.0693975903614459</v>
      </c>
      <c r="AD2132" s="309">
        <v>0</v>
      </c>
      <c r="AE2132" s="309">
        <v>0</v>
      </c>
      <c r="AF2132" s="309" t="s">
        <v>1566</v>
      </c>
      <c r="AG2132" s="309" t="s">
        <v>1566</v>
      </c>
      <c r="AH2132" s="309" t="s">
        <v>5258</v>
      </c>
      <c r="AI2132" s="309" t="s">
        <v>5248</v>
      </c>
      <c r="AJ2132" s="309"/>
      <c r="AK2132" s="309" t="s">
        <v>41</v>
      </c>
      <c r="AL2132" s="309" t="s">
        <v>58</v>
      </c>
      <c r="AM2132" s="299">
        <f t="shared" ca="1" si="364"/>
        <v>1.0659722222189885</v>
      </c>
      <c r="AN2132" s="313"/>
      <c r="AO2132" s="288" t="s">
        <v>128</v>
      </c>
      <c r="AP2132" s="275" t="s">
        <v>5256</v>
      </c>
      <c r="AQ2132" s="288" t="s">
        <v>5389</v>
      </c>
      <c r="AR2132" s="277">
        <v>44939.472222222219</v>
      </c>
      <c r="AS2132" s="272" t="s">
        <v>173</v>
      </c>
      <c r="AT2132" s="288" t="s">
        <v>225</v>
      </c>
      <c r="AU2132" s="276">
        <v>0.47222222222222227</v>
      </c>
      <c r="AV2132" s="288">
        <v>1</v>
      </c>
      <c r="AW2132" s="288" t="s">
        <v>66</v>
      </c>
      <c r="AX2132" s="314"/>
      <c r="AY2132" s="314"/>
      <c r="AZ2132" s="314"/>
      <c r="BA2132" s="314"/>
    </row>
    <row r="2133" spans="1:53" s="301" customFormat="1" x14ac:dyDescent="0.25">
      <c r="A2133" s="312">
        <v>149</v>
      </c>
      <c r="B2133" s="311">
        <v>44938.40625</v>
      </c>
      <c r="C2133" s="308">
        <v>0.40972222222222227</v>
      </c>
      <c r="D2133" s="308">
        <v>0.41666666666666669</v>
      </c>
      <c r="E2133" s="308">
        <v>0.4513888888888889</v>
      </c>
      <c r="F2133" s="309" t="s">
        <v>171</v>
      </c>
      <c r="G2133" s="309" t="s">
        <v>136</v>
      </c>
      <c r="H2133" s="307" t="s">
        <v>195</v>
      </c>
      <c r="I2133" s="307" t="s">
        <v>195</v>
      </c>
      <c r="J2133" s="307" t="s">
        <v>37</v>
      </c>
      <c r="K2133" s="307" t="s">
        <v>180</v>
      </c>
      <c r="L2133" s="307" t="s">
        <v>209</v>
      </c>
      <c r="M2133" s="309" t="s">
        <v>5256</v>
      </c>
      <c r="N2133" s="309" t="s">
        <v>42</v>
      </c>
      <c r="O2133" s="309" t="s">
        <v>5257</v>
      </c>
      <c r="P2133" s="309">
        <v>2101111816</v>
      </c>
      <c r="Q2133" s="303">
        <f t="shared" si="407"/>
        <v>0</v>
      </c>
      <c r="R2133" s="303">
        <f t="shared" si="408"/>
        <v>0</v>
      </c>
      <c r="S2133" s="309">
        <v>0</v>
      </c>
      <c r="T2133" s="309">
        <v>0</v>
      </c>
      <c r="U2133" s="309">
        <v>0</v>
      </c>
      <c r="V2133" s="309">
        <v>0</v>
      </c>
      <c r="W2133" s="309">
        <v>0</v>
      </c>
      <c r="X2133" s="309">
        <v>114</v>
      </c>
      <c r="Y2133" s="309">
        <v>80</v>
      </c>
      <c r="Z2133" s="309">
        <v>132</v>
      </c>
      <c r="AA2133" s="309">
        <v>2</v>
      </c>
      <c r="AB2133" s="307">
        <f t="shared" si="409"/>
        <v>401.28</v>
      </c>
      <c r="AC2133" s="307">
        <f t="shared" si="410"/>
        <v>2.4173493975903613</v>
      </c>
      <c r="AD2133" s="309">
        <v>0</v>
      </c>
      <c r="AE2133" s="309">
        <v>0</v>
      </c>
      <c r="AF2133" s="309" t="s">
        <v>1566</v>
      </c>
      <c r="AG2133" s="309" t="s">
        <v>1566</v>
      </c>
      <c r="AH2133" s="309" t="s">
        <v>5258</v>
      </c>
      <c r="AI2133" s="309" t="s">
        <v>5248</v>
      </c>
      <c r="AJ2133" s="309"/>
      <c r="AK2133" s="309" t="s">
        <v>41</v>
      </c>
      <c r="AL2133" s="309" t="s">
        <v>58</v>
      </c>
      <c r="AM2133" s="299">
        <f t="shared" ca="1" si="364"/>
        <v>1.0659722222189885</v>
      </c>
      <c r="AN2133" s="313"/>
      <c r="AO2133" s="288" t="s">
        <v>128</v>
      </c>
      <c r="AP2133" s="275" t="s">
        <v>5256</v>
      </c>
      <c r="AQ2133" s="288" t="s">
        <v>5389</v>
      </c>
      <c r="AR2133" s="277">
        <v>44939.472222222219</v>
      </c>
      <c r="AS2133" s="272" t="s">
        <v>173</v>
      </c>
      <c r="AT2133" s="288" t="s">
        <v>225</v>
      </c>
      <c r="AU2133" s="276">
        <v>0.47222222222222227</v>
      </c>
      <c r="AV2133" s="288">
        <v>1</v>
      </c>
      <c r="AW2133" s="288" t="s">
        <v>66</v>
      </c>
      <c r="AX2133" s="314"/>
      <c r="AY2133" s="314"/>
      <c r="AZ2133" s="314"/>
      <c r="BA2133" s="314"/>
    </row>
    <row r="2134" spans="1:53" s="301" customFormat="1" x14ac:dyDescent="0.25">
      <c r="A2134" s="312">
        <v>149</v>
      </c>
      <c r="B2134" s="311">
        <v>44938.40625</v>
      </c>
      <c r="C2134" s="308">
        <v>0.40972222222222227</v>
      </c>
      <c r="D2134" s="308">
        <v>0.41666666666666669</v>
      </c>
      <c r="E2134" s="308">
        <v>0.4513888888888889</v>
      </c>
      <c r="F2134" s="309" t="s">
        <v>171</v>
      </c>
      <c r="G2134" s="309" t="s">
        <v>136</v>
      </c>
      <c r="H2134" s="307" t="s">
        <v>195</v>
      </c>
      <c r="I2134" s="307" t="s">
        <v>195</v>
      </c>
      <c r="J2134" s="307" t="s">
        <v>37</v>
      </c>
      <c r="K2134" s="307" t="s">
        <v>180</v>
      </c>
      <c r="L2134" s="307" t="s">
        <v>209</v>
      </c>
      <c r="M2134" s="309" t="s">
        <v>5256</v>
      </c>
      <c r="N2134" s="309" t="s">
        <v>42</v>
      </c>
      <c r="O2134" s="309" t="s">
        <v>5257</v>
      </c>
      <c r="P2134" s="309">
        <v>2101111816</v>
      </c>
      <c r="Q2134" s="303">
        <f t="shared" si="407"/>
        <v>0</v>
      </c>
      <c r="R2134" s="303">
        <f t="shared" si="408"/>
        <v>0</v>
      </c>
      <c r="S2134" s="309">
        <v>0</v>
      </c>
      <c r="T2134" s="309">
        <v>0</v>
      </c>
      <c r="U2134" s="309">
        <v>0</v>
      </c>
      <c r="V2134" s="309">
        <v>0</v>
      </c>
      <c r="W2134" s="309">
        <v>0</v>
      </c>
      <c r="X2134" s="309">
        <v>114</v>
      </c>
      <c r="Y2134" s="309">
        <v>80</v>
      </c>
      <c r="Z2134" s="309">
        <v>70</v>
      </c>
      <c r="AA2134" s="309">
        <v>1</v>
      </c>
      <c r="AB2134" s="307">
        <f t="shared" si="409"/>
        <v>106.4</v>
      </c>
      <c r="AC2134" s="307">
        <f t="shared" si="410"/>
        <v>0.64096385542168677</v>
      </c>
      <c r="AD2134" s="309">
        <v>0</v>
      </c>
      <c r="AE2134" s="309">
        <v>0</v>
      </c>
      <c r="AF2134" s="309" t="s">
        <v>1566</v>
      </c>
      <c r="AG2134" s="309" t="s">
        <v>1566</v>
      </c>
      <c r="AH2134" s="309" t="s">
        <v>5258</v>
      </c>
      <c r="AI2134" s="309" t="s">
        <v>5248</v>
      </c>
      <c r="AJ2134" s="309"/>
      <c r="AK2134" s="309" t="s">
        <v>41</v>
      </c>
      <c r="AL2134" s="309" t="s">
        <v>58</v>
      </c>
      <c r="AM2134" s="299">
        <f t="shared" ca="1" si="364"/>
        <v>1.0659722222189885</v>
      </c>
      <c r="AN2134" s="313"/>
      <c r="AO2134" s="288" t="s">
        <v>128</v>
      </c>
      <c r="AP2134" s="275" t="s">
        <v>5256</v>
      </c>
      <c r="AQ2134" s="288" t="s">
        <v>5389</v>
      </c>
      <c r="AR2134" s="277">
        <v>44939.472222222219</v>
      </c>
      <c r="AS2134" s="272" t="s">
        <v>173</v>
      </c>
      <c r="AT2134" s="288" t="s">
        <v>225</v>
      </c>
      <c r="AU2134" s="276">
        <v>0.47222222222222227</v>
      </c>
      <c r="AV2134" s="288">
        <v>1</v>
      </c>
      <c r="AW2134" s="288" t="s">
        <v>66</v>
      </c>
      <c r="AX2134" s="314"/>
      <c r="AY2134" s="314"/>
      <c r="AZ2134" s="314"/>
      <c r="BA2134" s="314"/>
    </row>
    <row r="2135" spans="1:53" s="301" customFormat="1" x14ac:dyDescent="0.25">
      <c r="A2135" s="312">
        <v>149</v>
      </c>
      <c r="B2135" s="311">
        <v>44938.40625</v>
      </c>
      <c r="C2135" s="308">
        <v>0.40972222222222227</v>
      </c>
      <c r="D2135" s="308">
        <v>0.41666666666666669</v>
      </c>
      <c r="E2135" s="308">
        <v>0.4513888888888889</v>
      </c>
      <c r="F2135" s="309" t="s">
        <v>171</v>
      </c>
      <c r="G2135" s="309" t="s">
        <v>136</v>
      </c>
      <c r="H2135" s="307" t="s">
        <v>195</v>
      </c>
      <c r="I2135" s="307" t="s">
        <v>195</v>
      </c>
      <c r="J2135" s="307" t="s">
        <v>37</v>
      </c>
      <c r="K2135" s="307" t="s">
        <v>180</v>
      </c>
      <c r="L2135" s="307" t="s">
        <v>209</v>
      </c>
      <c r="M2135" s="309" t="s">
        <v>5256</v>
      </c>
      <c r="N2135" s="309" t="s">
        <v>42</v>
      </c>
      <c r="O2135" s="309" t="s">
        <v>5257</v>
      </c>
      <c r="P2135" s="309">
        <v>2101111816</v>
      </c>
      <c r="Q2135" s="303">
        <f t="shared" si="407"/>
        <v>0</v>
      </c>
      <c r="R2135" s="303">
        <f t="shared" si="408"/>
        <v>0</v>
      </c>
      <c r="S2135" s="309">
        <v>0</v>
      </c>
      <c r="T2135" s="309">
        <v>0</v>
      </c>
      <c r="U2135" s="309">
        <v>0</v>
      </c>
      <c r="V2135" s="309">
        <v>0</v>
      </c>
      <c r="W2135" s="309">
        <v>0</v>
      </c>
      <c r="X2135" s="309">
        <v>114</v>
      </c>
      <c r="Y2135" s="309">
        <v>80</v>
      </c>
      <c r="Z2135" s="309">
        <v>111</v>
      </c>
      <c r="AA2135" s="309">
        <v>1</v>
      </c>
      <c r="AB2135" s="307">
        <f t="shared" si="409"/>
        <v>168.72</v>
      </c>
      <c r="AC2135" s="307">
        <f t="shared" si="410"/>
        <v>1.0163855421686747</v>
      </c>
      <c r="AD2135" s="309">
        <v>0</v>
      </c>
      <c r="AE2135" s="309">
        <v>0</v>
      </c>
      <c r="AF2135" s="309" t="s">
        <v>1566</v>
      </c>
      <c r="AG2135" s="309" t="s">
        <v>1566</v>
      </c>
      <c r="AH2135" s="309" t="s">
        <v>5258</v>
      </c>
      <c r="AI2135" s="309" t="s">
        <v>5248</v>
      </c>
      <c r="AJ2135" s="309"/>
      <c r="AK2135" s="309" t="s">
        <v>41</v>
      </c>
      <c r="AL2135" s="309" t="s">
        <v>58</v>
      </c>
      <c r="AM2135" s="299">
        <f t="shared" ca="1" si="364"/>
        <v>1.0659722222189885</v>
      </c>
      <c r="AN2135" s="313"/>
      <c r="AO2135" s="288" t="s">
        <v>128</v>
      </c>
      <c r="AP2135" s="275" t="s">
        <v>5256</v>
      </c>
      <c r="AQ2135" s="288" t="s">
        <v>5389</v>
      </c>
      <c r="AR2135" s="277">
        <v>44939.472222222219</v>
      </c>
      <c r="AS2135" s="272" t="s">
        <v>173</v>
      </c>
      <c r="AT2135" s="288" t="s">
        <v>225</v>
      </c>
      <c r="AU2135" s="276">
        <v>0.47222222222222227</v>
      </c>
      <c r="AV2135" s="288">
        <v>1</v>
      </c>
      <c r="AW2135" s="288" t="s">
        <v>66</v>
      </c>
      <c r="AX2135" s="314"/>
      <c r="AY2135" s="314"/>
      <c r="AZ2135" s="314"/>
      <c r="BA2135" s="314"/>
    </row>
    <row r="2136" spans="1:53" s="301" customFormat="1" x14ac:dyDescent="0.25">
      <c r="A2136" s="312">
        <v>150</v>
      </c>
      <c r="B2136" s="311">
        <v>44938.40625</v>
      </c>
      <c r="C2136" s="308">
        <v>0.40972222222222227</v>
      </c>
      <c r="D2136" s="308">
        <v>0.41666666666666669</v>
      </c>
      <c r="E2136" s="308">
        <v>0.4513888888888889</v>
      </c>
      <c r="F2136" s="309" t="s">
        <v>171</v>
      </c>
      <c r="G2136" s="309" t="s">
        <v>136</v>
      </c>
      <c r="H2136" s="307" t="s">
        <v>195</v>
      </c>
      <c r="I2136" s="307" t="s">
        <v>195</v>
      </c>
      <c r="J2136" s="307" t="s">
        <v>37</v>
      </c>
      <c r="K2136" s="307" t="s">
        <v>180</v>
      </c>
      <c r="L2136" s="307" t="s">
        <v>209</v>
      </c>
      <c r="M2136" s="309" t="s">
        <v>5259</v>
      </c>
      <c r="N2136" s="309" t="s">
        <v>42</v>
      </c>
      <c r="O2136" s="309" t="s">
        <v>5260</v>
      </c>
      <c r="P2136" s="309">
        <v>2101111852</v>
      </c>
      <c r="Q2136" s="303">
        <f t="shared" si="407"/>
        <v>5</v>
      </c>
      <c r="R2136" s="303">
        <f t="shared" si="408"/>
        <v>1015</v>
      </c>
      <c r="S2136" s="309">
        <v>0</v>
      </c>
      <c r="T2136" s="309">
        <v>0</v>
      </c>
      <c r="U2136" s="309">
        <v>5</v>
      </c>
      <c r="V2136" s="309">
        <v>1015</v>
      </c>
      <c r="W2136" s="309">
        <v>1120</v>
      </c>
      <c r="X2136" s="309">
        <v>114</v>
      </c>
      <c r="Y2136" s="309">
        <v>80</v>
      </c>
      <c r="Z2136" s="309">
        <v>132</v>
      </c>
      <c r="AA2136" s="309">
        <v>1</v>
      </c>
      <c r="AB2136" s="307">
        <f t="shared" si="409"/>
        <v>200.64</v>
      </c>
      <c r="AC2136" s="307">
        <f t="shared" si="410"/>
        <v>1.2086746987951806</v>
      </c>
      <c r="AD2136" s="309">
        <v>54288.24</v>
      </c>
      <c r="AE2136" s="309" t="s">
        <v>109</v>
      </c>
      <c r="AF2136" s="309" t="s">
        <v>1566</v>
      </c>
      <c r="AG2136" s="309" t="s">
        <v>1566</v>
      </c>
      <c r="AH2136" s="309" t="s">
        <v>5261</v>
      </c>
      <c r="AI2136" s="309" t="s">
        <v>5248</v>
      </c>
      <c r="AJ2136" s="309"/>
      <c r="AK2136" s="309" t="s">
        <v>41</v>
      </c>
      <c r="AL2136" s="309" t="s">
        <v>58</v>
      </c>
      <c r="AM2136" s="299">
        <f t="shared" ca="1" si="364"/>
        <v>1.0659722222189885</v>
      </c>
      <c r="AN2136" s="313"/>
      <c r="AO2136" s="288" t="s">
        <v>132</v>
      </c>
      <c r="AP2136" s="275" t="s">
        <v>5259</v>
      </c>
      <c r="AQ2136" s="288" t="s">
        <v>5389</v>
      </c>
      <c r="AR2136" s="277">
        <v>44939.472222222219</v>
      </c>
      <c r="AS2136" s="272" t="s">
        <v>173</v>
      </c>
      <c r="AT2136" s="288" t="s">
        <v>225</v>
      </c>
      <c r="AU2136" s="276">
        <v>0.47222222222222227</v>
      </c>
      <c r="AV2136" s="288">
        <v>1</v>
      </c>
      <c r="AW2136" s="288" t="s">
        <v>66</v>
      </c>
      <c r="AX2136" s="314"/>
      <c r="AY2136" s="314"/>
      <c r="AZ2136" s="314"/>
      <c r="BA2136" s="314"/>
    </row>
    <row r="2137" spans="1:53" x14ac:dyDescent="0.25">
      <c r="A2137" s="312">
        <v>150</v>
      </c>
      <c r="B2137" s="311">
        <v>44938.40625</v>
      </c>
      <c r="C2137" s="308">
        <v>0.40972222222222227</v>
      </c>
      <c r="D2137" s="308">
        <v>0.41666666666666669</v>
      </c>
      <c r="E2137" s="308">
        <v>0.4513888888888889</v>
      </c>
      <c r="F2137" s="309" t="s">
        <v>171</v>
      </c>
      <c r="G2137" s="309" t="s">
        <v>136</v>
      </c>
      <c r="H2137" s="307" t="s">
        <v>195</v>
      </c>
      <c r="I2137" s="307" t="s">
        <v>195</v>
      </c>
      <c r="J2137" s="307" t="s">
        <v>37</v>
      </c>
      <c r="K2137" s="307" t="s">
        <v>180</v>
      </c>
      <c r="L2137" s="307" t="s">
        <v>209</v>
      </c>
      <c r="M2137" s="309" t="s">
        <v>5259</v>
      </c>
      <c r="N2137" s="309" t="s">
        <v>42</v>
      </c>
      <c r="O2137" s="309" t="s">
        <v>5260</v>
      </c>
      <c r="P2137" s="309">
        <v>2101111852</v>
      </c>
      <c r="Q2137" s="303">
        <f t="shared" si="407"/>
        <v>0</v>
      </c>
      <c r="R2137" s="303">
        <f t="shared" si="408"/>
        <v>0</v>
      </c>
      <c r="S2137" s="309">
        <v>0</v>
      </c>
      <c r="T2137" s="309">
        <v>0</v>
      </c>
      <c r="U2137" s="309">
        <v>0</v>
      </c>
      <c r="V2137" s="309">
        <v>0</v>
      </c>
      <c r="W2137" s="309">
        <v>0</v>
      </c>
      <c r="X2137" s="309">
        <v>114</v>
      </c>
      <c r="Y2137" s="309">
        <v>80</v>
      </c>
      <c r="Z2137" s="309">
        <v>100</v>
      </c>
      <c r="AA2137" s="309">
        <v>4</v>
      </c>
      <c r="AB2137" s="307">
        <f t="shared" si="409"/>
        <v>608</v>
      </c>
      <c r="AC2137" s="307">
        <f t="shared" si="410"/>
        <v>3.6626506024096384</v>
      </c>
      <c r="AD2137" s="309">
        <v>0</v>
      </c>
      <c r="AE2137" s="309">
        <v>0</v>
      </c>
      <c r="AF2137" s="309" t="s">
        <v>1566</v>
      </c>
      <c r="AG2137" s="309" t="s">
        <v>1566</v>
      </c>
      <c r="AH2137" s="309" t="s">
        <v>5261</v>
      </c>
      <c r="AI2137" s="309" t="s">
        <v>5248</v>
      </c>
      <c r="AJ2137" s="309"/>
      <c r="AK2137" s="309" t="s">
        <v>41</v>
      </c>
      <c r="AL2137" s="309" t="s">
        <v>58</v>
      </c>
      <c r="AM2137" s="299">
        <f t="shared" ca="1" si="364"/>
        <v>1.0659722222189885</v>
      </c>
      <c r="AN2137" s="313"/>
      <c r="AO2137" s="288" t="s">
        <v>132</v>
      </c>
      <c r="AP2137" s="275" t="s">
        <v>5259</v>
      </c>
      <c r="AQ2137" s="288" t="s">
        <v>5389</v>
      </c>
      <c r="AR2137" s="277">
        <v>44939.472222222219</v>
      </c>
      <c r="AS2137" s="272" t="s">
        <v>173</v>
      </c>
      <c r="AT2137" s="288" t="s">
        <v>225</v>
      </c>
      <c r="AU2137" s="276">
        <v>0.47222222222222227</v>
      </c>
      <c r="AV2137" s="288">
        <v>1</v>
      </c>
      <c r="AW2137" s="288" t="s">
        <v>66</v>
      </c>
      <c r="AX2137" s="314"/>
      <c r="AY2137" s="314"/>
      <c r="AZ2137" s="314"/>
      <c r="BA2137" s="314"/>
    </row>
    <row r="2138" spans="1:53" x14ac:dyDescent="0.25">
      <c r="A2138" s="312">
        <v>151</v>
      </c>
      <c r="B2138" s="311">
        <v>44938.430555555555</v>
      </c>
      <c r="C2138" s="308">
        <v>0.43402777777777773</v>
      </c>
      <c r="D2138" s="308">
        <v>0.4375</v>
      </c>
      <c r="E2138" s="308">
        <v>0.45833333333333331</v>
      </c>
      <c r="F2138" s="309" t="s">
        <v>171</v>
      </c>
      <c r="G2138" s="309" t="s">
        <v>5262</v>
      </c>
      <c r="H2138" s="307" t="s">
        <v>85</v>
      </c>
      <c r="I2138" s="307" t="s">
        <v>86</v>
      </c>
      <c r="J2138" s="307" t="s">
        <v>37</v>
      </c>
      <c r="K2138" s="307" t="s">
        <v>180</v>
      </c>
      <c r="L2138" s="307" t="s">
        <v>207</v>
      </c>
      <c r="M2138" s="309" t="s">
        <v>5263</v>
      </c>
      <c r="N2138" s="309" t="s">
        <v>42</v>
      </c>
      <c r="O2138" s="309" t="s">
        <v>5264</v>
      </c>
      <c r="P2138" s="309">
        <v>9516</v>
      </c>
      <c r="Q2138" s="303">
        <f t="shared" si="407"/>
        <v>1</v>
      </c>
      <c r="R2138" s="303">
        <f t="shared" si="408"/>
        <v>209</v>
      </c>
      <c r="S2138" s="309">
        <v>0</v>
      </c>
      <c r="T2138" s="309">
        <v>0</v>
      </c>
      <c r="U2138" s="309">
        <v>1</v>
      </c>
      <c r="V2138" s="309">
        <v>209</v>
      </c>
      <c r="W2138" s="309">
        <v>205</v>
      </c>
      <c r="X2138" s="309">
        <v>120</v>
      </c>
      <c r="Y2138" s="309">
        <v>80</v>
      </c>
      <c r="Z2138" s="309">
        <v>51</v>
      </c>
      <c r="AA2138" s="309">
        <v>1</v>
      </c>
      <c r="AB2138" s="307">
        <f t="shared" si="409"/>
        <v>81.599999999999994</v>
      </c>
      <c r="AC2138" s="307">
        <f t="shared" si="410"/>
        <v>0.49156626506024093</v>
      </c>
      <c r="AD2138" s="309">
        <v>4028.97</v>
      </c>
      <c r="AE2138" s="309" t="s">
        <v>109</v>
      </c>
      <c r="AF2138" s="309" t="s">
        <v>1566</v>
      </c>
      <c r="AG2138" s="309" t="s">
        <v>1566</v>
      </c>
      <c r="AH2138" s="309" t="s">
        <v>5265</v>
      </c>
      <c r="AI2138" s="53">
        <v>45231</v>
      </c>
      <c r="AJ2138" s="53"/>
      <c r="AK2138" s="309" t="s">
        <v>37</v>
      </c>
      <c r="AL2138" s="309" t="s">
        <v>58</v>
      </c>
      <c r="AM2138" s="299">
        <f t="shared" ca="1" si="364"/>
        <v>1.0416666666642413</v>
      </c>
      <c r="AN2138" s="313"/>
      <c r="AO2138" s="288" t="s">
        <v>87</v>
      </c>
      <c r="AP2138" s="275" t="s">
        <v>5263</v>
      </c>
      <c r="AQ2138" s="288" t="s">
        <v>5389</v>
      </c>
      <c r="AR2138" s="277">
        <v>44939.472222222219</v>
      </c>
      <c r="AS2138" s="272" t="s">
        <v>173</v>
      </c>
      <c r="AT2138" s="288" t="s">
        <v>225</v>
      </c>
      <c r="AU2138" s="276">
        <v>0.47222222222222227</v>
      </c>
      <c r="AV2138" s="288">
        <v>1</v>
      </c>
      <c r="AW2138" s="288" t="s">
        <v>66</v>
      </c>
      <c r="AX2138" s="314"/>
      <c r="AY2138" s="314"/>
      <c r="AZ2138" s="314"/>
      <c r="BA2138" s="314"/>
    </row>
    <row r="2139" spans="1:53" x14ac:dyDescent="0.25">
      <c r="A2139" s="312">
        <v>152</v>
      </c>
      <c r="B2139" s="311">
        <v>44938.4375</v>
      </c>
      <c r="C2139" s="308">
        <v>0.44097222222222227</v>
      </c>
      <c r="D2139" s="308">
        <v>0.44444444444444442</v>
      </c>
      <c r="E2139" s="308">
        <v>0.46180555555555558</v>
      </c>
      <c r="F2139" s="309" t="s">
        <v>171</v>
      </c>
      <c r="G2139" s="309" t="s">
        <v>173</v>
      </c>
      <c r="H2139" s="307" t="s">
        <v>217</v>
      </c>
      <c r="I2139" s="307" t="s">
        <v>141</v>
      </c>
      <c r="J2139" s="307" t="s">
        <v>37</v>
      </c>
      <c r="K2139" s="307" t="s">
        <v>233</v>
      </c>
      <c r="L2139" s="307" t="s">
        <v>209</v>
      </c>
      <c r="M2139" s="309" t="s">
        <v>5266</v>
      </c>
      <c r="N2139" s="309" t="s">
        <v>426</v>
      </c>
      <c r="O2139" s="309" t="s">
        <v>5267</v>
      </c>
      <c r="P2139" s="309">
        <v>4501169484</v>
      </c>
      <c r="Q2139" s="303">
        <f t="shared" si="407"/>
        <v>1</v>
      </c>
      <c r="R2139" s="303">
        <f t="shared" si="408"/>
        <v>248</v>
      </c>
      <c r="S2139" s="309">
        <v>0</v>
      </c>
      <c r="T2139" s="309">
        <v>0</v>
      </c>
      <c r="U2139" s="309">
        <v>1</v>
      </c>
      <c r="V2139" s="309">
        <v>248</v>
      </c>
      <c r="W2139" s="309">
        <v>255</v>
      </c>
      <c r="X2139" s="309">
        <v>154</v>
      </c>
      <c r="Y2139" s="309">
        <v>137</v>
      </c>
      <c r="Z2139" s="309">
        <v>80</v>
      </c>
      <c r="AA2139" s="309">
        <v>1</v>
      </c>
      <c r="AB2139" s="307">
        <f t="shared" si="409"/>
        <v>281.30666666666667</v>
      </c>
      <c r="AC2139" s="307">
        <f t="shared" si="410"/>
        <v>1.6946184738955823</v>
      </c>
      <c r="AD2139" s="309">
        <v>2079.35</v>
      </c>
      <c r="AE2139" s="309" t="s">
        <v>109</v>
      </c>
      <c r="AF2139" s="309" t="s">
        <v>1566</v>
      </c>
      <c r="AG2139" s="309" t="s">
        <v>1566</v>
      </c>
      <c r="AH2139" s="309" t="s">
        <v>5268</v>
      </c>
      <c r="AI2139" s="309" t="s">
        <v>5248</v>
      </c>
      <c r="AJ2139" s="309"/>
      <c r="AK2139" s="309" t="s">
        <v>37</v>
      </c>
      <c r="AL2139" s="309" t="s">
        <v>54</v>
      </c>
      <c r="AM2139" s="299">
        <f t="shared" ca="1" si="364"/>
        <v>0.11458333333575865</v>
      </c>
      <c r="AN2139" s="313"/>
      <c r="AO2139" s="288" t="s">
        <v>120</v>
      </c>
      <c r="AP2139" s="275" t="s">
        <v>5266</v>
      </c>
      <c r="AQ2139" s="288" t="s">
        <v>5303</v>
      </c>
      <c r="AR2139" s="277">
        <v>44938.552083333336</v>
      </c>
      <c r="AS2139" s="272" t="s">
        <v>173</v>
      </c>
      <c r="AT2139" s="288" t="s">
        <v>225</v>
      </c>
      <c r="AU2139" s="276">
        <v>0.55208333333333337</v>
      </c>
      <c r="AV2139" s="288">
        <v>2</v>
      </c>
      <c r="AW2139" s="288" t="s">
        <v>66</v>
      </c>
      <c r="AX2139" s="314"/>
      <c r="AY2139" s="314"/>
      <c r="AZ2139" s="314"/>
      <c r="BA2139" s="314"/>
    </row>
    <row r="2140" spans="1:53" x14ac:dyDescent="0.25">
      <c r="A2140" s="312">
        <v>153</v>
      </c>
      <c r="B2140" s="311">
        <v>44938.4375</v>
      </c>
      <c r="C2140" s="308">
        <v>0.44097222222222227</v>
      </c>
      <c r="D2140" s="308">
        <v>0.44444444444444442</v>
      </c>
      <c r="E2140" s="308">
        <v>0.46180555555555558</v>
      </c>
      <c r="F2140" s="309" t="s">
        <v>171</v>
      </c>
      <c r="G2140" s="309" t="s">
        <v>173</v>
      </c>
      <c r="H2140" s="307" t="s">
        <v>217</v>
      </c>
      <c r="I2140" s="307" t="s">
        <v>141</v>
      </c>
      <c r="J2140" s="307" t="s">
        <v>37</v>
      </c>
      <c r="K2140" s="307" t="s">
        <v>233</v>
      </c>
      <c r="L2140" s="307" t="s">
        <v>209</v>
      </c>
      <c r="M2140" s="309" t="s">
        <v>5269</v>
      </c>
      <c r="N2140" s="309" t="s">
        <v>426</v>
      </c>
      <c r="O2140" s="309" t="s">
        <v>5270</v>
      </c>
      <c r="P2140" s="309">
        <v>4900000305</v>
      </c>
      <c r="Q2140" s="303">
        <f t="shared" si="407"/>
        <v>1</v>
      </c>
      <c r="R2140" s="303">
        <f t="shared" si="408"/>
        <v>329</v>
      </c>
      <c r="S2140" s="309">
        <v>0</v>
      </c>
      <c r="T2140" s="309">
        <v>0</v>
      </c>
      <c r="U2140" s="309">
        <v>1</v>
      </c>
      <c r="V2140" s="309">
        <v>329</v>
      </c>
      <c r="W2140" s="309">
        <v>326</v>
      </c>
      <c r="X2140" s="309">
        <v>136</v>
      </c>
      <c r="Y2140" s="309">
        <v>97</v>
      </c>
      <c r="Z2140" s="309">
        <v>96</v>
      </c>
      <c r="AA2140" s="309">
        <v>1</v>
      </c>
      <c r="AB2140" s="307">
        <f t="shared" si="409"/>
        <v>211.072</v>
      </c>
      <c r="AC2140" s="307">
        <f t="shared" si="410"/>
        <v>1.2715180722891566</v>
      </c>
      <c r="AD2140" s="309">
        <v>10837.39</v>
      </c>
      <c r="AE2140" s="309" t="s">
        <v>109</v>
      </c>
      <c r="AF2140" s="309" t="s">
        <v>1566</v>
      </c>
      <c r="AG2140" s="309" t="s">
        <v>1566</v>
      </c>
      <c r="AH2140" s="309" t="s">
        <v>5271</v>
      </c>
      <c r="AI2140" s="309" t="s">
        <v>5246</v>
      </c>
      <c r="AJ2140" s="309"/>
      <c r="AK2140" s="309" t="s">
        <v>37</v>
      </c>
      <c r="AL2140" s="309" t="s">
        <v>54</v>
      </c>
      <c r="AM2140" s="299">
        <f t="shared" ca="1" si="364"/>
        <v>5.3651512731448747</v>
      </c>
      <c r="AN2140" s="319" t="s">
        <v>5406</v>
      </c>
      <c r="AO2140" s="288"/>
      <c r="AP2140" s="275"/>
      <c r="AQ2140" s="288"/>
      <c r="AR2140" s="277"/>
      <c r="AS2140" s="272"/>
      <c r="AT2140" s="288"/>
      <c r="AU2140" s="276"/>
      <c r="AV2140" s="288"/>
      <c r="AW2140" s="288"/>
      <c r="AX2140" s="314"/>
      <c r="AY2140" s="314"/>
      <c r="AZ2140" s="314"/>
      <c r="BA2140" s="314"/>
    </row>
    <row r="2141" spans="1:53" x14ac:dyDescent="0.25">
      <c r="A2141" s="312">
        <v>154</v>
      </c>
      <c r="B2141" s="311">
        <v>44938.458333333336</v>
      </c>
      <c r="C2141" s="308">
        <v>0.45833333333333331</v>
      </c>
      <c r="D2141" s="308">
        <v>0.47222222222222227</v>
      </c>
      <c r="E2141" s="308">
        <v>0.47569444444444442</v>
      </c>
      <c r="F2141" s="309" t="s">
        <v>171</v>
      </c>
      <c r="G2141" s="309" t="s">
        <v>5272</v>
      </c>
      <c r="H2141" s="307" t="s">
        <v>396</v>
      </c>
      <c r="I2141" s="307" t="s">
        <v>174</v>
      </c>
      <c r="J2141" s="307" t="s">
        <v>37</v>
      </c>
      <c r="K2141" s="307" t="s">
        <v>180</v>
      </c>
      <c r="L2141" s="293" t="s">
        <v>206</v>
      </c>
      <c r="M2141" s="309" t="s">
        <v>5273</v>
      </c>
      <c r="N2141" s="309" t="s">
        <v>320</v>
      </c>
      <c r="O2141" s="309">
        <v>25292</v>
      </c>
      <c r="P2141" s="309">
        <v>5500356905</v>
      </c>
      <c r="Q2141" s="303">
        <f t="shared" si="407"/>
        <v>1</v>
      </c>
      <c r="R2141" s="303">
        <f t="shared" si="408"/>
        <v>186</v>
      </c>
      <c r="S2141" s="309">
        <v>0</v>
      </c>
      <c r="T2141" s="309">
        <v>0</v>
      </c>
      <c r="U2141" s="309">
        <v>1</v>
      </c>
      <c r="V2141" s="309">
        <v>186</v>
      </c>
      <c r="W2141" s="309">
        <v>200</v>
      </c>
      <c r="X2141" s="309">
        <v>105</v>
      </c>
      <c r="Y2141" s="309">
        <v>105</v>
      </c>
      <c r="Z2141" s="309">
        <v>87</v>
      </c>
      <c r="AA2141" s="309">
        <v>1</v>
      </c>
      <c r="AB2141" s="307">
        <f t="shared" si="409"/>
        <v>159.86250000000001</v>
      </c>
      <c r="AC2141" s="307">
        <f t="shared" si="410"/>
        <v>0.96302710843373496</v>
      </c>
      <c r="AD2141" s="309">
        <v>766.8</v>
      </c>
      <c r="AE2141" s="309" t="s">
        <v>111</v>
      </c>
      <c r="AF2141" s="309" t="s">
        <v>5274</v>
      </c>
      <c r="AG2141" s="53">
        <v>45231</v>
      </c>
      <c r="AH2141" s="309" t="s">
        <v>5275</v>
      </c>
      <c r="AI2141" s="309" t="s">
        <v>5248</v>
      </c>
      <c r="AJ2141" s="309"/>
      <c r="AK2141" s="309" t="s">
        <v>37</v>
      </c>
      <c r="AL2141" s="309" t="s">
        <v>54</v>
      </c>
      <c r="AM2141" s="299">
        <f t="shared" ca="1" si="364"/>
        <v>0.19097222221898846</v>
      </c>
      <c r="AN2141" s="313"/>
      <c r="AO2141" s="288" t="s">
        <v>402</v>
      </c>
      <c r="AP2141" s="275" t="s">
        <v>5305</v>
      </c>
      <c r="AQ2141" s="288" t="s">
        <v>5306</v>
      </c>
      <c r="AR2141" s="277">
        <v>44938.649305555555</v>
      </c>
      <c r="AS2141" s="272" t="s">
        <v>95</v>
      </c>
      <c r="AT2141" s="288" t="s">
        <v>225</v>
      </c>
      <c r="AU2141" s="276">
        <v>0.64930555555555558</v>
      </c>
      <c r="AV2141" s="288">
        <v>2</v>
      </c>
      <c r="AW2141" s="288" t="s">
        <v>66</v>
      </c>
      <c r="AX2141" s="314"/>
      <c r="AY2141" s="314"/>
      <c r="AZ2141" s="314"/>
      <c r="BA2141" s="314"/>
    </row>
    <row r="2142" spans="1:53" x14ac:dyDescent="0.25">
      <c r="A2142" s="312">
        <v>155</v>
      </c>
      <c r="B2142" s="311">
        <v>44938.458333333336</v>
      </c>
      <c r="C2142" s="308">
        <v>0.45833333333333331</v>
      </c>
      <c r="D2142" s="308">
        <v>0.47222222222222227</v>
      </c>
      <c r="E2142" s="308">
        <v>0.47569444444444442</v>
      </c>
      <c r="F2142" s="309" t="s">
        <v>171</v>
      </c>
      <c r="G2142" s="309" t="s">
        <v>5272</v>
      </c>
      <c r="H2142" s="307" t="s">
        <v>396</v>
      </c>
      <c r="I2142" s="307" t="s">
        <v>174</v>
      </c>
      <c r="J2142" s="307" t="s">
        <v>37</v>
      </c>
      <c r="K2142" s="307" t="s">
        <v>180</v>
      </c>
      <c r="L2142" s="293" t="s">
        <v>206</v>
      </c>
      <c r="M2142" s="309" t="s">
        <v>5276</v>
      </c>
      <c r="N2142" s="309" t="s">
        <v>320</v>
      </c>
      <c r="O2142" s="309">
        <v>25295</v>
      </c>
      <c r="P2142" s="309">
        <v>5500353830</v>
      </c>
      <c r="Q2142" s="303">
        <f t="shared" si="407"/>
        <v>2</v>
      </c>
      <c r="R2142" s="303">
        <f t="shared" si="408"/>
        <v>27</v>
      </c>
      <c r="S2142" s="309">
        <v>2</v>
      </c>
      <c r="T2142" s="309">
        <v>27</v>
      </c>
      <c r="U2142" s="309">
        <v>0</v>
      </c>
      <c r="V2142" s="309">
        <v>0</v>
      </c>
      <c r="W2142" s="309">
        <v>28</v>
      </c>
      <c r="X2142" s="309">
        <v>40</v>
      </c>
      <c r="Y2142" s="309">
        <v>30</v>
      </c>
      <c r="Z2142" s="309">
        <v>20</v>
      </c>
      <c r="AA2142" s="309">
        <v>2</v>
      </c>
      <c r="AB2142" s="307">
        <f t="shared" si="409"/>
        <v>8</v>
      </c>
      <c r="AC2142" s="307">
        <f t="shared" si="410"/>
        <v>4.8192771084337352E-2</v>
      </c>
      <c r="AD2142" s="309">
        <v>150</v>
      </c>
      <c r="AE2142" s="309" t="s">
        <v>111</v>
      </c>
      <c r="AF2142" s="309">
        <v>6891576</v>
      </c>
      <c r="AG2142" s="53">
        <v>45231</v>
      </c>
      <c r="AH2142" s="309">
        <v>0</v>
      </c>
      <c r="AI2142" s="309">
        <v>0</v>
      </c>
      <c r="AJ2142" s="309"/>
      <c r="AK2142" s="309" t="s">
        <v>48</v>
      </c>
      <c r="AL2142" s="309" t="s">
        <v>47</v>
      </c>
      <c r="AM2142" s="299">
        <f t="shared" ca="1" si="364"/>
        <v>0.19097222221898846</v>
      </c>
      <c r="AN2142" s="313"/>
      <c r="AO2142" s="288" t="s">
        <v>402</v>
      </c>
      <c r="AP2142" s="275" t="s">
        <v>5307</v>
      </c>
      <c r="AQ2142" s="288" t="s">
        <v>5306</v>
      </c>
      <c r="AR2142" s="277">
        <v>44938.649305555555</v>
      </c>
      <c r="AS2142" s="272" t="s">
        <v>95</v>
      </c>
      <c r="AT2142" s="288" t="s">
        <v>225</v>
      </c>
      <c r="AU2142" s="276">
        <v>0.64930555555555558</v>
      </c>
      <c r="AV2142" s="288">
        <v>2</v>
      </c>
      <c r="AW2142" s="288" t="s">
        <v>66</v>
      </c>
      <c r="AX2142" s="314"/>
      <c r="AY2142" s="314"/>
      <c r="AZ2142" s="314"/>
      <c r="BA2142" s="314"/>
    </row>
    <row r="2143" spans="1:53" x14ac:dyDescent="0.25">
      <c r="A2143" s="312">
        <v>156</v>
      </c>
      <c r="B2143" s="311">
        <v>44938.458333333336</v>
      </c>
      <c r="C2143" s="308">
        <v>0.45833333333333331</v>
      </c>
      <c r="D2143" s="308">
        <v>0.47222222222222227</v>
      </c>
      <c r="E2143" s="308">
        <v>0.47569444444444442</v>
      </c>
      <c r="F2143" s="309" t="s">
        <v>171</v>
      </c>
      <c r="G2143" s="309" t="s">
        <v>5272</v>
      </c>
      <c r="H2143" s="307" t="s">
        <v>396</v>
      </c>
      <c r="I2143" s="307" t="s">
        <v>174</v>
      </c>
      <c r="J2143" s="307" t="s">
        <v>37</v>
      </c>
      <c r="K2143" s="307" t="s">
        <v>180</v>
      </c>
      <c r="L2143" s="293" t="s">
        <v>206</v>
      </c>
      <c r="M2143" s="309" t="s">
        <v>5277</v>
      </c>
      <c r="N2143" s="309" t="s">
        <v>320</v>
      </c>
      <c r="O2143" s="309">
        <v>25294</v>
      </c>
      <c r="P2143" s="309">
        <v>5500344045</v>
      </c>
      <c r="Q2143" s="303">
        <f t="shared" si="407"/>
        <v>3</v>
      </c>
      <c r="R2143" s="303">
        <f t="shared" si="408"/>
        <v>59</v>
      </c>
      <c r="S2143" s="309">
        <v>3</v>
      </c>
      <c r="T2143" s="309">
        <v>59</v>
      </c>
      <c r="U2143" s="309">
        <v>0</v>
      </c>
      <c r="V2143" s="309">
        <v>0</v>
      </c>
      <c r="W2143" s="309">
        <v>60</v>
      </c>
      <c r="X2143" s="309">
        <v>40</v>
      </c>
      <c r="Y2143" s="309">
        <v>30</v>
      </c>
      <c r="Z2143" s="309">
        <v>20</v>
      </c>
      <c r="AA2143" s="309">
        <v>3</v>
      </c>
      <c r="AB2143" s="307">
        <f t="shared" si="409"/>
        <v>12</v>
      </c>
      <c r="AC2143" s="307">
        <f t="shared" si="410"/>
        <v>7.2289156626506021E-2</v>
      </c>
      <c r="AD2143" s="309">
        <v>1629</v>
      </c>
      <c r="AE2143" s="309" t="s">
        <v>111</v>
      </c>
      <c r="AF2143" s="309" t="s">
        <v>5278</v>
      </c>
      <c r="AG2143" s="53">
        <v>45231</v>
      </c>
      <c r="AH2143" s="309" t="s">
        <v>5279</v>
      </c>
      <c r="AI2143" s="309" t="s">
        <v>5248</v>
      </c>
      <c r="AJ2143" s="309"/>
      <c r="AK2143" s="309" t="s">
        <v>48</v>
      </c>
      <c r="AL2143" s="309" t="s">
        <v>47</v>
      </c>
      <c r="AM2143" s="299">
        <f t="shared" ca="1" si="364"/>
        <v>0.19097222221898846</v>
      </c>
      <c r="AN2143" s="313"/>
      <c r="AO2143" s="288" t="s">
        <v>402</v>
      </c>
      <c r="AP2143" s="275" t="s">
        <v>5308</v>
      </c>
      <c r="AQ2143" s="288" t="s">
        <v>5306</v>
      </c>
      <c r="AR2143" s="277">
        <v>44938.649305555555</v>
      </c>
      <c r="AS2143" s="272" t="s">
        <v>95</v>
      </c>
      <c r="AT2143" s="288" t="s">
        <v>225</v>
      </c>
      <c r="AU2143" s="276">
        <v>0.64930555555555558</v>
      </c>
      <c r="AV2143" s="288">
        <v>2</v>
      </c>
      <c r="AW2143" s="288" t="s">
        <v>66</v>
      </c>
      <c r="AX2143" s="314"/>
      <c r="AY2143" s="314"/>
      <c r="AZ2143" s="314"/>
      <c r="BA2143" s="314"/>
    </row>
    <row r="2144" spans="1:53" x14ac:dyDescent="0.25">
      <c r="A2144" s="312">
        <v>157</v>
      </c>
      <c r="B2144" s="311">
        <v>44938.458333333336</v>
      </c>
      <c r="C2144" s="308">
        <v>0.45833333333333331</v>
      </c>
      <c r="D2144" s="308">
        <v>0.47222222222222227</v>
      </c>
      <c r="E2144" s="308">
        <v>0.47569444444444442</v>
      </c>
      <c r="F2144" s="309" t="s">
        <v>171</v>
      </c>
      <c r="G2144" s="309" t="s">
        <v>5272</v>
      </c>
      <c r="H2144" s="307" t="s">
        <v>396</v>
      </c>
      <c r="I2144" s="307" t="s">
        <v>174</v>
      </c>
      <c r="J2144" s="307" t="s">
        <v>37</v>
      </c>
      <c r="K2144" s="307" t="s">
        <v>180</v>
      </c>
      <c r="L2144" s="293" t="s">
        <v>206</v>
      </c>
      <c r="M2144" s="309" t="s">
        <v>5277</v>
      </c>
      <c r="N2144" s="309" t="s">
        <v>320</v>
      </c>
      <c r="O2144" s="309">
        <v>25293</v>
      </c>
      <c r="P2144" s="309">
        <v>5500310299</v>
      </c>
      <c r="Q2144" s="303">
        <f t="shared" si="407"/>
        <v>10</v>
      </c>
      <c r="R2144" s="303">
        <f t="shared" si="408"/>
        <v>178</v>
      </c>
      <c r="S2144" s="309">
        <v>10</v>
      </c>
      <c r="T2144" s="309">
        <v>178</v>
      </c>
      <c r="U2144" s="309">
        <v>0</v>
      </c>
      <c r="V2144" s="309">
        <v>0</v>
      </c>
      <c r="W2144" s="309">
        <v>185</v>
      </c>
      <c r="X2144" s="309">
        <v>40</v>
      </c>
      <c r="Y2144" s="309">
        <v>30</v>
      </c>
      <c r="Z2144" s="309">
        <v>20</v>
      </c>
      <c r="AA2144" s="309">
        <v>10</v>
      </c>
      <c r="AB2144" s="307">
        <f t="shared" si="409"/>
        <v>40</v>
      </c>
      <c r="AC2144" s="307">
        <f t="shared" si="410"/>
        <v>0.24096385542168675</v>
      </c>
      <c r="AD2144" s="309">
        <v>5100</v>
      </c>
      <c r="AE2144" s="309" t="s">
        <v>111</v>
      </c>
      <c r="AF2144" s="309" t="s">
        <v>5278</v>
      </c>
      <c r="AG2144" s="53">
        <v>45231</v>
      </c>
      <c r="AH2144" s="309" t="s">
        <v>5280</v>
      </c>
      <c r="AI2144" s="309" t="s">
        <v>5246</v>
      </c>
      <c r="AJ2144" s="309"/>
      <c r="AK2144" s="309" t="s">
        <v>48</v>
      </c>
      <c r="AL2144" s="309" t="s">
        <v>47</v>
      </c>
      <c r="AM2144" s="299">
        <f t="shared" ca="1" si="364"/>
        <v>0.19097222221898846</v>
      </c>
      <c r="AN2144" s="313"/>
      <c r="AO2144" s="288" t="s">
        <v>402</v>
      </c>
      <c r="AP2144" s="275" t="s">
        <v>5308</v>
      </c>
      <c r="AQ2144" s="288" t="s">
        <v>5306</v>
      </c>
      <c r="AR2144" s="277">
        <v>44938.649305555555</v>
      </c>
      <c r="AS2144" s="272" t="s">
        <v>95</v>
      </c>
      <c r="AT2144" s="288" t="s">
        <v>225</v>
      </c>
      <c r="AU2144" s="276">
        <v>0.64930555555555558</v>
      </c>
      <c r="AV2144" s="288">
        <v>2</v>
      </c>
      <c r="AW2144" s="288" t="s">
        <v>66</v>
      </c>
      <c r="AX2144" s="314"/>
      <c r="AY2144" s="314"/>
      <c r="AZ2144" s="314"/>
      <c r="BA2144" s="314"/>
    </row>
    <row r="2145" spans="1:53" s="301" customFormat="1" x14ac:dyDescent="0.25">
      <c r="A2145" s="323">
        <v>158</v>
      </c>
      <c r="B2145" s="324">
        <v>44938.46875</v>
      </c>
      <c r="C2145" s="325">
        <v>0.47222222222222227</v>
      </c>
      <c r="D2145" s="325">
        <v>0.47916666666666669</v>
      </c>
      <c r="E2145" s="325">
        <v>0.4826388888888889</v>
      </c>
      <c r="F2145" s="307" t="s">
        <v>171</v>
      </c>
      <c r="G2145" s="307" t="s">
        <v>151</v>
      </c>
      <c r="H2145" s="307" t="s">
        <v>2313</v>
      </c>
      <c r="I2145" s="307" t="s">
        <v>4682</v>
      </c>
      <c r="J2145" s="307" t="s">
        <v>37</v>
      </c>
      <c r="K2145" s="307" t="s">
        <v>180</v>
      </c>
      <c r="L2145" s="307" t="s">
        <v>206</v>
      </c>
      <c r="M2145" s="326" t="s">
        <v>5281</v>
      </c>
      <c r="N2145" s="307" t="s">
        <v>175</v>
      </c>
      <c r="O2145" s="307">
        <v>65101686</v>
      </c>
      <c r="P2145" s="307" t="s">
        <v>5282</v>
      </c>
      <c r="Q2145" s="303">
        <f t="shared" si="407"/>
        <v>1</v>
      </c>
      <c r="R2145" s="303">
        <f t="shared" si="408"/>
        <v>7</v>
      </c>
      <c r="S2145" s="307">
        <v>1</v>
      </c>
      <c r="T2145" s="307">
        <v>7</v>
      </c>
      <c r="U2145" s="307">
        <v>0</v>
      </c>
      <c r="V2145" s="307">
        <v>0</v>
      </c>
      <c r="W2145" s="307">
        <v>5.9</v>
      </c>
      <c r="X2145" s="307">
        <v>54</v>
      </c>
      <c r="Y2145" s="307">
        <v>37</v>
      </c>
      <c r="Z2145" s="307">
        <v>25</v>
      </c>
      <c r="AA2145" s="307">
        <v>1</v>
      </c>
      <c r="AB2145" s="307">
        <f t="shared" si="409"/>
        <v>8.3249999999999993</v>
      </c>
      <c r="AC2145" s="307">
        <f t="shared" si="410"/>
        <v>5.0150602409638548E-2</v>
      </c>
      <c r="AD2145" s="307">
        <v>30.8</v>
      </c>
      <c r="AE2145" s="307" t="s">
        <v>111</v>
      </c>
      <c r="AF2145" s="307" t="s">
        <v>1566</v>
      </c>
      <c r="AG2145" s="307" t="s">
        <v>1566</v>
      </c>
      <c r="AH2145" s="307" t="s">
        <v>5283</v>
      </c>
      <c r="AI2145" s="307" t="s">
        <v>5246</v>
      </c>
      <c r="AJ2145" s="307"/>
      <c r="AK2145" s="307" t="s">
        <v>48</v>
      </c>
      <c r="AL2145" s="307" t="s">
        <v>47</v>
      </c>
      <c r="AM2145" s="299">
        <f t="shared" ca="1" si="364"/>
        <v>1.2777777777810115</v>
      </c>
      <c r="AN2145" s="313"/>
      <c r="AO2145" s="288" t="s">
        <v>181</v>
      </c>
      <c r="AP2145" s="275" t="s">
        <v>5401</v>
      </c>
      <c r="AQ2145" s="288" t="s">
        <v>5402</v>
      </c>
      <c r="AR2145" s="277">
        <v>44939.746527777781</v>
      </c>
      <c r="AS2145" s="272" t="s">
        <v>173</v>
      </c>
      <c r="AT2145" s="288" t="s">
        <v>225</v>
      </c>
      <c r="AU2145" s="276">
        <v>0.74652777777777779</v>
      </c>
      <c r="AV2145" s="288">
        <v>3</v>
      </c>
      <c r="AW2145" s="288" t="s">
        <v>66</v>
      </c>
      <c r="AX2145" s="314"/>
      <c r="AY2145" s="314"/>
      <c r="AZ2145" s="314"/>
      <c r="BA2145" s="314"/>
    </row>
    <row r="2146" spans="1:53" s="301" customFormat="1" x14ac:dyDescent="0.25">
      <c r="A2146" s="323">
        <v>159</v>
      </c>
      <c r="B2146" s="324">
        <v>44938.46875</v>
      </c>
      <c r="C2146" s="325">
        <v>0.47222222222222227</v>
      </c>
      <c r="D2146" s="325">
        <v>0.47916666666666669</v>
      </c>
      <c r="E2146" s="325">
        <v>0.4826388888888889</v>
      </c>
      <c r="F2146" s="307" t="s">
        <v>171</v>
      </c>
      <c r="G2146" s="307" t="s">
        <v>151</v>
      </c>
      <c r="H2146" s="307" t="s">
        <v>2313</v>
      </c>
      <c r="I2146" s="307" t="s">
        <v>4682</v>
      </c>
      <c r="J2146" s="307" t="s">
        <v>37</v>
      </c>
      <c r="K2146" s="307" t="s">
        <v>180</v>
      </c>
      <c r="L2146" s="307" t="s">
        <v>206</v>
      </c>
      <c r="M2146" s="326" t="s">
        <v>5281</v>
      </c>
      <c r="N2146" s="307" t="s">
        <v>175</v>
      </c>
      <c r="O2146" s="307">
        <v>65101685</v>
      </c>
      <c r="P2146" s="307" t="s">
        <v>5284</v>
      </c>
      <c r="Q2146" s="303">
        <f t="shared" si="407"/>
        <v>25</v>
      </c>
      <c r="R2146" s="303">
        <f t="shared" si="408"/>
        <v>340</v>
      </c>
      <c r="S2146" s="307">
        <v>25</v>
      </c>
      <c r="T2146" s="307">
        <v>340</v>
      </c>
      <c r="U2146" s="307">
        <v>0</v>
      </c>
      <c r="V2146" s="307">
        <v>0</v>
      </c>
      <c r="W2146" s="307">
        <v>334.71</v>
      </c>
      <c r="X2146" s="307">
        <v>54</v>
      </c>
      <c r="Y2146" s="307">
        <v>37</v>
      </c>
      <c r="Z2146" s="307">
        <v>25</v>
      </c>
      <c r="AA2146" s="307">
        <v>24</v>
      </c>
      <c r="AB2146" s="307">
        <f t="shared" si="409"/>
        <v>199.8</v>
      </c>
      <c r="AC2146" s="307">
        <f t="shared" si="410"/>
        <v>1.2036144578313255</v>
      </c>
      <c r="AD2146" s="307">
        <v>3362.82</v>
      </c>
      <c r="AE2146" s="307" t="s">
        <v>111</v>
      </c>
      <c r="AF2146" s="307" t="s">
        <v>1566</v>
      </c>
      <c r="AG2146" s="307" t="s">
        <v>1566</v>
      </c>
      <c r="AH2146" s="307" t="s">
        <v>5285</v>
      </c>
      <c r="AI2146" s="307" t="s">
        <v>5246</v>
      </c>
      <c r="AJ2146" s="307"/>
      <c r="AK2146" s="307" t="s">
        <v>48</v>
      </c>
      <c r="AL2146" s="307" t="s">
        <v>47</v>
      </c>
      <c r="AM2146" s="299">
        <f t="shared" ca="1" si="364"/>
        <v>1.2777777777810115</v>
      </c>
      <c r="AN2146" s="313"/>
      <c r="AO2146" s="288" t="s">
        <v>181</v>
      </c>
      <c r="AP2146" s="275" t="s">
        <v>5401</v>
      </c>
      <c r="AQ2146" s="288" t="s">
        <v>5402</v>
      </c>
      <c r="AR2146" s="277">
        <v>44939.746527777781</v>
      </c>
      <c r="AS2146" s="272" t="s">
        <v>173</v>
      </c>
      <c r="AT2146" s="288" t="s">
        <v>225</v>
      </c>
      <c r="AU2146" s="276">
        <v>0.74652777777777779</v>
      </c>
      <c r="AV2146" s="288">
        <v>3</v>
      </c>
      <c r="AW2146" s="288" t="s">
        <v>66</v>
      </c>
      <c r="AX2146" s="314"/>
      <c r="AY2146" s="314"/>
      <c r="AZ2146" s="314"/>
      <c r="BA2146" s="314"/>
    </row>
    <row r="2147" spans="1:53" s="301" customFormat="1" x14ac:dyDescent="0.25">
      <c r="A2147" s="323">
        <v>159</v>
      </c>
      <c r="B2147" s="324">
        <v>44938.46875</v>
      </c>
      <c r="C2147" s="325">
        <v>0.47222222222222227</v>
      </c>
      <c r="D2147" s="325">
        <v>0.47916666666666669</v>
      </c>
      <c r="E2147" s="325">
        <v>0.4826388888888889</v>
      </c>
      <c r="F2147" s="307" t="s">
        <v>171</v>
      </c>
      <c r="G2147" s="307" t="s">
        <v>151</v>
      </c>
      <c r="H2147" s="307" t="s">
        <v>2313</v>
      </c>
      <c r="I2147" s="307" t="s">
        <v>4682</v>
      </c>
      <c r="J2147" s="307" t="s">
        <v>37</v>
      </c>
      <c r="K2147" s="307" t="s">
        <v>180</v>
      </c>
      <c r="L2147" s="307" t="s">
        <v>206</v>
      </c>
      <c r="M2147" s="326" t="s">
        <v>5281</v>
      </c>
      <c r="N2147" s="307" t="s">
        <v>175</v>
      </c>
      <c r="O2147" s="307">
        <v>65101685</v>
      </c>
      <c r="P2147" s="307" t="s">
        <v>5284</v>
      </c>
      <c r="Q2147" s="303">
        <f t="shared" si="407"/>
        <v>0</v>
      </c>
      <c r="R2147" s="303">
        <f t="shared" si="408"/>
        <v>0</v>
      </c>
      <c r="S2147" s="307">
        <v>0</v>
      </c>
      <c r="T2147" s="307">
        <v>0</v>
      </c>
      <c r="U2147" s="307">
        <v>0</v>
      </c>
      <c r="V2147" s="307">
        <v>0</v>
      </c>
      <c r="W2147" s="307">
        <v>0</v>
      </c>
      <c r="X2147" s="307">
        <v>54</v>
      </c>
      <c r="Y2147" s="307">
        <v>36</v>
      </c>
      <c r="Z2147" s="307">
        <v>16</v>
      </c>
      <c r="AA2147" s="307">
        <v>1</v>
      </c>
      <c r="AB2147" s="307">
        <f t="shared" si="409"/>
        <v>5.1840000000000002</v>
      </c>
      <c r="AC2147" s="307">
        <f t="shared" si="410"/>
        <v>3.1228915662650604E-2</v>
      </c>
      <c r="AD2147" s="307">
        <v>0</v>
      </c>
      <c r="AE2147" s="307">
        <v>0</v>
      </c>
      <c r="AF2147" s="307" t="s">
        <v>1566</v>
      </c>
      <c r="AG2147" s="307" t="s">
        <v>1566</v>
      </c>
      <c r="AH2147" s="307" t="s">
        <v>5285</v>
      </c>
      <c r="AI2147" s="307" t="s">
        <v>5246</v>
      </c>
      <c r="AJ2147" s="307"/>
      <c r="AK2147" s="307" t="s">
        <v>48</v>
      </c>
      <c r="AL2147" s="307" t="s">
        <v>47</v>
      </c>
      <c r="AM2147" s="299">
        <f t="shared" ca="1" si="364"/>
        <v>1.2777777777810115</v>
      </c>
      <c r="AN2147" s="313"/>
      <c r="AO2147" s="288" t="s">
        <v>181</v>
      </c>
      <c r="AP2147" s="275" t="s">
        <v>5401</v>
      </c>
      <c r="AQ2147" s="288" t="s">
        <v>5402</v>
      </c>
      <c r="AR2147" s="277">
        <v>44939.746527777781</v>
      </c>
      <c r="AS2147" s="272" t="s">
        <v>173</v>
      </c>
      <c r="AT2147" s="288" t="s">
        <v>225</v>
      </c>
      <c r="AU2147" s="276">
        <v>0.74652777777777779</v>
      </c>
      <c r="AV2147" s="288">
        <v>3</v>
      </c>
      <c r="AW2147" s="288" t="s">
        <v>66</v>
      </c>
      <c r="AX2147" s="314"/>
      <c r="AY2147" s="314"/>
      <c r="AZ2147" s="314"/>
      <c r="BA2147" s="314"/>
    </row>
    <row r="2148" spans="1:53" s="301" customFormat="1" x14ac:dyDescent="0.25">
      <c r="A2148" s="312">
        <v>160</v>
      </c>
      <c r="B2148" s="311">
        <v>44938.503472222219</v>
      </c>
      <c r="C2148" s="308">
        <v>0.50694444444444442</v>
      </c>
      <c r="D2148" s="308">
        <v>0.51388888888888895</v>
      </c>
      <c r="E2148" s="308">
        <v>0.53472222222222221</v>
      </c>
      <c r="F2148" s="309" t="s">
        <v>170</v>
      </c>
      <c r="G2148" s="309" t="s">
        <v>3019</v>
      </c>
      <c r="H2148" s="307" t="s">
        <v>46</v>
      </c>
      <c r="I2148" s="307" t="s">
        <v>73</v>
      </c>
      <c r="J2148" s="307" t="s">
        <v>41</v>
      </c>
      <c r="K2148" s="307" t="s">
        <v>63</v>
      </c>
      <c r="L2148" s="293" t="s">
        <v>214</v>
      </c>
      <c r="M2148" s="309" t="s">
        <v>5289</v>
      </c>
      <c r="N2148" s="309" t="s">
        <v>59</v>
      </c>
      <c r="O2148" s="309" t="s">
        <v>5290</v>
      </c>
      <c r="P2148" s="309" t="s">
        <v>5291</v>
      </c>
      <c r="Q2148" s="303">
        <f t="shared" ref="Q2148" si="411">S2148+U2148</f>
        <v>5</v>
      </c>
      <c r="R2148" s="303">
        <f t="shared" ref="R2148" si="412">T2148+V2148</f>
        <v>954</v>
      </c>
      <c r="S2148" s="309">
        <v>0</v>
      </c>
      <c r="T2148" s="309">
        <v>0</v>
      </c>
      <c r="U2148" s="309">
        <v>5</v>
      </c>
      <c r="V2148" s="309">
        <f>292+319+343</f>
        <v>954</v>
      </c>
      <c r="W2148" s="309">
        <v>943.5</v>
      </c>
      <c r="X2148" s="309">
        <v>88</v>
      </c>
      <c r="Y2148" s="309">
        <v>52</v>
      </c>
      <c r="Z2148" s="309">
        <v>63</v>
      </c>
      <c r="AA2148" s="309">
        <v>2</v>
      </c>
      <c r="AB2148" s="307">
        <f t="shared" si="409"/>
        <v>96.096000000000004</v>
      </c>
      <c r="AC2148" s="307">
        <f t="shared" si="410"/>
        <v>0.57889156626506022</v>
      </c>
      <c r="AD2148" s="309" t="s">
        <v>48</v>
      </c>
      <c r="AE2148" s="309" t="s">
        <v>48</v>
      </c>
      <c r="AF2148" s="309" t="s">
        <v>317</v>
      </c>
      <c r="AG2148" s="309" t="s">
        <v>317</v>
      </c>
      <c r="AH2148" s="309" t="s">
        <v>5292</v>
      </c>
      <c r="AI2148" s="53">
        <v>45231</v>
      </c>
      <c r="AJ2148" s="309"/>
      <c r="AK2148" s="309" t="s">
        <v>41</v>
      </c>
      <c r="AL2148" s="309" t="s">
        <v>39</v>
      </c>
      <c r="AM2148" s="299">
        <f t="shared" ca="1" si="364"/>
        <v>0.9375</v>
      </c>
      <c r="AN2148" s="313"/>
      <c r="AO2148" s="288" t="s">
        <v>70</v>
      </c>
      <c r="AP2148" s="275" t="s">
        <v>5289</v>
      </c>
      <c r="AQ2148" s="288" t="s">
        <v>5386</v>
      </c>
      <c r="AR2148" s="277">
        <v>44939.440972222219</v>
      </c>
      <c r="AS2148" s="272" t="s">
        <v>136</v>
      </c>
      <c r="AT2148" s="288" t="s">
        <v>225</v>
      </c>
      <c r="AU2148" s="276">
        <v>0.44097222222222227</v>
      </c>
      <c r="AV2148" s="288">
        <v>1</v>
      </c>
      <c r="AW2148" s="288" t="s">
        <v>66</v>
      </c>
      <c r="AX2148" s="314"/>
      <c r="AY2148" s="314"/>
      <c r="AZ2148" s="314"/>
      <c r="BA2148" s="314"/>
    </row>
    <row r="2149" spans="1:53" s="301" customFormat="1" x14ac:dyDescent="0.25">
      <c r="A2149" s="312">
        <v>160</v>
      </c>
      <c r="B2149" s="311">
        <v>44938.503472222219</v>
      </c>
      <c r="C2149" s="308">
        <v>0.50694444444444442</v>
      </c>
      <c r="D2149" s="308">
        <v>0.51388888888888895</v>
      </c>
      <c r="E2149" s="308">
        <v>0.53472222222222221</v>
      </c>
      <c r="F2149" s="309" t="s">
        <v>170</v>
      </c>
      <c r="G2149" s="309" t="s">
        <v>3019</v>
      </c>
      <c r="H2149" s="307" t="s">
        <v>46</v>
      </c>
      <c r="I2149" s="307" t="s">
        <v>73</v>
      </c>
      <c r="J2149" s="307" t="s">
        <v>41</v>
      </c>
      <c r="K2149" s="307" t="s">
        <v>63</v>
      </c>
      <c r="L2149" s="293" t="s">
        <v>214</v>
      </c>
      <c r="M2149" s="309" t="s">
        <v>5289</v>
      </c>
      <c r="N2149" s="309" t="s">
        <v>59</v>
      </c>
      <c r="O2149" s="309" t="s">
        <v>5290</v>
      </c>
      <c r="P2149" s="309" t="s">
        <v>5291</v>
      </c>
      <c r="Q2149" s="303">
        <f t="shared" ref="Q2149:Q2150" si="413">S2149+U2149</f>
        <v>0</v>
      </c>
      <c r="R2149" s="303">
        <f t="shared" ref="R2149:R2150" si="414">T2149+V2149</f>
        <v>0</v>
      </c>
      <c r="S2149" s="309">
        <v>0</v>
      </c>
      <c r="T2149" s="309">
        <v>0</v>
      </c>
      <c r="U2149" s="309">
        <v>0</v>
      </c>
      <c r="V2149" s="309">
        <v>0</v>
      </c>
      <c r="W2149" s="309">
        <v>0</v>
      </c>
      <c r="X2149" s="309">
        <v>93</v>
      </c>
      <c r="Y2149" s="309">
        <v>51</v>
      </c>
      <c r="Z2149" s="309">
        <v>53</v>
      </c>
      <c r="AA2149" s="309">
        <v>2</v>
      </c>
      <c r="AB2149" s="307">
        <f t="shared" si="409"/>
        <v>83.793000000000006</v>
      </c>
      <c r="AC2149" s="307">
        <f t="shared" si="410"/>
        <v>0.50477710843373502</v>
      </c>
      <c r="AD2149" s="309">
        <v>0</v>
      </c>
      <c r="AE2149" s="309">
        <v>0</v>
      </c>
      <c r="AF2149" s="309" t="s">
        <v>317</v>
      </c>
      <c r="AG2149" s="309" t="s">
        <v>317</v>
      </c>
      <c r="AH2149" s="309" t="s">
        <v>5292</v>
      </c>
      <c r="AI2149" s="53">
        <v>45231</v>
      </c>
      <c r="AJ2149" s="309"/>
      <c r="AK2149" s="309" t="s">
        <v>41</v>
      </c>
      <c r="AL2149" s="309" t="s">
        <v>39</v>
      </c>
      <c r="AM2149" s="299">
        <f t="shared" ref="AM2149:AM2150" ca="1" si="415">IF(AP2149="",NOW()-B2149,AR2149-B2149)</f>
        <v>0.9375</v>
      </c>
      <c r="AN2149" s="313"/>
      <c r="AO2149" s="288" t="s">
        <v>70</v>
      </c>
      <c r="AP2149" s="275" t="s">
        <v>5289</v>
      </c>
      <c r="AQ2149" s="288" t="s">
        <v>5386</v>
      </c>
      <c r="AR2149" s="277">
        <v>44939.440972222219</v>
      </c>
      <c r="AS2149" s="272" t="s">
        <v>136</v>
      </c>
      <c r="AT2149" s="288" t="s">
        <v>225</v>
      </c>
      <c r="AU2149" s="276">
        <v>0.44097222222222227</v>
      </c>
      <c r="AV2149" s="288">
        <v>1</v>
      </c>
      <c r="AW2149" s="288" t="s">
        <v>66</v>
      </c>
      <c r="AX2149" s="314"/>
      <c r="AY2149" s="314"/>
      <c r="AZ2149" s="314"/>
      <c r="BA2149" s="314"/>
    </row>
    <row r="2150" spans="1:53" s="301" customFormat="1" x14ac:dyDescent="0.25">
      <c r="A2150" s="312">
        <v>160</v>
      </c>
      <c r="B2150" s="311">
        <v>44938.503472222219</v>
      </c>
      <c r="C2150" s="308">
        <v>0.50694444444444442</v>
      </c>
      <c r="D2150" s="308">
        <v>0.51388888888888895</v>
      </c>
      <c r="E2150" s="308">
        <v>0.53472222222222221</v>
      </c>
      <c r="F2150" s="309" t="s">
        <v>170</v>
      </c>
      <c r="G2150" s="309" t="s">
        <v>3019</v>
      </c>
      <c r="H2150" s="307" t="s">
        <v>46</v>
      </c>
      <c r="I2150" s="307" t="s">
        <v>73</v>
      </c>
      <c r="J2150" s="307" t="s">
        <v>41</v>
      </c>
      <c r="K2150" s="307" t="s">
        <v>63</v>
      </c>
      <c r="L2150" s="293" t="s">
        <v>214</v>
      </c>
      <c r="M2150" s="309" t="s">
        <v>5289</v>
      </c>
      <c r="N2150" s="309" t="s">
        <v>59</v>
      </c>
      <c r="O2150" s="309" t="s">
        <v>5290</v>
      </c>
      <c r="P2150" s="309" t="s">
        <v>5291</v>
      </c>
      <c r="Q2150" s="303">
        <f t="shared" si="413"/>
        <v>0</v>
      </c>
      <c r="R2150" s="303">
        <f t="shared" si="414"/>
        <v>0</v>
      </c>
      <c r="S2150" s="309">
        <v>0</v>
      </c>
      <c r="T2150" s="309">
        <v>0</v>
      </c>
      <c r="U2150" s="309">
        <v>0</v>
      </c>
      <c r="V2150" s="309">
        <v>0</v>
      </c>
      <c r="W2150" s="309">
        <v>0</v>
      </c>
      <c r="X2150" s="309">
        <v>45</v>
      </c>
      <c r="Y2150" s="309">
        <v>38</v>
      </c>
      <c r="Z2150" s="309">
        <v>47</v>
      </c>
      <c r="AA2150" s="309">
        <v>1</v>
      </c>
      <c r="AB2150" s="307">
        <f t="shared" si="409"/>
        <v>13.395</v>
      </c>
      <c r="AC2150" s="307">
        <f t="shared" si="410"/>
        <v>8.0692771084337353E-2</v>
      </c>
      <c r="AD2150" s="309">
        <v>0</v>
      </c>
      <c r="AE2150" s="309">
        <v>0</v>
      </c>
      <c r="AF2150" s="309" t="s">
        <v>317</v>
      </c>
      <c r="AG2150" s="309" t="s">
        <v>317</v>
      </c>
      <c r="AH2150" s="309" t="s">
        <v>5292</v>
      </c>
      <c r="AI2150" s="53">
        <v>45231</v>
      </c>
      <c r="AJ2150" s="309"/>
      <c r="AK2150" s="309" t="s">
        <v>41</v>
      </c>
      <c r="AL2150" s="309" t="s">
        <v>39</v>
      </c>
      <c r="AM2150" s="299">
        <f t="shared" ca="1" si="415"/>
        <v>0.9375</v>
      </c>
      <c r="AN2150" s="313"/>
      <c r="AO2150" s="288" t="s">
        <v>70</v>
      </c>
      <c r="AP2150" s="275" t="s">
        <v>5289</v>
      </c>
      <c r="AQ2150" s="288" t="s">
        <v>5386</v>
      </c>
      <c r="AR2150" s="277">
        <v>44939.440972222219</v>
      </c>
      <c r="AS2150" s="272" t="s">
        <v>136</v>
      </c>
      <c r="AT2150" s="288" t="s">
        <v>225</v>
      </c>
      <c r="AU2150" s="276">
        <v>0.44097222222222227</v>
      </c>
      <c r="AV2150" s="288">
        <v>1</v>
      </c>
      <c r="AW2150" s="288" t="s">
        <v>66</v>
      </c>
      <c r="AX2150" s="314"/>
      <c r="AY2150" s="314"/>
      <c r="AZ2150" s="314"/>
      <c r="BA2150" s="314"/>
    </row>
    <row r="2151" spans="1:53" s="301" customFormat="1" x14ac:dyDescent="0.25">
      <c r="A2151" s="312">
        <v>161</v>
      </c>
      <c r="B2151" s="311">
        <v>44938.503472222219</v>
      </c>
      <c r="C2151" s="308">
        <v>0.50694444444444442</v>
      </c>
      <c r="D2151" s="308">
        <v>0.51388888888888895</v>
      </c>
      <c r="E2151" s="308">
        <v>0.53472222222222221</v>
      </c>
      <c r="F2151" s="309" t="s">
        <v>170</v>
      </c>
      <c r="G2151" s="309" t="s">
        <v>3019</v>
      </c>
      <c r="H2151" s="307" t="s">
        <v>45</v>
      </c>
      <c r="I2151" s="307" t="s">
        <v>73</v>
      </c>
      <c r="J2151" s="307" t="s">
        <v>37</v>
      </c>
      <c r="K2151" s="307" t="s">
        <v>63</v>
      </c>
      <c r="L2151" s="293" t="s">
        <v>215</v>
      </c>
      <c r="M2151" s="309" t="s">
        <v>5293</v>
      </c>
      <c r="N2151" s="309" t="s">
        <v>59</v>
      </c>
      <c r="O2151" s="309">
        <v>3500851</v>
      </c>
      <c r="P2151" s="309">
        <v>5052030189</v>
      </c>
      <c r="Q2151" s="303">
        <f t="shared" ref="Q2151" si="416">S2151+U2151</f>
        <v>1</v>
      </c>
      <c r="R2151" s="303">
        <f t="shared" ref="R2151" si="417">T2151+V2151</f>
        <v>102</v>
      </c>
      <c r="S2151" s="309">
        <v>0</v>
      </c>
      <c r="T2151" s="309">
        <v>0</v>
      </c>
      <c r="U2151" s="309">
        <v>1</v>
      </c>
      <c r="V2151" s="309">
        <v>102</v>
      </c>
      <c r="W2151" s="309">
        <v>103.8</v>
      </c>
      <c r="X2151" s="309">
        <v>100</v>
      </c>
      <c r="Y2151" s="309">
        <v>57</v>
      </c>
      <c r="Z2151" s="309">
        <v>29</v>
      </c>
      <c r="AA2151" s="309">
        <v>1</v>
      </c>
      <c r="AB2151" s="307">
        <f t="shared" si="409"/>
        <v>27.55</v>
      </c>
      <c r="AC2151" s="307">
        <f t="shared" si="410"/>
        <v>0.16596385542168676</v>
      </c>
      <c r="AD2151" s="309">
        <v>1188.5999999999999</v>
      </c>
      <c r="AE2151" s="309" t="s">
        <v>109</v>
      </c>
      <c r="AF2151" s="309" t="s">
        <v>317</v>
      </c>
      <c r="AG2151" s="309" t="s">
        <v>317</v>
      </c>
      <c r="AH2151" s="309" t="s">
        <v>5294</v>
      </c>
      <c r="AI2151" s="53" t="s">
        <v>5295</v>
      </c>
      <c r="AJ2151" s="309"/>
      <c r="AK2151" s="309" t="s">
        <v>37</v>
      </c>
      <c r="AL2151" s="309" t="s">
        <v>39</v>
      </c>
      <c r="AM2151" s="299">
        <f t="shared" ref="AM2151" ca="1" si="418">IF(AP2151="",NOW()-B2151,AR2151-B2151)</f>
        <v>0.9375</v>
      </c>
      <c r="AN2151" s="313"/>
      <c r="AO2151" s="288" t="s">
        <v>70</v>
      </c>
      <c r="AP2151" s="275" t="s">
        <v>5293</v>
      </c>
      <c r="AQ2151" s="288" t="s">
        <v>5386</v>
      </c>
      <c r="AR2151" s="277">
        <v>44939.440972222219</v>
      </c>
      <c r="AS2151" s="272" t="s">
        <v>136</v>
      </c>
      <c r="AT2151" s="288" t="s">
        <v>225</v>
      </c>
      <c r="AU2151" s="276">
        <v>0.44097222222222227</v>
      </c>
      <c r="AV2151" s="288">
        <v>1</v>
      </c>
      <c r="AW2151" s="288" t="s">
        <v>66</v>
      </c>
      <c r="AX2151" s="314"/>
      <c r="AY2151" s="314"/>
      <c r="AZ2151" s="314"/>
      <c r="BA2151" s="314"/>
    </row>
    <row r="2152" spans="1:53" s="301" customFormat="1" x14ac:dyDescent="0.25">
      <c r="A2152" s="312">
        <v>162</v>
      </c>
      <c r="B2152" s="311">
        <v>44938.517361111109</v>
      </c>
      <c r="C2152" s="308">
        <v>0.52083333333333337</v>
      </c>
      <c r="D2152" s="308">
        <v>0.53125</v>
      </c>
      <c r="E2152" s="308">
        <v>0.54166666666666663</v>
      </c>
      <c r="F2152" s="309" t="s">
        <v>170</v>
      </c>
      <c r="G2152" s="309" t="s">
        <v>5296</v>
      </c>
      <c r="H2152" s="307" t="s">
        <v>227</v>
      </c>
      <c r="I2152" s="307" t="s">
        <v>189</v>
      </c>
      <c r="J2152" s="307" t="s">
        <v>37</v>
      </c>
      <c r="K2152" s="307" t="s">
        <v>63</v>
      </c>
      <c r="L2152" s="307" t="s">
        <v>206</v>
      </c>
      <c r="M2152" s="309" t="s">
        <v>5297</v>
      </c>
      <c r="N2152" s="309" t="s">
        <v>42</v>
      </c>
      <c r="O2152" s="309" t="s">
        <v>5298</v>
      </c>
      <c r="P2152" s="309">
        <v>3280</v>
      </c>
      <c r="Q2152" s="303">
        <f t="shared" ref="Q2152" si="419">S2152+U2152</f>
        <v>2</v>
      </c>
      <c r="R2152" s="303">
        <f t="shared" ref="R2152" si="420">T2152+V2152</f>
        <v>790</v>
      </c>
      <c r="S2152" s="309">
        <v>0</v>
      </c>
      <c r="T2152" s="309">
        <v>0</v>
      </c>
      <c r="U2152" s="309">
        <v>2</v>
      </c>
      <c r="V2152" s="309">
        <f>554-62+298</f>
        <v>790</v>
      </c>
      <c r="W2152" s="309">
        <v>740</v>
      </c>
      <c r="X2152" s="309">
        <v>159</v>
      </c>
      <c r="Y2152" s="309">
        <v>132</v>
      </c>
      <c r="Z2152" s="309">
        <v>80</v>
      </c>
      <c r="AA2152" s="309">
        <v>1</v>
      </c>
      <c r="AB2152" s="307">
        <f t="shared" si="409"/>
        <v>279.83999999999997</v>
      </c>
      <c r="AC2152" s="307">
        <f t="shared" si="410"/>
        <v>1.6857831325301202</v>
      </c>
      <c r="AD2152" s="309" t="s">
        <v>48</v>
      </c>
      <c r="AE2152" s="309" t="s">
        <v>48</v>
      </c>
      <c r="AF2152" s="309" t="s">
        <v>317</v>
      </c>
      <c r="AG2152" s="309" t="s">
        <v>317</v>
      </c>
      <c r="AH2152" s="309" t="s">
        <v>5299</v>
      </c>
      <c r="AI2152" s="53" t="s">
        <v>5295</v>
      </c>
      <c r="AJ2152" s="309"/>
      <c r="AK2152" s="309" t="s">
        <v>37</v>
      </c>
      <c r="AL2152" s="309" t="s">
        <v>39</v>
      </c>
      <c r="AM2152" s="299">
        <f t="shared" ref="AM2152" ca="1" si="421">IF(AP2152="",NOW()-B2152,AR2152-B2152)</f>
        <v>0.23958333333575865</v>
      </c>
      <c r="AN2152" s="313"/>
      <c r="AO2152" s="288" t="s">
        <v>89</v>
      </c>
      <c r="AP2152" s="275" t="s">
        <v>5342</v>
      </c>
      <c r="AQ2152" s="288" t="s">
        <v>5343</v>
      </c>
      <c r="AR2152" s="277">
        <v>44938.756944444445</v>
      </c>
      <c r="AS2152" s="272" t="s">
        <v>491</v>
      </c>
      <c r="AT2152" s="288" t="s">
        <v>65</v>
      </c>
      <c r="AU2152" s="276">
        <v>0.75694444444444453</v>
      </c>
      <c r="AV2152" s="288">
        <v>1</v>
      </c>
      <c r="AW2152" s="288" t="s">
        <v>66</v>
      </c>
      <c r="AX2152" s="314"/>
      <c r="AY2152" s="314"/>
      <c r="AZ2152" s="314"/>
      <c r="BA2152" s="314"/>
    </row>
    <row r="2153" spans="1:53" s="301" customFormat="1" x14ac:dyDescent="0.25">
      <c r="A2153" s="312">
        <v>162</v>
      </c>
      <c r="B2153" s="311">
        <v>44938.517361111109</v>
      </c>
      <c r="C2153" s="308">
        <v>0.52083333333333337</v>
      </c>
      <c r="D2153" s="308">
        <v>0.53125</v>
      </c>
      <c r="E2153" s="308">
        <v>0.54166666666666663</v>
      </c>
      <c r="F2153" s="309" t="s">
        <v>170</v>
      </c>
      <c r="G2153" s="309" t="s">
        <v>5296</v>
      </c>
      <c r="H2153" s="307" t="s">
        <v>227</v>
      </c>
      <c r="I2153" s="307" t="s">
        <v>189</v>
      </c>
      <c r="J2153" s="307" t="s">
        <v>37</v>
      </c>
      <c r="K2153" s="307" t="s">
        <v>63</v>
      </c>
      <c r="L2153" s="307" t="s">
        <v>206</v>
      </c>
      <c r="M2153" s="309" t="s">
        <v>5297</v>
      </c>
      <c r="N2153" s="309" t="s">
        <v>42</v>
      </c>
      <c r="O2153" s="309" t="s">
        <v>5298</v>
      </c>
      <c r="P2153" s="309">
        <v>3280</v>
      </c>
      <c r="Q2153" s="303">
        <f t="shared" ref="Q2153" si="422">S2153+U2153</f>
        <v>0</v>
      </c>
      <c r="R2153" s="303">
        <f t="shared" ref="R2153" si="423">T2153+V2153</f>
        <v>0</v>
      </c>
      <c r="S2153" s="309">
        <v>0</v>
      </c>
      <c r="T2153" s="309">
        <v>0</v>
      </c>
      <c r="U2153" s="309">
        <v>0</v>
      </c>
      <c r="V2153" s="309">
        <v>0</v>
      </c>
      <c r="W2153" s="309">
        <v>0</v>
      </c>
      <c r="X2153" s="309">
        <v>104</v>
      </c>
      <c r="Y2153" s="309">
        <v>46</v>
      </c>
      <c r="Z2153" s="309">
        <v>45</v>
      </c>
      <c r="AA2153" s="309">
        <v>1</v>
      </c>
      <c r="AB2153" s="307">
        <f t="shared" si="409"/>
        <v>35.880000000000003</v>
      </c>
      <c r="AC2153" s="307">
        <f t="shared" si="410"/>
        <v>0.21614457831325304</v>
      </c>
      <c r="AD2153" s="309">
        <v>0</v>
      </c>
      <c r="AE2153" s="309">
        <v>0</v>
      </c>
      <c r="AF2153" s="309" t="s">
        <v>317</v>
      </c>
      <c r="AG2153" s="309" t="s">
        <v>317</v>
      </c>
      <c r="AH2153" s="309" t="s">
        <v>5299</v>
      </c>
      <c r="AI2153" s="53" t="s">
        <v>5295</v>
      </c>
      <c r="AJ2153" s="309"/>
      <c r="AK2153" s="309" t="s">
        <v>41</v>
      </c>
      <c r="AL2153" s="309" t="s">
        <v>39</v>
      </c>
      <c r="AM2153" s="299">
        <f t="shared" ref="AM2153" ca="1" si="424">IF(AP2153="",NOW()-B2153,AR2153-B2153)</f>
        <v>0.23958333333575865</v>
      </c>
      <c r="AN2153" s="313"/>
      <c r="AO2153" s="288" t="s">
        <v>89</v>
      </c>
      <c r="AP2153" s="275" t="s">
        <v>5342</v>
      </c>
      <c r="AQ2153" s="288" t="s">
        <v>5343</v>
      </c>
      <c r="AR2153" s="277">
        <v>44938.756944444445</v>
      </c>
      <c r="AS2153" s="272" t="s">
        <v>491</v>
      </c>
      <c r="AT2153" s="288" t="s">
        <v>65</v>
      </c>
      <c r="AU2153" s="276">
        <v>0.75694444444444453</v>
      </c>
      <c r="AV2153" s="288">
        <v>1</v>
      </c>
      <c r="AW2153" s="288" t="s">
        <v>66</v>
      </c>
      <c r="AX2153" s="314"/>
      <c r="AY2153" s="314"/>
      <c r="AZ2153" s="314"/>
      <c r="BA2153" s="314"/>
    </row>
    <row r="2154" spans="1:53" s="301" customFormat="1" x14ac:dyDescent="0.25">
      <c r="A2154" s="312">
        <v>163</v>
      </c>
      <c r="B2154" s="311">
        <v>44938.517361111109</v>
      </c>
      <c r="C2154" s="308">
        <v>0.52083333333333337</v>
      </c>
      <c r="D2154" s="308">
        <v>0.53125</v>
      </c>
      <c r="E2154" s="308">
        <v>0.54166666666666663</v>
      </c>
      <c r="F2154" s="309" t="s">
        <v>170</v>
      </c>
      <c r="G2154" s="309" t="s">
        <v>5296</v>
      </c>
      <c r="H2154" s="307" t="s">
        <v>227</v>
      </c>
      <c r="I2154" s="307" t="s">
        <v>189</v>
      </c>
      <c r="J2154" s="307" t="s">
        <v>37</v>
      </c>
      <c r="K2154" s="307" t="s">
        <v>63</v>
      </c>
      <c r="L2154" s="307" t="s">
        <v>206</v>
      </c>
      <c r="M2154" s="309" t="s">
        <v>5297</v>
      </c>
      <c r="N2154" s="309" t="s">
        <v>42</v>
      </c>
      <c r="O2154" s="309">
        <v>1248</v>
      </c>
      <c r="P2154" s="309">
        <v>3719</v>
      </c>
      <c r="Q2154" s="303">
        <f t="shared" ref="Q2154" si="425">S2154+U2154</f>
        <v>10</v>
      </c>
      <c r="R2154" s="303">
        <f t="shared" ref="R2154" si="426">T2154+V2154</f>
        <v>123</v>
      </c>
      <c r="S2154" s="309">
        <v>10</v>
      </c>
      <c r="T2154" s="309">
        <f>139-16</f>
        <v>123</v>
      </c>
      <c r="U2154" s="309">
        <v>0</v>
      </c>
      <c r="V2154" s="309">
        <v>0</v>
      </c>
      <c r="W2154" s="309">
        <v>98.6</v>
      </c>
      <c r="X2154" s="309">
        <v>90</v>
      </c>
      <c r="Y2154" s="309">
        <v>36</v>
      </c>
      <c r="Z2154" s="309">
        <v>50</v>
      </c>
      <c r="AA2154" s="309">
        <v>7</v>
      </c>
      <c r="AB2154" s="307">
        <f t="shared" si="409"/>
        <v>189</v>
      </c>
      <c r="AC2154" s="307">
        <f t="shared" si="410"/>
        <v>1.1385542168674698</v>
      </c>
      <c r="AD2154" s="309">
        <v>6269</v>
      </c>
      <c r="AE2154" s="309" t="s">
        <v>109</v>
      </c>
      <c r="AF2154" s="309" t="s">
        <v>317</v>
      </c>
      <c r="AG2154" s="309" t="s">
        <v>317</v>
      </c>
      <c r="AH2154" s="309" t="s">
        <v>5300</v>
      </c>
      <c r="AI2154" s="53" t="s">
        <v>5295</v>
      </c>
      <c r="AJ2154" s="309"/>
      <c r="AK2154" s="309" t="s">
        <v>48</v>
      </c>
      <c r="AL2154" s="309" t="s">
        <v>47</v>
      </c>
      <c r="AM2154" s="299">
        <f t="shared" ref="AM2154" ca="1" si="427">IF(AP2154="",NOW()-B2154,AR2154-B2154)</f>
        <v>0.23958333333575865</v>
      </c>
      <c r="AN2154" s="313"/>
      <c r="AO2154" s="288" t="s">
        <v>89</v>
      </c>
      <c r="AP2154" s="275" t="s">
        <v>5342</v>
      </c>
      <c r="AQ2154" s="288" t="s">
        <v>5343</v>
      </c>
      <c r="AR2154" s="277">
        <v>44938.756944444445</v>
      </c>
      <c r="AS2154" s="272" t="s">
        <v>491</v>
      </c>
      <c r="AT2154" s="288" t="s">
        <v>65</v>
      </c>
      <c r="AU2154" s="276">
        <v>0.75694444444444453</v>
      </c>
      <c r="AV2154" s="288">
        <v>1</v>
      </c>
      <c r="AW2154" s="288" t="s">
        <v>66</v>
      </c>
      <c r="AX2154" s="314"/>
      <c r="AY2154" s="314"/>
      <c r="AZ2154" s="314"/>
      <c r="BA2154" s="314"/>
    </row>
    <row r="2155" spans="1:53" s="301" customFormat="1" x14ac:dyDescent="0.25">
      <c r="A2155" s="312">
        <v>163</v>
      </c>
      <c r="B2155" s="311">
        <v>44938.517361111109</v>
      </c>
      <c r="C2155" s="308">
        <v>0.52083333333333337</v>
      </c>
      <c r="D2155" s="308">
        <v>0.53125</v>
      </c>
      <c r="E2155" s="308">
        <v>0.54166666666666663</v>
      </c>
      <c r="F2155" s="309" t="s">
        <v>170</v>
      </c>
      <c r="G2155" s="309" t="s">
        <v>5296</v>
      </c>
      <c r="H2155" s="307" t="s">
        <v>227</v>
      </c>
      <c r="I2155" s="307" t="s">
        <v>189</v>
      </c>
      <c r="J2155" s="307" t="s">
        <v>37</v>
      </c>
      <c r="K2155" s="307" t="s">
        <v>63</v>
      </c>
      <c r="L2155" s="307" t="s">
        <v>206</v>
      </c>
      <c r="M2155" s="309" t="s">
        <v>5297</v>
      </c>
      <c r="N2155" s="309" t="s">
        <v>42</v>
      </c>
      <c r="O2155" s="309">
        <v>1248</v>
      </c>
      <c r="P2155" s="309">
        <v>3719</v>
      </c>
      <c r="Q2155" s="303">
        <f t="shared" ref="Q2155:Q2156" si="428">S2155+U2155</f>
        <v>0</v>
      </c>
      <c r="R2155" s="303">
        <f t="shared" ref="R2155:R2156" si="429">T2155+V2155</f>
        <v>0</v>
      </c>
      <c r="S2155" s="309">
        <v>0</v>
      </c>
      <c r="T2155" s="309">
        <v>0</v>
      </c>
      <c r="U2155" s="309">
        <v>0</v>
      </c>
      <c r="V2155" s="309">
        <v>0</v>
      </c>
      <c r="W2155" s="309">
        <v>0</v>
      </c>
      <c r="X2155" s="309">
        <v>83</v>
      </c>
      <c r="Y2155" s="309">
        <v>65</v>
      </c>
      <c r="Z2155" s="309">
        <v>63</v>
      </c>
      <c r="AA2155" s="309">
        <v>2</v>
      </c>
      <c r="AB2155" s="307">
        <f t="shared" si="409"/>
        <v>113.295</v>
      </c>
      <c r="AC2155" s="307">
        <f t="shared" si="410"/>
        <v>0.6825</v>
      </c>
      <c r="AD2155" s="309">
        <v>0</v>
      </c>
      <c r="AE2155" s="309">
        <v>0</v>
      </c>
      <c r="AF2155" s="309" t="s">
        <v>317</v>
      </c>
      <c r="AG2155" s="309" t="s">
        <v>317</v>
      </c>
      <c r="AH2155" s="309" t="s">
        <v>5300</v>
      </c>
      <c r="AI2155" s="53" t="s">
        <v>5295</v>
      </c>
      <c r="AJ2155" s="309"/>
      <c r="AK2155" s="309" t="s">
        <v>48</v>
      </c>
      <c r="AL2155" s="309" t="s">
        <v>47</v>
      </c>
      <c r="AM2155" s="299">
        <f t="shared" ref="AM2155:AM2156" ca="1" si="430">IF(AP2155="",NOW()-B2155,AR2155-B2155)</f>
        <v>0.23958333333575865</v>
      </c>
      <c r="AN2155" s="313"/>
      <c r="AO2155" s="288" t="s">
        <v>89</v>
      </c>
      <c r="AP2155" s="275" t="s">
        <v>5342</v>
      </c>
      <c r="AQ2155" s="288" t="s">
        <v>5343</v>
      </c>
      <c r="AR2155" s="277">
        <v>44938.756944444445</v>
      </c>
      <c r="AS2155" s="272" t="s">
        <v>491</v>
      </c>
      <c r="AT2155" s="288" t="s">
        <v>65</v>
      </c>
      <c r="AU2155" s="276">
        <v>0.75694444444444453</v>
      </c>
      <c r="AV2155" s="288">
        <v>1</v>
      </c>
      <c r="AW2155" s="288" t="s">
        <v>66</v>
      </c>
      <c r="AX2155" s="314"/>
      <c r="AY2155" s="314"/>
      <c r="AZ2155" s="314"/>
      <c r="BA2155" s="314"/>
    </row>
    <row r="2156" spans="1:53" s="301" customFormat="1" x14ac:dyDescent="0.25">
      <c r="A2156" s="312">
        <v>163</v>
      </c>
      <c r="B2156" s="311">
        <v>44938.517361111109</v>
      </c>
      <c r="C2156" s="308">
        <v>0.52083333333333337</v>
      </c>
      <c r="D2156" s="308">
        <v>0.53125</v>
      </c>
      <c r="E2156" s="308">
        <v>0.54166666666666663</v>
      </c>
      <c r="F2156" s="309" t="s">
        <v>170</v>
      </c>
      <c r="G2156" s="309" t="s">
        <v>5296</v>
      </c>
      <c r="H2156" s="307" t="s">
        <v>227</v>
      </c>
      <c r="I2156" s="307" t="s">
        <v>189</v>
      </c>
      <c r="J2156" s="307" t="s">
        <v>37</v>
      </c>
      <c r="K2156" s="307" t="s">
        <v>63</v>
      </c>
      <c r="L2156" s="307" t="s">
        <v>206</v>
      </c>
      <c r="M2156" s="309" t="s">
        <v>5297</v>
      </c>
      <c r="N2156" s="309" t="s">
        <v>42</v>
      </c>
      <c r="O2156" s="309">
        <v>1248</v>
      </c>
      <c r="P2156" s="309">
        <v>3719</v>
      </c>
      <c r="Q2156" s="303">
        <f t="shared" si="428"/>
        <v>0</v>
      </c>
      <c r="R2156" s="303">
        <f t="shared" si="429"/>
        <v>0</v>
      </c>
      <c r="S2156" s="309">
        <v>0</v>
      </c>
      <c r="T2156" s="309">
        <v>0</v>
      </c>
      <c r="U2156" s="309">
        <v>0</v>
      </c>
      <c r="V2156" s="309">
        <v>0</v>
      </c>
      <c r="W2156" s="309">
        <v>0</v>
      </c>
      <c r="X2156" s="309">
        <v>62</v>
      </c>
      <c r="Y2156" s="309">
        <v>52</v>
      </c>
      <c r="Z2156" s="309">
        <v>46</v>
      </c>
      <c r="AA2156" s="309">
        <v>1</v>
      </c>
      <c r="AB2156" s="307">
        <f t="shared" si="409"/>
        <v>24.717333333333332</v>
      </c>
      <c r="AC2156" s="307">
        <f t="shared" si="410"/>
        <v>0.14889959839357428</v>
      </c>
      <c r="AD2156" s="309">
        <v>0</v>
      </c>
      <c r="AE2156" s="309">
        <v>0</v>
      </c>
      <c r="AF2156" s="309" t="s">
        <v>317</v>
      </c>
      <c r="AG2156" s="309" t="s">
        <v>317</v>
      </c>
      <c r="AH2156" s="309" t="s">
        <v>5300</v>
      </c>
      <c r="AI2156" s="53" t="s">
        <v>5295</v>
      </c>
      <c r="AJ2156" s="309"/>
      <c r="AK2156" s="309" t="s">
        <v>48</v>
      </c>
      <c r="AL2156" s="309" t="s">
        <v>47</v>
      </c>
      <c r="AM2156" s="299">
        <f t="shared" ca="1" si="430"/>
        <v>0.23958333333575865</v>
      </c>
      <c r="AN2156" s="313"/>
      <c r="AO2156" s="288" t="s">
        <v>89</v>
      </c>
      <c r="AP2156" s="275" t="s">
        <v>5342</v>
      </c>
      <c r="AQ2156" s="288" t="s">
        <v>5343</v>
      </c>
      <c r="AR2156" s="277">
        <v>44938.756944444445</v>
      </c>
      <c r="AS2156" s="272" t="s">
        <v>491</v>
      </c>
      <c r="AT2156" s="288" t="s">
        <v>65</v>
      </c>
      <c r="AU2156" s="276">
        <v>0.75694444444444453</v>
      </c>
      <c r="AV2156" s="288">
        <v>1</v>
      </c>
      <c r="AW2156" s="288" t="s">
        <v>66</v>
      </c>
      <c r="AX2156" s="314"/>
      <c r="AY2156" s="314"/>
      <c r="AZ2156" s="314"/>
      <c r="BA2156" s="314"/>
    </row>
    <row r="2157" spans="1:53" s="301" customFormat="1" x14ac:dyDescent="0.25">
      <c r="A2157" s="312">
        <v>164</v>
      </c>
      <c r="B2157" s="311">
        <v>44938.517361111109</v>
      </c>
      <c r="C2157" s="308">
        <v>0.52083333333333337</v>
      </c>
      <c r="D2157" s="308">
        <v>0.53125</v>
      </c>
      <c r="E2157" s="308">
        <v>0.54166666666666663</v>
      </c>
      <c r="F2157" s="309" t="s">
        <v>170</v>
      </c>
      <c r="G2157" s="309" t="s">
        <v>5296</v>
      </c>
      <c r="H2157" s="307" t="s">
        <v>227</v>
      </c>
      <c r="I2157" s="307" t="s">
        <v>189</v>
      </c>
      <c r="J2157" s="307" t="s">
        <v>37</v>
      </c>
      <c r="K2157" s="307" t="s">
        <v>63</v>
      </c>
      <c r="L2157" s="307" t="s">
        <v>206</v>
      </c>
      <c r="M2157" s="309" t="s">
        <v>5301</v>
      </c>
      <c r="N2157" s="309" t="s">
        <v>43</v>
      </c>
      <c r="O2157" s="309">
        <v>1253</v>
      </c>
      <c r="P2157" s="309">
        <v>32405</v>
      </c>
      <c r="Q2157" s="303">
        <f t="shared" ref="Q2157" si="431">S2157+U2157</f>
        <v>4</v>
      </c>
      <c r="R2157" s="303">
        <f t="shared" ref="R2157" si="432">T2157+V2157</f>
        <v>737</v>
      </c>
      <c r="S2157" s="309">
        <v>0</v>
      </c>
      <c r="T2157" s="309">
        <v>0</v>
      </c>
      <c r="U2157" s="309">
        <v>4</v>
      </c>
      <c r="V2157" s="309">
        <f>276-67+171-62+276-67+272-62</f>
        <v>737</v>
      </c>
      <c r="W2157" s="309">
        <v>580</v>
      </c>
      <c r="X2157" s="309">
        <v>158</v>
      </c>
      <c r="Y2157" s="309">
        <v>135</v>
      </c>
      <c r="Z2157" s="309">
        <v>79</v>
      </c>
      <c r="AA2157" s="309">
        <v>3</v>
      </c>
      <c r="AB2157" s="307">
        <f t="shared" si="409"/>
        <v>842.53499999999997</v>
      </c>
      <c r="AC2157" s="307">
        <f t="shared" si="410"/>
        <v>5.0755120481927705</v>
      </c>
      <c r="AD2157" s="309">
        <v>13650</v>
      </c>
      <c r="AE2157" s="309" t="s">
        <v>109</v>
      </c>
      <c r="AF2157" s="309" t="s">
        <v>317</v>
      </c>
      <c r="AG2157" s="309" t="s">
        <v>317</v>
      </c>
      <c r="AH2157" s="309" t="s">
        <v>5302</v>
      </c>
      <c r="AI2157" s="53" t="s">
        <v>5295</v>
      </c>
      <c r="AJ2157" s="309"/>
      <c r="AK2157" s="309" t="s">
        <v>48</v>
      </c>
      <c r="AL2157" s="309" t="s">
        <v>47</v>
      </c>
      <c r="AM2157" s="299">
        <f t="shared" ref="AM2157" ca="1" si="433">IF(AP2157="",NOW()-B2157,AR2157-B2157)</f>
        <v>0.21180555555474712</v>
      </c>
      <c r="AN2157" s="313"/>
      <c r="AO2157" s="288" t="s">
        <v>179</v>
      </c>
      <c r="AP2157" s="275" t="s">
        <v>5301</v>
      </c>
      <c r="AQ2157" s="288" t="s">
        <v>5341</v>
      </c>
      <c r="AR2157" s="277">
        <v>44938.729166666664</v>
      </c>
      <c r="AS2157" s="272" t="s">
        <v>392</v>
      </c>
      <c r="AT2157" s="288" t="s">
        <v>65</v>
      </c>
      <c r="AU2157" s="276">
        <v>0.72916666666666663</v>
      </c>
      <c r="AV2157" s="288">
        <v>1</v>
      </c>
      <c r="AW2157" s="288" t="s">
        <v>66</v>
      </c>
      <c r="AX2157" s="314"/>
      <c r="AY2157" s="314"/>
      <c r="AZ2157" s="314"/>
      <c r="BA2157" s="314"/>
    </row>
    <row r="2158" spans="1:53" s="301" customFormat="1" x14ac:dyDescent="0.25">
      <c r="A2158" s="312">
        <v>164</v>
      </c>
      <c r="B2158" s="311">
        <v>44938.517361111109</v>
      </c>
      <c r="C2158" s="308">
        <v>0.52083333333333337</v>
      </c>
      <c r="D2158" s="308">
        <v>0.53125</v>
      </c>
      <c r="E2158" s="308">
        <v>0.54166666666666663</v>
      </c>
      <c r="F2158" s="309" t="s">
        <v>170</v>
      </c>
      <c r="G2158" s="309" t="s">
        <v>5296</v>
      </c>
      <c r="H2158" s="307" t="s">
        <v>227</v>
      </c>
      <c r="I2158" s="307" t="s">
        <v>189</v>
      </c>
      <c r="J2158" s="307" t="s">
        <v>37</v>
      </c>
      <c r="K2158" s="307" t="s">
        <v>63</v>
      </c>
      <c r="L2158" s="307" t="s">
        <v>206</v>
      </c>
      <c r="M2158" s="309" t="s">
        <v>5301</v>
      </c>
      <c r="N2158" s="309" t="s">
        <v>43</v>
      </c>
      <c r="O2158" s="309">
        <v>1253</v>
      </c>
      <c r="P2158" s="309">
        <v>32405</v>
      </c>
      <c r="Q2158" s="303">
        <f t="shared" ref="Q2158" si="434">S2158+U2158</f>
        <v>0</v>
      </c>
      <c r="R2158" s="303">
        <f t="shared" ref="R2158" si="435">T2158+V2158</f>
        <v>0</v>
      </c>
      <c r="S2158" s="309">
        <v>0</v>
      </c>
      <c r="T2158" s="309">
        <v>0</v>
      </c>
      <c r="U2158" s="309">
        <v>0</v>
      </c>
      <c r="V2158" s="309">
        <v>0</v>
      </c>
      <c r="W2158" s="309">
        <v>0</v>
      </c>
      <c r="X2158" s="309">
        <v>158</v>
      </c>
      <c r="Y2158" s="309">
        <v>74</v>
      </c>
      <c r="Z2158" s="309">
        <v>79</v>
      </c>
      <c r="AA2158" s="309">
        <v>1</v>
      </c>
      <c r="AB2158" s="307">
        <f t="shared" si="409"/>
        <v>153.94466666666668</v>
      </c>
      <c r="AC2158" s="307">
        <f t="shared" si="410"/>
        <v>0.92737751004016067</v>
      </c>
      <c r="AD2158" s="309">
        <v>0</v>
      </c>
      <c r="AE2158" s="309">
        <v>0</v>
      </c>
      <c r="AF2158" s="309" t="s">
        <v>317</v>
      </c>
      <c r="AG2158" s="309" t="s">
        <v>317</v>
      </c>
      <c r="AH2158" s="309" t="s">
        <v>5302</v>
      </c>
      <c r="AI2158" s="53" t="s">
        <v>5295</v>
      </c>
      <c r="AJ2158" s="309"/>
      <c r="AK2158" s="309" t="s">
        <v>48</v>
      </c>
      <c r="AL2158" s="309" t="s">
        <v>47</v>
      </c>
      <c r="AM2158" s="299">
        <f t="shared" ref="AM2158:AM2159" ca="1" si="436">IF(AP2158="",NOW()-B2158,AR2158-B2158)</f>
        <v>0.21180555555474712</v>
      </c>
      <c r="AN2158" s="313"/>
      <c r="AO2158" s="288" t="s">
        <v>179</v>
      </c>
      <c r="AP2158" s="275" t="s">
        <v>5301</v>
      </c>
      <c r="AQ2158" s="288" t="s">
        <v>5341</v>
      </c>
      <c r="AR2158" s="277">
        <v>44938.729166666664</v>
      </c>
      <c r="AS2158" s="272" t="s">
        <v>392</v>
      </c>
      <c r="AT2158" s="288" t="s">
        <v>65</v>
      </c>
      <c r="AU2158" s="276">
        <v>0.72916666666666663</v>
      </c>
      <c r="AV2158" s="288">
        <v>1</v>
      </c>
      <c r="AW2158" s="288" t="s">
        <v>66</v>
      </c>
      <c r="AX2158" s="314"/>
      <c r="AY2158" s="314"/>
      <c r="AZ2158" s="314"/>
      <c r="BA2158" s="314"/>
    </row>
    <row r="2159" spans="1:53" s="301" customFormat="1" x14ac:dyDescent="0.25">
      <c r="A2159" s="312">
        <v>165</v>
      </c>
      <c r="B2159" s="311">
        <v>44938.618055555555</v>
      </c>
      <c r="C2159" s="308">
        <v>0.625</v>
      </c>
      <c r="D2159" s="308">
        <v>0.66666666666666663</v>
      </c>
      <c r="E2159" s="308">
        <v>0.69444444444444453</v>
      </c>
      <c r="F2159" s="309" t="s">
        <v>169</v>
      </c>
      <c r="G2159" s="309" t="s">
        <v>5309</v>
      </c>
      <c r="H2159" s="307" t="s">
        <v>5310</v>
      </c>
      <c r="I2159" s="307" t="s">
        <v>5311</v>
      </c>
      <c r="J2159" s="307" t="s">
        <v>41</v>
      </c>
      <c r="K2159" s="307" t="s">
        <v>241</v>
      </c>
      <c r="L2159" s="307">
        <v>0</v>
      </c>
      <c r="M2159" s="309" t="s">
        <v>5312</v>
      </c>
      <c r="N2159" s="309" t="s">
        <v>38</v>
      </c>
      <c r="O2159" s="309" t="s">
        <v>5313</v>
      </c>
      <c r="P2159" s="309" t="s">
        <v>5314</v>
      </c>
      <c r="Q2159" s="303">
        <f t="shared" ref="Q2159" si="437">S2159+U2159</f>
        <v>297</v>
      </c>
      <c r="R2159" s="303">
        <f t="shared" ref="R2159" si="438">T2159+V2159</f>
        <v>3797</v>
      </c>
      <c r="S2159" s="309">
        <v>297</v>
      </c>
      <c r="T2159" s="309">
        <f>362-20+442-24+515-19+432-21+426-20+375-26+403-17+395-17+331-14+316-22</f>
        <v>3797</v>
      </c>
      <c r="U2159" s="309">
        <v>0</v>
      </c>
      <c r="V2159" s="309">
        <v>0</v>
      </c>
      <c r="W2159" s="309">
        <v>3656.6</v>
      </c>
      <c r="X2159" s="309">
        <v>62</v>
      </c>
      <c r="Y2159" s="309">
        <v>30</v>
      </c>
      <c r="Z2159" s="309">
        <v>40</v>
      </c>
      <c r="AA2159" s="309">
        <v>258</v>
      </c>
      <c r="AB2159" s="307">
        <f t="shared" si="409"/>
        <v>3199.2</v>
      </c>
      <c r="AC2159" s="307">
        <f t="shared" si="410"/>
        <v>19.272289156626506</v>
      </c>
      <c r="AD2159" s="309">
        <v>49377.279999999999</v>
      </c>
      <c r="AE2159" s="309" t="s">
        <v>109</v>
      </c>
      <c r="AF2159" s="309">
        <v>6883769</v>
      </c>
      <c r="AG2159" s="318">
        <v>44937</v>
      </c>
      <c r="AH2159" s="309" t="s">
        <v>5315</v>
      </c>
      <c r="AI2159" s="53" t="s">
        <v>5316</v>
      </c>
      <c r="AJ2159" s="309"/>
      <c r="AK2159" s="309" t="s">
        <v>48</v>
      </c>
      <c r="AL2159" s="309" t="s">
        <v>56</v>
      </c>
      <c r="AM2159" s="299">
        <f t="shared" ca="1" si="436"/>
        <v>1.0590277777810115</v>
      </c>
      <c r="AN2159" s="313"/>
      <c r="AO2159" s="288" t="s">
        <v>67</v>
      </c>
      <c r="AP2159" s="288" t="s">
        <v>5312</v>
      </c>
      <c r="AQ2159" s="288" t="s">
        <v>5397</v>
      </c>
      <c r="AR2159" s="277">
        <v>44939.677083333336</v>
      </c>
      <c r="AS2159" s="272" t="s">
        <v>136</v>
      </c>
      <c r="AT2159" s="288" t="s">
        <v>225</v>
      </c>
      <c r="AU2159" s="276">
        <v>0.67708333333333337</v>
      </c>
      <c r="AV2159" s="288">
        <v>3</v>
      </c>
      <c r="AW2159" s="288" t="s">
        <v>66</v>
      </c>
      <c r="AX2159" s="314"/>
      <c r="AY2159" s="314"/>
      <c r="AZ2159" s="314"/>
      <c r="BA2159" s="314"/>
    </row>
    <row r="2160" spans="1:53" s="301" customFormat="1" x14ac:dyDescent="0.25">
      <c r="A2160" s="312">
        <v>165</v>
      </c>
      <c r="B2160" s="311">
        <v>44938.618055555555</v>
      </c>
      <c r="C2160" s="308">
        <v>0.625</v>
      </c>
      <c r="D2160" s="308">
        <v>0.66666666666666663</v>
      </c>
      <c r="E2160" s="308">
        <v>0.69444444444444453</v>
      </c>
      <c r="F2160" s="309" t="s">
        <v>169</v>
      </c>
      <c r="G2160" s="309" t="s">
        <v>5309</v>
      </c>
      <c r="H2160" s="307" t="s">
        <v>5310</v>
      </c>
      <c r="I2160" s="307" t="s">
        <v>5311</v>
      </c>
      <c r="J2160" s="307" t="s">
        <v>41</v>
      </c>
      <c r="K2160" s="307" t="s">
        <v>241</v>
      </c>
      <c r="L2160" s="307">
        <v>0</v>
      </c>
      <c r="M2160" s="309" t="s">
        <v>5312</v>
      </c>
      <c r="N2160" s="309" t="s">
        <v>38</v>
      </c>
      <c r="O2160" s="309" t="s">
        <v>5313</v>
      </c>
      <c r="P2160" s="309" t="s">
        <v>5314</v>
      </c>
      <c r="Q2160" s="303">
        <f t="shared" ref="Q2160" si="439">S2160+U2160</f>
        <v>0</v>
      </c>
      <c r="R2160" s="303">
        <f t="shared" ref="R2160" si="440">T2160+V2160</f>
        <v>0</v>
      </c>
      <c r="S2160" s="309">
        <v>0</v>
      </c>
      <c r="T2160" s="309">
        <v>0</v>
      </c>
      <c r="U2160" s="309">
        <v>0</v>
      </c>
      <c r="V2160" s="309">
        <v>0</v>
      </c>
      <c r="W2160" s="309">
        <v>0</v>
      </c>
      <c r="X2160" s="309">
        <v>60</v>
      </c>
      <c r="Y2160" s="309">
        <v>31</v>
      </c>
      <c r="Z2160" s="309">
        <v>21</v>
      </c>
      <c r="AA2160" s="309">
        <v>39</v>
      </c>
      <c r="AB2160" s="307">
        <f t="shared" si="409"/>
        <v>253.89</v>
      </c>
      <c r="AC2160" s="307">
        <f t="shared" si="410"/>
        <v>1.5294578313253011</v>
      </c>
      <c r="AD2160" s="309">
        <v>0</v>
      </c>
      <c r="AE2160" s="309">
        <v>0</v>
      </c>
      <c r="AF2160" s="309">
        <v>6883769</v>
      </c>
      <c r="AG2160" s="318">
        <v>44937</v>
      </c>
      <c r="AH2160" s="309" t="s">
        <v>5315</v>
      </c>
      <c r="AI2160" s="53" t="s">
        <v>5316</v>
      </c>
      <c r="AJ2160" s="309"/>
      <c r="AK2160" s="309" t="s">
        <v>48</v>
      </c>
      <c r="AL2160" s="309" t="s">
        <v>56</v>
      </c>
      <c r="AM2160" s="299">
        <f t="shared" ref="AM2160:AM2161" ca="1" si="441">IF(AP2160="",NOW()-B2160,AR2160-B2160)</f>
        <v>1.0590277777810115</v>
      </c>
      <c r="AN2160" s="313"/>
      <c r="AO2160" s="288" t="s">
        <v>67</v>
      </c>
      <c r="AP2160" s="288" t="s">
        <v>5312</v>
      </c>
      <c r="AQ2160" s="288" t="s">
        <v>5397</v>
      </c>
      <c r="AR2160" s="277">
        <v>44939.677083333336</v>
      </c>
      <c r="AS2160" s="272" t="s">
        <v>136</v>
      </c>
      <c r="AT2160" s="288" t="s">
        <v>225</v>
      </c>
      <c r="AU2160" s="276">
        <v>0.67708333333333337</v>
      </c>
      <c r="AV2160" s="288">
        <v>3</v>
      </c>
      <c r="AW2160" s="288" t="s">
        <v>66</v>
      </c>
      <c r="AX2160" s="314"/>
      <c r="AY2160" s="314"/>
      <c r="AZ2160" s="314"/>
      <c r="BA2160" s="314"/>
    </row>
    <row r="2161" spans="1:53" s="301" customFormat="1" x14ac:dyDescent="0.25">
      <c r="A2161" s="312">
        <v>166</v>
      </c>
      <c r="B2161" s="311">
        <v>44938.645833333336</v>
      </c>
      <c r="C2161" s="308">
        <v>0.64583333333333337</v>
      </c>
      <c r="D2161" s="308">
        <v>0.65277777777777779</v>
      </c>
      <c r="E2161" s="308">
        <v>0.70833333333333337</v>
      </c>
      <c r="F2161" s="309" t="s">
        <v>169</v>
      </c>
      <c r="G2161" s="309" t="s">
        <v>4416</v>
      </c>
      <c r="H2161" s="307" t="s">
        <v>197</v>
      </c>
      <c r="I2161" s="307" t="s">
        <v>197</v>
      </c>
      <c r="J2161" s="307" t="s">
        <v>37</v>
      </c>
      <c r="K2161" s="307" t="s">
        <v>233</v>
      </c>
      <c r="L2161" s="307" t="s">
        <v>419</v>
      </c>
      <c r="M2161" s="309" t="s">
        <v>5317</v>
      </c>
      <c r="N2161" s="309" t="s">
        <v>264</v>
      </c>
      <c r="O2161" s="309" t="s">
        <v>5318</v>
      </c>
      <c r="P2161" s="309" t="s">
        <v>5319</v>
      </c>
      <c r="Q2161" s="303">
        <f t="shared" ref="Q2161" si="442">S2161+U2161</f>
        <v>3</v>
      </c>
      <c r="R2161" s="303">
        <f t="shared" ref="R2161" si="443">T2161+V2161</f>
        <v>68</v>
      </c>
      <c r="S2161" s="309">
        <v>3</v>
      </c>
      <c r="T2161" s="309">
        <f>90-22</f>
        <v>68</v>
      </c>
      <c r="U2161" s="309">
        <v>0</v>
      </c>
      <c r="V2161" s="309">
        <v>0</v>
      </c>
      <c r="W2161" s="309">
        <f>14+20+36</f>
        <v>70</v>
      </c>
      <c r="X2161" s="309">
        <v>76</v>
      </c>
      <c r="Y2161" s="309">
        <v>60</v>
      </c>
      <c r="Z2161" s="309">
        <v>60</v>
      </c>
      <c r="AA2161" s="309">
        <v>1</v>
      </c>
      <c r="AB2161" s="307">
        <f t="shared" si="409"/>
        <v>45.6</v>
      </c>
      <c r="AC2161" s="307">
        <f t="shared" si="410"/>
        <v>0.27469879518072288</v>
      </c>
      <c r="AD2161" s="309" t="s">
        <v>48</v>
      </c>
      <c r="AE2161" s="309" t="s">
        <v>48</v>
      </c>
      <c r="AF2161" s="309">
        <v>6853262</v>
      </c>
      <c r="AG2161" s="318" t="s">
        <v>5320</v>
      </c>
      <c r="AH2161" s="309" t="s">
        <v>5321</v>
      </c>
      <c r="AI2161" s="53" t="s">
        <v>5320</v>
      </c>
      <c r="AJ2161" s="309"/>
      <c r="AK2161" s="309" t="s">
        <v>48</v>
      </c>
      <c r="AL2161" s="309" t="s">
        <v>58</v>
      </c>
      <c r="AM2161" s="299">
        <f t="shared" ca="1" si="441"/>
        <v>5.1568179398091161</v>
      </c>
      <c r="AN2161" s="313"/>
      <c r="AO2161" s="314"/>
      <c r="AP2161" s="314"/>
      <c r="AQ2161" s="314"/>
      <c r="AR2161" s="314"/>
      <c r="AS2161" s="314"/>
      <c r="AT2161" s="314"/>
      <c r="AU2161" s="314"/>
      <c r="AV2161" s="314"/>
      <c r="AW2161" s="314"/>
      <c r="AX2161" s="314"/>
      <c r="AY2161" s="314"/>
      <c r="AZ2161" s="314"/>
      <c r="BA2161" s="314"/>
    </row>
    <row r="2162" spans="1:53" s="301" customFormat="1" x14ac:dyDescent="0.25">
      <c r="A2162" s="312">
        <v>166</v>
      </c>
      <c r="B2162" s="311">
        <v>44938.645833333336</v>
      </c>
      <c r="C2162" s="308">
        <v>0.64583333333333337</v>
      </c>
      <c r="D2162" s="308">
        <v>0.65277777777777779</v>
      </c>
      <c r="E2162" s="308">
        <v>0.70833333333333337</v>
      </c>
      <c r="F2162" s="309" t="s">
        <v>169</v>
      </c>
      <c r="G2162" s="309" t="s">
        <v>4416</v>
      </c>
      <c r="H2162" s="307" t="s">
        <v>197</v>
      </c>
      <c r="I2162" s="307" t="s">
        <v>197</v>
      </c>
      <c r="J2162" s="307" t="s">
        <v>37</v>
      </c>
      <c r="K2162" s="307" t="s">
        <v>233</v>
      </c>
      <c r="L2162" s="307" t="s">
        <v>419</v>
      </c>
      <c r="M2162" s="309" t="s">
        <v>5317</v>
      </c>
      <c r="N2162" s="309" t="s">
        <v>264</v>
      </c>
      <c r="O2162" s="309" t="s">
        <v>5318</v>
      </c>
      <c r="P2162" s="309" t="s">
        <v>5319</v>
      </c>
      <c r="Q2162" s="303">
        <f t="shared" ref="Q2162:Q2163" si="444">S2162+U2162</f>
        <v>0</v>
      </c>
      <c r="R2162" s="303">
        <f t="shared" ref="R2162:R2163" si="445">T2162+V2162</f>
        <v>0</v>
      </c>
      <c r="S2162" s="309">
        <v>0</v>
      </c>
      <c r="T2162" s="309">
        <v>0</v>
      </c>
      <c r="U2162" s="309">
        <v>0</v>
      </c>
      <c r="V2162" s="309">
        <v>0</v>
      </c>
      <c r="W2162" s="309">
        <v>0</v>
      </c>
      <c r="X2162" s="309">
        <v>71</v>
      </c>
      <c r="Y2162" s="309">
        <v>68</v>
      </c>
      <c r="Z2162" s="309">
        <v>30</v>
      </c>
      <c r="AA2162" s="309">
        <v>1</v>
      </c>
      <c r="AB2162" s="307">
        <f t="shared" si="409"/>
        <v>24.14</v>
      </c>
      <c r="AC2162" s="307">
        <f t="shared" si="410"/>
        <v>0.14542168674698797</v>
      </c>
      <c r="AD2162" s="309">
        <v>0</v>
      </c>
      <c r="AE2162" s="309">
        <v>0</v>
      </c>
      <c r="AF2162" s="309">
        <v>6853262</v>
      </c>
      <c r="AG2162" s="318" t="s">
        <v>5320</v>
      </c>
      <c r="AH2162" s="309" t="s">
        <v>5321</v>
      </c>
      <c r="AI2162" s="53" t="s">
        <v>5244</v>
      </c>
      <c r="AJ2162" s="309"/>
      <c r="AK2162" s="309" t="s">
        <v>48</v>
      </c>
      <c r="AL2162" s="309" t="s">
        <v>58</v>
      </c>
      <c r="AM2162" s="299">
        <f t="shared" ref="AM2162" ca="1" si="446">IF(AP2162="",NOW()-B2162,AR2162-B2162)</f>
        <v>5.1568179398091161</v>
      </c>
      <c r="AN2162" s="313"/>
      <c r="AO2162" s="314"/>
      <c r="AP2162" s="314"/>
      <c r="AQ2162" s="314"/>
      <c r="AR2162" s="314"/>
      <c r="AS2162" s="314"/>
      <c r="AT2162" s="314"/>
      <c r="AU2162" s="314"/>
      <c r="AV2162" s="314"/>
      <c r="AW2162" s="314"/>
      <c r="AX2162" s="314"/>
      <c r="AY2162" s="314"/>
      <c r="AZ2162" s="314"/>
      <c r="BA2162" s="314"/>
    </row>
    <row r="2163" spans="1:53" s="301" customFormat="1" x14ac:dyDescent="0.25">
      <c r="A2163" s="312">
        <v>166</v>
      </c>
      <c r="B2163" s="311">
        <v>44938.645833333336</v>
      </c>
      <c r="C2163" s="308">
        <v>0.64583333333333337</v>
      </c>
      <c r="D2163" s="308">
        <v>0.65277777777777779</v>
      </c>
      <c r="E2163" s="308">
        <v>0.70833333333333337</v>
      </c>
      <c r="F2163" s="309" t="s">
        <v>169</v>
      </c>
      <c r="G2163" s="309" t="s">
        <v>4416</v>
      </c>
      <c r="H2163" s="307" t="s">
        <v>197</v>
      </c>
      <c r="I2163" s="307" t="s">
        <v>197</v>
      </c>
      <c r="J2163" s="307" t="s">
        <v>37</v>
      </c>
      <c r="K2163" s="307" t="s">
        <v>233</v>
      </c>
      <c r="L2163" s="307" t="s">
        <v>419</v>
      </c>
      <c r="M2163" s="309" t="s">
        <v>5317</v>
      </c>
      <c r="N2163" s="309" t="s">
        <v>264</v>
      </c>
      <c r="O2163" s="309" t="s">
        <v>5318</v>
      </c>
      <c r="P2163" s="309" t="s">
        <v>5319</v>
      </c>
      <c r="Q2163" s="303">
        <f t="shared" si="444"/>
        <v>0</v>
      </c>
      <c r="R2163" s="303">
        <f t="shared" si="445"/>
        <v>0</v>
      </c>
      <c r="S2163" s="309">
        <v>0</v>
      </c>
      <c r="T2163" s="309">
        <v>0</v>
      </c>
      <c r="U2163" s="309">
        <v>0</v>
      </c>
      <c r="V2163" s="309">
        <v>0</v>
      </c>
      <c r="W2163" s="309">
        <v>0</v>
      </c>
      <c r="X2163" s="309">
        <v>68</v>
      </c>
      <c r="Y2163" s="309">
        <v>62</v>
      </c>
      <c r="Z2163" s="309">
        <v>50</v>
      </c>
      <c r="AA2163" s="309">
        <v>1</v>
      </c>
      <c r="AB2163" s="307">
        <f t="shared" si="409"/>
        <v>35.133333333333333</v>
      </c>
      <c r="AC2163" s="307">
        <f t="shared" si="410"/>
        <v>0.21164658634538153</v>
      </c>
      <c r="AD2163" s="309">
        <v>0</v>
      </c>
      <c r="AE2163" s="309">
        <v>0</v>
      </c>
      <c r="AF2163" s="309">
        <v>6853262</v>
      </c>
      <c r="AG2163" s="318" t="s">
        <v>5320</v>
      </c>
      <c r="AH2163" s="309" t="s">
        <v>5321</v>
      </c>
      <c r="AI2163" s="53" t="s">
        <v>5244</v>
      </c>
      <c r="AJ2163" s="309"/>
      <c r="AK2163" s="309" t="s">
        <v>37</v>
      </c>
      <c r="AL2163" s="309" t="s">
        <v>58</v>
      </c>
      <c r="AM2163" s="299">
        <f t="shared" ref="AM2163:AM2164" ca="1" si="447">IF(AP2163="",NOW()-B2163,AR2163-B2163)</f>
        <v>5.1568179398091161</v>
      </c>
      <c r="AN2163" s="313"/>
      <c r="AO2163" s="314"/>
      <c r="AP2163" s="314"/>
      <c r="AQ2163" s="314"/>
      <c r="AR2163" s="314"/>
      <c r="AS2163" s="314"/>
      <c r="AT2163" s="314"/>
      <c r="AU2163" s="314"/>
      <c r="AV2163" s="314"/>
      <c r="AW2163" s="314"/>
      <c r="AX2163" s="314"/>
      <c r="AY2163" s="314"/>
      <c r="AZ2163" s="314"/>
      <c r="BA2163" s="314"/>
    </row>
    <row r="2164" spans="1:53" s="301" customFormat="1" x14ac:dyDescent="0.25">
      <c r="A2164" s="312">
        <v>167</v>
      </c>
      <c r="B2164" s="311">
        <v>44938.645833333336</v>
      </c>
      <c r="C2164" s="308">
        <v>0.64583333333333337</v>
      </c>
      <c r="D2164" s="308">
        <v>0.65277777777777779</v>
      </c>
      <c r="E2164" s="308">
        <v>0.70833333333333337</v>
      </c>
      <c r="F2164" s="309" t="s">
        <v>169</v>
      </c>
      <c r="G2164" s="309" t="s">
        <v>4416</v>
      </c>
      <c r="H2164" s="307" t="s">
        <v>197</v>
      </c>
      <c r="I2164" s="307" t="s">
        <v>197</v>
      </c>
      <c r="J2164" s="307" t="s">
        <v>37</v>
      </c>
      <c r="K2164" s="307" t="s">
        <v>233</v>
      </c>
      <c r="L2164" s="307" t="s">
        <v>419</v>
      </c>
      <c r="M2164" s="309" t="s">
        <v>5317</v>
      </c>
      <c r="N2164" s="309" t="s">
        <v>264</v>
      </c>
      <c r="O2164" s="309" t="s">
        <v>5322</v>
      </c>
      <c r="P2164" s="309" t="s">
        <v>5323</v>
      </c>
      <c r="Q2164" s="303">
        <f t="shared" ref="Q2164" si="448">S2164+U2164</f>
        <v>5</v>
      </c>
      <c r="R2164" s="303">
        <f t="shared" ref="R2164" si="449">T2164+V2164</f>
        <v>262</v>
      </c>
      <c r="S2164" s="309">
        <v>4</v>
      </c>
      <c r="T2164" s="309">
        <f>175-26</f>
        <v>149</v>
      </c>
      <c r="U2164" s="309">
        <v>1</v>
      </c>
      <c r="V2164" s="309">
        <v>113</v>
      </c>
      <c r="W2164" s="309">
        <f>39+49+45+24+120</f>
        <v>277</v>
      </c>
      <c r="X2164" s="309">
        <v>74</v>
      </c>
      <c r="Y2164" s="309">
        <v>64</v>
      </c>
      <c r="Z2164" s="309">
        <v>34</v>
      </c>
      <c r="AA2164" s="309">
        <v>2</v>
      </c>
      <c r="AB2164" s="307">
        <f t="shared" si="409"/>
        <v>53.674666666666667</v>
      </c>
      <c r="AC2164" s="307">
        <f t="shared" si="410"/>
        <v>0.32334136546184739</v>
      </c>
      <c r="AD2164" s="309" t="s">
        <v>48</v>
      </c>
      <c r="AE2164" s="309" t="s">
        <v>48</v>
      </c>
      <c r="AF2164" s="309">
        <v>6853335</v>
      </c>
      <c r="AG2164" s="318" t="s">
        <v>5320</v>
      </c>
      <c r="AH2164" s="309" t="s">
        <v>5324</v>
      </c>
      <c r="AI2164" s="53" t="s">
        <v>5244</v>
      </c>
      <c r="AJ2164" s="309"/>
      <c r="AK2164" s="309" t="s">
        <v>48</v>
      </c>
      <c r="AL2164" s="309" t="s">
        <v>58</v>
      </c>
      <c r="AM2164" s="299">
        <f t="shared" ca="1" si="447"/>
        <v>5.1568179398091161</v>
      </c>
      <c r="AN2164" s="313"/>
      <c r="AO2164" s="314"/>
      <c r="AP2164" s="314"/>
      <c r="AQ2164" s="314"/>
      <c r="AR2164" s="314"/>
      <c r="AS2164" s="314"/>
      <c r="AT2164" s="314"/>
      <c r="AU2164" s="314"/>
      <c r="AV2164" s="314"/>
      <c r="AW2164" s="314"/>
      <c r="AX2164" s="314"/>
      <c r="AY2164" s="314"/>
      <c r="AZ2164" s="314"/>
      <c r="BA2164" s="314"/>
    </row>
    <row r="2165" spans="1:53" s="301" customFormat="1" x14ac:dyDescent="0.25">
      <c r="A2165" s="312">
        <v>167</v>
      </c>
      <c r="B2165" s="311">
        <v>44938.645833333336</v>
      </c>
      <c r="C2165" s="308">
        <v>0.64583333333333337</v>
      </c>
      <c r="D2165" s="308">
        <v>0.65277777777777779</v>
      </c>
      <c r="E2165" s="308">
        <v>0.70833333333333337</v>
      </c>
      <c r="F2165" s="309" t="s">
        <v>169</v>
      </c>
      <c r="G2165" s="309" t="s">
        <v>4416</v>
      </c>
      <c r="H2165" s="307" t="s">
        <v>197</v>
      </c>
      <c r="I2165" s="307" t="s">
        <v>197</v>
      </c>
      <c r="J2165" s="307" t="s">
        <v>37</v>
      </c>
      <c r="K2165" s="307" t="s">
        <v>233</v>
      </c>
      <c r="L2165" s="307" t="s">
        <v>419</v>
      </c>
      <c r="M2165" s="309" t="s">
        <v>5317</v>
      </c>
      <c r="N2165" s="309" t="s">
        <v>264</v>
      </c>
      <c r="O2165" s="309" t="s">
        <v>5322</v>
      </c>
      <c r="P2165" s="309" t="s">
        <v>5323</v>
      </c>
      <c r="Q2165" s="303">
        <f t="shared" ref="Q2165:Q2166" si="450">S2165+U2165</f>
        <v>0</v>
      </c>
      <c r="R2165" s="303">
        <f t="shared" ref="R2165:R2166" si="451">T2165+V2165</f>
        <v>0</v>
      </c>
      <c r="S2165" s="309">
        <v>0</v>
      </c>
      <c r="T2165" s="309">
        <v>0</v>
      </c>
      <c r="U2165" s="309">
        <v>0</v>
      </c>
      <c r="V2165" s="309">
        <v>0</v>
      </c>
      <c r="W2165" s="309">
        <v>0</v>
      </c>
      <c r="X2165" s="309">
        <v>77</v>
      </c>
      <c r="Y2165" s="309">
        <v>61</v>
      </c>
      <c r="Z2165" s="309">
        <v>61</v>
      </c>
      <c r="AA2165" s="309">
        <v>2</v>
      </c>
      <c r="AB2165" s="307">
        <f t="shared" si="409"/>
        <v>95.50566666666667</v>
      </c>
      <c r="AC2165" s="307">
        <f t="shared" si="410"/>
        <v>0.57533534136546183</v>
      </c>
      <c r="AD2165" s="309">
        <v>0</v>
      </c>
      <c r="AE2165" s="309">
        <v>0</v>
      </c>
      <c r="AF2165" s="309">
        <v>6853335</v>
      </c>
      <c r="AG2165" s="318" t="s">
        <v>5320</v>
      </c>
      <c r="AH2165" s="309" t="s">
        <v>5324</v>
      </c>
      <c r="AI2165" s="53" t="s">
        <v>5244</v>
      </c>
      <c r="AJ2165" s="309"/>
      <c r="AK2165" s="309" t="s">
        <v>48</v>
      </c>
      <c r="AL2165" s="309" t="s">
        <v>58</v>
      </c>
      <c r="AM2165" s="299">
        <f t="shared" ref="AM2165" ca="1" si="452">IF(AP2165="",NOW()-B2165,AR2165-B2165)</f>
        <v>5.1568179398091161</v>
      </c>
      <c r="AN2165" s="313"/>
      <c r="AO2165" s="314"/>
      <c r="AP2165" s="314"/>
      <c r="AQ2165" s="314"/>
      <c r="AR2165" s="314"/>
      <c r="AS2165" s="314"/>
      <c r="AT2165" s="314"/>
      <c r="AU2165" s="314"/>
      <c r="AV2165" s="314"/>
      <c r="AW2165" s="314"/>
      <c r="AX2165" s="314"/>
      <c r="AY2165" s="314"/>
      <c r="AZ2165" s="314"/>
      <c r="BA2165" s="314"/>
    </row>
    <row r="2166" spans="1:53" s="301" customFormat="1" x14ac:dyDescent="0.25">
      <c r="A2166" s="312">
        <v>167</v>
      </c>
      <c r="B2166" s="311">
        <v>44938.645833333336</v>
      </c>
      <c r="C2166" s="308">
        <v>0.64583333333333337</v>
      </c>
      <c r="D2166" s="308">
        <v>0.65277777777777779</v>
      </c>
      <c r="E2166" s="308">
        <v>0.70833333333333337</v>
      </c>
      <c r="F2166" s="309" t="s">
        <v>169</v>
      </c>
      <c r="G2166" s="309" t="s">
        <v>4416</v>
      </c>
      <c r="H2166" s="307" t="s">
        <v>197</v>
      </c>
      <c r="I2166" s="307" t="s">
        <v>197</v>
      </c>
      <c r="J2166" s="307" t="s">
        <v>37</v>
      </c>
      <c r="K2166" s="307" t="s">
        <v>233</v>
      </c>
      <c r="L2166" s="307" t="s">
        <v>419</v>
      </c>
      <c r="M2166" s="309" t="s">
        <v>5317</v>
      </c>
      <c r="N2166" s="309" t="s">
        <v>264</v>
      </c>
      <c r="O2166" s="309" t="s">
        <v>5322</v>
      </c>
      <c r="P2166" s="309" t="s">
        <v>5323</v>
      </c>
      <c r="Q2166" s="303">
        <f t="shared" si="450"/>
        <v>0</v>
      </c>
      <c r="R2166" s="303">
        <f t="shared" si="451"/>
        <v>0</v>
      </c>
      <c r="S2166" s="309">
        <v>0</v>
      </c>
      <c r="T2166" s="309">
        <v>0</v>
      </c>
      <c r="U2166" s="309">
        <v>0</v>
      </c>
      <c r="V2166" s="309">
        <v>0</v>
      </c>
      <c r="W2166" s="309">
        <v>0</v>
      </c>
      <c r="X2166" s="309">
        <v>85</v>
      </c>
      <c r="Y2166" s="309">
        <v>64</v>
      </c>
      <c r="Z2166" s="309">
        <v>86</v>
      </c>
      <c r="AA2166" s="309">
        <v>1</v>
      </c>
      <c r="AB2166" s="307">
        <f t="shared" si="409"/>
        <v>77.973333333333329</v>
      </c>
      <c r="AC2166" s="307">
        <f t="shared" si="410"/>
        <v>0.46971887550200803</v>
      </c>
      <c r="AD2166" s="309">
        <v>0</v>
      </c>
      <c r="AE2166" s="309">
        <v>0</v>
      </c>
      <c r="AF2166" s="309">
        <v>6853335</v>
      </c>
      <c r="AG2166" s="318" t="s">
        <v>5320</v>
      </c>
      <c r="AH2166" s="309" t="s">
        <v>5324</v>
      </c>
      <c r="AI2166" s="53" t="s">
        <v>5244</v>
      </c>
      <c r="AJ2166" s="309"/>
      <c r="AK2166" s="309" t="s">
        <v>41</v>
      </c>
      <c r="AL2166" s="309" t="s">
        <v>58</v>
      </c>
      <c r="AM2166" s="299">
        <f t="shared" ref="AM2166:AM2167" ca="1" si="453">IF(AP2166="",NOW()-B2166,AR2166-B2166)</f>
        <v>5.1568179398091161</v>
      </c>
      <c r="AN2166" s="313"/>
      <c r="AO2166" s="314"/>
      <c r="AP2166" s="314"/>
      <c r="AQ2166" s="314"/>
      <c r="AR2166" s="314"/>
      <c r="AS2166" s="314"/>
      <c r="AT2166" s="314"/>
      <c r="AU2166" s="314"/>
      <c r="AV2166" s="314"/>
      <c r="AW2166" s="314"/>
      <c r="AX2166" s="314"/>
      <c r="AY2166" s="314"/>
      <c r="AZ2166" s="314"/>
      <c r="BA2166" s="314"/>
    </row>
    <row r="2167" spans="1:53" s="301" customFormat="1" x14ac:dyDescent="0.25">
      <c r="A2167" s="312">
        <v>168</v>
      </c>
      <c r="B2167" s="311">
        <v>44938.701388888891</v>
      </c>
      <c r="C2167" s="308">
        <v>0.70138888888888884</v>
      </c>
      <c r="D2167" s="308">
        <v>0.71527777777777779</v>
      </c>
      <c r="E2167" s="308">
        <v>0.74305555555555547</v>
      </c>
      <c r="F2167" s="309" t="s">
        <v>169</v>
      </c>
      <c r="G2167" s="309" t="s">
        <v>193</v>
      </c>
      <c r="H2167" s="307" t="s">
        <v>191</v>
      </c>
      <c r="I2167" s="307" t="s">
        <v>192</v>
      </c>
      <c r="J2167" s="307" t="s">
        <v>37</v>
      </c>
      <c r="K2167" s="307" t="s">
        <v>180</v>
      </c>
      <c r="L2167" s="307" t="s">
        <v>206</v>
      </c>
      <c r="M2167" s="309" t="s">
        <v>5325</v>
      </c>
      <c r="N2167" s="309" t="s">
        <v>3225</v>
      </c>
      <c r="O2167" s="309" t="s">
        <v>5331</v>
      </c>
      <c r="P2167" s="309" t="s">
        <v>5326</v>
      </c>
      <c r="Q2167" s="303">
        <f t="shared" ref="Q2167" si="454">S2167+U2167</f>
        <v>8</v>
      </c>
      <c r="R2167" s="303">
        <f t="shared" ref="R2167" si="455">T2167+V2167</f>
        <v>13</v>
      </c>
      <c r="S2167" s="309">
        <v>8</v>
      </c>
      <c r="T2167" s="309">
        <v>13</v>
      </c>
      <c r="U2167" s="309">
        <v>0</v>
      </c>
      <c r="V2167" s="309">
        <v>0</v>
      </c>
      <c r="W2167" s="309">
        <v>13.92</v>
      </c>
      <c r="X2167" s="309">
        <v>39</v>
      </c>
      <c r="Y2167" s="309">
        <v>29</v>
      </c>
      <c r="Z2167" s="309">
        <v>15</v>
      </c>
      <c r="AA2167" s="309">
        <v>7</v>
      </c>
      <c r="AB2167" s="307">
        <f t="shared" si="409"/>
        <v>19.7925</v>
      </c>
      <c r="AC2167" s="307">
        <f t="shared" si="410"/>
        <v>0.11923192771084337</v>
      </c>
      <c r="AD2167" s="309">
        <v>624.34</v>
      </c>
      <c r="AE2167" s="309" t="s">
        <v>109</v>
      </c>
      <c r="AF2167" s="309" t="s">
        <v>82</v>
      </c>
      <c r="AG2167" s="309" t="s">
        <v>82</v>
      </c>
      <c r="AH2167" s="309" t="s">
        <v>5327</v>
      </c>
      <c r="AI2167" s="53" t="s">
        <v>5244</v>
      </c>
      <c r="AJ2167" s="309"/>
      <c r="AK2167" s="309" t="s">
        <v>48</v>
      </c>
      <c r="AL2167" s="309" t="s">
        <v>47</v>
      </c>
      <c r="AM2167" s="299">
        <f t="shared" ca="1" si="453"/>
        <v>1.0451388888905058</v>
      </c>
      <c r="AN2167" s="313"/>
      <c r="AO2167" s="275" t="s">
        <v>98</v>
      </c>
      <c r="AP2167" s="275" t="s">
        <v>5325</v>
      </c>
      <c r="AQ2167" s="275" t="s">
        <v>5399</v>
      </c>
      <c r="AR2167" s="277">
        <v>44939.746527777781</v>
      </c>
      <c r="AS2167" s="272" t="s">
        <v>173</v>
      </c>
      <c r="AT2167" s="288" t="s">
        <v>225</v>
      </c>
      <c r="AU2167" s="276">
        <v>0.74652777777777779</v>
      </c>
      <c r="AV2167" s="288">
        <v>3</v>
      </c>
      <c r="AW2167" s="288" t="s">
        <v>66</v>
      </c>
      <c r="AX2167" s="314"/>
      <c r="AY2167" s="314"/>
      <c r="AZ2167" s="314"/>
      <c r="BA2167" s="314"/>
    </row>
    <row r="2168" spans="1:53" s="301" customFormat="1" x14ac:dyDescent="0.25">
      <c r="A2168" s="312">
        <v>168</v>
      </c>
      <c r="B2168" s="311">
        <v>44938.701388888891</v>
      </c>
      <c r="C2168" s="308">
        <v>0.70138888888888884</v>
      </c>
      <c r="D2168" s="308">
        <v>0.71527777777777779</v>
      </c>
      <c r="E2168" s="308">
        <v>0.74305555555555547</v>
      </c>
      <c r="F2168" s="309" t="s">
        <v>169</v>
      </c>
      <c r="G2168" s="309" t="s">
        <v>193</v>
      </c>
      <c r="H2168" s="307" t="s">
        <v>191</v>
      </c>
      <c r="I2168" s="307" t="s">
        <v>192</v>
      </c>
      <c r="J2168" s="307" t="s">
        <v>37</v>
      </c>
      <c r="K2168" s="307" t="s">
        <v>180</v>
      </c>
      <c r="L2168" s="307" t="s">
        <v>206</v>
      </c>
      <c r="M2168" s="309" t="s">
        <v>5325</v>
      </c>
      <c r="N2168" s="309" t="s">
        <v>3225</v>
      </c>
      <c r="O2168" s="309" t="s">
        <v>5331</v>
      </c>
      <c r="P2168" s="309" t="s">
        <v>5326</v>
      </c>
      <c r="Q2168" s="303">
        <f t="shared" ref="Q2168" si="456">S2168+U2168</f>
        <v>0</v>
      </c>
      <c r="R2168" s="303">
        <f t="shared" ref="R2168" si="457">T2168+V2168</f>
        <v>0</v>
      </c>
      <c r="S2168" s="309">
        <v>0</v>
      </c>
      <c r="T2168" s="309">
        <v>0</v>
      </c>
      <c r="U2168" s="309">
        <v>0</v>
      </c>
      <c r="V2168" s="309">
        <v>0</v>
      </c>
      <c r="W2168" s="309">
        <v>0</v>
      </c>
      <c r="X2168" s="309">
        <v>59</v>
      </c>
      <c r="Y2168" s="309">
        <v>39</v>
      </c>
      <c r="Z2168" s="309">
        <v>15</v>
      </c>
      <c r="AA2168" s="309">
        <v>1</v>
      </c>
      <c r="AB2168" s="307">
        <f t="shared" si="409"/>
        <v>5.7525000000000004</v>
      </c>
      <c r="AC2168" s="307">
        <f t="shared" si="410"/>
        <v>3.4653614457831328E-2</v>
      </c>
      <c r="AD2168" s="309">
        <v>0</v>
      </c>
      <c r="AE2168" s="309">
        <v>0</v>
      </c>
      <c r="AF2168" s="309" t="s">
        <v>82</v>
      </c>
      <c r="AG2168" s="309" t="s">
        <v>82</v>
      </c>
      <c r="AH2168" s="309" t="s">
        <v>5327</v>
      </c>
      <c r="AI2168" s="53" t="s">
        <v>5244</v>
      </c>
      <c r="AJ2168" s="309"/>
      <c r="AK2168" s="309" t="s">
        <v>48</v>
      </c>
      <c r="AL2168" s="309" t="s">
        <v>47</v>
      </c>
      <c r="AM2168" s="299">
        <f t="shared" ref="AM2168" ca="1" si="458">IF(AP2168="",NOW()-B2168,AR2168-B2168)</f>
        <v>1.0451388888905058</v>
      </c>
      <c r="AN2168" s="313"/>
      <c r="AO2168" s="275" t="s">
        <v>98</v>
      </c>
      <c r="AP2168" s="275" t="s">
        <v>5325</v>
      </c>
      <c r="AQ2168" s="275" t="s">
        <v>5399</v>
      </c>
      <c r="AR2168" s="277">
        <v>44939.746527777781</v>
      </c>
      <c r="AS2168" s="272" t="s">
        <v>173</v>
      </c>
      <c r="AT2168" s="288" t="s">
        <v>225</v>
      </c>
      <c r="AU2168" s="276">
        <v>0.74652777777777779</v>
      </c>
      <c r="AV2168" s="288">
        <v>3</v>
      </c>
      <c r="AW2168" s="288" t="s">
        <v>66</v>
      </c>
      <c r="AX2168" s="314"/>
      <c r="AY2168" s="314"/>
      <c r="AZ2168" s="314"/>
      <c r="BA2168" s="314"/>
    </row>
    <row r="2169" spans="1:53" s="301" customFormat="1" x14ac:dyDescent="0.25">
      <c r="A2169" s="312">
        <v>169</v>
      </c>
      <c r="B2169" s="311">
        <v>44938.701388888891</v>
      </c>
      <c r="C2169" s="308">
        <v>0.70138888888888884</v>
      </c>
      <c r="D2169" s="308">
        <v>0.71527777777777779</v>
      </c>
      <c r="E2169" s="308">
        <v>0.74305555555555547</v>
      </c>
      <c r="F2169" s="309" t="s">
        <v>169</v>
      </c>
      <c r="G2169" s="309" t="s">
        <v>193</v>
      </c>
      <c r="H2169" s="307" t="s">
        <v>191</v>
      </c>
      <c r="I2169" s="307" t="s">
        <v>192</v>
      </c>
      <c r="J2169" s="307" t="s">
        <v>37</v>
      </c>
      <c r="K2169" s="307" t="s">
        <v>180</v>
      </c>
      <c r="L2169" s="307" t="s">
        <v>206</v>
      </c>
      <c r="M2169" s="309" t="s">
        <v>5328</v>
      </c>
      <c r="N2169" s="309" t="s">
        <v>453</v>
      </c>
      <c r="O2169" s="309" t="s">
        <v>5332</v>
      </c>
      <c r="P2169" s="309" t="s">
        <v>5329</v>
      </c>
      <c r="Q2169" s="303">
        <f t="shared" ref="Q2169" si="459">S2169+U2169</f>
        <v>18</v>
      </c>
      <c r="R2169" s="303">
        <f t="shared" ref="R2169" si="460">T2169+V2169</f>
        <v>61</v>
      </c>
      <c r="S2169" s="309">
        <v>18</v>
      </c>
      <c r="T2169" s="309">
        <v>61</v>
      </c>
      <c r="U2169" s="309">
        <v>0</v>
      </c>
      <c r="V2169" s="309">
        <v>0</v>
      </c>
      <c r="W2169" s="309">
        <v>66.97</v>
      </c>
      <c r="X2169" s="309">
        <v>39</v>
      </c>
      <c r="Y2169" s="309">
        <v>30</v>
      </c>
      <c r="Z2169" s="309">
        <v>15</v>
      </c>
      <c r="AA2169" s="309">
        <v>14</v>
      </c>
      <c r="AB2169" s="307">
        <f t="shared" si="409"/>
        <v>40.950000000000003</v>
      </c>
      <c r="AC2169" s="307">
        <f t="shared" si="410"/>
        <v>0.24668674698795182</v>
      </c>
      <c r="AD2169" s="309">
        <v>2500.44</v>
      </c>
      <c r="AE2169" s="309" t="s">
        <v>109</v>
      </c>
      <c r="AF2169" s="309" t="s">
        <v>82</v>
      </c>
      <c r="AG2169" s="309" t="s">
        <v>82</v>
      </c>
      <c r="AH2169" s="309" t="s">
        <v>5330</v>
      </c>
      <c r="AI2169" s="53" t="s">
        <v>5244</v>
      </c>
      <c r="AJ2169" s="309"/>
      <c r="AK2169" s="309" t="s">
        <v>48</v>
      </c>
      <c r="AL2169" s="309" t="s">
        <v>47</v>
      </c>
      <c r="AM2169" s="299">
        <f t="shared" ref="AM2169" ca="1" si="461">IF(AP2169="",NOW()-B2169,AR2169-B2169)</f>
        <v>0.85069444444525288</v>
      </c>
      <c r="AN2169" s="313"/>
      <c r="AO2169" s="288" t="s">
        <v>68</v>
      </c>
      <c r="AP2169" s="275" t="s">
        <v>5328</v>
      </c>
      <c r="AQ2169" s="288" t="s">
        <v>5394</v>
      </c>
      <c r="AR2169" s="277">
        <v>44939.552083333336</v>
      </c>
      <c r="AS2169" s="272" t="s">
        <v>136</v>
      </c>
      <c r="AT2169" s="288" t="s">
        <v>225</v>
      </c>
      <c r="AU2169" s="276">
        <v>0.55208333333333337</v>
      </c>
      <c r="AV2169" s="288">
        <v>2</v>
      </c>
      <c r="AW2169" s="288" t="s">
        <v>66</v>
      </c>
      <c r="AX2169" s="314"/>
      <c r="AY2169" s="314"/>
      <c r="AZ2169" s="314"/>
      <c r="BA2169" s="314"/>
    </row>
    <row r="2170" spans="1:53" s="301" customFormat="1" x14ac:dyDescent="0.25">
      <c r="A2170" s="312">
        <v>169</v>
      </c>
      <c r="B2170" s="311">
        <v>44938.701388888891</v>
      </c>
      <c r="C2170" s="308">
        <v>0.70138888888888884</v>
      </c>
      <c r="D2170" s="308">
        <v>0.71527777777777779</v>
      </c>
      <c r="E2170" s="308">
        <v>0.74305555555555547</v>
      </c>
      <c r="F2170" s="309" t="s">
        <v>169</v>
      </c>
      <c r="G2170" s="309" t="s">
        <v>193</v>
      </c>
      <c r="H2170" s="307" t="s">
        <v>191</v>
      </c>
      <c r="I2170" s="307" t="s">
        <v>192</v>
      </c>
      <c r="J2170" s="307" t="s">
        <v>37</v>
      </c>
      <c r="K2170" s="307" t="s">
        <v>180</v>
      </c>
      <c r="L2170" s="307" t="s">
        <v>206</v>
      </c>
      <c r="M2170" s="309" t="s">
        <v>5328</v>
      </c>
      <c r="N2170" s="309" t="s">
        <v>453</v>
      </c>
      <c r="O2170" s="309" t="s">
        <v>5332</v>
      </c>
      <c r="P2170" s="309" t="s">
        <v>5329</v>
      </c>
      <c r="Q2170" s="303">
        <f t="shared" ref="Q2170" si="462">S2170+U2170</f>
        <v>0</v>
      </c>
      <c r="R2170" s="303">
        <f t="shared" ref="R2170" si="463">T2170+V2170</f>
        <v>0</v>
      </c>
      <c r="S2170" s="309">
        <v>0</v>
      </c>
      <c r="T2170" s="309">
        <v>0</v>
      </c>
      <c r="U2170" s="309">
        <v>0</v>
      </c>
      <c r="V2170" s="309">
        <v>0</v>
      </c>
      <c r="W2170" s="309">
        <v>0</v>
      </c>
      <c r="X2170" s="309">
        <v>59</v>
      </c>
      <c r="Y2170" s="309">
        <v>39</v>
      </c>
      <c r="Z2170" s="309">
        <v>15</v>
      </c>
      <c r="AA2170" s="309">
        <v>4</v>
      </c>
      <c r="AB2170" s="307">
        <f t="shared" si="409"/>
        <v>23.01</v>
      </c>
      <c r="AC2170" s="307">
        <f t="shared" si="410"/>
        <v>0.13861445783132531</v>
      </c>
      <c r="AD2170" s="309">
        <v>0</v>
      </c>
      <c r="AE2170" s="309">
        <v>0</v>
      </c>
      <c r="AF2170" s="309" t="s">
        <v>82</v>
      </c>
      <c r="AG2170" s="309" t="s">
        <v>82</v>
      </c>
      <c r="AH2170" s="309" t="s">
        <v>5330</v>
      </c>
      <c r="AI2170" s="53" t="s">
        <v>5244</v>
      </c>
      <c r="AJ2170" s="309"/>
      <c r="AK2170" s="309" t="s">
        <v>48</v>
      </c>
      <c r="AL2170" s="309" t="s">
        <v>47</v>
      </c>
      <c r="AM2170" s="299">
        <f t="shared" ref="AM2170:AM2171" ca="1" si="464">IF(AP2170="",NOW()-B2170,AR2170-B2170)</f>
        <v>0.85069444444525288</v>
      </c>
      <c r="AN2170" s="313"/>
      <c r="AO2170" s="288" t="s">
        <v>68</v>
      </c>
      <c r="AP2170" s="275" t="s">
        <v>5328</v>
      </c>
      <c r="AQ2170" s="288" t="s">
        <v>5394</v>
      </c>
      <c r="AR2170" s="277">
        <v>44939.552083333336</v>
      </c>
      <c r="AS2170" s="272" t="s">
        <v>136</v>
      </c>
      <c r="AT2170" s="288" t="s">
        <v>225</v>
      </c>
      <c r="AU2170" s="276">
        <v>0.55208333333333337</v>
      </c>
      <c r="AV2170" s="288">
        <v>2</v>
      </c>
      <c r="AW2170" s="288" t="s">
        <v>66</v>
      </c>
      <c r="AX2170" s="314"/>
      <c r="AY2170" s="314"/>
      <c r="AZ2170" s="314"/>
      <c r="BA2170" s="314"/>
    </row>
    <row r="2171" spans="1:53" s="301" customFormat="1" x14ac:dyDescent="0.25">
      <c r="A2171" s="312">
        <v>170</v>
      </c>
      <c r="B2171" s="311">
        <v>44938.694444444445</v>
      </c>
      <c r="C2171" s="308">
        <v>0.69791666666666663</v>
      </c>
      <c r="D2171" s="308">
        <v>0.72222222222222221</v>
      </c>
      <c r="E2171" s="308">
        <v>0.74305555555555547</v>
      </c>
      <c r="F2171" s="309" t="s">
        <v>169</v>
      </c>
      <c r="G2171" s="309" t="s">
        <v>480</v>
      </c>
      <c r="H2171" s="307" t="s">
        <v>282</v>
      </c>
      <c r="I2171" s="307" t="s">
        <v>281</v>
      </c>
      <c r="J2171" s="307" t="s">
        <v>37</v>
      </c>
      <c r="K2171" s="307" t="s">
        <v>233</v>
      </c>
      <c r="L2171" s="307" t="s">
        <v>285</v>
      </c>
      <c r="M2171" s="309" t="s">
        <v>5333</v>
      </c>
      <c r="N2171" s="309" t="s">
        <v>38</v>
      </c>
      <c r="O2171" s="309" t="s">
        <v>5334</v>
      </c>
      <c r="P2171" s="309">
        <v>2000061616</v>
      </c>
      <c r="Q2171" s="303">
        <f t="shared" ref="Q2171" si="465">S2171+U2171</f>
        <v>100</v>
      </c>
      <c r="R2171" s="303">
        <f t="shared" ref="R2171" si="466">T2171+V2171</f>
        <v>953</v>
      </c>
      <c r="S2171" s="309">
        <v>100</v>
      </c>
      <c r="T2171" s="309">
        <f>260-21+271-15+224-27+280-19</f>
        <v>953</v>
      </c>
      <c r="U2171" s="309">
        <v>0</v>
      </c>
      <c r="V2171" s="309">
        <v>0</v>
      </c>
      <c r="W2171" s="309">
        <v>896</v>
      </c>
      <c r="X2171" s="309">
        <v>48</v>
      </c>
      <c r="Y2171" s="309">
        <v>37</v>
      </c>
      <c r="Z2171" s="309">
        <v>35</v>
      </c>
      <c r="AA2171" s="309">
        <v>37</v>
      </c>
      <c r="AB2171" s="307">
        <f t="shared" si="409"/>
        <v>383.32</v>
      </c>
      <c r="AC2171" s="307">
        <f t="shared" si="410"/>
        <v>2.3091566265060242</v>
      </c>
      <c r="AD2171" s="309">
        <v>14838</v>
      </c>
      <c r="AE2171" s="309" t="s">
        <v>109</v>
      </c>
      <c r="AF2171" s="309">
        <v>6899641</v>
      </c>
      <c r="AG2171" s="309" t="s">
        <v>5248</v>
      </c>
      <c r="AH2171" s="309" t="s">
        <v>5335</v>
      </c>
      <c r="AI2171" s="53" t="s">
        <v>5244</v>
      </c>
      <c r="AJ2171" s="309"/>
      <c r="AK2171" s="309" t="s">
        <v>48</v>
      </c>
      <c r="AL2171" s="309" t="s">
        <v>47</v>
      </c>
      <c r="AM2171" s="299">
        <f t="shared" ca="1" si="464"/>
        <v>0.85763888889050577</v>
      </c>
      <c r="AN2171" s="313"/>
      <c r="AO2171" s="288" t="s">
        <v>67</v>
      </c>
      <c r="AP2171" s="275" t="s">
        <v>5333</v>
      </c>
      <c r="AQ2171" s="288" t="s">
        <v>5393</v>
      </c>
      <c r="AR2171" s="277">
        <v>44939.552083333336</v>
      </c>
      <c r="AS2171" s="272" t="s">
        <v>136</v>
      </c>
      <c r="AT2171" s="288" t="s">
        <v>225</v>
      </c>
      <c r="AU2171" s="276">
        <v>0.55208333333333337</v>
      </c>
      <c r="AV2171" s="288">
        <v>2</v>
      </c>
      <c r="AW2171" s="288" t="s">
        <v>66</v>
      </c>
      <c r="AX2171" s="314"/>
      <c r="AY2171" s="314"/>
      <c r="AZ2171" s="314"/>
      <c r="BA2171" s="314"/>
    </row>
    <row r="2172" spans="1:53" s="301" customFormat="1" x14ac:dyDescent="0.25">
      <c r="A2172" s="312">
        <v>170</v>
      </c>
      <c r="B2172" s="311">
        <v>44938.694444444445</v>
      </c>
      <c r="C2172" s="308">
        <v>0.69791666666666663</v>
      </c>
      <c r="D2172" s="308">
        <v>0.72222222222222221</v>
      </c>
      <c r="E2172" s="308">
        <v>0.74305555555555547</v>
      </c>
      <c r="F2172" s="309" t="s">
        <v>169</v>
      </c>
      <c r="G2172" s="309" t="s">
        <v>480</v>
      </c>
      <c r="H2172" s="307" t="s">
        <v>282</v>
      </c>
      <c r="I2172" s="307" t="s">
        <v>281</v>
      </c>
      <c r="J2172" s="307" t="s">
        <v>37</v>
      </c>
      <c r="K2172" s="307" t="s">
        <v>233</v>
      </c>
      <c r="L2172" s="307" t="s">
        <v>285</v>
      </c>
      <c r="M2172" s="309" t="s">
        <v>5333</v>
      </c>
      <c r="N2172" s="309" t="s">
        <v>38</v>
      </c>
      <c r="O2172" s="309" t="s">
        <v>5334</v>
      </c>
      <c r="P2172" s="309">
        <v>2000061616</v>
      </c>
      <c r="Q2172" s="303">
        <f t="shared" ref="Q2172" si="467">S2172+U2172</f>
        <v>0</v>
      </c>
      <c r="R2172" s="303">
        <f t="shared" ref="R2172" si="468">T2172+V2172</f>
        <v>0</v>
      </c>
      <c r="S2172" s="309">
        <v>0</v>
      </c>
      <c r="T2172" s="309">
        <v>0</v>
      </c>
      <c r="U2172" s="309">
        <v>0</v>
      </c>
      <c r="V2172" s="309">
        <v>0</v>
      </c>
      <c r="W2172" s="309">
        <v>0</v>
      </c>
      <c r="X2172" s="309">
        <v>52</v>
      </c>
      <c r="Y2172" s="309">
        <v>42</v>
      </c>
      <c r="Z2172" s="309">
        <v>37</v>
      </c>
      <c r="AA2172" s="309">
        <f>45+18</f>
        <v>63</v>
      </c>
      <c r="AB2172" s="307">
        <f t="shared" ref="AB2172" si="469">X2172*Y2172*Z2172*AA2172/6000</f>
        <v>848.48400000000004</v>
      </c>
      <c r="AC2172" s="307">
        <f t="shared" ref="AC2172" si="470">AB2172/166</f>
        <v>5.1113493975903621</v>
      </c>
      <c r="AD2172" s="309">
        <v>0</v>
      </c>
      <c r="AE2172" s="309">
        <v>0</v>
      </c>
      <c r="AF2172" s="309">
        <v>6899641</v>
      </c>
      <c r="AG2172" s="309" t="s">
        <v>5248</v>
      </c>
      <c r="AH2172" s="309" t="s">
        <v>5335</v>
      </c>
      <c r="AI2172" s="53" t="s">
        <v>5244</v>
      </c>
      <c r="AJ2172" s="309"/>
      <c r="AK2172" s="309" t="s">
        <v>48</v>
      </c>
      <c r="AL2172" s="309" t="s">
        <v>47</v>
      </c>
      <c r="AM2172" s="299">
        <f t="shared" ref="AM2172:AM2173" ca="1" si="471">IF(AP2172="",NOW()-B2172,AR2172-B2172)</f>
        <v>0.85763888889050577</v>
      </c>
      <c r="AN2172" s="313"/>
      <c r="AO2172" s="288" t="s">
        <v>67</v>
      </c>
      <c r="AP2172" s="275" t="s">
        <v>5333</v>
      </c>
      <c r="AQ2172" s="288" t="s">
        <v>5393</v>
      </c>
      <c r="AR2172" s="277">
        <v>44939.552083333336</v>
      </c>
      <c r="AS2172" s="272" t="s">
        <v>136</v>
      </c>
      <c r="AT2172" s="288" t="s">
        <v>225</v>
      </c>
      <c r="AU2172" s="276">
        <v>0.55208333333333337</v>
      </c>
      <c r="AV2172" s="288">
        <v>2</v>
      </c>
      <c r="AW2172" s="288" t="s">
        <v>66</v>
      </c>
      <c r="AX2172" s="314"/>
      <c r="AY2172" s="314"/>
      <c r="AZ2172" s="314"/>
      <c r="BA2172" s="314"/>
    </row>
    <row r="2173" spans="1:53" s="301" customFormat="1" x14ac:dyDescent="0.25">
      <c r="A2173" s="312">
        <v>171</v>
      </c>
      <c r="B2173" s="311">
        <v>44938.708333333336</v>
      </c>
      <c r="C2173" s="308">
        <v>0.71527777777777779</v>
      </c>
      <c r="D2173" s="308">
        <v>0.71875</v>
      </c>
      <c r="E2173" s="308">
        <v>0.75</v>
      </c>
      <c r="F2173" s="309" t="s">
        <v>171</v>
      </c>
      <c r="G2173" s="309" t="s">
        <v>5272</v>
      </c>
      <c r="H2173" s="307" t="s">
        <v>3119</v>
      </c>
      <c r="I2173" s="307" t="s">
        <v>110</v>
      </c>
      <c r="J2173" s="307" t="s">
        <v>37</v>
      </c>
      <c r="K2173" s="307" t="s">
        <v>180</v>
      </c>
      <c r="L2173" s="307">
        <v>0</v>
      </c>
      <c r="M2173" s="309" t="s">
        <v>5336</v>
      </c>
      <c r="N2173" s="309" t="s">
        <v>186</v>
      </c>
      <c r="O2173" s="309">
        <v>3687</v>
      </c>
      <c r="P2173" s="309">
        <v>5052005614</v>
      </c>
      <c r="Q2173" s="303">
        <f t="shared" ref="Q2173" si="472">S2173+U2173</f>
        <v>2</v>
      </c>
      <c r="R2173" s="303">
        <f t="shared" ref="R2173" si="473">T2173+V2173</f>
        <v>116</v>
      </c>
      <c r="S2173" s="309">
        <v>0</v>
      </c>
      <c r="T2173" s="309">
        <v>0</v>
      </c>
      <c r="U2173" s="309">
        <v>2</v>
      </c>
      <c r="V2173" s="309">
        <v>116</v>
      </c>
      <c r="W2173" s="309">
        <v>115</v>
      </c>
      <c r="X2173" s="309">
        <v>98</v>
      </c>
      <c r="Y2173" s="309">
        <v>35</v>
      </c>
      <c r="Z2173" s="309">
        <v>42</v>
      </c>
      <c r="AA2173" s="309">
        <v>1</v>
      </c>
      <c r="AB2173" s="307">
        <f t="shared" ref="AB2173:AB2176" si="474">X2173*Y2173*Z2173*AA2173/6000</f>
        <v>24.01</v>
      </c>
      <c r="AC2173" s="307">
        <f t="shared" ref="AC2173:AC2176" si="475">AB2173/166</f>
        <v>0.14463855421686747</v>
      </c>
      <c r="AD2173" s="309">
        <v>2938.01</v>
      </c>
      <c r="AE2173" s="309" t="s">
        <v>109</v>
      </c>
      <c r="AF2173" s="309" t="s">
        <v>1566</v>
      </c>
      <c r="AG2173" s="309" t="s">
        <v>1566</v>
      </c>
      <c r="AH2173" s="309" t="s">
        <v>5337</v>
      </c>
      <c r="AI2173" s="53" t="s">
        <v>5338</v>
      </c>
      <c r="AJ2173" s="309"/>
      <c r="AK2173" s="309" t="s">
        <v>37</v>
      </c>
      <c r="AL2173" s="309" t="s">
        <v>39</v>
      </c>
      <c r="AM2173" s="299">
        <f t="shared" ca="1" si="471"/>
        <v>0.81944444444525288</v>
      </c>
      <c r="AN2173" s="313"/>
      <c r="AO2173" s="288" t="s">
        <v>131</v>
      </c>
      <c r="AP2173" s="275" t="s">
        <v>5336</v>
      </c>
      <c r="AQ2173" s="288" t="s">
        <v>5392</v>
      </c>
      <c r="AR2173" s="277">
        <v>44939.527777777781</v>
      </c>
      <c r="AS2173" s="272" t="s">
        <v>2535</v>
      </c>
      <c r="AT2173" s="288" t="s">
        <v>65</v>
      </c>
      <c r="AU2173" s="276">
        <v>0.52777777777777779</v>
      </c>
      <c r="AV2173" s="288">
        <v>1</v>
      </c>
      <c r="AW2173" s="288" t="s">
        <v>66</v>
      </c>
      <c r="AX2173" s="314"/>
      <c r="AY2173" s="314"/>
      <c r="AZ2173" s="314"/>
      <c r="BA2173" s="314"/>
    </row>
    <row r="2174" spans="1:53" s="301" customFormat="1" x14ac:dyDescent="0.25">
      <c r="A2174" s="312">
        <v>171</v>
      </c>
      <c r="B2174" s="311">
        <v>44938.708333333336</v>
      </c>
      <c r="C2174" s="308">
        <v>0.71527777777777779</v>
      </c>
      <c r="D2174" s="308">
        <v>0.71875</v>
      </c>
      <c r="E2174" s="308">
        <v>0.75</v>
      </c>
      <c r="F2174" s="309" t="s">
        <v>171</v>
      </c>
      <c r="G2174" s="309" t="s">
        <v>5272</v>
      </c>
      <c r="H2174" s="307" t="s">
        <v>3119</v>
      </c>
      <c r="I2174" s="307" t="s">
        <v>110</v>
      </c>
      <c r="J2174" s="307" t="s">
        <v>37</v>
      </c>
      <c r="K2174" s="307" t="s">
        <v>180</v>
      </c>
      <c r="L2174" s="307">
        <v>0</v>
      </c>
      <c r="M2174" s="309" t="s">
        <v>5336</v>
      </c>
      <c r="N2174" s="309" t="s">
        <v>186</v>
      </c>
      <c r="O2174" s="309">
        <v>3687</v>
      </c>
      <c r="P2174" s="309">
        <v>5052005614</v>
      </c>
      <c r="Q2174" s="303">
        <f t="shared" ref="Q2174" si="476">S2174+U2174</f>
        <v>0</v>
      </c>
      <c r="R2174" s="303">
        <f t="shared" ref="R2174" si="477">T2174+V2174</f>
        <v>0</v>
      </c>
      <c r="S2174" s="309">
        <v>0</v>
      </c>
      <c r="T2174" s="309">
        <v>0</v>
      </c>
      <c r="U2174" s="309">
        <v>0</v>
      </c>
      <c r="V2174" s="309">
        <v>0</v>
      </c>
      <c r="W2174" s="309">
        <v>0</v>
      </c>
      <c r="X2174" s="309">
        <v>73</v>
      </c>
      <c r="Y2174" s="309">
        <v>36</v>
      </c>
      <c r="Z2174" s="309">
        <v>39</v>
      </c>
      <c r="AA2174" s="309">
        <v>1</v>
      </c>
      <c r="AB2174" s="307">
        <f t="shared" si="474"/>
        <v>17.082000000000001</v>
      </c>
      <c r="AC2174" s="307">
        <f t="shared" si="475"/>
        <v>0.10290361445783133</v>
      </c>
      <c r="AD2174" s="309">
        <v>0</v>
      </c>
      <c r="AE2174" s="309">
        <v>0</v>
      </c>
      <c r="AF2174" s="309" t="s">
        <v>1566</v>
      </c>
      <c r="AG2174" s="309" t="s">
        <v>1566</v>
      </c>
      <c r="AH2174" s="309" t="s">
        <v>5337</v>
      </c>
      <c r="AI2174" s="53" t="s">
        <v>5338</v>
      </c>
      <c r="AJ2174" s="309"/>
      <c r="AK2174" s="309" t="s">
        <v>37</v>
      </c>
      <c r="AL2174" s="309" t="s">
        <v>39</v>
      </c>
      <c r="AM2174" s="299">
        <f t="shared" ref="AM2174:AM2226" ca="1" si="478">IF(AP2174="",NOW()-B2174,AR2174-B2174)</f>
        <v>0.81944444444525288</v>
      </c>
      <c r="AN2174" s="313"/>
      <c r="AO2174" s="288" t="s">
        <v>131</v>
      </c>
      <c r="AP2174" s="275" t="s">
        <v>5336</v>
      </c>
      <c r="AQ2174" s="288" t="s">
        <v>5392</v>
      </c>
      <c r="AR2174" s="277">
        <v>44939.527777777781</v>
      </c>
      <c r="AS2174" s="272" t="s">
        <v>2535</v>
      </c>
      <c r="AT2174" s="288" t="s">
        <v>65</v>
      </c>
      <c r="AU2174" s="276">
        <v>0.52777777777777779</v>
      </c>
      <c r="AV2174" s="288">
        <v>1</v>
      </c>
      <c r="AW2174" s="288" t="s">
        <v>66</v>
      </c>
      <c r="AX2174" s="314"/>
      <c r="AY2174" s="314"/>
      <c r="AZ2174" s="314"/>
      <c r="BA2174" s="314"/>
    </row>
    <row r="2175" spans="1:53" s="301" customFormat="1" x14ac:dyDescent="0.25">
      <c r="A2175" s="312">
        <v>172</v>
      </c>
      <c r="B2175" s="311">
        <v>44938.736111111109</v>
      </c>
      <c r="C2175" s="308">
        <v>0.73958333333333337</v>
      </c>
      <c r="D2175" s="308">
        <v>0.74305555555555547</v>
      </c>
      <c r="E2175" s="308">
        <v>0.75694444444444453</v>
      </c>
      <c r="F2175" s="309" t="s">
        <v>171</v>
      </c>
      <c r="G2175" s="309" t="s">
        <v>5011</v>
      </c>
      <c r="H2175" s="307" t="s">
        <v>199</v>
      </c>
      <c r="I2175" s="307" t="s">
        <v>174</v>
      </c>
      <c r="J2175" s="307" t="s">
        <v>37</v>
      </c>
      <c r="K2175" s="307" t="s">
        <v>180</v>
      </c>
      <c r="L2175" s="307" t="s">
        <v>206</v>
      </c>
      <c r="M2175" s="309" t="s">
        <v>5339</v>
      </c>
      <c r="N2175" s="309" t="s">
        <v>42</v>
      </c>
      <c r="O2175" s="309">
        <v>274010979</v>
      </c>
      <c r="P2175" s="309">
        <v>75583</v>
      </c>
      <c r="Q2175" s="303">
        <f t="shared" ref="Q2175" si="479">S2175+U2175</f>
        <v>1</v>
      </c>
      <c r="R2175" s="303">
        <f t="shared" ref="R2175" si="480">T2175+V2175</f>
        <v>182</v>
      </c>
      <c r="S2175" s="309">
        <v>0</v>
      </c>
      <c r="T2175" s="309">
        <v>0</v>
      </c>
      <c r="U2175" s="309">
        <v>1</v>
      </c>
      <c r="V2175" s="309">
        <v>182</v>
      </c>
      <c r="W2175" s="309">
        <v>181.8</v>
      </c>
      <c r="X2175" s="309">
        <v>123</v>
      </c>
      <c r="Y2175" s="309">
        <v>83</v>
      </c>
      <c r="Z2175" s="309">
        <v>75</v>
      </c>
      <c r="AA2175" s="309">
        <v>1</v>
      </c>
      <c r="AB2175" s="307">
        <f t="shared" si="474"/>
        <v>127.6125</v>
      </c>
      <c r="AC2175" s="307">
        <f t="shared" si="475"/>
        <v>0.76874999999999993</v>
      </c>
      <c r="AD2175" s="309">
        <v>4109.76</v>
      </c>
      <c r="AE2175" s="309" t="s">
        <v>109</v>
      </c>
      <c r="AF2175" s="309">
        <v>691290</v>
      </c>
      <c r="AG2175" s="309" t="s">
        <v>5248</v>
      </c>
      <c r="AH2175" s="309" t="s">
        <v>5340</v>
      </c>
      <c r="AI2175" s="53" t="s">
        <v>5244</v>
      </c>
      <c r="AJ2175" s="309"/>
      <c r="AK2175" s="309" t="s">
        <v>37</v>
      </c>
      <c r="AL2175" s="309" t="s">
        <v>54</v>
      </c>
      <c r="AM2175" s="299">
        <f t="shared" ca="1" si="478"/>
        <v>1.0104166666715173</v>
      </c>
      <c r="AN2175" s="313"/>
      <c r="AO2175" s="288" t="s">
        <v>232</v>
      </c>
      <c r="AP2175" s="275" t="s">
        <v>5339</v>
      </c>
      <c r="AQ2175" s="288" t="s">
        <v>5398</v>
      </c>
      <c r="AR2175" s="277">
        <v>44939.746527777781</v>
      </c>
      <c r="AS2175" s="272" t="s">
        <v>173</v>
      </c>
      <c r="AT2175" s="288" t="s">
        <v>225</v>
      </c>
      <c r="AU2175" s="276">
        <v>0.74652777777777779</v>
      </c>
      <c r="AV2175" s="288">
        <v>3</v>
      </c>
      <c r="AW2175" s="288" t="s">
        <v>66</v>
      </c>
      <c r="AX2175" s="314"/>
      <c r="AY2175" s="314"/>
      <c r="AZ2175" s="314"/>
      <c r="BA2175" s="314"/>
    </row>
    <row r="2176" spans="1:53" s="301" customFormat="1" x14ac:dyDescent="0.25">
      <c r="A2176" s="312">
        <v>173</v>
      </c>
      <c r="B2176" s="311">
        <v>44938.739583333336</v>
      </c>
      <c r="C2176" s="308">
        <v>0.77777777777777779</v>
      </c>
      <c r="D2176" s="308">
        <v>0.78472222222222221</v>
      </c>
      <c r="E2176" s="308">
        <v>0.78819444444444453</v>
      </c>
      <c r="F2176" s="309" t="s">
        <v>171</v>
      </c>
      <c r="G2176" s="309" t="s">
        <v>496</v>
      </c>
      <c r="H2176" s="310" t="s">
        <v>254</v>
      </c>
      <c r="I2176" s="310" t="s">
        <v>141</v>
      </c>
      <c r="J2176" s="310" t="s">
        <v>37</v>
      </c>
      <c r="K2176" s="310" t="s">
        <v>180</v>
      </c>
      <c r="L2176" s="310" t="s">
        <v>268</v>
      </c>
      <c r="M2176" s="309" t="s">
        <v>5348</v>
      </c>
      <c r="N2176" s="309" t="s">
        <v>5344</v>
      </c>
      <c r="O2176" s="309" t="s">
        <v>5345</v>
      </c>
      <c r="P2176" s="309" t="s">
        <v>5346</v>
      </c>
      <c r="Q2176" s="303">
        <f t="shared" ref="Q2176" si="481">S2176+U2176</f>
        <v>9</v>
      </c>
      <c r="R2176" s="303">
        <f t="shared" ref="R2176" si="482">T2176+V2176</f>
        <v>2283</v>
      </c>
      <c r="S2176" s="309">
        <v>0</v>
      </c>
      <c r="T2176" s="309">
        <v>0</v>
      </c>
      <c r="U2176" s="309">
        <v>9</v>
      </c>
      <c r="V2176" s="309">
        <f>255+253+254+253+255+254+254+253+252</f>
        <v>2283</v>
      </c>
      <c r="W2176" s="309">
        <v>2265</v>
      </c>
      <c r="X2176" s="309">
        <v>125</v>
      </c>
      <c r="Y2176" s="309">
        <v>120</v>
      </c>
      <c r="Z2176" s="309">
        <v>77</v>
      </c>
      <c r="AA2176" s="309">
        <v>9</v>
      </c>
      <c r="AB2176" s="307">
        <f t="shared" si="474"/>
        <v>1732.5</v>
      </c>
      <c r="AC2176" s="307">
        <f t="shared" si="475"/>
        <v>10.436746987951807</v>
      </c>
      <c r="AD2176" s="309">
        <v>28725.84</v>
      </c>
      <c r="AE2176" s="309" t="s">
        <v>109</v>
      </c>
      <c r="AF2176" s="309">
        <v>6920286</v>
      </c>
      <c r="AG2176" s="309" t="s">
        <v>5248</v>
      </c>
      <c r="AH2176" s="309" t="s">
        <v>5347</v>
      </c>
      <c r="AI2176" s="309" t="s">
        <v>5248</v>
      </c>
      <c r="AJ2176" s="308">
        <v>0.70138888888888884</v>
      </c>
      <c r="AK2176" s="309" t="s">
        <v>37</v>
      </c>
      <c r="AL2176" s="309" t="s">
        <v>39</v>
      </c>
      <c r="AM2176" s="299">
        <f t="shared" ca="1" si="478"/>
        <v>0.77777777777373558</v>
      </c>
      <c r="AN2176" s="313"/>
      <c r="AO2176" s="288" t="s">
        <v>81</v>
      </c>
      <c r="AP2176" s="275" t="s">
        <v>5348</v>
      </c>
      <c r="AQ2176" s="288" t="s">
        <v>5390</v>
      </c>
      <c r="AR2176" s="277">
        <v>44939.517361111109</v>
      </c>
      <c r="AS2176" s="272" t="s">
        <v>5391</v>
      </c>
      <c r="AT2176" s="288" t="s">
        <v>65</v>
      </c>
      <c r="AU2176" s="276">
        <v>0.51736111111111105</v>
      </c>
      <c r="AV2176" s="288">
        <v>1</v>
      </c>
      <c r="AW2176" s="288" t="s">
        <v>66</v>
      </c>
      <c r="AX2176" s="314"/>
      <c r="AY2176" s="314"/>
      <c r="AZ2176" s="314"/>
      <c r="BA2176" s="314"/>
    </row>
    <row r="2177" spans="1:53" s="301" customFormat="1" x14ac:dyDescent="0.25">
      <c r="A2177" s="312">
        <v>174</v>
      </c>
      <c r="B2177" s="311">
        <v>44939.416666666664</v>
      </c>
      <c r="C2177" s="308">
        <v>0.41666666666666669</v>
      </c>
      <c r="D2177" s="308">
        <v>0.4236111111111111</v>
      </c>
      <c r="E2177" s="308">
        <v>0.44444444444444442</v>
      </c>
      <c r="F2177" s="309" t="s">
        <v>171</v>
      </c>
      <c r="G2177" s="309" t="s">
        <v>2535</v>
      </c>
      <c r="H2177" s="307" t="s">
        <v>5349</v>
      </c>
      <c r="I2177" s="307" t="s">
        <v>377</v>
      </c>
      <c r="J2177" s="307" t="s">
        <v>37</v>
      </c>
      <c r="K2177" s="307" t="s">
        <v>180</v>
      </c>
      <c r="L2177" s="307">
        <v>0</v>
      </c>
      <c r="M2177" s="309" t="s">
        <v>5350</v>
      </c>
      <c r="N2177" s="309" t="s">
        <v>76</v>
      </c>
      <c r="O2177" s="309">
        <v>102010053</v>
      </c>
      <c r="P2177" s="309">
        <v>26800193</v>
      </c>
      <c r="Q2177" s="303">
        <f t="shared" ref="Q2177:Q2179" si="483">S2177+U2177</f>
        <v>5</v>
      </c>
      <c r="R2177" s="303">
        <f t="shared" ref="R2177:R2179" si="484">T2177+V2177</f>
        <v>453</v>
      </c>
      <c r="S2177" s="309">
        <v>0</v>
      </c>
      <c r="T2177" s="309">
        <v>0</v>
      </c>
      <c r="U2177" s="309">
        <v>5</v>
      </c>
      <c r="V2177" s="292">
        <v>453</v>
      </c>
      <c r="W2177" s="292">
        <v>700</v>
      </c>
      <c r="X2177" s="309">
        <v>121</v>
      </c>
      <c r="Y2177" s="309">
        <v>105</v>
      </c>
      <c r="Z2177" s="309">
        <v>86</v>
      </c>
      <c r="AA2177" s="309">
        <v>5</v>
      </c>
      <c r="AB2177" s="307">
        <f t="shared" ref="AB2177:AB2182" si="485">X2177*Y2177*Z2177*AA2177/6000</f>
        <v>910.52499999999998</v>
      </c>
      <c r="AC2177" s="307">
        <f t="shared" ref="AC2177:AC2182" si="486">AB2177/166</f>
        <v>5.4850903614457831</v>
      </c>
      <c r="AD2177" s="309">
        <v>13260.8</v>
      </c>
      <c r="AE2177" s="309" t="s">
        <v>109</v>
      </c>
      <c r="AF2177" s="309" t="s">
        <v>1566</v>
      </c>
      <c r="AG2177" s="309" t="s">
        <v>1566</v>
      </c>
      <c r="AH2177" s="309" t="s">
        <v>5351</v>
      </c>
      <c r="AI2177" s="309" t="s">
        <v>5352</v>
      </c>
      <c r="AJ2177" s="309"/>
      <c r="AK2177" s="309" t="s">
        <v>37</v>
      </c>
      <c r="AL2177" s="309" t="s">
        <v>39</v>
      </c>
      <c r="AM2177" s="299">
        <f t="shared" ca="1" si="478"/>
        <v>4.3859846064806334</v>
      </c>
      <c r="AN2177" s="313"/>
      <c r="AO2177" s="314"/>
      <c r="AP2177" s="314"/>
      <c r="AQ2177" s="314"/>
      <c r="AR2177" s="314"/>
      <c r="AS2177" s="314"/>
      <c r="AT2177" s="314"/>
      <c r="AU2177" s="314"/>
      <c r="AV2177" s="314"/>
      <c r="AW2177" s="314"/>
      <c r="AX2177" s="314"/>
      <c r="AY2177" s="314"/>
      <c r="AZ2177" s="314"/>
      <c r="BA2177" s="314"/>
    </row>
    <row r="2178" spans="1:53" s="301" customFormat="1" x14ac:dyDescent="0.25">
      <c r="A2178" s="312">
        <v>175</v>
      </c>
      <c r="B2178" s="311">
        <v>44939.416666666664</v>
      </c>
      <c r="C2178" s="308">
        <v>0.41666666666666669</v>
      </c>
      <c r="D2178" s="308">
        <v>0.4236111111111111</v>
      </c>
      <c r="E2178" s="308">
        <v>0.44444444444444442</v>
      </c>
      <c r="F2178" s="309" t="s">
        <v>171</v>
      </c>
      <c r="G2178" s="309" t="s">
        <v>2535</v>
      </c>
      <c r="H2178" s="307" t="s">
        <v>5349</v>
      </c>
      <c r="I2178" s="307" t="s">
        <v>377</v>
      </c>
      <c r="J2178" s="307" t="s">
        <v>37</v>
      </c>
      <c r="K2178" s="307" t="s">
        <v>180</v>
      </c>
      <c r="L2178" s="307">
        <v>0</v>
      </c>
      <c r="M2178" s="309" t="s">
        <v>5350</v>
      </c>
      <c r="N2178" s="309" t="s">
        <v>76</v>
      </c>
      <c r="O2178" s="309">
        <v>102010054</v>
      </c>
      <c r="P2178" s="309">
        <v>26800157</v>
      </c>
      <c r="Q2178" s="303">
        <f t="shared" si="483"/>
        <v>5</v>
      </c>
      <c r="R2178" s="303">
        <f t="shared" si="484"/>
        <v>481</v>
      </c>
      <c r="S2178" s="309">
        <v>0</v>
      </c>
      <c r="T2178" s="309">
        <v>0</v>
      </c>
      <c r="U2178" s="309">
        <v>5</v>
      </c>
      <c r="V2178" s="292">
        <v>481</v>
      </c>
      <c r="W2178" s="292">
        <v>700</v>
      </c>
      <c r="X2178" s="309">
        <v>121</v>
      </c>
      <c r="Y2178" s="309">
        <v>105</v>
      </c>
      <c r="Z2178" s="309">
        <v>86</v>
      </c>
      <c r="AA2178" s="309">
        <v>5</v>
      </c>
      <c r="AB2178" s="307">
        <f t="shared" si="485"/>
        <v>910.52499999999998</v>
      </c>
      <c r="AC2178" s="307">
        <f t="shared" si="486"/>
        <v>5.4850903614457831</v>
      </c>
      <c r="AD2178" s="309">
        <v>13204.8</v>
      </c>
      <c r="AE2178" s="309" t="s">
        <v>109</v>
      </c>
      <c r="AF2178" s="309" t="s">
        <v>1566</v>
      </c>
      <c r="AG2178" s="309" t="s">
        <v>1566</v>
      </c>
      <c r="AH2178" s="309" t="s">
        <v>5353</v>
      </c>
      <c r="AI2178" s="309" t="s">
        <v>5352</v>
      </c>
      <c r="AJ2178" s="309"/>
      <c r="AK2178" s="309" t="s">
        <v>37</v>
      </c>
      <c r="AL2178" s="309" t="s">
        <v>39</v>
      </c>
      <c r="AM2178" s="299">
        <f t="shared" ca="1" si="478"/>
        <v>4.3859846064806334</v>
      </c>
      <c r="AN2178" s="313"/>
      <c r="AO2178" s="314"/>
      <c r="AP2178" s="314"/>
      <c r="AQ2178" s="314"/>
      <c r="AR2178" s="314"/>
      <c r="AS2178" s="314"/>
      <c r="AT2178" s="314"/>
      <c r="AU2178" s="314"/>
      <c r="AV2178" s="314"/>
      <c r="AW2178" s="314"/>
      <c r="AX2178" s="314"/>
      <c r="AY2178" s="314"/>
      <c r="AZ2178" s="314"/>
      <c r="BA2178" s="314"/>
    </row>
    <row r="2179" spans="1:53" s="301" customFormat="1" x14ac:dyDescent="0.25">
      <c r="A2179" s="312">
        <v>176</v>
      </c>
      <c r="B2179" s="311">
        <v>44939.46875</v>
      </c>
      <c r="C2179" s="308">
        <v>0.47222222222222227</v>
      </c>
      <c r="D2179" s="308">
        <v>0.61458333333333337</v>
      </c>
      <c r="E2179" s="308">
        <v>0.63194444444444442</v>
      </c>
      <c r="F2179" s="309" t="s">
        <v>170</v>
      </c>
      <c r="G2179" s="309" t="s">
        <v>5354</v>
      </c>
      <c r="H2179" s="307" t="s">
        <v>227</v>
      </c>
      <c r="I2179" s="307" t="s">
        <v>189</v>
      </c>
      <c r="J2179" s="307" t="s">
        <v>37</v>
      </c>
      <c r="K2179" s="307" t="s">
        <v>63</v>
      </c>
      <c r="L2179" s="307" t="s">
        <v>206</v>
      </c>
      <c r="M2179" s="309" t="s">
        <v>5355</v>
      </c>
      <c r="N2179" s="309" t="s">
        <v>43</v>
      </c>
      <c r="O2179" s="309" t="s">
        <v>5356</v>
      </c>
      <c r="P2179" s="309">
        <v>26186</v>
      </c>
      <c r="Q2179" s="303">
        <f t="shared" si="483"/>
        <v>10</v>
      </c>
      <c r="R2179" s="303">
        <f t="shared" si="484"/>
        <v>2642</v>
      </c>
      <c r="S2179" s="309">
        <v>0</v>
      </c>
      <c r="T2179" s="309">
        <v>0</v>
      </c>
      <c r="U2179" s="309">
        <v>10</v>
      </c>
      <c r="V2179" s="292">
        <f>595+297+235-62+340-67+237-62+344-62+345-62+344-62+344-62</f>
        <v>2642</v>
      </c>
      <c r="W2179" s="292">
        <v>2242</v>
      </c>
      <c r="X2179" s="93">
        <v>158</v>
      </c>
      <c r="Y2179" s="309">
        <v>131</v>
      </c>
      <c r="Z2179" s="309">
        <v>79</v>
      </c>
      <c r="AA2179" s="309">
        <v>3</v>
      </c>
      <c r="AB2179" s="307">
        <f t="shared" si="485"/>
        <v>817.57100000000003</v>
      </c>
      <c r="AC2179" s="307">
        <f t="shared" si="486"/>
        <v>4.925126506024097</v>
      </c>
      <c r="AD2179" s="309" t="s">
        <v>48</v>
      </c>
      <c r="AE2179" s="309" t="s">
        <v>48</v>
      </c>
      <c r="AF2179" s="309" t="s">
        <v>317</v>
      </c>
      <c r="AG2179" s="309" t="s">
        <v>317</v>
      </c>
      <c r="AH2179" s="309" t="s">
        <v>5357</v>
      </c>
      <c r="AI2179" s="309" t="s">
        <v>5358</v>
      </c>
      <c r="AJ2179" s="309"/>
      <c r="AK2179" s="309" t="s">
        <v>37</v>
      </c>
      <c r="AL2179" s="309" t="s">
        <v>54</v>
      </c>
      <c r="AM2179" s="299">
        <f t="shared" ca="1" si="478"/>
        <v>0.31597222221898846</v>
      </c>
      <c r="AN2179" s="313"/>
      <c r="AO2179" s="288" t="s">
        <v>179</v>
      </c>
      <c r="AP2179" s="275" t="s">
        <v>5355</v>
      </c>
      <c r="AQ2179" s="288" t="s">
        <v>5403</v>
      </c>
      <c r="AR2179" s="277">
        <v>44939.784722222219</v>
      </c>
      <c r="AS2179" s="272" t="s">
        <v>5404</v>
      </c>
      <c r="AT2179" s="288" t="s">
        <v>65</v>
      </c>
      <c r="AU2179" s="276">
        <v>0.78472222222222221</v>
      </c>
      <c r="AV2179" s="288">
        <v>1</v>
      </c>
      <c r="AW2179" s="288" t="s">
        <v>66</v>
      </c>
      <c r="AX2179" s="314"/>
      <c r="AY2179" s="314"/>
      <c r="AZ2179" s="314"/>
      <c r="BA2179" s="314"/>
    </row>
    <row r="2180" spans="1:53" s="301" customFormat="1" x14ac:dyDescent="0.25">
      <c r="A2180" s="312">
        <v>176</v>
      </c>
      <c r="B2180" s="311">
        <v>44939.46875</v>
      </c>
      <c r="C2180" s="308">
        <v>0.47222222222222227</v>
      </c>
      <c r="D2180" s="308">
        <v>0.61458333333333337</v>
      </c>
      <c r="E2180" s="308">
        <v>0.63194444444444442</v>
      </c>
      <c r="F2180" s="309" t="s">
        <v>170</v>
      </c>
      <c r="G2180" s="309" t="s">
        <v>5354</v>
      </c>
      <c r="H2180" s="307" t="s">
        <v>227</v>
      </c>
      <c r="I2180" s="307" t="s">
        <v>189</v>
      </c>
      <c r="J2180" s="307" t="s">
        <v>37</v>
      </c>
      <c r="K2180" s="307" t="s">
        <v>63</v>
      </c>
      <c r="L2180" s="307" t="s">
        <v>206</v>
      </c>
      <c r="M2180" s="309" t="s">
        <v>5355</v>
      </c>
      <c r="N2180" s="309" t="s">
        <v>43</v>
      </c>
      <c r="O2180" s="309" t="s">
        <v>5356</v>
      </c>
      <c r="P2180" s="309">
        <v>26186</v>
      </c>
      <c r="Q2180" s="303">
        <f t="shared" ref="Q2180:Q2181" si="487">S2180+U2180</f>
        <v>0</v>
      </c>
      <c r="R2180" s="303">
        <f t="shared" ref="R2180:R2181" si="488">T2180+V2180</f>
        <v>0</v>
      </c>
      <c r="S2180" s="309">
        <v>0</v>
      </c>
      <c r="T2180" s="309">
        <v>0</v>
      </c>
      <c r="U2180" s="309">
        <v>0</v>
      </c>
      <c r="V2180" s="309">
        <v>0</v>
      </c>
      <c r="W2180" s="309">
        <v>0</v>
      </c>
      <c r="X2180" s="309">
        <v>104</v>
      </c>
      <c r="Y2180" s="309">
        <v>46</v>
      </c>
      <c r="Z2180" s="309">
        <v>44</v>
      </c>
      <c r="AA2180" s="309">
        <v>3</v>
      </c>
      <c r="AB2180" s="307">
        <f t="shared" si="485"/>
        <v>105.248</v>
      </c>
      <c r="AC2180" s="307">
        <f t="shared" si="486"/>
        <v>0.63402409638554225</v>
      </c>
      <c r="AD2180" s="309">
        <v>0</v>
      </c>
      <c r="AE2180" s="309">
        <v>0</v>
      </c>
      <c r="AF2180" s="309" t="s">
        <v>317</v>
      </c>
      <c r="AG2180" s="309" t="s">
        <v>317</v>
      </c>
      <c r="AH2180" s="309" t="s">
        <v>5357</v>
      </c>
      <c r="AI2180" s="309" t="s">
        <v>5358</v>
      </c>
      <c r="AJ2180" s="309"/>
      <c r="AK2180" s="309" t="s">
        <v>41</v>
      </c>
      <c r="AL2180" s="309" t="s">
        <v>54</v>
      </c>
      <c r="AM2180" s="299">
        <f t="shared" ca="1" si="478"/>
        <v>0.31597222221898846</v>
      </c>
      <c r="AN2180" s="313"/>
      <c r="AO2180" s="288" t="s">
        <v>179</v>
      </c>
      <c r="AP2180" s="275" t="s">
        <v>5355</v>
      </c>
      <c r="AQ2180" s="288" t="s">
        <v>5403</v>
      </c>
      <c r="AR2180" s="277">
        <v>44939.784722222219</v>
      </c>
      <c r="AS2180" s="272" t="s">
        <v>5404</v>
      </c>
      <c r="AT2180" s="288" t="s">
        <v>65</v>
      </c>
      <c r="AU2180" s="276">
        <v>0.78472222222222221</v>
      </c>
      <c r="AV2180" s="288">
        <v>1</v>
      </c>
      <c r="AW2180" s="288" t="s">
        <v>66</v>
      </c>
      <c r="AX2180" s="314"/>
      <c r="AY2180" s="314"/>
      <c r="AZ2180" s="314"/>
      <c r="BA2180" s="314"/>
    </row>
    <row r="2181" spans="1:53" s="301" customFormat="1" x14ac:dyDescent="0.25">
      <c r="A2181" s="312">
        <v>176</v>
      </c>
      <c r="B2181" s="311">
        <v>44939.46875</v>
      </c>
      <c r="C2181" s="308">
        <v>0.47222222222222227</v>
      </c>
      <c r="D2181" s="308">
        <v>0.61458333333333337</v>
      </c>
      <c r="E2181" s="308">
        <v>0.63194444444444442</v>
      </c>
      <c r="F2181" s="309" t="s">
        <v>170</v>
      </c>
      <c r="G2181" s="309" t="s">
        <v>5354</v>
      </c>
      <c r="H2181" s="307" t="s">
        <v>227</v>
      </c>
      <c r="I2181" s="307" t="s">
        <v>189</v>
      </c>
      <c r="J2181" s="307" t="s">
        <v>37</v>
      </c>
      <c r="K2181" s="307" t="s">
        <v>63</v>
      </c>
      <c r="L2181" s="307" t="s">
        <v>206</v>
      </c>
      <c r="M2181" s="309" t="s">
        <v>5355</v>
      </c>
      <c r="N2181" s="309" t="s">
        <v>43</v>
      </c>
      <c r="O2181" s="309" t="s">
        <v>5356</v>
      </c>
      <c r="P2181" s="309">
        <v>26186</v>
      </c>
      <c r="Q2181" s="303">
        <f t="shared" si="487"/>
        <v>0</v>
      </c>
      <c r="R2181" s="303">
        <f t="shared" si="488"/>
        <v>0</v>
      </c>
      <c r="S2181" s="309">
        <v>0</v>
      </c>
      <c r="T2181" s="309">
        <v>0</v>
      </c>
      <c r="U2181" s="309">
        <v>0</v>
      </c>
      <c r="V2181" s="309">
        <v>0</v>
      </c>
      <c r="W2181" s="309">
        <v>0</v>
      </c>
      <c r="X2181" s="309">
        <v>173</v>
      </c>
      <c r="Y2181" s="309">
        <v>145</v>
      </c>
      <c r="Z2181" s="309">
        <v>96</v>
      </c>
      <c r="AA2181" s="309">
        <v>4</v>
      </c>
      <c r="AB2181" s="307">
        <f t="shared" si="485"/>
        <v>1605.44</v>
      </c>
      <c r="AC2181" s="307">
        <f t="shared" si="486"/>
        <v>9.6713253012048188</v>
      </c>
      <c r="AD2181" s="309">
        <v>0</v>
      </c>
      <c r="AE2181" s="309">
        <v>0</v>
      </c>
      <c r="AF2181" s="309" t="s">
        <v>317</v>
      </c>
      <c r="AG2181" s="309" t="s">
        <v>317</v>
      </c>
      <c r="AH2181" s="309" t="s">
        <v>5357</v>
      </c>
      <c r="AI2181" s="309" t="s">
        <v>5358</v>
      </c>
      <c r="AJ2181" s="309"/>
      <c r="AK2181" s="309" t="s">
        <v>37</v>
      </c>
      <c r="AL2181" s="309" t="s">
        <v>49</v>
      </c>
      <c r="AM2181" s="299">
        <f t="shared" ca="1" si="478"/>
        <v>0.31597222221898846</v>
      </c>
      <c r="AN2181" s="313"/>
      <c r="AO2181" s="288" t="s">
        <v>179</v>
      </c>
      <c r="AP2181" s="275" t="s">
        <v>5355</v>
      </c>
      <c r="AQ2181" s="288" t="s">
        <v>5403</v>
      </c>
      <c r="AR2181" s="277">
        <v>44939.784722222219</v>
      </c>
      <c r="AS2181" s="272" t="s">
        <v>5404</v>
      </c>
      <c r="AT2181" s="288" t="s">
        <v>65</v>
      </c>
      <c r="AU2181" s="276">
        <v>0.78472222222222221</v>
      </c>
      <c r="AV2181" s="288">
        <v>1</v>
      </c>
      <c r="AW2181" s="288" t="s">
        <v>66</v>
      </c>
      <c r="AX2181" s="314"/>
      <c r="AY2181" s="314"/>
      <c r="AZ2181" s="314"/>
      <c r="BA2181" s="314"/>
    </row>
    <row r="2182" spans="1:53" s="301" customFormat="1" x14ac:dyDescent="0.25">
      <c r="A2182" s="312">
        <v>177</v>
      </c>
      <c r="B2182" s="311">
        <v>44939.46875</v>
      </c>
      <c r="C2182" s="308">
        <v>0.47222222222222227</v>
      </c>
      <c r="D2182" s="308">
        <v>0.61458333333333337</v>
      </c>
      <c r="E2182" s="308">
        <v>0.63194444444444442</v>
      </c>
      <c r="F2182" s="309" t="s">
        <v>170</v>
      </c>
      <c r="G2182" s="309" t="s">
        <v>5354</v>
      </c>
      <c r="H2182" s="307" t="s">
        <v>227</v>
      </c>
      <c r="I2182" s="307" t="s">
        <v>189</v>
      </c>
      <c r="J2182" s="307" t="s">
        <v>37</v>
      </c>
      <c r="K2182" s="307" t="s">
        <v>63</v>
      </c>
      <c r="L2182" s="307" t="s">
        <v>206</v>
      </c>
      <c r="M2182" s="309" t="s">
        <v>5355</v>
      </c>
      <c r="N2182" s="309" t="s">
        <v>43</v>
      </c>
      <c r="O2182" s="309" t="s">
        <v>5359</v>
      </c>
      <c r="P2182" s="309">
        <v>31817</v>
      </c>
      <c r="Q2182" s="303">
        <f t="shared" ref="Q2182" si="489">S2182+U2182</f>
        <v>1</v>
      </c>
      <c r="R2182" s="303">
        <f t="shared" ref="R2182" si="490">T2182+V2182</f>
        <v>61</v>
      </c>
      <c r="S2182" s="309">
        <v>0</v>
      </c>
      <c r="T2182" s="309">
        <v>0</v>
      </c>
      <c r="U2182" s="309">
        <v>1</v>
      </c>
      <c r="V2182" s="309">
        <v>61</v>
      </c>
      <c r="W2182" s="309">
        <v>70</v>
      </c>
      <c r="X2182" s="309">
        <v>104</v>
      </c>
      <c r="Y2182" s="309">
        <v>46</v>
      </c>
      <c r="Z2182" s="309">
        <v>44</v>
      </c>
      <c r="AA2182" s="309">
        <v>1</v>
      </c>
      <c r="AB2182" s="307">
        <f t="shared" si="485"/>
        <v>35.082666666666668</v>
      </c>
      <c r="AC2182" s="307">
        <f t="shared" si="486"/>
        <v>0.2113413654618474</v>
      </c>
      <c r="AD2182" s="309" t="s">
        <v>48</v>
      </c>
      <c r="AE2182" s="309" t="s">
        <v>48</v>
      </c>
      <c r="AF2182" s="309" t="s">
        <v>317</v>
      </c>
      <c r="AG2182" s="309" t="s">
        <v>317</v>
      </c>
      <c r="AH2182" s="309" t="s">
        <v>5360</v>
      </c>
      <c r="AI2182" s="309" t="s">
        <v>5358</v>
      </c>
      <c r="AJ2182" s="309"/>
      <c r="AK2182" s="309" t="s">
        <v>41</v>
      </c>
      <c r="AL2182" s="309" t="s">
        <v>54</v>
      </c>
      <c r="AM2182" s="299">
        <f t="shared" ca="1" si="478"/>
        <v>0.31597222221898846</v>
      </c>
      <c r="AN2182" s="313"/>
      <c r="AO2182" s="288" t="s">
        <v>179</v>
      </c>
      <c r="AP2182" s="275" t="s">
        <v>5355</v>
      </c>
      <c r="AQ2182" s="288" t="s">
        <v>5403</v>
      </c>
      <c r="AR2182" s="277">
        <v>44939.784722222219</v>
      </c>
      <c r="AS2182" s="272" t="s">
        <v>5404</v>
      </c>
      <c r="AT2182" s="288" t="s">
        <v>65</v>
      </c>
      <c r="AU2182" s="276">
        <v>0.78472222222222221</v>
      </c>
      <c r="AV2182" s="288">
        <v>1</v>
      </c>
      <c r="AW2182" s="288" t="s">
        <v>66</v>
      </c>
      <c r="AX2182" s="314"/>
      <c r="AY2182" s="314"/>
      <c r="AZ2182" s="314"/>
      <c r="BA2182" s="314"/>
    </row>
    <row r="2183" spans="1:53" s="301" customFormat="1" x14ac:dyDescent="0.25">
      <c r="A2183" s="312">
        <v>178</v>
      </c>
      <c r="B2183" s="311">
        <v>44939.600694444445</v>
      </c>
      <c r="C2183" s="308">
        <v>0.60416666666666663</v>
      </c>
      <c r="D2183" s="308">
        <v>0.61805555555555558</v>
      </c>
      <c r="E2183" s="308">
        <v>0.65277777777777779</v>
      </c>
      <c r="F2183" s="309" t="s">
        <v>169</v>
      </c>
      <c r="G2183" s="309" t="s">
        <v>2604</v>
      </c>
      <c r="H2183" s="307" t="s">
        <v>4495</v>
      </c>
      <c r="I2183" s="307" t="s">
        <v>354</v>
      </c>
      <c r="J2183" s="307" t="s">
        <v>41</v>
      </c>
      <c r="K2183" s="307" t="s">
        <v>241</v>
      </c>
      <c r="L2183" s="307">
        <v>0</v>
      </c>
      <c r="M2183" s="309" t="s">
        <v>5361</v>
      </c>
      <c r="N2183" s="309" t="s">
        <v>42</v>
      </c>
      <c r="O2183" s="309" t="s">
        <v>5362</v>
      </c>
      <c r="P2183" s="309">
        <v>10200423</v>
      </c>
      <c r="Q2183" s="303">
        <f t="shared" ref="Q2183:Q2199" si="491">S2183+U2183</f>
        <v>46</v>
      </c>
      <c r="R2183" s="303">
        <f t="shared" ref="R2183:R2199" si="492">T2183+V2183</f>
        <v>317</v>
      </c>
      <c r="S2183" s="309">
        <v>46</v>
      </c>
      <c r="T2183" s="309">
        <v>317</v>
      </c>
      <c r="U2183" s="309">
        <v>0</v>
      </c>
      <c r="V2183" s="309">
        <v>0</v>
      </c>
      <c r="W2183" s="309">
        <v>268.40499999999997</v>
      </c>
      <c r="X2183" s="309">
        <v>56</v>
      </c>
      <c r="Y2183" s="309">
        <v>37</v>
      </c>
      <c r="Z2183" s="309">
        <v>16</v>
      </c>
      <c r="AA2183" s="309">
        <v>43</v>
      </c>
      <c r="AB2183" s="307">
        <f t="shared" ref="AB2183:AB2199" si="493">X2183*Y2183*Z2183*AA2183/6000</f>
        <v>237.58933333333334</v>
      </c>
      <c r="AC2183" s="307">
        <f t="shared" ref="AC2183:AC2199" si="494">AB2183/166</f>
        <v>1.4312610441767069</v>
      </c>
      <c r="AD2183" s="309">
        <v>6685.35</v>
      </c>
      <c r="AE2183" s="309" t="s">
        <v>109</v>
      </c>
      <c r="AF2183" s="309">
        <v>6889438</v>
      </c>
      <c r="AG2183" s="309" t="s">
        <v>5246</v>
      </c>
      <c r="AH2183" s="309" t="s">
        <v>5363</v>
      </c>
      <c r="AI2183" s="309" t="s">
        <v>5244</v>
      </c>
      <c r="AJ2183" s="309"/>
      <c r="AK2183" s="309" t="s">
        <v>48</v>
      </c>
      <c r="AL2183" s="309" t="s">
        <v>47</v>
      </c>
      <c r="AM2183" s="299">
        <f t="shared" ca="1" si="478"/>
        <v>0.97569444444525288</v>
      </c>
      <c r="AN2183" s="313"/>
      <c r="AO2183" s="288" t="s">
        <v>132</v>
      </c>
      <c r="AP2183" s="288" t="s">
        <v>5361</v>
      </c>
      <c r="AQ2183" s="288" t="s">
        <v>5452</v>
      </c>
      <c r="AR2183" s="277">
        <v>44940.576388888891</v>
      </c>
      <c r="AS2183" s="272" t="s">
        <v>173</v>
      </c>
      <c r="AT2183" s="288" t="s">
        <v>65</v>
      </c>
      <c r="AU2183" s="276">
        <v>0.57638888888888895</v>
      </c>
      <c r="AV2183" s="288">
        <v>1</v>
      </c>
      <c r="AW2183" s="288" t="s">
        <v>66</v>
      </c>
      <c r="AX2183" s="314"/>
      <c r="AY2183" s="314"/>
      <c r="AZ2183" s="314"/>
      <c r="BA2183" s="314"/>
    </row>
    <row r="2184" spans="1:53" s="301" customFormat="1" x14ac:dyDescent="0.25">
      <c r="A2184" s="312">
        <v>178</v>
      </c>
      <c r="B2184" s="311">
        <v>44939.600694444445</v>
      </c>
      <c r="C2184" s="308">
        <v>0.60416666666666663</v>
      </c>
      <c r="D2184" s="308">
        <v>0.61805555555555558</v>
      </c>
      <c r="E2184" s="308">
        <v>0.65277777777777779</v>
      </c>
      <c r="F2184" s="309" t="s">
        <v>169</v>
      </c>
      <c r="G2184" s="309" t="s">
        <v>2604</v>
      </c>
      <c r="H2184" s="307" t="s">
        <v>4495</v>
      </c>
      <c r="I2184" s="307" t="s">
        <v>354</v>
      </c>
      <c r="J2184" s="307" t="s">
        <v>41</v>
      </c>
      <c r="K2184" s="307" t="s">
        <v>241</v>
      </c>
      <c r="L2184" s="307">
        <v>0</v>
      </c>
      <c r="M2184" s="309" t="s">
        <v>5361</v>
      </c>
      <c r="N2184" s="309" t="s">
        <v>42</v>
      </c>
      <c r="O2184" s="309" t="s">
        <v>5362</v>
      </c>
      <c r="P2184" s="309">
        <v>10200423</v>
      </c>
      <c r="Q2184" s="303">
        <f t="shared" si="491"/>
        <v>0</v>
      </c>
      <c r="R2184" s="303">
        <f t="shared" si="492"/>
        <v>0</v>
      </c>
      <c r="S2184" s="309">
        <v>0</v>
      </c>
      <c r="T2184" s="309">
        <v>0</v>
      </c>
      <c r="U2184" s="309">
        <v>0</v>
      </c>
      <c r="V2184" s="309">
        <v>0</v>
      </c>
      <c r="W2184" s="309">
        <v>0</v>
      </c>
      <c r="X2184" s="309">
        <v>38</v>
      </c>
      <c r="Y2184" s="309">
        <v>29</v>
      </c>
      <c r="Z2184" s="309">
        <v>15</v>
      </c>
      <c r="AA2184" s="309">
        <v>3</v>
      </c>
      <c r="AB2184" s="307">
        <f t="shared" si="493"/>
        <v>8.2650000000000006</v>
      </c>
      <c r="AC2184" s="307">
        <f t="shared" si="494"/>
        <v>4.9789156626506029E-2</v>
      </c>
      <c r="AD2184" s="309">
        <v>0</v>
      </c>
      <c r="AE2184" s="309">
        <v>0</v>
      </c>
      <c r="AF2184" s="309">
        <v>6889438</v>
      </c>
      <c r="AG2184" s="309" t="s">
        <v>5246</v>
      </c>
      <c r="AH2184" s="309" t="s">
        <v>5363</v>
      </c>
      <c r="AI2184" s="309" t="s">
        <v>5244</v>
      </c>
      <c r="AJ2184" s="309"/>
      <c r="AK2184" s="309" t="s">
        <v>48</v>
      </c>
      <c r="AL2184" s="309" t="s">
        <v>47</v>
      </c>
      <c r="AM2184" s="299">
        <f t="shared" ca="1" si="478"/>
        <v>0.97569444444525288</v>
      </c>
      <c r="AN2184" s="313"/>
      <c r="AO2184" s="288" t="s">
        <v>132</v>
      </c>
      <c r="AP2184" s="288" t="s">
        <v>5361</v>
      </c>
      <c r="AQ2184" s="288" t="s">
        <v>5452</v>
      </c>
      <c r="AR2184" s="277">
        <v>44940.576388888891</v>
      </c>
      <c r="AS2184" s="272" t="s">
        <v>173</v>
      </c>
      <c r="AT2184" s="288" t="s">
        <v>65</v>
      </c>
      <c r="AU2184" s="276">
        <v>0.57638888888888895</v>
      </c>
      <c r="AV2184" s="288">
        <v>1</v>
      </c>
      <c r="AW2184" s="288" t="s">
        <v>66</v>
      </c>
      <c r="AX2184" s="314"/>
      <c r="AY2184" s="314"/>
      <c r="AZ2184" s="314"/>
      <c r="BA2184" s="314"/>
    </row>
    <row r="2185" spans="1:53" s="301" customFormat="1" x14ac:dyDescent="0.25">
      <c r="A2185" s="312">
        <v>179</v>
      </c>
      <c r="B2185" s="311">
        <v>44939.600694444445</v>
      </c>
      <c r="C2185" s="308">
        <v>0.60416666666666663</v>
      </c>
      <c r="D2185" s="308">
        <v>0.61805555555555558</v>
      </c>
      <c r="E2185" s="308">
        <v>0.65277777777777779</v>
      </c>
      <c r="F2185" s="309" t="s">
        <v>169</v>
      </c>
      <c r="G2185" s="309" t="s">
        <v>2604</v>
      </c>
      <c r="H2185" s="307" t="s">
        <v>4495</v>
      </c>
      <c r="I2185" s="307" t="s">
        <v>354</v>
      </c>
      <c r="J2185" s="307" t="s">
        <v>41</v>
      </c>
      <c r="K2185" s="307" t="s">
        <v>241</v>
      </c>
      <c r="L2185" s="307">
        <v>0</v>
      </c>
      <c r="M2185" s="309" t="s">
        <v>5364</v>
      </c>
      <c r="N2185" s="309" t="s">
        <v>42</v>
      </c>
      <c r="O2185" s="309" t="s">
        <v>5365</v>
      </c>
      <c r="P2185" s="309">
        <v>10263431</v>
      </c>
      <c r="Q2185" s="303">
        <f t="shared" si="491"/>
        <v>26</v>
      </c>
      <c r="R2185" s="303">
        <f t="shared" si="492"/>
        <v>71</v>
      </c>
      <c r="S2185" s="309">
        <v>26</v>
      </c>
      <c r="T2185" s="309">
        <v>71</v>
      </c>
      <c r="U2185" s="309">
        <v>0</v>
      </c>
      <c r="V2185" s="309">
        <v>0</v>
      </c>
      <c r="W2185" s="309">
        <v>71.625</v>
      </c>
      <c r="X2185" s="309">
        <v>39</v>
      </c>
      <c r="Y2185" s="309">
        <v>29</v>
      </c>
      <c r="Z2185" s="309">
        <v>15</v>
      </c>
      <c r="AA2185" s="309">
        <v>26</v>
      </c>
      <c r="AB2185" s="307">
        <f t="shared" si="493"/>
        <v>73.515000000000001</v>
      </c>
      <c r="AC2185" s="307">
        <f t="shared" si="494"/>
        <v>0.44286144578313252</v>
      </c>
      <c r="AD2185" s="309">
        <v>2057.1999999999998</v>
      </c>
      <c r="AE2185" s="309" t="s">
        <v>109</v>
      </c>
      <c r="AF2185" s="309">
        <v>6892661</v>
      </c>
      <c r="AG2185" s="309" t="s">
        <v>5246</v>
      </c>
      <c r="AH2185" s="309" t="s">
        <v>5366</v>
      </c>
      <c r="AI2185" s="309" t="s">
        <v>5244</v>
      </c>
      <c r="AJ2185" s="309"/>
      <c r="AK2185" s="309" t="s">
        <v>48</v>
      </c>
      <c r="AL2185" s="309" t="s">
        <v>47</v>
      </c>
      <c r="AM2185" s="299">
        <f t="shared" ca="1" si="478"/>
        <v>0.97569444444525288</v>
      </c>
      <c r="AN2185" s="313"/>
      <c r="AO2185" s="288" t="s">
        <v>259</v>
      </c>
      <c r="AP2185" s="288" t="s">
        <v>5451</v>
      </c>
      <c r="AQ2185" s="288" t="s">
        <v>5452</v>
      </c>
      <c r="AR2185" s="277">
        <v>44940.576388888891</v>
      </c>
      <c r="AS2185" s="272" t="s">
        <v>173</v>
      </c>
      <c r="AT2185" s="288" t="s">
        <v>65</v>
      </c>
      <c r="AU2185" s="276">
        <v>0.57638888888888895</v>
      </c>
      <c r="AV2185" s="288">
        <v>1</v>
      </c>
      <c r="AW2185" s="288" t="s">
        <v>66</v>
      </c>
      <c r="AX2185" s="314"/>
      <c r="AY2185" s="314"/>
      <c r="AZ2185" s="314"/>
      <c r="BA2185" s="314"/>
    </row>
    <row r="2186" spans="1:53" s="301" customFormat="1" x14ac:dyDescent="0.25">
      <c r="A2186" s="312">
        <v>180</v>
      </c>
      <c r="B2186" s="311">
        <v>44939.600694444445</v>
      </c>
      <c r="C2186" s="308">
        <v>0.60416666666666663</v>
      </c>
      <c r="D2186" s="308">
        <v>0.61805555555555558</v>
      </c>
      <c r="E2186" s="308">
        <v>0.65277777777777779</v>
      </c>
      <c r="F2186" s="309" t="s">
        <v>169</v>
      </c>
      <c r="G2186" s="309" t="s">
        <v>2604</v>
      </c>
      <c r="H2186" s="307" t="s">
        <v>4495</v>
      </c>
      <c r="I2186" s="307" t="s">
        <v>354</v>
      </c>
      <c r="J2186" s="307" t="s">
        <v>41</v>
      </c>
      <c r="K2186" s="307" t="s">
        <v>241</v>
      </c>
      <c r="L2186" s="307">
        <v>0</v>
      </c>
      <c r="M2186" s="309" t="s">
        <v>5364</v>
      </c>
      <c r="N2186" s="309" t="s">
        <v>42</v>
      </c>
      <c r="O2186" s="309" t="s">
        <v>5367</v>
      </c>
      <c r="P2186" s="309">
        <v>10263402</v>
      </c>
      <c r="Q2186" s="303">
        <f t="shared" si="491"/>
        <v>31</v>
      </c>
      <c r="R2186" s="303">
        <f t="shared" si="492"/>
        <v>66</v>
      </c>
      <c r="S2186" s="309">
        <v>31</v>
      </c>
      <c r="T2186" s="309">
        <v>66</v>
      </c>
      <c r="U2186" s="309">
        <v>0</v>
      </c>
      <c r="V2186" s="309">
        <v>0</v>
      </c>
      <c r="W2186" s="309">
        <v>65.394000000000005</v>
      </c>
      <c r="X2186" s="309">
        <v>38</v>
      </c>
      <c r="Y2186" s="309">
        <v>29</v>
      </c>
      <c r="Z2186" s="309">
        <v>15</v>
      </c>
      <c r="AA2186" s="309">
        <v>31</v>
      </c>
      <c r="AB2186" s="307">
        <f t="shared" si="493"/>
        <v>85.405000000000001</v>
      </c>
      <c r="AC2186" s="307">
        <f t="shared" si="494"/>
        <v>0.51448795180722895</v>
      </c>
      <c r="AD2186" s="309">
        <v>1930.5</v>
      </c>
      <c r="AE2186" s="309" t="s">
        <v>109</v>
      </c>
      <c r="AF2186" s="309">
        <v>6889194</v>
      </c>
      <c r="AG2186" s="309" t="s">
        <v>5246</v>
      </c>
      <c r="AH2186" s="309" t="s">
        <v>5368</v>
      </c>
      <c r="AI2186" s="309" t="s">
        <v>5244</v>
      </c>
      <c r="AJ2186" s="309"/>
      <c r="AK2186" s="309" t="s">
        <v>48</v>
      </c>
      <c r="AL2186" s="309" t="s">
        <v>47</v>
      </c>
      <c r="AM2186" s="299">
        <f t="shared" ca="1" si="478"/>
        <v>0.97569444444525288</v>
      </c>
      <c r="AN2186" s="313"/>
      <c r="AO2186" s="288" t="s">
        <v>259</v>
      </c>
      <c r="AP2186" s="288" t="s">
        <v>5451</v>
      </c>
      <c r="AQ2186" s="288" t="s">
        <v>5452</v>
      </c>
      <c r="AR2186" s="277">
        <v>44940.576388888891</v>
      </c>
      <c r="AS2186" s="272" t="s">
        <v>173</v>
      </c>
      <c r="AT2186" s="288" t="s">
        <v>65</v>
      </c>
      <c r="AU2186" s="276">
        <v>0.57638888888888895</v>
      </c>
      <c r="AV2186" s="288">
        <v>1</v>
      </c>
      <c r="AW2186" s="288" t="s">
        <v>66</v>
      </c>
      <c r="AX2186" s="314"/>
      <c r="AY2186" s="314"/>
      <c r="AZ2186" s="314"/>
      <c r="BA2186" s="314"/>
    </row>
    <row r="2187" spans="1:53" s="301" customFormat="1" x14ac:dyDescent="0.25">
      <c r="A2187" s="312">
        <v>181</v>
      </c>
      <c r="B2187" s="311">
        <v>44939.600694444445</v>
      </c>
      <c r="C2187" s="308">
        <v>0.60416666666666663</v>
      </c>
      <c r="D2187" s="308">
        <v>0.61805555555555558</v>
      </c>
      <c r="E2187" s="308">
        <v>0.65277777777777779</v>
      </c>
      <c r="F2187" s="309" t="s">
        <v>169</v>
      </c>
      <c r="G2187" s="309" t="s">
        <v>2604</v>
      </c>
      <c r="H2187" s="307" t="s">
        <v>4495</v>
      </c>
      <c r="I2187" s="307" t="s">
        <v>354</v>
      </c>
      <c r="J2187" s="307" t="s">
        <v>41</v>
      </c>
      <c r="K2187" s="307" t="s">
        <v>241</v>
      </c>
      <c r="L2187" s="307">
        <v>0</v>
      </c>
      <c r="M2187" s="309" t="s">
        <v>5364</v>
      </c>
      <c r="N2187" s="309" t="s">
        <v>42</v>
      </c>
      <c r="O2187" s="309" t="s">
        <v>5369</v>
      </c>
      <c r="P2187" s="309">
        <v>10263433</v>
      </c>
      <c r="Q2187" s="303">
        <f t="shared" si="491"/>
        <v>34</v>
      </c>
      <c r="R2187" s="303">
        <f t="shared" si="492"/>
        <v>63</v>
      </c>
      <c r="S2187" s="309">
        <v>34</v>
      </c>
      <c r="T2187" s="309">
        <v>63</v>
      </c>
      <c r="U2187" s="309">
        <v>0</v>
      </c>
      <c r="V2187" s="309">
        <v>0</v>
      </c>
      <c r="W2187" s="309">
        <v>62.9</v>
      </c>
      <c r="X2187" s="309">
        <v>38</v>
      </c>
      <c r="Y2187" s="309">
        <v>29</v>
      </c>
      <c r="Z2187" s="309">
        <v>15</v>
      </c>
      <c r="AA2187" s="309">
        <v>34</v>
      </c>
      <c r="AB2187" s="307">
        <f t="shared" si="493"/>
        <v>93.67</v>
      </c>
      <c r="AC2187" s="307">
        <f t="shared" si="494"/>
        <v>0.56427710843373491</v>
      </c>
      <c r="AD2187" s="309">
        <v>1945.5</v>
      </c>
      <c r="AE2187" s="309" t="s">
        <v>109</v>
      </c>
      <c r="AF2187" s="309">
        <v>6889611</v>
      </c>
      <c r="AG2187" s="309" t="s">
        <v>5246</v>
      </c>
      <c r="AH2187" s="309" t="s">
        <v>5370</v>
      </c>
      <c r="AI2187" s="309" t="s">
        <v>5244</v>
      </c>
      <c r="AJ2187" s="309"/>
      <c r="AK2187" s="309" t="s">
        <v>48</v>
      </c>
      <c r="AL2187" s="309" t="s">
        <v>47</v>
      </c>
      <c r="AM2187" s="299">
        <f t="shared" ca="1" si="478"/>
        <v>0.97569444444525288</v>
      </c>
      <c r="AN2187" s="313"/>
      <c r="AO2187" s="288" t="s">
        <v>259</v>
      </c>
      <c r="AP2187" s="288" t="s">
        <v>5451</v>
      </c>
      <c r="AQ2187" s="288" t="s">
        <v>5452</v>
      </c>
      <c r="AR2187" s="277">
        <v>44940.576388888891</v>
      </c>
      <c r="AS2187" s="272" t="s">
        <v>173</v>
      </c>
      <c r="AT2187" s="288" t="s">
        <v>65</v>
      </c>
      <c r="AU2187" s="276">
        <v>0.57638888888888895</v>
      </c>
      <c r="AV2187" s="288">
        <v>1</v>
      </c>
      <c r="AW2187" s="288" t="s">
        <v>66</v>
      </c>
      <c r="AX2187" s="314"/>
      <c r="AY2187" s="314"/>
      <c r="AZ2187" s="314"/>
      <c r="BA2187" s="314"/>
    </row>
    <row r="2188" spans="1:53" s="301" customFormat="1" x14ac:dyDescent="0.25">
      <c r="A2188" s="312">
        <v>182</v>
      </c>
      <c r="B2188" s="311">
        <v>44939.614583333336</v>
      </c>
      <c r="C2188" s="308">
        <v>0.61805555555555558</v>
      </c>
      <c r="D2188" s="308">
        <v>0.625</v>
      </c>
      <c r="E2188" s="308">
        <v>0.65972222222222221</v>
      </c>
      <c r="F2188" s="309" t="s">
        <v>170</v>
      </c>
      <c r="G2188" s="309" t="s">
        <v>5371</v>
      </c>
      <c r="H2188" s="307" t="s">
        <v>156</v>
      </c>
      <c r="I2188" s="307" t="s">
        <v>162</v>
      </c>
      <c r="J2188" s="307" t="s">
        <v>37</v>
      </c>
      <c r="K2188" s="307" t="s">
        <v>63</v>
      </c>
      <c r="L2188" s="307" t="s">
        <v>212</v>
      </c>
      <c r="M2188" s="309" t="s">
        <v>5372</v>
      </c>
      <c r="N2188" s="309" t="s">
        <v>158</v>
      </c>
      <c r="O2188" s="309" t="s">
        <v>5373</v>
      </c>
      <c r="P2188" s="309" t="s">
        <v>316</v>
      </c>
      <c r="Q2188" s="303">
        <f t="shared" si="491"/>
        <v>3</v>
      </c>
      <c r="R2188" s="303">
        <f t="shared" si="492"/>
        <v>87</v>
      </c>
      <c r="S2188" s="309">
        <v>0</v>
      </c>
      <c r="T2188" s="309">
        <v>0</v>
      </c>
      <c r="U2188" s="309">
        <v>3</v>
      </c>
      <c r="V2188" s="309">
        <v>87</v>
      </c>
      <c r="W2188" s="309">
        <v>85.95</v>
      </c>
      <c r="X2188" s="309">
        <v>46</v>
      </c>
      <c r="Y2188" s="309">
        <v>26</v>
      </c>
      <c r="Z2188" s="309">
        <v>32</v>
      </c>
      <c r="AA2188" s="309">
        <v>1</v>
      </c>
      <c r="AB2188" s="307">
        <f t="shared" si="493"/>
        <v>6.3786666666666667</v>
      </c>
      <c r="AC2188" s="307">
        <f t="shared" si="494"/>
        <v>3.842570281124498E-2</v>
      </c>
      <c r="AD2188" s="309">
        <v>1162.1300000000001</v>
      </c>
      <c r="AE2188" s="309" t="s">
        <v>109</v>
      </c>
      <c r="AF2188" s="309" t="s">
        <v>317</v>
      </c>
      <c r="AG2188" s="309" t="s">
        <v>317</v>
      </c>
      <c r="AH2188" s="309" t="s">
        <v>5374</v>
      </c>
      <c r="AI2188" s="309" t="s">
        <v>5248</v>
      </c>
      <c r="AJ2188" s="309"/>
      <c r="AK2188" s="309" t="s">
        <v>37</v>
      </c>
      <c r="AL2188" s="309" t="s">
        <v>54</v>
      </c>
      <c r="AM2188" s="299">
        <f t="shared" ca="1" si="478"/>
        <v>3.9479166666642413</v>
      </c>
      <c r="AN2188" s="313"/>
      <c r="AO2188" s="288" t="s">
        <v>159</v>
      </c>
      <c r="AP2188" s="275" t="s">
        <v>5372</v>
      </c>
      <c r="AQ2188" s="288" t="s">
        <v>5537</v>
      </c>
      <c r="AR2188" s="277">
        <v>44943.5625</v>
      </c>
      <c r="AS2188" s="288" t="s">
        <v>240</v>
      </c>
      <c r="AT2188" s="288" t="s">
        <v>65</v>
      </c>
      <c r="AU2188" s="276">
        <v>0.5625</v>
      </c>
      <c r="AV2188" s="288">
        <v>1</v>
      </c>
      <c r="AW2188" s="288" t="s">
        <v>66</v>
      </c>
      <c r="AX2188" s="314"/>
      <c r="AY2188" s="314"/>
      <c r="AZ2188" s="314"/>
      <c r="BA2188" s="314"/>
    </row>
    <row r="2189" spans="1:53" s="301" customFormat="1" x14ac:dyDescent="0.25">
      <c r="A2189" s="312">
        <v>182</v>
      </c>
      <c r="B2189" s="311">
        <v>44939.614583333336</v>
      </c>
      <c r="C2189" s="308">
        <v>0.61805555555555558</v>
      </c>
      <c r="D2189" s="308">
        <v>0.625</v>
      </c>
      <c r="E2189" s="308">
        <v>0.65972222222222221</v>
      </c>
      <c r="F2189" s="309" t="s">
        <v>170</v>
      </c>
      <c r="G2189" s="309" t="s">
        <v>5371</v>
      </c>
      <c r="H2189" s="307" t="s">
        <v>156</v>
      </c>
      <c r="I2189" s="307" t="s">
        <v>162</v>
      </c>
      <c r="J2189" s="307" t="s">
        <v>37</v>
      </c>
      <c r="K2189" s="307" t="s">
        <v>63</v>
      </c>
      <c r="L2189" s="307" t="s">
        <v>212</v>
      </c>
      <c r="M2189" s="309" t="s">
        <v>5372</v>
      </c>
      <c r="N2189" s="309" t="s">
        <v>158</v>
      </c>
      <c r="O2189" s="309" t="s">
        <v>5373</v>
      </c>
      <c r="P2189" s="309" t="s">
        <v>316</v>
      </c>
      <c r="Q2189" s="303">
        <f t="shared" si="491"/>
        <v>0</v>
      </c>
      <c r="R2189" s="303">
        <f t="shared" si="492"/>
        <v>0</v>
      </c>
      <c r="S2189" s="309">
        <v>0</v>
      </c>
      <c r="T2189" s="309">
        <v>0</v>
      </c>
      <c r="U2189" s="309">
        <v>0</v>
      </c>
      <c r="V2189" s="309">
        <v>0</v>
      </c>
      <c r="W2189" s="309">
        <v>0</v>
      </c>
      <c r="X2189" s="309">
        <v>79</v>
      </c>
      <c r="Y2189" s="309">
        <v>35</v>
      </c>
      <c r="Z2189" s="309">
        <v>29</v>
      </c>
      <c r="AA2189" s="309">
        <v>1</v>
      </c>
      <c r="AB2189" s="307">
        <f t="shared" si="493"/>
        <v>13.364166666666666</v>
      </c>
      <c r="AC2189" s="307">
        <f t="shared" si="494"/>
        <v>8.0507028112449794E-2</v>
      </c>
      <c r="AD2189" s="309">
        <v>0</v>
      </c>
      <c r="AE2189" s="309">
        <v>0</v>
      </c>
      <c r="AF2189" s="309" t="s">
        <v>317</v>
      </c>
      <c r="AG2189" s="309" t="s">
        <v>317</v>
      </c>
      <c r="AH2189" s="309" t="s">
        <v>5374</v>
      </c>
      <c r="AI2189" s="309" t="s">
        <v>5248</v>
      </c>
      <c r="AJ2189" s="309"/>
      <c r="AK2189" s="309" t="s">
        <v>37</v>
      </c>
      <c r="AL2189" s="309" t="s">
        <v>54</v>
      </c>
      <c r="AM2189" s="299">
        <f t="shared" ca="1" si="478"/>
        <v>3.9479166666642413</v>
      </c>
      <c r="AN2189" s="313"/>
      <c r="AO2189" s="288" t="s">
        <v>159</v>
      </c>
      <c r="AP2189" s="275" t="s">
        <v>5372</v>
      </c>
      <c r="AQ2189" s="288" t="s">
        <v>5537</v>
      </c>
      <c r="AR2189" s="277">
        <v>44943.5625</v>
      </c>
      <c r="AS2189" s="288" t="s">
        <v>240</v>
      </c>
      <c r="AT2189" s="288" t="s">
        <v>65</v>
      </c>
      <c r="AU2189" s="276">
        <v>0.5625</v>
      </c>
      <c r="AV2189" s="288">
        <v>1</v>
      </c>
      <c r="AW2189" s="288" t="s">
        <v>66</v>
      </c>
      <c r="AX2189" s="314"/>
      <c r="AY2189" s="314"/>
      <c r="AZ2189" s="314"/>
      <c r="BA2189" s="314"/>
    </row>
    <row r="2190" spans="1:53" s="301" customFormat="1" x14ac:dyDescent="0.25">
      <c r="A2190" s="312">
        <v>182</v>
      </c>
      <c r="B2190" s="311">
        <v>44939.614583333336</v>
      </c>
      <c r="C2190" s="308">
        <v>0.61805555555555558</v>
      </c>
      <c r="D2190" s="308">
        <v>0.625</v>
      </c>
      <c r="E2190" s="308">
        <v>0.65972222222222221</v>
      </c>
      <c r="F2190" s="309" t="s">
        <v>170</v>
      </c>
      <c r="G2190" s="309" t="s">
        <v>5371</v>
      </c>
      <c r="H2190" s="307" t="s">
        <v>156</v>
      </c>
      <c r="I2190" s="307" t="s">
        <v>162</v>
      </c>
      <c r="J2190" s="307" t="s">
        <v>37</v>
      </c>
      <c r="K2190" s="307" t="s">
        <v>63</v>
      </c>
      <c r="L2190" s="307" t="s">
        <v>212</v>
      </c>
      <c r="M2190" s="309" t="s">
        <v>5372</v>
      </c>
      <c r="N2190" s="309" t="s">
        <v>158</v>
      </c>
      <c r="O2190" s="309" t="s">
        <v>5373</v>
      </c>
      <c r="P2190" s="309" t="s">
        <v>316</v>
      </c>
      <c r="Q2190" s="303">
        <f t="shared" si="491"/>
        <v>0</v>
      </c>
      <c r="R2190" s="303">
        <f t="shared" si="492"/>
        <v>0</v>
      </c>
      <c r="S2190" s="309">
        <v>0</v>
      </c>
      <c r="T2190" s="309">
        <v>0</v>
      </c>
      <c r="U2190" s="309">
        <v>0</v>
      </c>
      <c r="V2190" s="309">
        <v>0</v>
      </c>
      <c r="W2190" s="309">
        <v>0</v>
      </c>
      <c r="X2190" s="309">
        <v>38</v>
      </c>
      <c r="Y2190" s="309">
        <v>19</v>
      </c>
      <c r="Z2190" s="309">
        <v>25</v>
      </c>
      <c r="AA2190" s="309">
        <v>1</v>
      </c>
      <c r="AB2190" s="307">
        <f t="shared" si="493"/>
        <v>3.0083333333333333</v>
      </c>
      <c r="AC2190" s="307">
        <f t="shared" si="494"/>
        <v>1.8122489959839356E-2</v>
      </c>
      <c r="AD2190" s="309">
        <v>0</v>
      </c>
      <c r="AE2190" s="309">
        <v>0</v>
      </c>
      <c r="AF2190" s="309" t="s">
        <v>317</v>
      </c>
      <c r="AG2190" s="309" t="s">
        <v>317</v>
      </c>
      <c r="AH2190" s="309" t="s">
        <v>5374</v>
      </c>
      <c r="AI2190" s="309" t="s">
        <v>5248</v>
      </c>
      <c r="AJ2190" s="309"/>
      <c r="AK2190" s="309" t="s">
        <v>37</v>
      </c>
      <c r="AL2190" s="309" t="s">
        <v>54</v>
      </c>
      <c r="AM2190" s="299">
        <f t="shared" ca="1" si="478"/>
        <v>3.9479166666642413</v>
      </c>
      <c r="AN2190" s="313"/>
      <c r="AO2190" s="288" t="s">
        <v>159</v>
      </c>
      <c r="AP2190" s="275" t="s">
        <v>5372</v>
      </c>
      <c r="AQ2190" s="288" t="s">
        <v>5537</v>
      </c>
      <c r="AR2190" s="277">
        <v>44943.5625</v>
      </c>
      <c r="AS2190" s="288" t="s">
        <v>240</v>
      </c>
      <c r="AT2190" s="288" t="s">
        <v>65</v>
      </c>
      <c r="AU2190" s="276">
        <v>0.5625</v>
      </c>
      <c r="AV2190" s="288">
        <v>1</v>
      </c>
      <c r="AW2190" s="288" t="s">
        <v>66</v>
      </c>
      <c r="AX2190" s="314"/>
      <c r="AY2190" s="314"/>
      <c r="AZ2190" s="314"/>
      <c r="BA2190" s="314"/>
    </row>
    <row r="2191" spans="1:53" s="301" customFormat="1" x14ac:dyDescent="0.25">
      <c r="A2191" s="312">
        <v>183</v>
      </c>
      <c r="B2191" s="311">
        <v>44939.614583333336</v>
      </c>
      <c r="C2191" s="308">
        <v>0.61805555555555558</v>
      </c>
      <c r="D2191" s="308">
        <v>0.625</v>
      </c>
      <c r="E2191" s="308">
        <v>0.65972222222222221</v>
      </c>
      <c r="F2191" s="309" t="s">
        <v>170</v>
      </c>
      <c r="G2191" s="309" t="s">
        <v>5371</v>
      </c>
      <c r="H2191" s="307" t="s">
        <v>156</v>
      </c>
      <c r="I2191" s="307" t="s">
        <v>162</v>
      </c>
      <c r="J2191" s="307" t="s">
        <v>37</v>
      </c>
      <c r="K2191" s="307" t="s">
        <v>63</v>
      </c>
      <c r="L2191" s="307" t="s">
        <v>212</v>
      </c>
      <c r="M2191" s="309" t="s">
        <v>5375</v>
      </c>
      <c r="N2191" s="309" t="s">
        <v>158</v>
      </c>
      <c r="O2191" s="309" t="s">
        <v>5376</v>
      </c>
      <c r="P2191" s="309" t="s">
        <v>380</v>
      </c>
      <c r="Q2191" s="303">
        <f t="shared" si="491"/>
        <v>5</v>
      </c>
      <c r="R2191" s="303">
        <f t="shared" si="492"/>
        <v>145</v>
      </c>
      <c r="S2191" s="309">
        <v>0</v>
      </c>
      <c r="T2191" s="309">
        <v>0</v>
      </c>
      <c r="U2191" s="309">
        <v>5</v>
      </c>
      <c r="V2191" s="309">
        <v>145</v>
      </c>
      <c r="W2191" s="309">
        <v>145.80000000000001</v>
      </c>
      <c r="X2191" s="309">
        <v>82</v>
      </c>
      <c r="Y2191" s="309">
        <v>77</v>
      </c>
      <c r="Z2191" s="309">
        <v>17</v>
      </c>
      <c r="AA2191" s="309">
        <v>2</v>
      </c>
      <c r="AB2191" s="307">
        <f t="shared" si="493"/>
        <v>35.779333333333334</v>
      </c>
      <c r="AC2191" s="307">
        <f t="shared" si="494"/>
        <v>0.21553815261044176</v>
      </c>
      <c r="AD2191" s="309">
        <v>3445.75</v>
      </c>
      <c r="AE2191" s="309" t="s">
        <v>109</v>
      </c>
      <c r="AF2191" s="309" t="s">
        <v>317</v>
      </c>
      <c r="AG2191" s="309" t="s">
        <v>317</v>
      </c>
      <c r="AH2191" s="309" t="s">
        <v>5377</v>
      </c>
      <c r="AI2191" s="309" t="s">
        <v>5358</v>
      </c>
      <c r="AJ2191" s="309"/>
      <c r="AK2191" s="309" t="s">
        <v>37</v>
      </c>
      <c r="AL2191" s="309" t="s">
        <v>54</v>
      </c>
      <c r="AM2191" s="299">
        <f t="shared" ca="1" si="478"/>
        <v>3.9479166666642413</v>
      </c>
      <c r="AN2191" s="313"/>
      <c r="AO2191" s="288" t="s">
        <v>159</v>
      </c>
      <c r="AP2191" s="275" t="s">
        <v>5375</v>
      </c>
      <c r="AQ2191" s="288" t="s">
        <v>5537</v>
      </c>
      <c r="AR2191" s="277">
        <v>44943.5625</v>
      </c>
      <c r="AS2191" s="288" t="s">
        <v>240</v>
      </c>
      <c r="AT2191" s="288" t="s">
        <v>65</v>
      </c>
      <c r="AU2191" s="276">
        <v>0.5625</v>
      </c>
      <c r="AV2191" s="288">
        <v>1</v>
      </c>
      <c r="AW2191" s="288" t="s">
        <v>66</v>
      </c>
      <c r="AX2191" s="314"/>
      <c r="AY2191" s="314"/>
      <c r="AZ2191" s="314"/>
      <c r="BA2191" s="314"/>
    </row>
    <row r="2192" spans="1:53" s="301" customFormat="1" x14ac:dyDescent="0.25">
      <c r="A2192" s="312">
        <v>183</v>
      </c>
      <c r="B2192" s="311">
        <v>44939.614583333336</v>
      </c>
      <c r="C2192" s="308">
        <v>0.61805555555555558</v>
      </c>
      <c r="D2192" s="308">
        <v>0.625</v>
      </c>
      <c r="E2192" s="308">
        <v>0.65972222222222221</v>
      </c>
      <c r="F2192" s="309" t="s">
        <v>170</v>
      </c>
      <c r="G2192" s="309" t="s">
        <v>5371</v>
      </c>
      <c r="H2192" s="307" t="s">
        <v>156</v>
      </c>
      <c r="I2192" s="307" t="s">
        <v>162</v>
      </c>
      <c r="J2192" s="307" t="s">
        <v>37</v>
      </c>
      <c r="K2192" s="307" t="s">
        <v>63</v>
      </c>
      <c r="L2192" s="307" t="s">
        <v>212</v>
      </c>
      <c r="M2192" s="309" t="s">
        <v>5375</v>
      </c>
      <c r="N2192" s="309" t="s">
        <v>158</v>
      </c>
      <c r="O2192" s="309" t="s">
        <v>5376</v>
      </c>
      <c r="P2192" s="309" t="s">
        <v>380</v>
      </c>
      <c r="Q2192" s="303">
        <f t="shared" si="491"/>
        <v>0</v>
      </c>
      <c r="R2192" s="303">
        <f t="shared" si="492"/>
        <v>0</v>
      </c>
      <c r="S2192" s="309">
        <v>0</v>
      </c>
      <c r="T2192" s="309">
        <v>0</v>
      </c>
      <c r="U2192" s="309">
        <v>0</v>
      </c>
      <c r="V2192" s="309">
        <v>0</v>
      </c>
      <c r="W2192" s="309">
        <v>0</v>
      </c>
      <c r="X2192" s="309">
        <v>72</v>
      </c>
      <c r="Y2192" s="309">
        <v>67</v>
      </c>
      <c r="Z2192" s="309">
        <v>16</v>
      </c>
      <c r="AA2192" s="309">
        <v>1</v>
      </c>
      <c r="AB2192" s="307">
        <f t="shared" si="493"/>
        <v>12.864000000000001</v>
      </c>
      <c r="AC2192" s="307">
        <f t="shared" si="494"/>
        <v>7.7493975903614468E-2</v>
      </c>
      <c r="AD2192" s="309">
        <v>0</v>
      </c>
      <c r="AE2192" s="309">
        <v>0</v>
      </c>
      <c r="AF2192" s="309" t="s">
        <v>317</v>
      </c>
      <c r="AG2192" s="309" t="s">
        <v>317</v>
      </c>
      <c r="AH2192" s="309" t="s">
        <v>5377</v>
      </c>
      <c r="AI2192" s="309" t="s">
        <v>5358</v>
      </c>
      <c r="AJ2192" s="309"/>
      <c r="AK2192" s="309" t="s">
        <v>37</v>
      </c>
      <c r="AL2192" s="309" t="s">
        <v>54</v>
      </c>
      <c r="AM2192" s="299">
        <f t="shared" ca="1" si="478"/>
        <v>3.9479166666642413</v>
      </c>
      <c r="AN2192" s="313"/>
      <c r="AO2192" s="288" t="s">
        <v>159</v>
      </c>
      <c r="AP2192" s="275" t="s">
        <v>5375</v>
      </c>
      <c r="AQ2192" s="288" t="s">
        <v>5537</v>
      </c>
      <c r="AR2192" s="277">
        <v>44943.5625</v>
      </c>
      <c r="AS2192" s="288" t="s">
        <v>240</v>
      </c>
      <c r="AT2192" s="288" t="s">
        <v>65</v>
      </c>
      <c r="AU2192" s="276">
        <v>0.5625</v>
      </c>
      <c r="AV2192" s="288">
        <v>1</v>
      </c>
      <c r="AW2192" s="288" t="s">
        <v>66</v>
      </c>
      <c r="AX2192" s="314"/>
      <c r="AY2192" s="314"/>
      <c r="AZ2192" s="314"/>
      <c r="BA2192" s="314"/>
    </row>
    <row r="2193" spans="1:53" s="301" customFormat="1" x14ac:dyDescent="0.25">
      <c r="A2193" s="312">
        <v>183</v>
      </c>
      <c r="B2193" s="311">
        <v>44939.614583333336</v>
      </c>
      <c r="C2193" s="308">
        <v>0.61805555555555558</v>
      </c>
      <c r="D2193" s="308">
        <v>0.625</v>
      </c>
      <c r="E2193" s="308">
        <v>0.65972222222222221</v>
      </c>
      <c r="F2193" s="309" t="s">
        <v>170</v>
      </c>
      <c r="G2193" s="309" t="s">
        <v>5371</v>
      </c>
      <c r="H2193" s="307" t="s">
        <v>156</v>
      </c>
      <c r="I2193" s="307" t="s">
        <v>162</v>
      </c>
      <c r="J2193" s="307" t="s">
        <v>37</v>
      </c>
      <c r="K2193" s="307" t="s">
        <v>63</v>
      </c>
      <c r="L2193" s="307" t="s">
        <v>212</v>
      </c>
      <c r="M2193" s="309" t="s">
        <v>5375</v>
      </c>
      <c r="N2193" s="309" t="s">
        <v>158</v>
      </c>
      <c r="O2193" s="309" t="s">
        <v>5376</v>
      </c>
      <c r="P2193" s="309" t="s">
        <v>380</v>
      </c>
      <c r="Q2193" s="303">
        <f t="shared" si="491"/>
        <v>0</v>
      </c>
      <c r="R2193" s="303">
        <f t="shared" si="492"/>
        <v>0</v>
      </c>
      <c r="S2193" s="309">
        <v>0</v>
      </c>
      <c r="T2193" s="309">
        <v>0</v>
      </c>
      <c r="U2193" s="309">
        <v>0</v>
      </c>
      <c r="V2193" s="309">
        <v>0</v>
      </c>
      <c r="W2193" s="309">
        <v>0</v>
      </c>
      <c r="X2193" s="309">
        <v>52</v>
      </c>
      <c r="Y2193" s="309">
        <v>46</v>
      </c>
      <c r="Z2193" s="309">
        <v>14</v>
      </c>
      <c r="AA2193" s="309">
        <v>1</v>
      </c>
      <c r="AB2193" s="307">
        <f t="shared" si="493"/>
        <v>5.5813333333333333</v>
      </c>
      <c r="AC2193" s="307">
        <f t="shared" si="494"/>
        <v>3.3622489959839359E-2</v>
      </c>
      <c r="AD2193" s="309">
        <v>0</v>
      </c>
      <c r="AE2193" s="309">
        <v>0</v>
      </c>
      <c r="AF2193" s="309" t="s">
        <v>317</v>
      </c>
      <c r="AG2193" s="309" t="s">
        <v>317</v>
      </c>
      <c r="AH2193" s="309" t="s">
        <v>5377</v>
      </c>
      <c r="AI2193" s="309" t="s">
        <v>5358</v>
      </c>
      <c r="AJ2193" s="309"/>
      <c r="AK2193" s="309" t="s">
        <v>37</v>
      </c>
      <c r="AL2193" s="309" t="s">
        <v>54</v>
      </c>
      <c r="AM2193" s="299">
        <f t="shared" ca="1" si="478"/>
        <v>3.9479166666642413</v>
      </c>
      <c r="AN2193" s="313"/>
      <c r="AO2193" s="288" t="s">
        <v>159</v>
      </c>
      <c r="AP2193" s="275" t="s">
        <v>5375</v>
      </c>
      <c r="AQ2193" s="288" t="s">
        <v>5537</v>
      </c>
      <c r="AR2193" s="277">
        <v>44943.5625</v>
      </c>
      <c r="AS2193" s="288" t="s">
        <v>240</v>
      </c>
      <c r="AT2193" s="288" t="s">
        <v>65</v>
      </c>
      <c r="AU2193" s="276">
        <v>0.5625</v>
      </c>
      <c r="AV2193" s="288">
        <v>1</v>
      </c>
      <c r="AW2193" s="288" t="s">
        <v>66</v>
      </c>
      <c r="AX2193" s="314"/>
      <c r="AY2193" s="314"/>
      <c r="AZ2193" s="314"/>
      <c r="BA2193" s="314"/>
    </row>
    <row r="2194" spans="1:53" s="301" customFormat="1" x14ac:dyDescent="0.25">
      <c r="A2194" s="312">
        <v>183</v>
      </c>
      <c r="B2194" s="311">
        <v>44939.614583333336</v>
      </c>
      <c r="C2194" s="308">
        <v>0.61805555555555558</v>
      </c>
      <c r="D2194" s="308">
        <v>0.625</v>
      </c>
      <c r="E2194" s="308">
        <v>0.65972222222222221</v>
      </c>
      <c r="F2194" s="309" t="s">
        <v>170</v>
      </c>
      <c r="G2194" s="309" t="s">
        <v>5371</v>
      </c>
      <c r="H2194" s="307" t="s">
        <v>156</v>
      </c>
      <c r="I2194" s="307" t="s">
        <v>162</v>
      </c>
      <c r="J2194" s="307" t="s">
        <v>37</v>
      </c>
      <c r="K2194" s="307" t="s">
        <v>63</v>
      </c>
      <c r="L2194" s="307" t="s">
        <v>212</v>
      </c>
      <c r="M2194" s="309" t="s">
        <v>5375</v>
      </c>
      <c r="N2194" s="309" t="s">
        <v>158</v>
      </c>
      <c r="O2194" s="309" t="s">
        <v>5376</v>
      </c>
      <c r="P2194" s="309" t="s">
        <v>380</v>
      </c>
      <c r="Q2194" s="303">
        <f t="shared" si="491"/>
        <v>0</v>
      </c>
      <c r="R2194" s="303">
        <f t="shared" si="492"/>
        <v>0</v>
      </c>
      <c r="S2194" s="309">
        <v>0</v>
      </c>
      <c r="T2194" s="309">
        <v>0</v>
      </c>
      <c r="U2194" s="309">
        <v>0</v>
      </c>
      <c r="V2194" s="309">
        <v>0</v>
      </c>
      <c r="W2194" s="309">
        <v>0</v>
      </c>
      <c r="X2194" s="309">
        <v>56</v>
      </c>
      <c r="Y2194" s="309">
        <v>52</v>
      </c>
      <c r="Z2194" s="309">
        <v>16</v>
      </c>
      <c r="AA2194" s="309">
        <v>1</v>
      </c>
      <c r="AB2194" s="307">
        <f t="shared" si="493"/>
        <v>7.7653333333333334</v>
      </c>
      <c r="AC2194" s="307">
        <f t="shared" si="494"/>
        <v>4.6779116465863455E-2</v>
      </c>
      <c r="AD2194" s="309">
        <v>0</v>
      </c>
      <c r="AE2194" s="309">
        <v>0</v>
      </c>
      <c r="AF2194" s="309" t="s">
        <v>317</v>
      </c>
      <c r="AG2194" s="309" t="s">
        <v>317</v>
      </c>
      <c r="AH2194" s="309" t="s">
        <v>5377</v>
      </c>
      <c r="AI2194" s="309" t="s">
        <v>5358</v>
      </c>
      <c r="AJ2194" s="309"/>
      <c r="AK2194" s="309" t="s">
        <v>37</v>
      </c>
      <c r="AL2194" s="309" t="s">
        <v>54</v>
      </c>
      <c r="AM2194" s="299">
        <f t="shared" ca="1" si="478"/>
        <v>3.9479166666642413</v>
      </c>
      <c r="AN2194" s="313"/>
      <c r="AO2194" s="288" t="s">
        <v>159</v>
      </c>
      <c r="AP2194" s="275" t="s">
        <v>5375</v>
      </c>
      <c r="AQ2194" s="288" t="s">
        <v>5537</v>
      </c>
      <c r="AR2194" s="277">
        <v>44943.5625</v>
      </c>
      <c r="AS2194" s="288" t="s">
        <v>240</v>
      </c>
      <c r="AT2194" s="288" t="s">
        <v>65</v>
      </c>
      <c r="AU2194" s="276">
        <v>0.5625</v>
      </c>
      <c r="AV2194" s="288">
        <v>1</v>
      </c>
      <c r="AW2194" s="288" t="s">
        <v>66</v>
      </c>
      <c r="AX2194" s="314"/>
      <c r="AY2194" s="314"/>
      <c r="AZ2194" s="314"/>
      <c r="BA2194" s="314"/>
    </row>
    <row r="2195" spans="1:53" s="301" customFormat="1" x14ac:dyDescent="0.25">
      <c r="A2195" s="312">
        <v>184</v>
      </c>
      <c r="B2195" s="311">
        <v>44939.614583333336</v>
      </c>
      <c r="C2195" s="308">
        <v>0.61805555555555558</v>
      </c>
      <c r="D2195" s="308">
        <v>0.625</v>
      </c>
      <c r="E2195" s="308">
        <v>0.65972222222222221</v>
      </c>
      <c r="F2195" s="309" t="s">
        <v>170</v>
      </c>
      <c r="G2195" s="309" t="s">
        <v>5371</v>
      </c>
      <c r="H2195" s="307" t="s">
        <v>156</v>
      </c>
      <c r="I2195" s="307" t="s">
        <v>162</v>
      </c>
      <c r="J2195" s="307" t="s">
        <v>37</v>
      </c>
      <c r="K2195" s="307" t="s">
        <v>63</v>
      </c>
      <c r="L2195" s="307" t="s">
        <v>212</v>
      </c>
      <c r="M2195" s="309" t="s">
        <v>5378</v>
      </c>
      <c r="N2195" s="309" t="s">
        <v>42</v>
      </c>
      <c r="O2195" s="309" t="s">
        <v>5379</v>
      </c>
      <c r="P2195" s="309" t="s">
        <v>316</v>
      </c>
      <c r="Q2195" s="303">
        <f t="shared" si="491"/>
        <v>3</v>
      </c>
      <c r="R2195" s="303">
        <f t="shared" si="492"/>
        <v>96</v>
      </c>
      <c r="S2195" s="309">
        <v>0</v>
      </c>
      <c r="T2195" s="309">
        <v>0</v>
      </c>
      <c r="U2195" s="309">
        <v>3</v>
      </c>
      <c r="V2195" s="309">
        <v>96</v>
      </c>
      <c r="W2195" s="309">
        <v>99.3</v>
      </c>
      <c r="X2195" s="309">
        <v>45</v>
      </c>
      <c r="Y2195" s="309">
        <v>42</v>
      </c>
      <c r="Z2195" s="309">
        <v>32</v>
      </c>
      <c r="AA2195" s="309">
        <v>1</v>
      </c>
      <c r="AB2195" s="307">
        <f t="shared" si="493"/>
        <v>10.08</v>
      </c>
      <c r="AC2195" s="307">
        <f t="shared" si="494"/>
        <v>6.0722891566265064E-2</v>
      </c>
      <c r="AD2195" s="309">
        <v>1323.68</v>
      </c>
      <c r="AE2195" s="309" t="s">
        <v>109</v>
      </c>
      <c r="AF2195" s="309" t="s">
        <v>317</v>
      </c>
      <c r="AG2195" s="309" t="s">
        <v>317</v>
      </c>
      <c r="AH2195" s="309" t="s">
        <v>5380</v>
      </c>
      <c r="AI2195" s="309" t="s">
        <v>5358</v>
      </c>
      <c r="AJ2195" s="309"/>
      <c r="AK2195" s="309" t="s">
        <v>37</v>
      </c>
      <c r="AL2195" s="309" t="s">
        <v>54</v>
      </c>
      <c r="AM2195" s="299">
        <f t="shared" ca="1" si="478"/>
        <v>3.9479166666642413</v>
      </c>
      <c r="AN2195" s="313"/>
      <c r="AO2195" s="288" t="s">
        <v>120</v>
      </c>
      <c r="AP2195" s="275" t="s">
        <v>5378</v>
      </c>
      <c r="AQ2195" s="288" t="s">
        <v>5536</v>
      </c>
      <c r="AR2195" s="277">
        <v>44943.5625</v>
      </c>
      <c r="AS2195" s="288" t="s">
        <v>240</v>
      </c>
      <c r="AT2195" s="288" t="s">
        <v>65</v>
      </c>
      <c r="AU2195" s="276">
        <v>0.5625</v>
      </c>
      <c r="AV2195" s="288">
        <v>1</v>
      </c>
      <c r="AW2195" s="288" t="s">
        <v>66</v>
      </c>
      <c r="AX2195" s="314"/>
      <c r="AY2195" s="314"/>
      <c r="AZ2195" s="314"/>
      <c r="BA2195" s="314"/>
    </row>
    <row r="2196" spans="1:53" s="301" customFormat="1" x14ac:dyDescent="0.25">
      <c r="A2196" s="312">
        <v>184</v>
      </c>
      <c r="B2196" s="311">
        <v>44939.614583333336</v>
      </c>
      <c r="C2196" s="308">
        <v>0.61805555555555558</v>
      </c>
      <c r="D2196" s="308">
        <v>0.625</v>
      </c>
      <c r="E2196" s="308">
        <v>0.65972222222222221</v>
      </c>
      <c r="F2196" s="309" t="s">
        <v>170</v>
      </c>
      <c r="G2196" s="309" t="s">
        <v>5371</v>
      </c>
      <c r="H2196" s="307" t="s">
        <v>156</v>
      </c>
      <c r="I2196" s="307" t="s">
        <v>162</v>
      </c>
      <c r="J2196" s="307" t="s">
        <v>37</v>
      </c>
      <c r="K2196" s="307" t="s">
        <v>63</v>
      </c>
      <c r="L2196" s="307" t="s">
        <v>212</v>
      </c>
      <c r="M2196" s="309" t="s">
        <v>5378</v>
      </c>
      <c r="N2196" s="309" t="s">
        <v>42</v>
      </c>
      <c r="O2196" s="309" t="s">
        <v>5379</v>
      </c>
      <c r="P2196" s="309" t="s">
        <v>316</v>
      </c>
      <c r="Q2196" s="303">
        <f t="shared" si="491"/>
        <v>0</v>
      </c>
      <c r="R2196" s="303">
        <f t="shared" si="492"/>
        <v>0</v>
      </c>
      <c r="S2196" s="309">
        <v>0</v>
      </c>
      <c r="T2196" s="309">
        <v>0</v>
      </c>
      <c r="U2196" s="309">
        <v>0</v>
      </c>
      <c r="V2196" s="309">
        <v>0</v>
      </c>
      <c r="W2196" s="309">
        <v>0</v>
      </c>
      <c r="X2196" s="309">
        <v>21</v>
      </c>
      <c r="Y2196" s="309">
        <v>17</v>
      </c>
      <c r="Z2196" s="309">
        <v>23</v>
      </c>
      <c r="AA2196" s="309">
        <v>1</v>
      </c>
      <c r="AB2196" s="307">
        <f t="shared" si="493"/>
        <v>1.3685</v>
      </c>
      <c r="AC2196" s="307">
        <f t="shared" si="494"/>
        <v>8.2439759036144582E-3</v>
      </c>
      <c r="AD2196" s="309">
        <v>0</v>
      </c>
      <c r="AE2196" s="309">
        <v>0</v>
      </c>
      <c r="AF2196" s="309" t="s">
        <v>317</v>
      </c>
      <c r="AG2196" s="309" t="s">
        <v>317</v>
      </c>
      <c r="AH2196" s="309" t="s">
        <v>5380</v>
      </c>
      <c r="AI2196" s="309" t="s">
        <v>5358</v>
      </c>
      <c r="AJ2196" s="309"/>
      <c r="AK2196" s="309" t="s">
        <v>37</v>
      </c>
      <c r="AL2196" s="309" t="s">
        <v>54</v>
      </c>
      <c r="AM2196" s="299">
        <f t="shared" ca="1" si="478"/>
        <v>3.9479166666642413</v>
      </c>
      <c r="AN2196" s="313"/>
      <c r="AO2196" s="288" t="s">
        <v>120</v>
      </c>
      <c r="AP2196" s="275" t="s">
        <v>5378</v>
      </c>
      <c r="AQ2196" s="288" t="s">
        <v>5536</v>
      </c>
      <c r="AR2196" s="277">
        <v>44943.5625</v>
      </c>
      <c r="AS2196" s="288" t="s">
        <v>240</v>
      </c>
      <c r="AT2196" s="288" t="s">
        <v>65</v>
      </c>
      <c r="AU2196" s="276">
        <v>0.5625</v>
      </c>
      <c r="AV2196" s="288">
        <v>1</v>
      </c>
      <c r="AW2196" s="288" t="s">
        <v>66</v>
      </c>
      <c r="AX2196" s="314"/>
      <c r="AY2196" s="314"/>
      <c r="AZ2196" s="314"/>
      <c r="BA2196" s="314"/>
    </row>
    <row r="2197" spans="1:53" s="301" customFormat="1" x14ac:dyDescent="0.25">
      <c r="A2197" s="312">
        <v>184</v>
      </c>
      <c r="B2197" s="311">
        <v>44939.614583333336</v>
      </c>
      <c r="C2197" s="308">
        <v>0.61805555555555558</v>
      </c>
      <c r="D2197" s="308">
        <v>0.625</v>
      </c>
      <c r="E2197" s="308">
        <v>0.65972222222222221</v>
      </c>
      <c r="F2197" s="309" t="s">
        <v>170</v>
      </c>
      <c r="G2197" s="309" t="s">
        <v>5371</v>
      </c>
      <c r="H2197" s="307" t="s">
        <v>156</v>
      </c>
      <c r="I2197" s="307" t="s">
        <v>162</v>
      </c>
      <c r="J2197" s="307" t="s">
        <v>37</v>
      </c>
      <c r="K2197" s="307" t="s">
        <v>63</v>
      </c>
      <c r="L2197" s="307" t="s">
        <v>212</v>
      </c>
      <c r="M2197" s="309" t="s">
        <v>5378</v>
      </c>
      <c r="N2197" s="309" t="s">
        <v>42</v>
      </c>
      <c r="O2197" s="309" t="s">
        <v>5379</v>
      </c>
      <c r="P2197" s="309" t="s">
        <v>316</v>
      </c>
      <c r="Q2197" s="303">
        <f t="shared" si="491"/>
        <v>0</v>
      </c>
      <c r="R2197" s="303">
        <f t="shared" si="492"/>
        <v>0</v>
      </c>
      <c r="S2197" s="309">
        <v>0</v>
      </c>
      <c r="T2197" s="309">
        <v>0</v>
      </c>
      <c r="U2197" s="309">
        <v>0</v>
      </c>
      <c r="V2197" s="309">
        <v>0</v>
      </c>
      <c r="W2197" s="309">
        <v>0</v>
      </c>
      <c r="X2197" s="309">
        <v>33</v>
      </c>
      <c r="Y2197" s="309">
        <v>17</v>
      </c>
      <c r="Z2197" s="309">
        <v>23</v>
      </c>
      <c r="AA2197" s="309">
        <v>1</v>
      </c>
      <c r="AB2197" s="307">
        <f t="shared" si="493"/>
        <v>2.1505000000000001</v>
      </c>
      <c r="AC2197" s="307">
        <f t="shared" si="494"/>
        <v>1.2954819277108435E-2</v>
      </c>
      <c r="AD2197" s="309">
        <v>0</v>
      </c>
      <c r="AE2197" s="309">
        <v>0</v>
      </c>
      <c r="AF2197" s="309" t="s">
        <v>317</v>
      </c>
      <c r="AG2197" s="309" t="s">
        <v>317</v>
      </c>
      <c r="AH2197" s="309" t="s">
        <v>5380</v>
      </c>
      <c r="AI2197" s="309" t="s">
        <v>5358</v>
      </c>
      <c r="AJ2197" s="309"/>
      <c r="AK2197" s="309" t="s">
        <v>37</v>
      </c>
      <c r="AL2197" s="309" t="s">
        <v>54</v>
      </c>
      <c r="AM2197" s="299">
        <f t="shared" ca="1" si="478"/>
        <v>3.9479166666642413</v>
      </c>
      <c r="AN2197" s="313"/>
      <c r="AO2197" s="288" t="s">
        <v>120</v>
      </c>
      <c r="AP2197" s="275" t="s">
        <v>5378</v>
      </c>
      <c r="AQ2197" s="288" t="s">
        <v>5536</v>
      </c>
      <c r="AR2197" s="277">
        <v>44943.5625</v>
      </c>
      <c r="AS2197" s="288" t="s">
        <v>240</v>
      </c>
      <c r="AT2197" s="288" t="s">
        <v>65</v>
      </c>
      <c r="AU2197" s="276">
        <v>0.5625</v>
      </c>
      <c r="AV2197" s="288">
        <v>1</v>
      </c>
      <c r="AW2197" s="288" t="s">
        <v>66</v>
      </c>
      <c r="AX2197" s="314"/>
      <c r="AY2197" s="314"/>
      <c r="AZ2197" s="314"/>
      <c r="BA2197" s="314"/>
    </row>
    <row r="2198" spans="1:53" s="301" customFormat="1" x14ac:dyDescent="0.25">
      <c r="A2198" s="312">
        <v>185</v>
      </c>
      <c r="B2198" s="311">
        <v>44939.614583333336</v>
      </c>
      <c r="C2198" s="308">
        <v>0.61805555555555558</v>
      </c>
      <c r="D2198" s="308">
        <v>0.625</v>
      </c>
      <c r="E2198" s="308">
        <v>0.65972222222222221</v>
      </c>
      <c r="F2198" s="309" t="s">
        <v>170</v>
      </c>
      <c r="G2198" s="309" t="s">
        <v>5371</v>
      </c>
      <c r="H2198" s="307" t="s">
        <v>45</v>
      </c>
      <c r="I2198" s="307" t="s">
        <v>162</v>
      </c>
      <c r="J2198" s="307" t="s">
        <v>37</v>
      </c>
      <c r="K2198" s="307" t="s">
        <v>63</v>
      </c>
      <c r="L2198" s="307" t="s">
        <v>215</v>
      </c>
      <c r="M2198" s="309" t="s">
        <v>5381</v>
      </c>
      <c r="N2198" s="309" t="s">
        <v>158</v>
      </c>
      <c r="O2198" s="309">
        <v>3500849</v>
      </c>
      <c r="P2198" s="309">
        <v>5052035415</v>
      </c>
      <c r="Q2198" s="303">
        <f t="shared" si="491"/>
        <v>1</v>
      </c>
      <c r="R2198" s="303">
        <f t="shared" si="492"/>
        <v>157</v>
      </c>
      <c r="S2198" s="309">
        <v>0</v>
      </c>
      <c r="T2198" s="309">
        <v>0</v>
      </c>
      <c r="U2198" s="309">
        <v>1</v>
      </c>
      <c r="V2198" s="309">
        <v>157</v>
      </c>
      <c r="W2198" s="309">
        <v>157.827</v>
      </c>
      <c r="X2198" s="309">
        <v>90</v>
      </c>
      <c r="Y2198" s="309">
        <v>80</v>
      </c>
      <c r="Z2198" s="309">
        <v>50</v>
      </c>
      <c r="AA2198" s="309">
        <v>1</v>
      </c>
      <c r="AB2198" s="307">
        <f t="shared" si="493"/>
        <v>60</v>
      </c>
      <c r="AC2198" s="307">
        <f t="shared" si="494"/>
        <v>0.36144578313253012</v>
      </c>
      <c r="AD2198" s="309">
        <v>8282.7000000000007</v>
      </c>
      <c r="AE2198" s="309" t="s">
        <v>109</v>
      </c>
      <c r="AF2198" s="309" t="s">
        <v>317</v>
      </c>
      <c r="AG2198" s="309" t="s">
        <v>317</v>
      </c>
      <c r="AH2198" s="309" t="s">
        <v>5382</v>
      </c>
      <c r="AI2198" s="309" t="s">
        <v>5358</v>
      </c>
      <c r="AJ2198" s="309"/>
      <c r="AK2198" s="309" t="s">
        <v>37</v>
      </c>
      <c r="AL2198" s="309" t="s">
        <v>54</v>
      </c>
      <c r="AM2198" s="299">
        <f t="shared" ca="1" si="478"/>
        <v>3.9479166666642413</v>
      </c>
      <c r="AN2198" s="313"/>
      <c r="AO2198" s="288" t="s">
        <v>159</v>
      </c>
      <c r="AP2198" s="275" t="s">
        <v>5381</v>
      </c>
      <c r="AQ2198" s="288" t="s">
        <v>5537</v>
      </c>
      <c r="AR2198" s="277">
        <v>44943.5625</v>
      </c>
      <c r="AS2198" s="288" t="s">
        <v>240</v>
      </c>
      <c r="AT2198" s="288" t="s">
        <v>65</v>
      </c>
      <c r="AU2198" s="276">
        <v>0.5625</v>
      </c>
      <c r="AV2198" s="288">
        <v>1</v>
      </c>
      <c r="AW2198" s="288" t="s">
        <v>66</v>
      </c>
      <c r="AX2198" s="314"/>
      <c r="AY2198" s="314"/>
      <c r="AZ2198" s="314"/>
      <c r="BA2198" s="314"/>
    </row>
    <row r="2199" spans="1:53" s="301" customFormat="1" x14ac:dyDescent="0.25">
      <c r="A2199" s="312">
        <v>186</v>
      </c>
      <c r="B2199" s="311">
        <v>44939.725694444445</v>
      </c>
      <c r="C2199" s="308">
        <v>0.72916666666666663</v>
      </c>
      <c r="D2199" s="308">
        <v>0.73611111111111116</v>
      </c>
      <c r="E2199" s="308">
        <v>0.75</v>
      </c>
      <c r="F2199" s="309" t="s">
        <v>171</v>
      </c>
      <c r="G2199" s="309" t="s">
        <v>366</v>
      </c>
      <c r="H2199" s="307" t="s">
        <v>400</v>
      </c>
      <c r="I2199" s="307" t="s">
        <v>401</v>
      </c>
      <c r="J2199" s="307" t="s">
        <v>37</v>
      </c>
      <c r="K2199" s="307" t="s">
        <v>180</v>
      </c>
      <c r="L2199" s="293" t="s">
        <v>206</v>
      </c>
      <c r="M2199" s="309" t="s">
        <v>5383</v>
      </c>
      <c r="N2199" s="309" t="s">
        <v>160</v>
      </c>
      <c r="O2199" s="309" t="s">
        <v>5384</v>
      </c>
      <c r="P2199" s="309">
        <v>93127</v>
      </c>
      <c r="Q2199" s="303">
        <f t="shared" si="491"/>
        <v>10</v>
      </c>
      <c r="R2199" s="303">
        <f t="shared" si="492"/>
        <v>75</v>
      </c>
      <c r="S2199" s="309">
        <v>10</v>
      </c>
      <c r="T2199" s="309">
        <v>75</v>
      </c>
      <c r="U2199" s="309">
        <v>0</v>
      </c>
      <c r="V2199" s="309">
        <v>0</v>
      </c>
      <c r="W2199" s="309">
        <v>86</v>
      </c>
      <c r="X2199" s="309">
        <v>36</v>
      </c>
      <c r="Y2199" s="309">
        <v>29</v>
      </c>
      <c r="Z2199" s="309">
        <v>29</v>
      </c>
      <c r="AA2199" s="309">
        <v>10</v>
      </c>
      <c r="AB2199" s="307">
        <f t="shared" si="493"/>
        <v>50.46</v>
      </c>
      <c r="AC2199" s="307">
        <f t="shared" si="494"/>
        <v>0.30397590361445781</v>
      </c>
      <c r="AD2199" s="309">
        <v>6457.6</v>
      </c>
      <c r="AE2199" s="309" t="s">
        <v>109</v>
      </c>
      <c r="AF2199" s="309" t="s">
        <v>1566</v>
      </c>
      <c r="AG2199" s="309" t="s">
        <v>1566</v>
      </c>
      <c r="AH2199" s="309" t="s">
        <v>5385</v>
      </c>
      <c r="AI2199" s="309" t="s">
        <v>5352</v>
      </c>
      <c r="AJ2199" s="309"/>
      <c r="AK2199" s="309" t="s">
        <v>48</v>
      </c>
      <c r="AL2199" s="309" t="s">
        <v>47</v>
      </c>
      <c r="AM2199" s="299">
        <f t="shared" ca="1" si="478"/>
        <v>3.8368055555547471</v>
      </c>
      <c r="AN2199" s="313"/>
      <c r="AO2199" s="288" t="s">
        <v>229</v>
      </c>
      <c r="AP2199" s="275" t="s">
        <v>5383</v>
      </c>
      <c r="AQ2199" s="288" t="s">
        <v>5535</v>
      </c>
      <c r="AR2199" s="277">
        <v>44943.5625</v>
      </c>
      <c r="AS2199" s="288" t="s">
        <v>240</v>
      </c>
      <c r="AT2199" s="288" t="s">
        <v>65</v>
      </c>
      <c r="AU2199" s="276">
        <v>0.5625</v>
      </c>
      <c r="AV2199" s="288">
        <v>1</v>
      </c>
      <c r="AW2199" s="288" t="s">
        <v>66</v>
      </c>
      <c r="AX2199" s="314"/>
      <c r="AY2199" s="314"/>
      <c r="AZ2199" s="314"/>
      <c r="BA2199" s="314"/>
    </row>
    <row r="2200" spans="1:53" s="301" customFormat="1" x14ac:dyDescent="0.25">
      <c r="A2200" s="312">
        <v>187</v>
      </c>
      <c r="B2200" s="311">
        <v>44940.444444444445</v>
      </c>
      <c r="C2200" s="308">
        <v>0.44791666666666669</v>
      </c>
      <c r="D2200" s="308">
        <v>0.4513888888888889</v>
      </c>
      <c r="E2200" s="308">
        <v>0.45833333333333331</v>
      </c>
      <c r="F2200" s="309" t="s">
        <v>171</v>
      </c>
      <c r="G2200" s="309" t="s">
        <v>265</v>
      </c>
      <c r="H2200" s="307" t="s">
        <v>342</v>
      </c>
      <c r="I2200" s="307" t="s">
        <v>342</v>
      </c>
      <c r="J2200" s="307" t="s">
        <v>37</v>
      </c>
      <c r="K2200" s="309" t="s">
        <v>180</v>
      </c>
      <c r="L2200" s="309">
        <v>0</v>
      </c>
      <c r="M2200" s="309" t="s">
        <v>5407</v>
      </c>
      <c r="N2200" s="309" t="s">
        <v>175</v>
      </c>
      <c r="O2200" s="309" t="s">
        <v>5408</v>
      </c>
      <c r="P2200" s="309">
        <v>29501457</v>
      </c>
      <c r="Q2200" s="303">
        <f t="shared" ref="Q2200:Q2224" si="495">S2200+U2200</f>
        <v>1</v>
      </c>
      <c r="R2200" s="303">
        <f t="shared" ref="R2200:R2224" si="496">T2200+V2200</f>
        <v>500</v>
      </c>
      <c r="S2200" s="309">
        <v>0</v>
      </c>
      <c r="T2200" s="309">
        <v>0</v>
      </c>
      <c r="U2200" s="309">
        <v>1</v>
      </c>
      <c r="V2200" s="309">
        <v>500</v>
      </c>
      <c r="W2200" s="309">
        <v>416.976</v>
      </c>
      <c r="X2200" s="309">
        <v>120</v>
      </c>
      <c r="Y2200" s="309">
        <v>116</v>
      </c>
      <c r="Z2200" s="309">
        <v>86</v>
      </c>
      <c r="AA2200" s="309">
        <v>1</v>
      </c>
      <c r="AB2200" s="307">
        <f t="shared" ref="AB2200:AB2256" si="497">X2200*Y2200*Z2200*AA2200/6000</f>
        <v>199.52</v>
      </c>
      <c r="AC2200" s="307">
        <f t="shared" ref="AC2200:AC2256" si="498">AB2200/166</f>
        <v>1.2019277108433735</v>
      </c>
      <c r="AD2200" s="309">
        <v>7156.32</v>
      </c>
      <c r="AE2200" s="309" t="s">
        <v>109</v>
      </c>
      <c r="AF2200" s="309" t="s">
        <v>1566</v>
      </c>
      <c r="AG2200" s="309" t="s">
        <v>1566</v>
      </c>
      <c r="AH2200" s="309" t="s">
        <v>5409</v>
      </c>
      <c r="AI2200" s="309" t="s">
        <v>5352</v>
      </c>
      <c r="AJ2200" s="309"/>
      <c r="AK2200" s="309" t="s">
        <v>41</v>
      </c>
      <c r="AL2200" s="309" t="s">
        <v>54</v>
      </c>
      <c r="AM2200" s="299">
        <f t="shared" ca="1" si="478"/>
        <v>3.3582068286996218</v>
      </c>
      <c r="AN2200" s="313"/>
      <c r="AO2200" s="314"/>
      <c r="AP2200" s="314"/>
      <c r="AQ2200" s="314"/>
      <c r="AR2200" s="314"/>
      <c r="AS2200" s="314"/>
      <c r="AT2200" s="314"/>
      <c r="AU2200" s="314"/>
      <c r="AV2200" s="314"/>
      <c r="AW2200" s="314"/>
      <c r="AX2200" s="314"/>
      <c r="AY2200" s="314"/>
      <c r="AZ2200" s="314"/>
      <c r="BA2200" s="314"/>
    </row>
    <row r="2201" spans="1:53" s="301" customFormat="1" x14ac:dyDescent="0.25">
      <c r="A2201" s="312">
        <v>188</v>
      </c>
      <c r="B2201" s="311">
        <v>44940.458333333336</v>
      </c>
      <c r="C2201" s="308">
        <v>0.46180555555555558</v>
      </c>
      <c r="D2201" s="308">
        <v>0.47569444444444442</v>
      </c>
      <c r="E2201" s="308">
        <v>0.49305555555555558</v>
      </c>
      <c r="F2201" s="309" t="s">
        <v>171</v>
      </c>
      <c r="G2201" s="309" t="s">
        <v>5410</v>
      </c>
      <c r="H2201" s="307" t="s">
        <v>291</v>
      </c>
      <c r="I2201" s="307" t="s">
        <v>172</v>
      </c>
      <c r="J2201" s="307" t="s">
        <v>37</v>
      </c>
      <c r="K2201" s="309" t="s">
        <v>180</v>
      </c>
      <c r="L2201" s="309" t="s">
        <v>206</v>
      </c>
      <c r="M2201" s="309" t="s">
        <v>5411</v>
      </c>
      <c r="N2201" s="309" t="s">
        <v>59</v>
      </c>
      <c r="O2201" s="309" t="s">
        <v>5412</v>
      </c>
      <c r="P2201" s="309">
        <v>825209</v>
      </c>
      <c r="Q2201" s="303">
        <f t="shared" si="495"/>
        <v>5</v>
      </c>
      <c r="R2201" s="303">
        <f t="shared" si="496"/>
        <v>64</v>
      </c>
      <c r="S2201" s="309">
        <v>5</v>
      </c>
      <c r="T2201" s="309">
        <v>64</v>
      </c>
      <c r="U2201" s="309">
        <v>0</v>
      </c>
      <c r="V2201" s="309">
        <v>0</v>
      </c>
      <c r="W2201" s="309">
        <v>64</v>
      </c>
      <c r="X2201" s="309">
        <v>59</v>
      </c>
      <c r="Y2201" s="309">
        <v>31</v>
      </c>
      <c r="Z2201" s="309">
        <v>23</v>
      </c>
      <c r="AA2201" s="309">
        <v>5</v>
      </c>
      <c r="AB2201" s="307">
        <f t="shared" si="497"/>
        <v>35.055833333333332</v>
      </c>
      <c r="AC2201" s="307">
        <f t="shared" si="498"/>
        <v>0.21117971887550199</v>
      </c>
      <c r="AD2201" s="309">
        <v>1383</v>
      </c>
      <c r="AE2201" s="309" t="s">
        <v>111</v>
      </c>
      <c r="AF2201" s="309" t="s">
        <v>1566</v>
      </c>
      <c r="AG2201" s="309" t="s">
        <v>1566</v>
      </c>
      <c r="AH2201" s="309" t="s">
        <v>5413</v>
      </c>
      <c r="AI2201" s="309"/>
      <c r="AJ2201" s="309"/>
      <c r="AK2201" s="309" t="s">
        <v>48</v>
      </c>
      <c r="AL2201" s="309" t="s">
        <v>47</v>
      </c>
      <c r="AM2201" s="299">
        <f t="shared" ca="1" si="478"/>
        <v>3.3443179398091161</v>
      </c>
      <c r="AN2201" s="313"/>
      <c r="AO2201" s="314"/>
      <c r="AP2201" s="314"/>
      <c r="AQ2201" s="314"/>
      <c r="AR2201" s="314"/>
      <c r="AS2201" s="314"/>
      <c r="AT2201" s="314"/>
      <c r="AU2201" s="314"/>
      <c r="AV2201" s="314"/>
      <c r="AW2201" s="314"/>
      <c r="AX2201" s="314"/>
      <c r="AY2201" s="314"/>
      <c r="AZ2201" s="314"/>
      <c r="BA2201" s="314"/>
    </row>
    <row r="2202" spans="1:53" s="301" customFormat="1" x14ac:dyDescent="0.25">
      <c r="A2202" s="312">
        <v>189</v>
      </c>
      <c r="B2202" s="311">
        <v>44940.458333333336</v>
      </c>
      <c r="C2202" s="308">
        <v>0.46180555555555558</v>
      </c>
      <c r="D2202" s="308">
        <v>0.47569444444444442</v>
      </c>
      <c r="E2202" s="308">
        <v>0.49305555555555558</v>
      </c>
      <c r="F2202" s="309" t="s">
        <v>171</v>
      </c>
      <c r="G2202" s="309" t="s">
        <v>5410</v>
      </c>
      <c r="H2202" s="307" t="s">
        <v>291</v>
      </c>
      <c r="I2202" s="307" t="s">
        <v>172</v>
      </c>
      <c r="J2202" s="307" t="s">
        <v>37</v>
      </c>
      <c r="K2202" s="309" t="s">
        <v>180</v>
      </c>
      <c r="L2202" s="309" t="s">
        <v>206</v>
      </c>
      <c r="M2202" s="309" t="s">
        <v>5411</v>
      </c>
      <c r="N2202" s="309" t="s">
        <v>59</v>
      </c>
      <c r="O2202" s="309" t="s">
        <v>5414</v>
      </c>
      <c r="P2202" s="309">
        <v>842156</v>
      </c>
      <c r="Q2202" s="303">
        <f t="shared" si="495"/>
        <v>4</v>
      </c>
      <c r="R2202" s="303">
        <f t="shared" si="496"/>
        <v>56</v>
      </c>
      <c r="S2202" s="309">
        <v>4</v>
      </c>
      <c r="T2202" s="309">
        <v>56</v>
      </c>
      <c r="U2202" s="309">
        <v>0</v>
      </c>
      <c r="V2202" s="309">
        <v>0</v>
      </c>
      <c r="W2202" s="309">
        <v>50</v>
      </c>
      <c r="X2202" s="309">
        <v>59</v>
      </c>
      <c r="Y2202" s="309">
        <v>31</v>
      </c>
      <c r="Z2202" s="309">
        <v>23</v>
      </c>
      <c r="AA2202" s="309">
        <v>3</v>
      </c>
      <c r="AB2202" s="307">
        <f t="shared" si="497"/>
        <v>21.0335</v>
      </c>
      <c r="AC2202" s="307">
        <f t="shared" si="498"/>
        <v>0.1267078313253012</v>
      </c>
      <c r="AD2202" s="309">
        <v>1102</v>
      </c>
      <c r="AE2202" s="309" t="s">
        <v>111</v>
      </c>
      <c r="AF2202" s="309" t="s">
        <v>1566</v>
      </c>
      <c r="AG2202" s="309" t="s">
        <v>1566</v>
      </c>
      <c r="AH2202" s="309" t="s">
        <v>5415</v>
      </c>
      <c r="AI2202" s="309"/>
      <c r="AJ2202" s="309"/>
      <c r="AK2202" s="309" t="s">
        <v>48</v>
      </c>
      <c r="AL2202" s="309" t="s">
        <v>47</v>
      </c>
      <c r="AM2202" s="299">
        <f t="shared" ca="1" si="478"/>
        <v>3.3443179398091161</v>
      </c>
      <c r="AN2202" s="313"/>
      <c r="AO2202" s="314"/>
      <c r="AP2202" s="314"/>
      <c r="AQ2202" s="314"/>
      <c r="AR2202" s="314"/>
      <c r="AS2202" s="314"/>
      <c r="AT2202" s="314"/>
      <c r="AU2202" s="314"/>
      <c r="AV2202" s="314"/>
      <c r="AW2202" s="314"/>
      <c r="AX2202" s="314"/>
      <c r="AY2202" s="314"/>
      <c r="AZ2202" s="314"/>
      <c r="BA2202" s="314"/>
    </row>
    <row r="2203" spans="1:53" s="301" customFormat="1" x14ac:dyDescent="0.25">
      <c r="A2203" s="312">
        <v>189</v>
      </c>
      <c r="B2203" s="311">
        <v>44940.458333333336</v>
      </c>
      <c r="C2203" s="308">
        <v>0.46180555555555558</v>
      </c>
      <c r="D2203" s="308">
        <v>0.47569444444444442</v>
      </c>
      <c r="E2203" s="308">
        <v>0.49305555555555558</v>
      </c>
      <c r="F2203" s="309" t="s">
        <v>171</v>
      </c>
      <c r="G2203" s="309" t="s">
        <v>5410</v>
      </c>
      <c r="H2203" s="307" t="s">
        <v>291</v>
      </c>
      <c r="I2203" s="307" t="s">
        <v>172</v>
      </c>
      <c r="J2203" s="307" t="s">
        <v>37</v>
      </c>
      <c r="K2203" s="309" t="s">
        <v>180</v>
      </c>
      <c r="L2203" s="309" t="s">
        <v>206</v>
      </c>
      <c r="M2203" s="309" t="s">
        <v>5411</v>
      </c>
      <c r="N2203" s="309" t="s">
        <v>59</v>
      </c>
      <c r="O2203" s="309" t="s">
        <v>5414</v>
      </c>
      <c r="P2203" s="309">
        <v>842156</v>
      </c>
      <c r="Q2203" s="303">
        <f t="shared" si="495"/>
        <v>0</v>
      </c>
      <c r="R2203" s="303">
        <f t="shared" si="496"/>
        <v>0</v>
      </c>
      <c r="S2203" s="309">
        <v>0</v>
      </c>
      <c r="T2203" s="309">
        <v>0</v>
      </c>
      <c r="U2203" s="309">
        <v>0</v>
      </c>
      <c r="V2203" s="309">
        <v>0</v>
      </c>
      <c r="W2203" s="309">
        <v>0</v>
      </c>
      <c r="X2203" s="309">
        <v>48</v>
      </c>
      <c r="Y2203" s="309">
        <v>28</v>
      </c>
      <c r="Z2203" s="309">
        <v>19</v>
      </c>
      <c r="AA2203" s="309">
        <v>1</v>
      </c>
      <c r="AB2203" s="307">
        <f t="shared" si="497"/>
        <v>4.2560000000000002</v>
      </c>
      <c r="AC2203" s="307">
        <f t="shared" si="498"/>
        <v>2.5638554216867473E-2</v>
      </c>
      <c r="AD2203" s="309">
        <v>0</v>
      </c>
      <c r="AE2203" s="309">
        <v>0</v>
      </c>
      <c r="AF2203" s="309" t="s">
        <v>1566</v>
      </c>
      <c r="AG2203" s="309" t="s">
        <v>1566</v>
      </c>
      <c r="AH2203" s="309" t="s">
        <v>5415</v>
      </c>
      <c r="AI2203" s="309"/>
      <c r="AJ2203" s="309"/>
      <c r="AK2203" s="309" t="s">
        <v>48</v>
      </c>
      <c r="AL2203" s="309" t="s">
        <v>47</v>
      </c>
      <c r="AM2203" s="299">
        <f t="shared" ca="1" si="478"/>
        <v>3.3443179398091161</v>
      </c>
      <c r="AN2203" s="313"/>
      <c r="AO2203" s="314"/>
      <c r="AP2203" s="314"/>
      <c r="AQ2203" s="314"/>
      <c r="AR2203" s="314"/>
      <c r="AS2203" s="314"/>
      <c r="AT2203" s="314"/>
      <c r="AU2203" s="314"/>
      <c r="AV2203" s="314"/>
      <c r="AW2203" s="314"/>
      <c r="AX2203" s="314"/>
      <c r="AY2203" s="314"/>
      <c r="AZ2203" s="314"/>
      <c r="BA2203" s="314"/>
    </row>
    <row r="2204" spans="1:53" s="301" customFormat="1" x14ac:dyDescent="0.25">
      <c r="A2204" s="312">
        <v>190</v>
      </c>
      <c r="B2204" s="311">
        <v>44940.458333333336</v>
      </c>
      <c r="C2204" s="308">
        <v>0.46180555555555558</v>
      </c>
      <c r="D2204" s="308">
        <v>0.47569444444444442</v>
      </c>
      <c r="E2204" s="308">
        <v>0.49305555555555558</v>
      </c>
      <c r="F2204" s="309" t="s">
        <v>171</v>
      </c>
      <c r="G2204" s="309" t="s">
        <v>5410</v>
      </c>
      <c r="H2204" s="307" t="s">
        <v>291</v>
      </c>
      <c r="I2204" s="307" t="s">
        <v>172</v>
      </c>
      <c r="J2204" s="307" t="s">
        <v>37</v>
      </c>
      <c r="K2204" s="309" t="s">
        <v>180</v>
      </c>
      <c r="L2204" s="309" t="s">
        <v>206</v>
      </c>
      <c r="M2204" s="309" t="s">
        <v>5411</v>
      </c>
      <c r="N2204" s="309" t="s">
        <v>59</v>
      </c>
      <c r="O2204" s="309" t="s">
        <v>5416</v>
      </c>
      <c r="P2204" s="309">
        <v>842156</v>
      </c>
      <c r="Q2204" s="303">
        <f t="shared" si="495"/>
        <v>4</v>
      </c>
      <c r="R2204" s="303">
        <f t="shared" si="496"/>
        <v>55</v>
      </c>
      <c r="S2204" s="309">
        <v>4</v>
      </c>
      <c r="T2204" s="309">
        <v>55</v>
      </c>
      <c r="U2204" s="309">
        <v>0</v>
      </c>
      <c r="V2204" s="309">
        <v>0</v>
      </c>
      <c r="W2204" s="309">
        <v>55</v>
      </c>
      <c r="X2204" s="309">
        <v>59</v>
      </c>
      <c r="Y2204" s="309">
        <v>31</v>
      </c>
      <c r="Z2204" s="309">
        <v>23</v>
      </c>
      <c r="AA2204" s="309">
        <v>2</v>
      </c>
      <c r="AB2204" s="307">
        <f t="shared" si="497"/>
        <v>14.022333333333334</v>
      </c>
      <c r="AC2204" s="307">
        <f t="shared" si="498"/>
        <v>8.4471887550200811E-2</v>
      </c>
      <c r="AD2204" s="309">
        <v>806</v>
      </c>
      <c r="AE2204" s="309" t="s">
        <v>111</v>
      </c>
      <c r="AF2204" s="309" t="s">
        <v>1566</v>
      </c>
      <c r="AG2204" s="309" t="s">
        <v>1566</v>
      </c>
      <c r="AH2204" s="309">
        <v>0</v>
      </c>
      <c r="AI2204" s="309"/>
      <c r="AJ2204" s="309"/>
      <c r="AK2204" s="309" t="s">
        <v>48</v>
      </c>
      <c r="AL2204" s="309" t="s">
        <v>47</v>
      </c>
      <c r="AM2204" s="299">
        <f t="shared" ca="1" si="478"/>
        <v>3.3443179398091161</v>
      </c>
      <c r="AN2204" s="313"/>
      <c r="AO2204" s="314"/>
      <c r="AP2204" s="314"/>
      <c r="AQ2204" s="314"/>
      <c r="AR2204" s="314"/>
      <c r="AS2204" s="314"/>
      <c r="AT2204" s="314"/>
      <c r="AU2204" s="314"/>
      <c r="AV2204" s="314"/>
      <c r="AW2204" s="314"/>
      <c r="AX2204" s="314"/>
      <c r="AY2204" s="314"/>
      <c r="AZ2204" s="314"/>
      <c r="BA2204" s="314"/>
    </row>
    <row r="2205" spans="1:53" s="301" customFormat="1" x14ac:dyDescent="0.25">
      <c r="A2205" s="312">
        <v>190</v>
      </c>
      <c r="B2205" s="311">
        <v>44940.458333333336</v>
      </c>
      <c r="C2205" s="308">
        <v>0.46180555555555558</v>
      </c>
      <c r="D2205" s="308">
        <v>0.47569444444444442</v>
      </c>
      <c r="E2205" s="308">
        <v>0.49305555555555558</v>
      </c>
      <c r="F2205" s="309" t="s">
        <v>171</v>
      </c>
      <c r="G2205" s="309" t="s">
        <v>5410</v>
      </c>
      <c r="H2205" s="307" t="s">
        <v>291</v>
      </c>
      <c r="I2205" s="307" t="s">
        <v>172</v>
      </c>
      <c r="J2205" s="307" t="s">
        <v>37</v>
      </c>
      <c r="K2205" s="309" t="s">
        <v>180</v>
      </c>
      <c r="L2205" s="309" t="s">
        <v>206</v>
      </c>
      <c r="M2205" s="309" t="s">
        <v>5411</v>
      </c>
      <c r="N2205" s="309" t="s">
        <v>59</v>
      </c>
      <c r="O2205" s="309" t="s">
        <v>5416</v>
      </c>
      <c r="P2205" s="309">
        <v>842156</v>
      </c>
      <c r="Q2205" s="303">
        <f t="shared" si="495"/>
        <v>0</v>
      </c>
      <c r="R2205" s="303">
        <f t="shared" si="496"/>
        <v>0</v>
      </c>
      <c r="S2205" s="309">
        <v>0</v>
      </c>
      <c r="T2205" s="309">
        <v>0</v>
      </c>
      <c r="U2205" s="309">
        <v>0</v>
      </c>
      <c r="V2205" s="309">
        <v>0</v>
      </c>
      <c r="W2205" s="309">
        <v>0</v>
      </c>
      <c r="X2205" s="309">
        <v>48</v>
      </c>
      <c r="Y2205" s="309">
        <v>28</v>
      </c>
      <c r="Z2205" s="309">
        <v>19</v>
      </c>
      <c r="AA2205" s="309">
        <v>2</v>
      </c>
      <c r="AB2205" s="307">
        <f t="shared" si="497"/>
        <v>8.5120000000000005</v>
      </c>
      <c r="AC2205" s="307">
        <f t="shared" si="498"/>
        <v>5.1277108433734946E-2</v>
      </c>
      <c r="AD2205" s="309">
        <v>0</v>
      </c>
      <c r="AE2205" s="309">
        <v>0</v>
      </c>
      <c r="AF2205" s="309" t="s">
        <v>1566</v>
      </c>
      <c r="AG2205" s="309" t="s">
        <v>1566</v>
      </c>
      <c r="AH2205" s="309">
        <v>0</v>
      </c>
      <c r="AI2205" s="309"/>
      <c r="AJ2205" s="309"/>
      <c r="AK2205" s="309" t="s">
        <v>48</v>
      </c>
      <c r="AL2205" s="309" t="s">
        <v>47</v>
      </c>
      <c r="AM2205" s="299">
        <f t="shared" ca="1" si="478"/>
        <v>3.3443179398091161</v>
      </c>
      <c r="AN2205" s="313"/>
      <c r="AO2205" s="314"/>
      <c r="AP2205" s="314"/>
      <c r="AQ2205" s="314"/>
      <c r="AR2205" s="314"/>
      <c r="AS2205" s="314"/>
      <c r="AT2205" s="314"/>
      <c r="AU2205" s="314"/>
      <c r="AV2205" s="314"/>
      <c r="AW2205" s="314"/>
      <c r="AX2205" s="314"/>
      <c r="AY2205" s="314"/>
      <c r="AZ2205" s="314"/>
      <c r="BA2205" s="314"/>
    </row>
    <row r="2206" spans="1:53" s="301" customFormat="1" x14ac:dyDescent="0.25">
      <c r="A2206" s="312">
        <v>191</v>
      </c>
      <c r="B2206" s="311">
        <v>44940.458333333336</v>
      </c>
      <c r="C2206" s="308">
        <v>0.46180555555555558</v>
      </c>
      <c r="D2206" s="308">
        <v>0.47569444444444442</v>
      </c>
      <c r="E2206" s="308">
        <v>0.49305555555555558</v>
      </c>
      <c r="F2206" s="309" t="s">
        <v>171</v>
      </c>
      <c r="G2206" s="309" t="s">
        <v>5410</v>
      </c>
      <c r="H2206" s="307" t="s">
        <v>291</v>
      </c>
      <c r="I2206" s="307" t="s">
        <v>172</v>
      </c>
      <c r="J2206" s="307" t="s">
        <v>37</v>
      </c>
      <c r="K2206" s="309" t="s">
        <v>180</v>
      </c>
      <c r="L2206" s="309" t="s">
        <v>206</v>
      </c>
      <c r="M2206" s="309" t="s">
        <v>5411</v>
      </c>
      <c r="N2206" s="309" t="s">
        <v>59</v>
      </c>
      <c r="O2206" s="309" t="s">
        <v>5417</v>
      </c>
      <c r="P2206" s="309">
        <v>828678</v>
      </c>
      <c r="Q2206" s="303">
        <f t="shared" si="495"/>
        <v>2</v>
      </c>
      <c r="R2206" s="303">
        <f t="shared" si="496"/>
        <v>28</v>
      </c>
      <c r="S2206" s="309">
        <v>2</v>
      </c>
      <c r="T2206" s="309">
        <v>28</v>
      </c>
      <c r="U2206" s="309">
        <v>0</v>
      </c>
      <c r="V2206" s="309">
        <v>0</v>
      </c>
      <c r="W2206" s="309">
        <v>27</v>
      </c>
      <c r="X2206" s="309">
        <v>59</v>
      </c>
      <c r="Y2206" s="309">
        <v>31</v>
      </c>
      <c r="Z2206" s="309">
        <v>23</v>
      </c>
      <c r="AA2206" s="309">
        <v>2</v>
      </c>
      <c r="AB2206" s="307">
        <f t="shared" si="497"/>
        <v>14.022333333333334</v>
      </c>
      <c r="AC2206" s="307">
        <f t="shared" si="498"/>
        <v>8.4471887550200811E-2</v>
      </c>
      <c r="AD2206" s="309">
        <v>1186</v>
      </c>
      <c r="AE2206" s="309" t="s">
        <v>111</v>
      </c>
      <c r="AF2206" s="309" t="s">
        <v>1566</v>
      </c>
      <c r="AG2206" s="309" t="s">
        <v>1566</v>
      </c>
      <c r="AH2206" s="309">
        <v>0</v>
      </c>
      <c r="AI2206" s="309"/>
      <c r="AJ2206" s="309"/>
      <c r="AK2206" s="309" t="s">
        <v>48</v>
      </c>
      <c r="AL2206" s="309" t="s">
        <v>47</v>
      </c>
      <c r="AM2206" s="299">
        <f t="shared" ca="1" si="478"/>
        <v>3.3443179398091161</v>
      </c>
      <c r="AN2206" s="313"/>
      <c r="AO2206" s="314"/>
      <c r="AP2206" s="314"/>
      <c r="AQ2206" s="314"/>
      <c r="AR2206" s="314"/>
      <c r="AS2206" s="314"/>
      <c r="AT2206" s="314"/>
      <c r="AU2206" s="314"/>
      <c r="AV2206" s="314"/>
      <c r="AW2206" s="314"/>
      <c r="AX2206" s="314"/>
      <c r="AY2206" s="314"/>
      <c r="AZ2206" s="314"/>
      <c r="BA2206" s="314"/>
    </row>
    <row r="2207" spans="1:53" s="301" customFormat="1" x14ac:dyDescent="0.25">
      <c r="A2207" s="312">
        <v>192</v>
      </c>
      <c r="B2207" s="311">
        <v>44940.458333333336</v>
      </c>
      <c r="C2207" s="308">
        <v>0.46180555555555558</v>
      </c>
      <c r="D2207" s="308">
        <v>0.47569444444444442</v>
      </c>
      <c r="E2207" s="308">
        <v>0.49305555555555558</v>
      </c>
      <c r="F2207" s="309" t="s">
        <v>171</v>
      </c>
      <c r="G2207" s="309" t="s">
        <v>5410</v>
      </c>
      <c r="H2207" s="307" t="s">
        <v>291</v>
      </c>
      <c r="I2207" s="307" t="s">
        <v>172</v>
      </c>
      <c r="J2207" s="307" t="s">
        <v>37</v>
      </c>
      <c r="K2207" s="309" t="s">
        <v>180</v>
      </c>
      <c r="L2207" s="309" t="s">
        <v>206</v>
      </c>
      <c r="M2207" s="309" t="s">
        <v>5411</v>
      </c>
      <c r="N2207" s="309" t="s">
        <v>59</v>
      </c>
      <c r="O2207" s="309" t="s">
        <v>5418</v>
      </c>
      <c r="P2207" s="309">
        <v>804629</v>
      </c>
      <c r="Q2207" s="303">
        <f t="shared" si="495"/>
        <v>3</v>
      </c>
      <c r="R2207" s="303">
        <f t="shared" si="496"/>
        <v>33</v>
      </c>
      <c r="S2207" s="309">
        <v>3</v>
      </c>
      <c r="T2207" s="309">
        <v>33</v>
      </c>
      <c r="U2207" s="309">
        <v>0</v>
      </c>
      <c r="V2207" s="309">
        <v>0</v>
      </c>
      <c r="W2207" s="309">
        <v>32</v>
      </c>
      <c r="X2207" s="309">
        <v>36</v>
      </c>
      <c r="Y2207" s="309">
        <v>38</v>
      </c>
      <c r="Z2207" s="309">
        <v>18</v>
      </c>
      <c r="AA2207" s="309">
        <v>3</v>
      </c>
      <c r="AB2207" s="307">
        <f t="shared" si="497"/>
        <v>12.311999999999999</v>
      </c>
      <c r="AC2207" s="307">
        <f t="shared" si="498"/>
        <v>7.4168674698795178E-2</v>
      </c>
      <c r="AD2207" s="309">
        <v>772.25</v>
      </c>
      <c r="AE2207" s="309" t="s">
        <v>111</v>
      </c>
      <c r="AF2207" s="309" t="s">
        <v>1566</v>
      </c>
      <c r="AG2207" s="309" t="s">
        <v>1566</v>
      </c>
      <c r="AH2207" s="309">
        <v>0</v>
      </c>
      <c r="AI2207" s="309"/>
      <c r="AJ2207" s="309"/>
      <c r="AK2207" s="309" t="s">
        <v>48</v>
      </c>
      <c r="AL2207" s="309" t="s">
        <v>47</v>
      </c>
      <c r="AM2207" s="299">
        <f t="shared" ca="1" si="478"/>
        <v>3.3443179398091161</v>
      </c>
      <c r="AN2207" s="313"/>
      <c r="AO2207" s="314"/>
      <c r="AP2207" s="314"/>
      <c r="AQ2207" s="314"/>
      <c r="AR2207" s="314"/>
      <c r="AS2207" s="314"/>
      <c r="AT2207" s="314"/>
      <c r="AU2207" s="314"/>
      <c r="AV2207" s="314"/>
      <c r="AW2207" s="314"/>
      <c r="AX2207" s="314"/>
      <c r="AY2207" s="314"/>
      <c r="AZ2207" s="314"/>
      <c r="BA2207" s="314"/>
    </row>
    <row r="2208" spans="1:53" s="301" customFormat="1" x14ac:dyDescent="0.25">
      <c r="A2208" s="312">
        <v>193</v>
      </c>
      <c r="B2208" s="311">
        <v>44940.524305555555</v>
      </c>
      <c r="C2208" s="308">
        <v>0.52777777777777779</v>
      </c>
      <c r="D2208" s="308">
        <v>0.56597222222222221</v>
      </c>
      <c r="E2208" s="308">
        <v>0.80555555555555547</v>
      </c>
      <c r="F2208" s="309" t="s">
        <v>169</v>
      </c>
      <c r="G2208" s="309" t="s">
        <v>5419</v>
      </c>
      <c r="H2208" s="307" t="s">
        <v>282</v>
      </c>
      <c r="I2208" s="307" t="s">
        <v>281</v>
      </c>
      <c r="J2208" s="307" t="s">
        <v>37</v>
      </c>
      <c r="K2208" s="309" t="s">
        <v>281</v>
      </c>
      <c r="L2208" s="309" t="s">
        <v>37</v>
      </c>
      <c r="M2208" s="309" t="s">
        <v>5420</v>
      </c>
      <c r="N2208" s="309" t="s">
        <v>38</v>
      </c>
      <c r="O2208" s="309" t="s">
        <v>5421</v>
      </c>
      <c r="P2208" s="309">
        <v>2000062085</v>
      </c>
      <c r="Q2208" s="303">
        <f t="shared" si="495"/>
        <v>313</v>
      </c>
      <c r="R2208" s="303">
        <f t="shared" si="496"/>
        <v>3345</v>
      </c>
      <c r="S2208" s="309">
        <v>313</v>
      </c>
      <c r="T2208" s="309">
        <v>3345</v>
      </c>
      <c r="U2208" s="309">
        <v>0</v>
      </c>
      <c r="V2208" s="309">
        <v>0</v>
      </c>
      <c r="W2208" s="309">
        <v>2810</v>
      </c>
      <c r="X2208" s="309">
        <v>47</v>
      </c>
      <c r="Y2208" s="309">
        <v>46</v>
      </c>
      <c r="Z2208" s="309">
        <v>34</v>
      </c>
      <c r="AA2208" s="309">
        <v>254</v>
      </c>
      <c r="AB2208" s="307">
        <f t="shared" si="497"/>
        <v>3111.8386666666665</v>
      </c>
      <c r="AC2208" s="307">
        <f t="shared" si="498"/>
        <v>18.746016064257027</v>
      </c>
      <c r="AD2208" s="309">
        <v>33124.92</v>
      </c>
      <c r="AE2208" s="309" t="s">
        <v>109</v>
      </c>
      <c r="AF2208" s="309">
        <v>6957504</v>
      </c>
      <c r="AG2208" s="309" t="s">
        <v>5244</v>
      </c>
      <c r="AH2208" s="309" t="s">
        <v>5422</v>
      </c>
      <c r="AI2208" s="309" t="s">
        <v>5358</v>
      </c>
      <c r="AJ2208" s="309"/>
      <c r="AK2208" s="309" t="s">
        <v>48</v>
      </c>
      <c r="AL2208" s="309" t="s">
        <v>50</v>
      </c>
      <c r="AM2208" s="299">
        <f t="shared" ca="1" si="478"/>
        <v>3.2783457175901276</v>
      </c>
      <c r="AN2208" s="313"/>
      <c r="AO2208" s="314"/>
      <c r="AP2208" s="314"/>
      <c r="AQ2208" s="314"/>
      <c r="AR2208" s="314"/>
      <c r="AS2208" s="314"/>
      <c r="AT2208" s="314"/>
      <c r="AU2208" s="314"/>
      <c r="AV2208" s="314"/>
      <c r="AW2208" s="314"/>
      <c r="AX2208" s="314"/>
      <c r="AY2208" s="314"/>
      <c r="AZ2208" s="314"/>
      <c r="BA2208" s="314"/>
    </row>
    <row r="2209" spans="1:53" s="301" customFormat="1" x14ac:dyDescent="0.25">
      <c r="A2209" s="312">
        <v>193</v>
      </c>
      <c r="B2209" s="311">
        <v>44940.524305555555</v>
      </c>
      <c r="C2209" s="308">
        <v>0.52777777777777779</v>
      </c>
      <c r="D2209" s="308">
        <v>0.56597222222222221</v>
      </c>
      <c r="E2209" s="308">
        <v>0.80555555555555547</v>
      </c>
      <c r="F2209" s="309" t="s">
        <v>169</v>
      </c>
      <c r="G2209" s="309" t="s">
        <v>5419</v>
      </c>
      <c r="H2209" s="307" t="s">
        <v>282</v>
      </c>
      <c r="I2209" s="307" t="s">
        <v>281</v>
      </c>
      <c r="J2209" s="307" t="s">
        <v>37</v>
      </c>
      <c r="K2209" s="309" t="s">
        <v>281</v>
      </c>
      <c r="L2209" s="309" t="s">
        <v>37</v>
      </c>
      <c r="M2209" s="309" t="s">
        <v>5420</v>
      </c>
      <c r="N2209" s="309" t="s">
        <v>38</v>
      </c>
      <c r="O2209" s="309" t="s">
        <v>5421</v>
      </c>
      <c r="P2209" s="309">
        <v>2000062085</v>
      </c>
      <c r="Q2209" s="303">
        <f t="shared" si="495"/>
        <v>0</v>
      </c>
      <c r="R2209" s="303">
        <f t="shared" si="496"/>
        <v>0</v>
      </c>
      <c r="S2209" s="309">
        <v>0</v>
      </c>
      <c r="T2209" s="309">
        <v>0</v>
      </c>
      <c r="U2209" s="309">
        <v>0</v>
      </c>
      <c r="V2209" s="309">
        <v>0</v>
      </c>
      <c r="W2209" s="309">
        <v>0</v>
      </c>
      <c r="X2209" s="309">
        <v>54</v>
      </c>
      <c r="Y2209" s="309">
        <v>52</v>
      </c>
      <c r="Z2209" s="309">
        <v>36</v>
      </c>
      <c r="AA2209" s="309">
        <v>59</v>
      </c>
      <c r="AB2209" s="307">
        <f t="shared" si="497"/>
        <v>994.03200000000004</v>
      </c>
      <c r="AC2209" s="307">
        <f t="shared" si="498"/>
        <v>5.9881445783132534</v>
      </c>
      <c r="AD2209" s="309">
        <v>0</v>
      </c>
      <c r="AE2209" s="309">
        <v>0</v>
      </c>
      <c r="AF2209" s="309">
        <v>6957504</v>
      </c>
      <c r="AG2209" s="309" t="s">
        <v>5244</v>
      </c>
      <c r="AH2209" s="309" t="s">
        <v>5422</v>
      </c>
      <c r="AI2209" s="309" t="s">
        <v>5358</v>
      </c>
      <c r="AJ2209" s="309"/>
      <c r="AK2209" s="309" t="s">
        <v>48</v>
      </c>
      <c r="AL2209" s="309" t="s">
        <v>50</v>
      </c>
      <c r="AM2209" s="299">
        <f t="shared" ca="1" si="478"/>
        <v>3.2783457175901276</v>
      </c>
      <c r="AN2209" s="313"/>
      <c r="AO2209" s="314"/>
      <c r="AP2209" s="314"/>
      <c r="AQ2209" s="314"/>
      <c r="AR2209" s="314"/>
      <c r="AS2209" s="314"/>
      <c r="AT2209" s="314"/>
      <c r="AU2209" s="314"/>
      <c r="AV2209" s="314"/>
      <c r="AW2209" s="314"/>
      <c r="AX2209" s="314"/>
      <c r="AY2209" s="314"/>
      <c r="AZ2209" s="314"/>
      <c r="BA2209" s="314"/>
    </row>
    <row r="2210" spans="1:53" s="301" customFormat="1" x14ac:dyDescent="0.25">
      <c r="A2210" s="312">
        <v>194</v>
      </c>
      <c r="B2210" s="311">
        <v>44940.559027777781</v>
      </c>
      <c r="C2210" s="308">
        <v>0.5625</v>
      </c>
      <c r="D2210" s="308">
        <v>0.56597222222222221</v>
      </c>
      <c r="E2210" s="308">
        <v>0.625</v>
      </c>
      <c r="F2210" s="309" t="s">
        <v>170</v>
      </c>
      <c r="G2210" s="309" t="s">
        <v>5423</v>
      </c>
      <c r="H2210" s="307" t="s">
        <v>356</v>
      </c>
      <c r="I2210" s="307" t="s">
        <v>40</v>
      </c>
      <c r="J2210" s="307" t="s">
        <v>41</v>
      </c>
      <c r="K2210" s="309" t="s">
        <v>63</v>
      </c>
      <c r="L2210" s="309">
        <v>0</v>
      </c>
      <c r="M2210" s="309" t="s">
        <v>5424</v>
      </c>
      <c r="N2210" s="309" t="s">
        <v>42</v>
      </c>
      <c r="O2210" s="309">
        <v>5275002521</v>
      </c>
      <c r="P2210" s="309">
        <v>4400013425</v>
      </c>
      <c r="Q2210" s="303">
        <f t="shared" si="495"/>
        <v>1</v>
      </c>
      <c r="R2210" s="303">
        <f t="shared" si="496"/>
        <v>1180</v>
      </c>
      <c r="S2210" s="309">
        <v>0</v>
      </c>
      <c r="T2210" s="309">
        <v>0</v>
      </c>
      <c r="U2210" s="309">
        <v>1</v>
      </c>
      <c r="V2210" s="309">
        <v>1180</v>
      </c>
      <c r="W2210" s="309">
        <v>1165</v>
      </c>
      <c r="X2210" s="309">
        <v>148</v>
      </c>
      <c r="Y2210" s="309">
        <v>148</v>
      </c>
      <c r="Z2210" s="309">
        <v>65</v>
      </c>
      <c r="AA2210" s="309">
        <v>1</v>
      </c>
      <c r="AB2210" s="307">
        <f t="shared" si="497"/>
        <v>237.29333333333332</v>
      </c>
      <c r="AC2210" s="307">
        <f t="shared" si="498"/>
        <v>1.4294779116465863</v>
      </c>
      <c r="AD2210" s="309">
        <v>10093</v>
      </c>
      <c r="AE2210" s="309" t="s">
        <v>109</v>
      </c>
      <c r="AF2210" s="309" t="s">
        <v>317</v>
      </c>
      <c r="AG2210" s="309" t="s">
        <v>317</v>
      </c>
      <c r="AH2210" s="309" t="s">
        <v>5425</v>
      </c>
      <c r="AI2210" s="309" t="s">
        <v>5426</v>
      </c>
      <c r="AJ2210" s="309"/>
      <c r="AK2210" s="309" t="s">
        <v>37</v>
      </c>
      <c r="AL2210" s="309" t="s">
        <v>94</v>
      </c>
      <c r="AM2210" s="299">
        <f t="shared" ca="1" si="478"/>
        <v>3.0034722222189885</v>
      </c>
      <c r="AN2210" s="313"/>
      <c r="AO2210" s="288" t="s">
        <v>120</v>
      </c>
      <c r="AP2210" s="275" t="s">
        <v>5424</v>
      </c>
      <c r="AQ2210" s="288" t="s">
        <v>5536</v>
      </c>
      <c r="AR2210" s="277">
        <v>44943.5625</v>
      </c>
      <c r="AS2210" s="288" t="s">
        <v>240</v>
      </c>
      <c r="AT2210" s="288" t="s">
        <v>65</v>
      </c>
      <c r="AU2210" s="276">
        <v>0.5625</v>
      </c>
      <c r="AV2210" s="288">
        <v>1</v>
      </c>
      <c r="AW2210" s="288" t="s">
        <v>66</v>
      </c>
      <c r="AX2210" s="314"/>
      <c r="AY2210" s="314"/>
      <c r="AZ2210" s="314"/>
      <c r="BA2210" s="314"/>
    </row>
    <row r="2211" spans="1:53" s="301" customFormat="1" x14ac:dyDescent="0.25">
      <c r="A2211" s="312">
        <v>195</v>
      </c>
      <c r="B2211" s="311">
        <v>44940.638888888891</v>
      </c>
      <c r="C2211" s="308">
        <v>0.64236111111111105</v>
      </c>
      <c r="D2211" s="308">
        <v>0.65972222222222221</v>
      </c>
      <c r="E2211" s="308">
        <v>0.69097222222222221</v>
      </c>
      <c r="F2211" s="309" t="s">
        <v>170</v>
      </c>
      <c r="G2211" s="309" t="s">
        <v>376</v>
      </c>
      <c r="H2211" s="307" t="s">
        <v>55</v>
      </c>
      <c r="I2211" s="307" t="s">
        <v>73</v>
      </c>
      <c r="J2211" s="307" t="s">
        <v>37</v>
      </c>
      <c r="K2211" s="309" t="s">
        <v>63</v>
      </c>
      <c r="L2211" s="309" t="s">
        <v>216</v>
      </c>
      <c r="M2211" s="309" t="s">
        <v>5427</v>
      </c>
      <c r="N2211" s="309" t="s">
        <v>59</v>
      </c>
      <c r="O2211" s="309">
        <v>92101005</v>
      </c>
      <c r="P2211" s="309" t="s">
        <v>5428</v>
      </c>
      <c r="Q2211" s="303">
        <f t="shared" si="495"/>
        <v>2</v>
      </c>
      <c r="R2211" s="303">
        <f t="shared" si="496"/>
        <v>408</v>
      </c>
      <c r="S2211" s="309">
        <v>0</v>
      </c>
      <c r="T2211" s="309">
        <v>0</v>
      </c>
      <c r="U2211" s="309">
        <v>2</v>
      </c>
      <c r="V2211" s="309">
        <v>408</v>
      </c>
      <c r="W2211" s="309">
        <v>394.8</v>
      </c>
      <c r="X2211" s="309">
        <v>95</v>
      </c>
      <c r="Y2211" s="309">
        <v>65</v>
      </c>
      <c r="Z2211" s="309">
        <v>54</v>
      </c>
      <c r="AA2211" s="309">
        <v>1</v>
      </c>
      <c r="AB2211" s="307">
        <f t="shared" si="497"/>
        <v>55.575000000000003</v>
      </c>
      <c r="AC2211" s="307">
        <f t="shared" si="498"/>
        <v>0.33478915662650605</v>
      </c>
      <c r="AD2211" s="309">
        <v>2368.73</v>
      </c>
      <c r="AE2211" s="309" t="s">
        <v>109</v>
      </c>
      <c r="AF2211" s="309" t="s">
        <v>317</v>
      </c>
      <c r="AG2211" s="309" t="s">
        <v>317</v>
      </c>
      <c r="AH2211" s="309" t="s">
        <v>5429</v>
      </c>
      <c r="AI2211" s="309" t="s">
        <v>5426</v>
      </c>
      <c r="AJ2211" s="309"/>
      <c r="AK2211" s="309" t="s">
        <v>37</v>
      </c>
      <c r="AL2211" s="309" t="s">
        <v>49</v>
      </c>
      <c r="AM2211" s="299">
        <f t="shared" ca="1" si="478"/>
        <v>3.163762384254369</v>
      </c>
      <c r="AN2211" s="313"/>
      <c r="AO2211" s="314"/>
      <c r="AP2211" s="314"/>
      <c r="AQ2211" s="314"/>
      <c r="AR2211" s="314"/>
      <c r="AS2211" s="314"/>
      <c r="AT2211" s="314"/>
      <c r="AU2211" s="314"/>
      <c r="AV2211" s="314"/>
      <c r="AW2211" s="314"/>
      <c r="AX2211" s="314"/>
      <c r="AY2211" s="314"/>
      <c r="AZ2211" s="314"/>
      <c r="BA2211" s="314"/>
    </row>
    <row r="2212" spans="1:53" s="301" customFormat="1" x14ac:dyDescent="0.25">
      <c r="A2212" s="312">
        <v>195</v>
      </c>
      <c r="B2212" s="311">
        <v>44940.638888888891</v>
      </c>
      <c r="C2212" s="308">
        <v>0.64236111111111105</v>
      </c>
      <c r="D2212" s="308">
        <v>0.65972222222222221</v>
      </c>
      <c r="E2212" s="308">
        <v>0.69097222222222221</v>
      </c>
      <c r="F2212" s="309" t="s">
        <v>170</v>
      </c>
      <c r="G2212" s="309" t="s">
        <v>376</v>
      </c>
      <c r="H2212" s="307" t="s">
        <v>55</v>
      </c>
      <c r="I2212" s="307" t="s">
        <v>73</v>
      </c>
      <c r="J2212" s="307" t="s">
        <v>37</v>
      </c>
      <c r="K2212" s="309" t="s">
        <v>63</v>
      </c>
      <c r="L2212" s="309" t="s">
        <v>216</v>
      </c>
      <c r="M2212" s="309" t="s">
        <v>5427</v>
      </c>
      <c r="N2212" s="309" t="s">
        <v>59</v>
      </c>
      <c r="O2212" s="309">
        <v>92101005</v>
      </c>
      <c r="P2212" s="309" t="s">
        <v>5428</v>
      </c>
      <c r="Q2212" s="303">
        <f t="shared" si="495"/>
        <v>0</v>
      </c>
      <c r="R2212" s="303">
        <f t="shared" si="496"/>
        <v>0</v>
      </c>
      <c r="S2212" s="309">
        <v>0</v>
      </c>
      <c r="T2212" s="309">
        <v>0</v>
      </c>
      <c r="U2212" s="309">
        <v>0</v>
      </c>
      <c r="V2212" s="309">
        <v>0</v>
      </c>
      <c r="W2212" s="309">
        <v>0</v>
      </c>
      <c r="X2212" s="309">
        <v>65</v>
      </c>
      <c r="Y2212" s="309">
        <v>60</v>
      </c>
      <c r="Z2212" s="309">
        <v>45</v>
      </c>
      <c r="AA2212" s="309">
        <v>1</v>
      </c>
      <c r="AB2212" s="307">
        <f t="shared" si="497"/>
        <v>29.25</v>
      </c>
      <c r="AC2212" s="307">
        <f t="shared" si="498"/>
        <v>0.17620481927710843</v>
      </c>
      <c r="AD2212" s="309">
        <v>0</v>
      </c>
      <c r="AE2212" s="309">
        <v>0</v>
      </c>
      <c r="AF2212" s="309" t="s">
        <v>317</v>
      </c>
      <c r="AG2212" s="309" t="s">
        <v>317</v>
      </c>
      <c r="AH2212" s="309" t="s">
        <v>5429</v>
      </c>
      <c r="AI2212" s="309" t="s">
        <v>5426</v>
      </c>
      <c r="AJ2212" s="309"/>
      <c r="AK2212" s="309" t="s">
        <v>37</v>
      </c>
      <c r="AL2212" s="309" t="s">
        <v>49</v>
      </c>
      <c r="AM2212" s="299">
        <f t="shared" ca="1" si="478"/>
        <v>3.163762384254369</v>
      </c>
      <c r="AN2212" s="313"/>
      <c r="AO2212" s="314"/>
      <c r="AP2212" s="314"/>
      <c r="AQ2212" s="314"/>
      <c r="AR2212" s="314"/>
      <c r="AS2212" s="314"/>
      <c r="AT2212" s="314"/>
      <c r="AU2212" s="314"/>
      <c r="AV2212" s="314"/>
      <c r="AW2212" s="314"/>
      <c r="AX2212" s="314"/>
      <c r="AY2212" s="314"/>
      <c r="AZ2212" s="314"/>
      <c r="BA2212" s="314"/>
    </row>
    <row r="2213" spans="1:53" s="301" customFormat="1" x14ac:dyDescent="0.25">
      <c r="A2213" s="312">
        <v>196</v>
      </c>
      <c r="B2213" s="311">
        <v>44940.638888888891</v>
      </c>
      <c r="C2213" s="308">
        <v>0.64236111111111105</v>
      </c>
      <c r="D2213" s="308">
        <v>0.65972222222222221</v>
      </c>
      <c r="E2213" s="308">
        <v>0.69097222222222221</v>
      </c>
      <c r="F2213" s="309" t="s">
        <v>170</v>
      </c>
      <c r="G2213" s="309" t="s">
        <v>376</v>
      </c>
      <c r="H2213" s="307" t="s">
        <v>57</v>
      </c>
      <c r="I2213" s="307" t="s">
        <v>110</v>
      </c>
      <c r="J2213" s="307" t="s">
        <v>37</v>
      </c>
      <c r="K2213" s="309" t="s">
        <v>63</v>
      </c>
      <c r="L2213" s="309" t="s">
        <v>209</v>
      </c>
      <c r="M2213" s="309" t="s">
        <v>5430</v>
      </c>
      <c r="N2213" s="309" t="s">
        <v>186</v>
      </c>
      <c r="O2213" s="309" t="s">
        <v>5431</v>
      </c>
      <c r="P2213" s="309">
        <v>96244310</v>
      </c>
      <c r="Q2213" s="303">
        <f t="shared" si="495"/>
        <v>1</v>
      </c>
      <c r="R2213" s="303">
        <f t="shared" si="496"/>
        <v>109</v>
      </c>
      <c r="S2213" s="309">
        <v>0</v>
      </c>
      <c r="T2213" s="309">
        <v>0</v>
      </c>
      <c r="U2213" s="309">
        <v>1</v>
      </c>
      <c r="V2213" s="309">
        <v>109</v>
      </c>
      <c r="W2213" s="309">
        <v>108</v>
      </c>
      <c r="X2213" s="309">
        <v>80</v>
      </c>
      <c r="Y2213" s="309">
        <v>60</v>
      </c>
      <c r="Z2213" s="309">
        <v>69</v>
      </c>
      <c r="AA2213" s="309">
        <v>1</v>
      </c>
      <c r="AB2213" s="307">
        <f t="shared" si="497"/>
        <v>55.2</v>
      </c>
      <c r="AC2213" s="307">
        <f t="shared" si="498"/>
        <v>0.3325301204819277</v>
      </c>
      <c r="AD2213" s="309">
        <v>539.54999999999995</v>
      </c>
      <c r="AE2213" s="309" t="s">
        <v>109</v>
      </c>
      <c r="AF2213" s="309" t="s">
        <v>317</v>
      </c>
      <c r="AG2213" s="309" t="s">
        <v>317</v>
      </c>
      <c r="AH2213" s="309" t="s">
        <v>5432</v>
      </c>
      <c r="AI2213" s="309" t="s">
        <v>5426</v>
      </c>
      <c r="AJ2213" s="309"/>
      <c r="AK2213" s="309" t="s">
        <v>37</v>
      </c>
      <c r="AL2213" s="309" t="s">
        <v>49</v>
      </c>
      <c r="AM2213" s="299">
        <f t="shared" ca="1" si="478"/>
        <v>3.163762384254369</v>
      </c>
      <c r="AN2213" s="313"/>
      <c r="AO2213" s="314"/>
      <c r="AP2213" s="314"/>
      <c r="AQ2213" s="314"/>
      <c r="AR2213" s="314"/>
      <c r="AS2213" s="314"/>
      <c r="AT2213" s="314"/>
      <c r="AU2213" s="314"/>
      <c r="AV2213" s="314"/>
      <c r="AW2213" s="314"/>
      <c r="AX2213" s="314"/>
      <c r="AY2213" s="314"/>
      <c r="AZ2213" s="314"/>
      <c r="BA2213" s="314"/>
    </row>
    <row r="2214" spans="1:53" s="301" customFormat="1" x14ac:dyDescent="0.25">
      <c r="A2214" s="312">
        <v>197</v>
      </c>
      <c r="B2214" s="311">
        <v>44940.638888888891</v>
      </c>
      <c r="C2214" s="308">
        <v>0.64236111111111105</v>
      </c>
      <c r="D2214" s="308">
        <v>0.65972222222222221</v>
      </c>
      <c r="E2214" s="308">
        <v>0.69097222222222221</v>
      </c>
      <c r="F2214" s="309" t="s">
        <v>170</v>
      </c>
      <c r="G2214" s="309" t="s">
        <v>376</v>
      </c>
      <c r="H2214" s="307" t="s">
        <v>57</v>
      </c>
      <c r="I2214" s="307" t="s">
        <v>162</v>
      </c>
      <c r="J2214" s="307" t="s">
        <v>37</v>
      </c>
      <c r="K2214" s="309" t="s">
        <v>63</v>
      </c>
      <c r="L2214" s="309" t="s">
        <v>209</v>
      </c>
      <c r="M2214" s="309" t="s">
        <v>5433</v>
      </c>
      <c r="N2214" s="309" t="s">
        <v>158</v>
      </c>
      <c r="O2214" s="309" t="s">
        <v>5434</v>
      </c>
      <c r="P2214" s="309">
        <v>81992699</v>
      </c>
      <c r="Q2214" s="303">
        <f t="shared" si="495"/>
        <v>2</v>
      </c>
      <c r="R2214" s="303">
        <f t="shared" si="496"/>
        <v>180</v>
      </c>
      <c r="S2214" s="309">
        <v>0</v>
      </c>
      <c r="T2214" s="309">
        <v>0</v>
      </c>
      <c r="U2214" s="309">
        <v>2</v>
      </c>
      <c r="V2214" s="309">
        <v>180</v>
      </c>
      <c r="W2214" s="309">
        <v>179</v>
      </c>
      <c r="X2214" s="309">
        <v>60</v>
      </c>
      <c r="Y2214" s="309">
        <v>45</v>
      </c>
      <c r="Z2214" s="309">
        <v>41</v>
      </c>
      <c r="AA2214" s="309">
        <v>1</v>
      </c>
      <c r="AB2214" s="307">
        <f t="shared" si="497"/>
        <v>18.45</v>
      </c>
      <c r="AC2214" s="307">
        <f t="shared" si="498"/>
        <v>0.11114457831325301</v>
      </c>
      <c r="AD2214" s="309">
        <v>1061.1099999999999</v>
      </c>
      <c r="AE2214" s="309" t="s">
        <v>109</v>
      </c>
      <c r="AF2214" s="309" t="s">
        <v>317</v>
      </c>
      <c r="AG2214" s="309" t="s">
        <v>317</v>
      </c>
      <c r="AH2214" s="309" t="s">
        <v>5435</v>
      </c>
      <c r="AI2214" s="309" t="s">
        <v>5426</v>
      </c>
      <c r="AJ2214" s="309"/>
      <c r="AK2214" s="309" t="s">
        <v>37</v>
      </c>
      <c r="AL2214" s="309" t="s">
        <v>49</v>
      </c>
      <c r="AM2214" s="299">
        <f t="shared" ca="1" si="478"/>
        <v>2.9236111111094942</v>
      </c>
      <c r="AN2214" s="313"/>
      <c r="AO2214" s="288" t="s">
        <v>159</v>
      </c>
      <c r="AP2214" s="275" t="s">
        <v>5433</v>
      </c>
      <c r="AQ2214" s="288" t="s">
        <v>5537</v>
      </c>
      <c r="AR2214" s="277">
        <v>44943.5625</v>
      </c>
      <c r="AS2214" s="288" t="s">
        <v>240</v>
      </c>
      <c r="AT2214" s="288" t="s">
        <v>65</v>
      </c>
      <c r="AU2214" s="276">
        <v>0.5625</v>
      </c>
      <c r="AV2214" s="288">
        <v>1</v>
      </c>
      <c r="AW2214" s="288" t="s">
        <v>66</v>
      </c>
      <c r="AX2214" s="314"/>
      <c r="AY2214" s="314"/>
      <c r="AZ2214" s="314"/>
      <c r="BA2214" s="314"/>
    </row>
    <row r="2215" spans="1:53" s="301" customFormat="1" x14ac:dyDescent="0.25">
      <c r="A2215" s="312">
        <v>197</v>
      </c>
      <c r="B2215" s="311">
        <v>44940.638888888891</v>
      </c>
      <c r="C2215" s="308">
        <v>0.64236111111111105</v>
      </c>
      <c r="D2215" s="308">
        <v>0.65972222222222221</v>
      </c>
      <c r="E2215" s="308">
        <v>0.69097222222222221</v>
      </c>
      <c r="F2215" s="309" t="s">
        <v>170</v>
      </c>
      <c r="G2215" s="309" t="s">
        <v>376</v>
      </c>
      <c r="H2215" s="307" t="s">
        <v>57</v>
      </c>
      <c r="I2215" s="307" t="s">
        <v>162</v>
      </c>
      <c r="J2215" s="307" t="s">
        <v>37</v>
      </c>
      <c r="K2215" s="309" t="s">
        <v>63</v>
      </c>
      <c r="L2215" s="309" t="s">
        <v>209</v>
      </c>
      <c r="M2215" s="309" t="s">
        <v>5433</v>
      </c>
      <c r="N2215" s="309" t="s">
        <v>158</v>
      </c>
      <c r="O2215" s="309" t="s">
        <v>5434</v>
      </c>
      <c r="P2215" s="309">
        <v>81992699</v>
      </c>
      <c r="Q2215" s="303">
        <f t="shared" si="495"/>
        <v>0</v>
      </c>
      <c r="R2215" s="303">
        <f t="shared" si="496"/>
        <v>0</v>
      </c>
      <c r="S2215" s="309">
        <v>0</v>
      </c>
      <c r="T2215" s="309">
        <v>0</v>
      </c>
      <c r="U2215" s="309">
        <v>0</v>
      </c>
      <c r="V2215" s="309">
        <v>0</v>
      </c>
      <c r="W2215" s="309">
        <v>0</v>
      </c>
      <c r="X2215" s="309">
        <v>108</v>
      </c>
      <c r="Y2215" s="309">
        <v>58</v>
      </c>
      <c r="Z2215" s="309">
        <v>65</v>
      </c>
      <c r="AA2215" s="309">
        <v>1</v>
      </c>
      <c r="AB2215" s="307">
        <f t="shared" si="497"/>
        <v>67.86</v>
      </c>
      <c r="AC2215" s="307">
        <f t="shared" si="498"/>
        <v>0.40879518072289156</v>
      </c>
      <c r="AD2215" s="309">
        <v>0</v>
      </c>
      <c r="AE2215" s="309">
        <v>0</v>
      </c>
      <c r="AF2215" s="309" t="s">
        <v>317</v>
      </c>
      <c r="AG2215" s="309" t="s">
        <v>317</v>
      </c>
      <c r="AH2215" s="309" t="s">
        <v>5435</v>
      </c>
      <c r="AI2215" s="309" t="s">
        <v>5426</v>
      </c>
      <c r="AJ2215" s="309"/>
      <c r="AK2215" s="309" t="s">
        <v>37</v>
      </c>
      <c r="AL2215" s="309" t="s">
        <v>49</v>
      </c>
      <c r="AM2215" s="299">
        <f t="shared" ca="1" si="478"/>
        <v>2.9236111111094942</v>
      </c>
      <c r="AN2215" s="313"/>
      <c r="AO2215" s="288" t="s">
        <v>159</v>
      </c>
      <c r="AP2215" s="275" t="s">
        <v>5433</v>
      </c>
      <c r="AQ2215" s="288" t="s">
        <v>5537</v>
      </c>
      <c r="AR2215" s="277">
        <v>44943.5625</v>
      </c>
      <c r="AS2215" s="288" t="s">
        <v>240</v>
      </c>
      <c r="AT2215" s="288" t="s">
        <v>65</v>
      </c>
      <c r="AU2215" s="276">
        <v>0.5625</v>
      </c>
      <c r="AV2215" s="288">
        <v>1</v>
      </c>
      <c r="AW2215" s="288" t="s">
        <v>66</v>
      </c>
      <c r="AX2215" s="314"/>
      <c r="AY2215" s="314"/>
      <c r="AZ2215" s="314"/>
      <c r="BA2215" s="314"/>
    </row>
    <row r="2216" spans="1:53" s="301" customFormat="1" x14ac:dyDescent="0.25">
      <c r="A2216" s="312">
        <v>198</v>
      </c>
      <c r="B2216" s="311">
        <v>44940.638888888891</v>
      </c>
      <c r="C2216" s="308">
        <v>0.64236111111111105</v>
      </c>
      <c r="D2216" s="308">
        <v>0.65972222222222221</v>
      </c>
      <c r="E2216" s="308">
        <v>0.69097222222222221</v>
      </c>
      <c r="F2216" s="309" t="s">
        <v>170</v>
      </c>
      <c r="G2216" s="309" t="s">
        <v>376</v>
      </c>
      <c r="H2216" s="307" t="s">
        <v>45</v>
      </c>
      <c r="I2216" s="307" t="s">
        <v>92</v>
      </c>
      <c r="J2216" s="307" t="s">
        <v>37</v>
      </c>
      <c r="K2216" s="309" t="s">
        <v>63</v>
      </c>
      <c r="L2216" s="309" t="s">
        <v>215</v>
      </c>
      <c r="M2216" s="309" t="s">
        <v>5436</v>
      </c>
      <c r="N2216" s="309" t="s">
        <v>42</v>
      </c>
      <c r="O2216" s="309">
        <v>3500853</v>
      </c>
      <c r="P2216" s="309">
        <v>5052035100</v>
      </c>
      <c r="Q2216" s="303">
        <f t="shared" si="495"/>
        <v>1</v>
      </c>
      <c r="R2216" s="303">
        <f t="shared" si="496"/>
        <v>89</v>
      </c>
      <c r="S2216" s="309">
        <v>0</v>
      </c>
      <c r="T2216" s="309">
        <v>0</v>
      </c>
      <c r="U2216" s="309">
        <v>1</v>
      </c>
      <c r="V2216" s="309">
        <v>89</v>
      </c>
      <c r="W2216" s="309">
        <v>89.995000000000005</v>
      </c>
      <c r="X2216" s="309">
        <v>90</v>
      </c>
      <c r="Y2216" s="309">
        <v>80</v>
      </c>
      <c r="Z2216" s="309">
        <v>32</v>
      </c>
      <c r="AA2216" s="309">
        <v>1</v>
      </c>
      <c r="AB2216" s="307">
        <f t="shared" si="497"/>
        <v>38.4</v>
      </c>
      <c r="AC2216" s="307">
        <f t="shared" si="498"/>
        <v>0.23132530120481926</v>
      </c>
      <c r="AD2216" s="309">
        <v>5335.7</v>
      </c>
      <c r="AE2216" s="309" t="s">
        <v>109</v>
      </c>
      <c r="AF2216" s="309" t="s">
        <v>317</v>
      </c>
      <c r="AG2216" s="309" t="s">
        <v>317</v>
      </c>
      <c r="AH2216" s="309" t="s">
        <v>5437</v>
      </c>
      <c r="AI2216" s="309" t="s">
        <v>5426</v>
      </c>
      <c r="AJ2216" s="309"/>
      <c r="AK2216" s="309" t="s">
        <v>37</v>
      </c>
      <c r="AL2216" s="309" t="s">
        <v>49</v>
      </c>
      <c r="AM2216" s="299">
        <f t="shared" ca="1" si="478"/>
        <v>2.9236111111094942</v>
      </c>
      <c r="AN2216" s="313"/>
      <c r="AO2216" s="288" t="s">
        <v>120</v>
      </c>
      <c r="AP2216" s="275" t="s">
        <v>5436</v>
      </c>
      <c r="AQ2216" s="288" t="s">
        <v>5536</v>
      </c>
      <c r="AR2216" s="277">
        <v>44943.5625</v>
      </c>
      <c r="AS2216" s="288" t="s">
        <v>240</v>
      </c>
      <c r="AT2216" s="288" t="s">
        <v>65</v>
      </c>
      <c r="AU2216" s="276">
        <v>0.5625</v>
      </c>
      <c r="AV2216" s="288">
        <v>1</v>
      </c>
      <c r="AW2216" s="288" t="s">
        <v>66</v>
      </c>
      <c r="AX2216" s="314"/>
      <c r="AY2216" s="314"/>
      <c r="AZ2216" s="314"/>
      <c r="BA2216" s="314"/>
    </row>
    <row r="2217" spans="1:53" s="301" customFormat="1" x14ac:dyDescent="0.25">
      <c r="A2217" s="312">
        <v>199</v>
      </c>
      <c r="B2217" s="311">
        <v>44940.638888888891</v>
      </c>
      <c r="C2217" s="308">
        <v>0.64236111111111105</v>
      </c>
      <c r="D2217" s="308">
        <v>0.65972222222222221</v>
      </c>
      <c r="E2217" s="308">
        <v>0.69097222222222221</v>
      </c>
      <c r="F2217" s="309" t="s">
        <v>170</v>
      </c>
      <c r="G2217" s="309" t="s">
        <v>376</v>
      </c>
      <c r="H2217" s="307" t="s">
        <v>46</v>
      </c>
      <c r="I2217" s="307" t="s">
        <v>92</v>
      </c>
      <c r="J2217" s="307" t="s">
        <v>41</v>
      </c>
      <c r="K2217" s="309" t="s">
        <v>63</v>
      </c>
      <c r="L2217" s="309" t="s">
        <v>214</v>
      </c>
      <c r="M2217" s="309" t="s">
        <v>5438</v>
      </c>
      <c r="N2217" s="309" t="s">
        <v>42</v>
      </c>
      <c r="O2217" s="309" t="s">
        <v>5439</v>
      </c>
      <c r="P2217" s="309" t="s">
        <v>5440</v>
      </c>
      <c r="Q2217" s="303">
        <f t="shared" si="495"/>
        <v>2</v>
      </c>
      <c r="R2217" s="303">
        <f t="shared" si="496"/>
        <v>321</v>
      </c>
      <c r="S2217" s="309">
        <v>0</v>
      </c>
      <c r="T2217" s="309">
        <v>0</v>
      </c>
      <c r="U2217" s="309">
        <v>2</v>
      </c>
      <c r="V2217" s="309">
        <v>321</v>
      </c>
      <c r="W2217" s="309">
        <v>319</v>
      </c>
      <c r="X2217" s="309">
        <v>82</v>
      </c>
      <c r="Y2217" s="309">
        <v>43</v>
      </c>
      <c r="Z2217" s="309">
        <v>40</v>
      </c>
      <c r="AA2217" s="309">
        <v>1</v>
      </c>
      <c r="AB2217" s="307">
        <f t="shared" si="497"/>
        <v>23.506666666666668</v>
      </c>
      <c r="AC2217" s="307">
        <f t="shared" si="498"/>
        <v>0.14160642570281126</v>
      </c>
      <c r="AD2217" s="309" t="s">
        <v>48</v>
      </c>
      <c r="AE2217" s="309" t="s">
        <v>48</v>
      </c>
      <c r="AF2217" s="309" t="s">
        <v>317</v>
      </c>
      <c r="AG2217" s="309" t="s">
        <v>317</v>
      </c>
      <c r="AH2217" s="309" t="s">
        <v>5441</v>
      </c>
      <c r="AI2217" s="309" t="s">
        <v>5426</v>
      </c>
      <c r="AJ2217" s="309"/>
      <c r="AK2217" s="309" t="s">
        <v>41</v>
      </c>
      <c r="AL2217" s="309" t="s">
        <v>49</v>
      </c>
      <c r="AM2217" s="299">
        <f t="shared" ca="1" si="478"/>
        <v>2.8680555555547471</v>
      </c>
      <c r="AN2217" s="313"/>
      <c r="AO2217" s="288" t="s">
        <v>83</v>
      </c>
      <c r="AP2217" s="275" t="s">
        <v>5438</v>
      </c>
      <c r="AQ2217" s="288" t="s">
        <v>5532</v>
      </c>
      <c r="AR2217" s="277">
        <v>44943.506944444445</v>
      </c>
      <c r="AS2217" s="272" t="s">
        <v>173</v>
      </c>
      <c r="AT2217" s="288" t="s">
        <v>65</v>
      </c>
      <c r="AU2217" s="276">
        <v>0.50694444444444442</v>
      </c>
      <c r="AV2217" s="288">
        <v>1</v>
      </c>
      <c r="AW2217" s="288" t="s">
        <v>66</v>
      </c>
      <c r="AX2217" s="314"/>
      <c r="AY2217" s="314"/>
      <c r="AZ2217" s="314"/>
      <c r="BA2217" s="314"/>
    </row>
    <row r="2218" spans="1:53" s="301" customFormat="1" x14ac:dyDescent="0.25">
      <c r="A2218" s="312">
        <v>199</v>
      </c>
      <c r="B2218" s="311">
        <v>44940.638888888891</v>
      </c>
      <c r="C2218" s="308">
        <v>0.64236111111111105</v>
      </c>
      <c r="D2218" s="308">
        <v>0.65972222222222221</v>
      </c>
      <c r="E2218" s="308">
        <v>0.69097222222222221</v>
      </c>
      <c r="F2218" s="309" t="s">
        <v>170</v>
      </c>
      <c r="G2218" s="309" t="s">
        <v>376</v>
      </c>
      <c r="H2218" s="307" t="s">
        <v>46</v>
      </c>
      <c r="I2218" s="307" t="s">
        <v>92</v>
      </c>
      <c r="J2218" s="307" t="s">
        <v>41</v>
      </c>
      <c r="K2218" s="309" t="s">
        <v>63</v>
      </c>
      <c r="L2218" s="309" t="s">
        <v>214</v>
      </c>
      <c r="M2218" s="309" t="s">
        <v>5438</v>
      </c>
      <c r="N2218" s="309" t="s">
        <v>42</v>
      </c>
      <c r="O2218" s="309" t="s">
        <v>5439</v>
      </c>
      <c r="P2218" s="309" t="s">
        <v>5440</v>
      </c>
      <c r="Q2218" s="303">
        <f t="shared" si="495"/>
        <v>0</v>
      </c>
      <c r="R2218" s="303">
        <f t="shared" si="496"/>
        <v>0</v>
      </c>
      <c r="S2218" s="309">
        <v>0</v>
      </c>
      <c r="T2218" s="309">
        <v>0</v>
      </c>
      <c r="U2218" s="309">
        <v>0</v>
      </c>
      <c r="V2218" s="309">
        <v>0</v>
      </c>
      <c r="W2218" s="309">
        <v>0</v>
      </c>
      <c r="X2218" s="309">
        <v>71</v>
      </c>
      <c r="Y2218" s="309">
        <v>53</v>
      </c>
      <c r="Z2218" s="309">
        <v>62</v>
      </c>
      <c r="AA2218" s="309">
        <v>1</v>
      </c>
      <c r="AB2218" s="307">
        <f t="shared" si="497"/>
        <v>38.884333333333331</v>
      </c>
      <c r="AC2218" s="307">
        <f t="shared" si="498"/>
        <v>0.23424297188755019</v>
      </c>
      <c r="AD2218" s="309">
        <v>0</v>
      </c>
      <c r="AE2218" s="309">
        <v>0</v>
      </c>
      <c r="AF2218" s="309" t="s">
        <v>317</v>
      </c>
      <c r="AG2218" s="309" t="s">
        <v>317</v>
      </c>
      <c r="AH2218" s="309" t="s">
        <v>5441</v>
      </c>
      <c r="AI2218" s="309" t="s">
        <v>5426</v>
      </c>
      <c r="AJ2218" s="309"/>
      <c r="AK2218" s="309" t="s">
        <v>41</v>
      </c>
      <c r="AL2218" s="309" t="s">
        <v>49</v>
      </c>
      <c r="AM2218" s="299">
        <f t="shared" ca="1" si="478"/>
        <v>2.8680555555547471</v>
      </c>
      <c r="AN2218" s="313"/>
      <c r="AO2218" s="288" t="s">
        <v>83</v>
      </c>
      <c r="AP2218" s="275" t="s">
        <v>5438</v>
      </c>
      <c r="AQ2218" s="288" t="s">
        <v>5532</v>
      </c>
      <c r="AR2218" s="277">
        <v>44943.506944444445</v>
      </c>
      <c r="AS2218" s="272" t="s">
        <v>173</v>
      </c>
      <c r="AT2218" s="288" t="s">
        <v>65</v>
      </c>
      <c r="AU2218" s="276">
        <v>0.50694444444444442</v>
      </c>
      <c r="AV2218" s="288">
        <v>1</v>
      </c>
      <c r="AW2218" s="288" t="s">
        <v>66</v>
      </c>
      <c r="AX2218" s="314"/>
      <c r="AY2218" s="314"/>
      <c r="AZ2218" s="314"/>
      <c r="BA2218" s="314"/>
    </row>
    <row r="2219" spans="1:53" s="301" customFormat="1" x14ac:dyDescent="0.25">
      <c r="A2219" s="312">
        <v>200</v>
      </c>
      <c r="B2219" s="311">
        <v>44940.638888888891</v>
      </c>
      <c r="C2219" s="308">
        <v>0.64236111111111105</v>
      </c>
      <c r="D2219" s="308">
        <v>0.65972222222222221</v>
      </c>
      <c r="E2219" s="308">
        <v>0.69097222222222221</v>
      </c>
      <c r="F2219" s="309" t="s">
        <v>170</v>
      </c>
      <c r="G2219" s="309" t="s">
        <v>376</v>
      </c>
      <c r="H2219" s="307" t="s">
        <v>3355</v>
      </c>
      <c r="I2219" s="307" t="s">
        <v>102</v>
      </c>
      <c r="J2219" s="307" t="s">
        <v>37</v>
      </c>
      <c r="K2219" s="309" t="s">
        <v>63</v>
      </c>
      <c r="L2219" s="309">
        <v>0</v>
      </c>
      <c r="M2219" s="309" t="s">
        <v>5442</v>
      </c>
      <c r="N2219" s="309" t="s">
        <v>3361</v>
      </c>
      <c r="O2219" s="309">
        <v>155</v>
      </c>
      <c r="P2219" s="309">
        <v>53473499</v>
      </c>
      <c r="Q2219" s="303">
        <f t="shared" si="495"/>
        <v>9</v>
      </c>
      <c r="R2219" s="303">
        <f t="shared" si="496"/>
        <v>1373</v>
      </c>
      <c r="S2219" s="309">
        <v>0</v>
      </c>
      <c r="T2219" s="309">
        <v>0</v>
      </c>
      <c r="U2219" s="309">
        <v>9</v>
      </c>
      <c r="V2219" s="309">
        <v>1373</v>
      </c>
      <c r="W2219" s="309">
        <v>1402.4</v>
      </c>
      <c r="X2219" s="309">
        <v>118</v>
      </c>
      <c r="Y2219" s="309">
        <v>83</v>
      </c>
      <c r="Z2219" s="309">
        <v>103</v>
      </c>
      <c r="AA2219" s="309">
        <v>5</v>
      </c>
      <c r="AB2219" s="307">
        <f t="shared" si="497"/>
        <v>840.65166666666664</v>
      </c>
      <c r="AC2219" s="307">
        <f t="shared" si="498"/>
        <v>5.0641666666666669</v>
      </c>
      <c r="AD2219" s="309">
        <v>15366</v>
      </c>
      <c r="AE2219" s="309" t="s">
        <v>109</v>
      </c>
      <c r="AF2219" s="309" t="s">
        <v>317</v>
      </c>
      <c r="AG2219" s="309" t="s">
        <v>317</v>
      </c>
      <c r="AH2219" s="309" t="s">
        <v>5443</v>
      </c>
      <c r="AI2219" s="309" t="s">
        <v>5426</v>
      </c>
      <c r="AJ2219" s="309"/>
      <c r="AK2219" s="309" t="s">
        <v>41</v>
      </c>
      <c r="AL2219" s="309" t="s">
        <v>49</v>
      </c>
      <c r="AM2219" s="299">
        <f t="shared" ca="1" si="478"/>
        <v>2.9965277777737356</v>
      </c>
      <c r="AN2219" s="313"/>
      <c r="AO2219" s="288" t="s">
        <v>3376</v>
      </c>
      <c r="AP2219" s="275" t="s">
        <v>5442</v>
      </c>
      <c r="AQ2219" s="288" t="s">
        <v>5540</v>
      </c>
      <c r="AR2219" s="277">
        <v>44943.635416666664</v>
      </c>
      <c r="AS2219" s="276" t="s">
        <v>3968</v>
      </c>
      <c r="AT2219" s="288" t="s">
        <v>225</v>
      </c>
      <c r="AU2219" s="276">
        <v>0.63541666666666663</v>
      </c>
      <c r="AV2219" s="288">
        <v>1</v>
      </c>
      <c r="AW2219" s="288" t="s">
        <v>66</v>
      </c>
      <c r="AX2219" s="314"/>
      <c r="AY2219" s="314"/>
      <c r="AZ2219" s="314"/>
      <c r="BA2219" s="314"/>
    </row>
    <row r="2220" spans="1:53" s="301" customFormat="1" x14ac:dyDescent="0.25">
      <c r="A2220" s="312">
        <v>200</v>
      </c>
      <c r="B2220" s="311">
        <v>44940.638888888891</v>
      </c>
      <c r="C2220" s="308">
        <v>0.64236111111111105</v>
      </c>
      <c r="D2220" s="308">
        <v>0.65972222222222221</v>
      </c>
      <c r="E2220" s="308">
        <v>0.69097222222222221</v>
      </c>
      <c r="F2220" s="309" t="s">
        <v>170</v>
      </c>
      <c r="G2220" s="309" t="s">
        <v>376</v>
      </c>
      <c r="H2220" s="307" t="s">
        <v>3355</v>
      </c>
      <c r="I2220" s="307" t="s">
        <v>102</v>
      </c>
      <c r="J2220" s="307" t="s">
        <v>37</v>
      </c>
      <c r="K2220" s="309" t="s">
        <v>63</v>
      </c>
      <c r="L2220" s="309">
        <v>0</v>
      </c>
      <c r="M2220" s="309" t="s">
        <v>5442</v>
      </c>
      <c r="N2220" s="309" t="s">
        <v>3361</v>
      </c>
      <c r="O2220" s="309">
        <v>155</v>
      </c>
      <c r="P2220" s="309">
        <v>53473499</v>
      </c>
      <c r="Q2220" s="303">
        <f t="shared" si="495"/>
        <v>0</v>
      </c>
      <c r="R2220" s="303">
        <f t="shared" si="496"/>
        <v>0</v>
      </c>
      <c r="S2220" s="309">
        <v>0</v>
      </c>
      <c r="T2220" s="309">
        <v>0</v>
      </c>
      <c r="U2220" s="309">
        <v>0</v>
      </c>
      <c r="V2220" s="309">
        <v>0</v>
      </c>
      <c r="W2220" s="309">
        <v>0</v>
      </c>
      <c r="X2220" s="309">
        <v>118</v>
      </c>
      <c r="Y2220" s="309">
        <v>77</v>
      </c>
      <c r="Z2220" s="309">
        <v>74</v>
      </c>
      <c r="AA2220" s="309">
        <v>3</v>
      </c>
      <c r="AB2220" s="307">
        <f t="shared" si="497"/>
        <v>336.18200000000002</v>
      </c>
      <c r="AC2220" s="307">
        <f t="shared" si="498"/>
        <v>2.0251927710843374</v>
      </c>
      <c r="AD2220" s="309">
        <v>0</v>
      </c>
      <c r="AE2220" s="309">
        <v>0</v>
      </c>
      <c r="AF2220" s="309" t="s">
        <v>317</v>
      </c>
      <c r="AG2220" s="309" t="s">
        <v>317</v>
      </c>
      <c r="AH2220" s="309" t="s">
        <v>5443</v>
      </c>
      <c r="AI2220" s="309" t="s">
        <v>5426</v>
      </c>
      <c r="AJ2220" s="309"/>
      <c r="AK2220" s="309" t="s">
        <v>41</v>
      </c>
      <c r="AL2220" s="309" t="s">
        <v>49</v>
      </c>
      <c r="AM2220" s="299">
        <f t="shared" ca="1" si="478"/>
        <v>2.9965277777737356</v>
      </c>
      <c r="AN2220" s="313"/>
      <c r="AO2220" s="288" t="s">
        <v>3376</v>
      </c>
      <c r="AP2220" s="275" t="s">
        <v>5442</v>
      </c>
      <c r="AQ2220" s="288" t="s">
        <v>5540</v>
      </c>
      <c r="AR2220" s="277">
        <v>44943.635416666664</v>
      </c>
      <c r="AS2220" s="276" t="s">
        <v>3968</v>
      </c>
      <c r="AT2220" s="288" t="s">
        <v>225</v>
      </c>
      <c r="AU2220" s="276">
        <v>0.63541666666666663</v>
      </c>
      <c r="AV2220" s="288">
        <v>1</v>
      </c>
      <c r="AW2220" s="288" t="s">
        <v>66</v>
      </c>
      <c r="AX2220" s="314"/>
      <c r="AY2220" s="314"/>
      <c r="AZ2220" s="314"/>
      <c r="BA2220" s="314"/>
    </row>
    <row r="2221" spans="1:53" s="301" customFormat="1" x14ac:dyDescent="0.25">
      <c r="A2221" s="312">
        <v>200</v>
      </c>
      <c r="B2221" s="311">
        <v>44940.638888888891</v>
      </c>
      <c r="C2221" s="308">
        <v>0.64236111111111105</v>
      </c>
      <c r="D2221" s="308">
        <v>0.65972222222222221</v>
      </c>
      <c r="E2221" s="308">
        <v>0.69097222222222221</v>
      </c>
      <c r="F2221" s="309" t="s">
        <v>170</v>
      </c>
      <c r="G2221" s="309" t="s">
        <v>376</v>
      </c>
      <c r="H2221" s="307" t="s">
        <v>3355</v>
      </c>
      <c r="I2221" s="307" t="s">
        <v>102</v>
      </c>
      <c r="J2221" s="307" t="s">
        <v>37</v>
      </c>
      <c r="K2221" s="309" t="s">
        <v>63</v>
      </c>
      <c r="L2221" s="309">
        <v>0</v>
      </c>
      <c r="M2221" s="309" t="s">
        <v>5442</v>
      </c>
      <c r="N2221" s="309" t="s">
        <v>3361</v>
      </c>
      <c r="O2221" s="309">
        <v>155</v>
      </c>
      <c r="P2221" s="309">
        <v>53473499</v>
      </c>
      <c r="Q2221" s="303">
        <f t="shared" si="495"/>
        <v>0</v>
      </c>
      <c r="R2221" s="303">
        <f t="shared" si="496"/>
        <v>0</v>
      </c>
      <c r="S2221" s="309">
        <v>0</v>
      </c>
      <c r="T2221" s="309">
        <v>0</v>
      </c>
      <c r="U2221" s="309">
        <v>0</v>
      </c>
      <c r="V2221" s="309">
        <v>0</v>
      </c>
      <c r="W2221" s="309">
        <v>0</v>
      </c>
      <c r="X2221" s="309">
        <v>118</v>
      </c>
      <c r="Y2221" s="309">
        <v>84</v>
      </c>
      <c r="Z2221" s="309">
        <v>44</v>
      </c>
      <c r="AA2221" s="309">
        <v>1</v>
      </c>
      <c r="AB2221" s="307">
        <f t="shared" si="497"/>
        <v>72.688000000000002</v>
      </c>
      <c r="AC2221" s="307">
        <f t="shared" si="498"/>
        <v>0.4378795180722892</v>
      </c>
      <c r="AD2221" s="309">
        <v>0</v>
      </c>
      <c r="AE2221" s="309">
        <v>0</v>
      </c>
      <c r="AF2221" s="309" t="s">
        <v>317</v>
      </c>
      <c r="AG2221" s="309" t="s">
        <v>317</v>
      </c>
      <c r="AH2221" s="309" t="s">
        <v>5443</v>
      </c>
      <c r="AI2221" s="309" t="s">
        <v>5426</v>
      </c>
      <c r="AJ2221" s="309"/>
      <c r="AK2221" s="309" t="s">
        <v>41</v>
      </c>
      <c r="AL2221" s="309" t="s">
        <v>49</v>
      </c>
      <c r="AM2221" s="299">
        <f t="shared" ca="1" si="478"/>
        <v>2.9965277777737356</v>
      </c>
      <c r="AN2221" s="313"/>
      <c r="AO2221" s="288" t="s">
        <v>3376</v>
      </c>
      <c r="AP2221" s="275" t="s">
        <v>5442</v>
      </c>
      <c r="AQ2221" s="288" t="s">
        <v>5540</v>
      </c>
      <c r="AR2221" s="277">
        <v>44943.635416666664</v>
      </c>
      <c r="AS2221" s="276" t="s">
        <v>3968</v>
      </c>
      <c r="AT2221" s="288" t="s">
        <v>225</v>
      </c>
      <c r="AU2221" s="276">
        <v>0.63541666666666663</v>
      </c>
      <c r="AV2221" s="288">
        <v>1</v>
      </c>
      <c r="AW2221" s="288" t="s">
        <v>66</v>
      </c>
      <c r="AX2221" s="314"/>
      <c r="AY2221" s="314"/>
      <c r="AZ2221" s="314"/>
      <c r="BA2221" s="314"/>
    </row>
    <row r="2222" spans="1:53" s="301" customFormat="1" x14ac:dyDescent="0.25">
      <c r="A2222" s="312">
        <v>201</v>
      </c>
      <c r="B2222" s="311">
        <v>44940.638888888891</v>
      </c>
      <c r="C2222" s="308">
        <v>0.64236111111111105</v>
      </c>
      <c r="D2222" s="308">
        <v>0.65972222222222221</v>
      </c>
      <c r="E2222" s="308">
        <v>0.69097222222222221</v>
      </c>
      <c r="F2222" s="309" t="s">
        <v>170</v>
      </c>
      <c r="G2222" s="309" t="s">
        <v>376</v>
      </c>
      <c r="H2222" s="307" t="s">
        <v>1043</v>
      </c>
      <c r="I2222" s="307" t="s">
        <v>1043</v>
      </c>
      <c r="J2222" s="307" t="s">
        <v>37</v>
      </c>
      <c r="K2222" s="309" t="s">
        <v>63</v>
      </c>
      <c r="L2222" s="309">
        <v>0</v>
      </c>
      <c r="M2222" s="309" t="s">
        <v>5444</v>
      </c>
      <c r="N2222" s="309" t="s">
        <v>5445</v>
      </c>
      <c r="O2222" s="309">
        <v>251800449</v>
      </c>
      <c r="P2222" s="309">
        <v>2300</v>
      </c>
      <c r="Q2222" s="303">
        <f t="shared" si="495"/>
        <v>1</v>
      </c>
      <c r="R2222" s="303">
        <f t="shared" si="496"/>
        <v>158</v>
      </c>
      <c r="S2222" s="309">
        <v>0</v>
      </c>
      <c r="T2222" s="309">
        <v>0</v>
      </c>
      <c r="U2222" s="309">
        <v>1</v>
      </c>
      <c r="V2222" s="309">
        <v>158</v>
      </c>
      <c r="W2222" s="309">
        <v>170</v>
      </c>
      <c r="X2222" s="309">
        <v>116</v>
      </c>
      <c r="Y2222" s="309">
        <v>83</v>
      </c>
      <c r="Z2222" s="309">
        <v>76</v>
      </c>
      <c r="AA2222" s="309">
        <v>1</v>
      </c>
      <c r="AB2222" s="307">
        <f t="shared" si="497"/>
        <v>121.95466666666667</v>
      </c>
      <c r="AC2222" s="307">
        <f t="shared" si="498"/>
        <v>0.73466666666666669</v>
      </c>
      <c r="AD2222" s="309" t="s">
        <v>48</v>
      </c>
      <c r="AE2222" s="309" t="s">
        <v>48</v>
      </c>
      <c r="AF2222" s="309" t="s">
        <v>317</v>
      </c>
      <c r="AG2222" s="309" t="s">
        <v>317</v>
      </c>
      <c r="AH2222" s="309" t="s">
        <v>5446</v>
      </c>
      <c r="AI2222" s="309" t="s">
        <v>5426</v>
      </c>
      <c r="AJ2222" s="309"/>
      <c r="AK2222" s="309" t="s">
        <v>37</v>
      </c>
      <c r="AL2222" s="309" t="s">
        <v>49</v>
      </c>
      <c r="AM2222" s="299">
        <f t="shared" ca="1" si="478"/>
        <v>2.9236111111094942</v>
      </c>
      <c r="AN2222" s="313"/>
      <c r="AO2222" s="288" t="s">
        <v>5533</v>
      </c>
      <c r="AP2222" s="275" t="s">
        <v>5444</v>
      </c>
      <c r="AQ2222" s="288" t="s">
        <v>5534</v>
      </c>
      <c r="AR2222" s="277">
        <v>44943.5625</v>
      </c>
      <c r="AS2222" s="288" t="s">
        <v>240</v>
      </c>
      <c r="AT2222" s="288" t="s">
        <v>65</v>
      </c>
      <c r="AU2222" s="276">
        <v>0.5625</v>
      </c>
      <c r="AV2222" s="288">
        <v>1</v>
      </c>
      <c r="AW2222" s="288" t="s">
        <v>66</v>
      </c>
      <c r="AX2222" s="314"/>
      <c r="AY2222" s="314"/>
      <c r="AZ2222" s="314"/>
      <c r="BA2222" s="314"/>
    </row>
    <row r="2223" spans="1:53" s="301" customFormat="1" x14ac:dyDescent="0.25">
      <c r="A2223" s="312">
        <v>202</v>
      </c>
      <c r="B2223" s="311">
        <v>44940.638888888891</v>
      </c>
      <c r="C2223" s="308">
        <v>0.64236111111111105</v>
      </c>
      <c r="D2223" s="308">
        <v>0.65972222222222221</v>
      </c>
      <c r="E2223" s="308">
        <v>0.69097222222222221</v>
      </c>
      <c r="F2223" s="309" t="s">
        <v>170</v>
      </c>
      <c r="G2223" s="309" t="s">
        <v>376</v>
      </c>
      <c r="H2223" s="307" t="s">
        <v>46</v>
      </c>
      <c r="I2223" s="307" t="s">
        <v>162</v>
      </c>
      <c r="J2223" s="307" t="s">
        <v>41</v>
      </c>
      <c r="K2223" s="309" t="s">
        <v>63</v>
      </c>
      <c r="L2223" s="309" t="s">
        <v>214</v>
      </c>
      <c r="M2223" s="309" t="s">
        <v>5447</v>
      </c>
      <c r="N2223" s="309" t="s">
        <v>158</v>
      </c>
      <c r="O2223" s="309" t="s">
        <v>5448</v>
      </c>
      <c r="P2223" s="309" t="s">
        <v>5449</v>
      </c>
      <c r="Q2223" s="303">
        <f t="shared" si="495"/>
        <v>3</v>
      </c>
      <c r="R2223" s="303">
        <f t="shared" si="496"/>
        <v>563</v>
      </c>
      <c r="S2223" s="309">
        <v>0</v>
      </c>
      <c r="T2223" s="309">
        <v>0</v>
      </c>
      <c r="U2223" s="309">
        <v>3</v>
      </c>
      <c r="V2223" s="309">
        <v>563</v>
      </c>
      <c r="W2223" s="309">
        <v>571.20000000000005</v>
      </c>
      <c r="X2223" s="309">
        <v>60</v>
      </c>
      <c r="Y2223" s="309">
        <v>59</v>
      </c>
      <c r="Z2223" s="309">
        <v>58</v>
      </c>
      <c r="AA2223" s="309">
        <v>1</v>
      </c>
      <c r="AB2223" s="307">
        <f t="shared" si="497"/>
        <v>34.22</v>
      </c>
      <c r="AC2223" s="307">
        <f t="shared" si="498"/>
        <v>0.206144578313253</v>
      </c>
      <c r="AD2223" s="309" t="s">
        <v>48</v>
      </c>
      <c r="AE2223" s="309" t="s">
        <v>48</v>
      </c>
      <c r="AF2223" s="309" t="s">
        <v>317</v>
      </c>
      <c r="AG2223" s="309" t="s">
        <v>317</v>
      </c>
      <c r="AH2223" s="309" t="s">
        <v>5450</v>
      </c>
      <c r="AI2223" s="309" t="s">
        <v>5426</v>
      </c>
      <c r="AJ2223" s="309"/>
      <c r="AK2223" s="309" t="s">
        <v>41</v>
      </c>
      <c r="AL2223" s="309" t="s">
        <v>49</v>
      </c>
      <c r="AM2223" s="299">
        <f t="shared" ca="1" si="478"/>
        <v>2.9236111111094942</v>
      </c>
      <c r="AN2223" s="313"/>
      <c r="AO2223" s="288" t="s">
        <v>159</v>
      </c>
      <c r="AP2223" s="275" t="s">
        <v>5447</v>
      </c>
      <c r="AQ2223" s="288" t="s">
        <v>5537</v>
      </c>
      <c r="AR2223" s="277">
        <v>44943.5625</v>
      </c>
      <c r="AS2223" s="288" t="s">
        <v>240</v>
      </c>
      <c r="AT2223" s="288" t="s">
        <v>65</v>
      </c>
      <c r="AU2223" s="276">
        <v>0.5625</v>
      </c>
      <c r="AV2223" s="288">
        <v>1</v>
      </c>
      <c r="AW2223" s="288" t="s">
        <v>66</v>
      </c>
      <c r="AX2223" s="314"/>
      <c r="AY2223" s="314"/>
      <c r="AZ2223" s="314"/>
      <c r="BA2223" s="314"/>
    </row>
    <row r="2224" spans="1:53" s="301" customFormat="1" x14ac:dyDescent="0.25">
      <c r="A2224" s="312">
        <v>202</v>
      </c>
      <c r="B2224" s="311">
        <v>44940.638888888891</v>
      </c>
      <c r="C2224" s="308">
        <v>0.64236111111111105</v>
      </c>
      <c r="D2224" s="308">
        <v>0.65972222222222221</v>
      </c>
      <c r="E2224" s="308">
        <v>0.69097222222222221</v>
      </c>
      <c r="F2224" s="309" t="s">
        <v>170</v>
      </c>
      <c r="G2224" s="309" t="s">
        <v>376</v>
      </c>
      <c r="H2224" s="307" t="s">
        <v>46</v>
      </c>
      <c r="I2224" s="307" t="s">
        <v>162</v>
      </c>
      <c r="J2224" s="307" t="s">
        <v>41</v>
      </c>
      <c r="K2224" s="309" t="s">
        <v>63</v>
      </c>
      <c r="L2224" s="309" t="s">
        <v>214</v>
      </c>
      <c r="M2224" s="309" t="s">
        <v>5447</v>
      </c>
      <c r="N2224" s="309" t="s">
        <v>158</v>
      </c>
      <c r="O2224" s="309" t="s">
        <v>5448</v>
      </c>
      <c r="P2224" s="309" t="s">
        <v>5449</v>
      </c>
      <c r="Q2224" s="303">
        <f t="shared" si="495"/>
        <v>0</v>
      </c>
      <c r="R2224" s="303">
        <f t="shared" si="496"/>
        <v>0</v>
      </c>
      <c r="S2224" s="309">
        <v>0</v>
      </c>
      <c r="T2224" s="309">
        <v>0</v>
      </c>
      <c r="U2224" s="309">
        <v>0</v>
      </c>
      <c r="V2224" s="309">
        <v>0</v>
      </c>
      <c r="W2224" s="309">
        <v>0</v>
      </c>
      <c r="X2224" s="309">
        <v>75</v>
      </c>
      <c r="Y2224" s="309">
        <v>74</v>
      </c>
      <c r="Z2224" s="309">
        <v>57</v>
      </c>
      <c r="AA2224" s="309">
        <v>2</v>
      </c>
      <c r="AB2224" s="307">
        <f t="shared" si="497"/>
        <v>105.45</v>
      </c>
      <c r="AC2224" s="307">
        <f t="shared" si="498"/>
        <v>0.63524096385542173</v>
      </c>
      <c r="AD2224" s="309">
        <v>0</v>
      </c>
      <c r="AE2224" s="309">
        <v>0</v>
      </c>
      <c r="AF2224" s="309" t="s">
        <v>317</v>
      </c>
      <c r="AG2224" s="309" t="s">
        <v>317</v>
      </c>
      <c r="AH2224" s="309" t="s">
        <v>5450</v>
      </c>
      <c r="AI2224" s="309" t="s">
        <v>5426</v>
      </c>
      <c r="AJ2224" s="309"/>
      <c r="AK2224" s="309" t="s">
        <v>41</v>
      </c>
      <c r="AL2224" s="309" t="s">
        <v>49</v>
      </c>
      <c r="AM2224" s="299">
        <f t="shared" ca="1" si="478"/>
        <v>2.9236111111094942</v>
      </c>
      <c r="AN2224" s="313"/>
      <c r="AO2224" s="288" t="s">
        <v>159</v>
      </c>
      <c r="AP2224" s="275" t="s">
        <v>5447</v>
      </c>
      <c r="AQ2224" s="288" t="s">
        <v>5537</v>
      </c>
      <c r="AR2224" s="277">
        <v>44943.5625</v>
      </c>
      <c r="AS2224" s="288" t="s">
        <v>240</v>
      </c>
      <c r="AT2224" s="288" t="s">
        <v>65</v>
      </c>
      <c r="AU2224" s="276">
        <v>0.5625</v>
      </c>
      <c r="AV2224" s="288">
        <v>1</v>
      </c>
      <c r="AW2224" s="288" t="s">
        <v>66</v>
      </c>
      <c r="AX2224" s="314"/>
      <c r="AY2224" s="314"/>
      <c r="AZ2224" s="314"/>
      <c r="BA2224" s="314"/>
    </row>
    <row r="2225" spans="1:53" s="301" customFormat="1" x14ac:dyDescent="0.25">
      <c r="A2225" s="312">
        <v>203</v>
      </c>
      <c r="B2225" s="311">
        <v>44940.708333333336</v>
      </c>
      <c r="C2225" s="308">
        <v>0.71527777777777779</v>
      </c>
      <c r="D2225" s="308">
        <v>0.72222222222222221</v>
      </c>
      <c r="E2225" s="308">
        <v>0.73263888888888884</v>
      </c>
      <c r="F2225" s="309" t="s">
        <v>171</v>
      </c>
      <c r="G2225" s="309" t="s">
        <v>101</v>
      </c>
      <c r="H2225" s="307" t="s">
        <v>5453</v>
      </c>
      <c r="I2225" s="307" t="s">
        <v>5454</v>
      </c>
      <c r="J2225" s="307" t="s">
        <v>37</v>
      </c>
      <c r="K2225" s="309" t="s">
        <v>180</v>
      </c>
      <c r="L2225" s="309" t="s">
        <v>209</v>
      </c>
      <c r="M2225" s="309" t="s">
        <v>5455</v>
      </c>
      <c r="N2225" s="309" t="s">
        <v>42</v>
      </c>
      <c r="O2225" s="309" t="s">
        <v>5456</v>
      </c>
      <c r="P2225" s="309" t="s">
        <v>5457</v>
      </c>
      <c r="Q2225" s="303">
        <f t="shared" ref="Q2225" si="499">S2225+U2225</f>
        <v>7</v>
      </c>
      <c r="R2225" s="303">
        <f t="shared" ref="R2225" si="500">T2225+V2225</f>
        <v>51</v>
      </c>
      <c r="S2225" s="309">
        <v>7</v>
      </c>
      <c r="T2225" s="309">
        <f>73-22</f>
        <v>51</v>
      </c>
      <c r="U2225" s="309">
        <v>0</v>
      </c>
      <c r="V2225" s="309">
        <v>0</v>
      </c>
      <c r="W2225" s="309">
        <v>33</v>
      </c>
      <c r="X2225" s="309">
        <v>35</v>
      </c>
      <c r="Y2225" s="309">
        <v>31</v>
      </c>
      <c r="Z2225" s="309">
        <v>16</v>
      </c>
      <c r="AA2225" s="309">
        <v>7</v>
      </c>
      <c r="AB2225" s="307">
        <f t="shared" si="497"/>
        <v>20.253333333333334</v>
      </c>
      <c r="AC2225" s="307">
        <f t="shared" si="498"/>
        <v>0.12200803212851406</v>
      </c>
      <c r="AD2225" s="309">
        <v>13500</v>
      </c>
      <c r="AE2225" s="309" t="s">
        <v>109</v>
      </c>
      <c r="AF2225" s="309" t="s">
        <v>317</v>
      </c>
      <c r="AG2225" s="309" t="s">
        <v>317</v>
      </c>
      <c r="AH2225" s="309" t="s">
        <v>5458</v>
      </c>
      <c r="AI2225" s="309" t="s">
        <v>5426</v>
      </c>
      <c r="AJ2225" s="309" t="s">
        <v>5459</v>
      </c>
      <c r="AK2225" s="309" t="s">
        <v>48</v>
      </c>
      <c r="AL2225" s="309" t="s">
        <v>47</v>
      </c>
      <c r="AM2225" s="299">
        <f t="shared" ca="1" si="478"/>
        <v>3.0943179398091161</v>
      </c>
      <c r="AN2225" s="313"/>
      <c r="AO2225" s="314"/>
      <c r="AP2225" s="314"/>
      <c r="AQ2225" s="314"/>
      <c r="AR2225" s="314"/>
      <c r="AS2225" s="314"/>
      <c r="AT2225" s="314"/>
      <c r="AU2225" s="314"/>
      <c r="AV2225" s="314"/>
      <c r="AW2225" s="314"/>
      <c r="AX2225" s="314"/>
      <c r="AY2225" s="314"/>
      <c r="AZ2225" s="314"/>
      <c r="BA2225" s="314"/>
    </row>
    <row r="2226" spans="1:53" s="301" customFormat="1" x14ac:dyDescent="0.25">
      <c r="A2226" s="312">
        <v>204</v>
      </c>
      <c r="B2226" s="311">
        <v>44940.75</v>
      </c>
      <c r="C2226" s="308">
        <v>0.75694444444444453</v>
      </c>
      <c r="D2226" s="308">
        <v>0.76041666666666663</v>
      </c>
      <c r="E2226" s="308">
        <v>0.76736111111111116</v>
      </c>
      <c r="F2226" s="309" t="s">
        <v>171</v>
      </c>
      <c r="G2226" s="309" t="s">
        <v>148</v>
      </c>
      <c r="H2226" s="307" t="s">
        <v>315</v>
      </c>
      <c r="I2226" s="307" t="s">
        <v>172</v>
      </c>
      <c r="J2226" s="307" t="s">
        <v>37</v>
      </c>
      <c r="K2226" s="303" t="s">
        <v>180</v>
      </c>
      <c r="L2226" s="214" t="s">
        <v>206</v>
      </c>
      <c r="M2226" s="309" t="s">
        <v>5460</v>
      </c>
      <c r="N2226" s="309" t="s">
        <v>59</v>
      </c>
      <c r="O2226" s="309" t="s">
        <v>5461</v>
      </c>
      <c r="P2226" s="309">
        <v>7821525508</v>
      </c>
      <c r="Q2226" s="303">
        <f t="shared" ref="Q2226" si="501">S2226+U2226</f>
        <v>1</v>
      </c>
      <c r="R2226" s="303">
        <f t="shared" ref="R2226" si="502">T2226+V2226</f>
        <v>25</v>
      </c>
      <c r="S2226" s="309">
        <v>1</v>
      </c>
      <c r="T2226" s="309">
        <v>25</v>
      </c>
      <c r="U2226" s="309">
        <v>0</v>
      </c>
      <c r="V2226" s="309">
        <v>0</v>
      </c>
      <c r="W2226" s="309">
        <v>23.5</v>
      </c>
      <c r="X2226" s="309">
        <v>52</v>
      </c>
      <c r="Y2226" s="309">
        <v>31</v>
      </c>
      <c r="Z2226" s="309">
        <v>31</v>
      </c>
      <c r="AA2226" s="309">
        <v>1</v>
      </c>
      <c r="AB2226" s="307">
        <f t="shared" si="497"/>
        <v>8.3286666666666669</v>
      </c>
      <c r="AC2226" s="307">
        <f t="shared" si="498"/>
        <v>5.0172690763052211E-2</v>
      </c>
      <c r="AD2226" s="309">
        <v>784</v>
      </c>
      <c r="AE2226" s="309" t="s">
        <v>111</v>
      </c>
      <c r="AF2226" s="309" t="s">
        <v>1566</v>
      </c>
      <c r="AG2226" s="309" t="s">
        <v>1566</v>
      </c>
      <c r="AH2226" s="309" t="s">
        <v>5462</v>
      </c>
      <c r="AI2226" s="309" t="s">
        <v>5463</v>
      </c>
      <c r="AJ2226" s="309"/>
      <c r="AK2226" s="309" t="s">
        <v>48</v>
      </c>
      <c r="AL2226" s="309" t="s">
        <v>47</v>
      </c>
      <c r="AM2226" s="299">
        <f t="shared" ca="1" si="478"/>
        <v>3.0526512731448747</v>
      </c>
      <c r="AN2226" s="313"/>
      <c r="AO2226" s="314"/>
      <c r="AP2226" s="314"/>
      <c r="AQ2226" s="314"/>
      <c r="AR2226" s="314"/>
      <c r="AS2226" s="314"/>
      <c r="AT2226" s="314"/>
      <c r="AU2226" s="314"/>
      <c r="AV2226" s="314"/>
      <c r="AW2226" s="314"/>
      <c r="AX2226" s="314"/>
      <c r="AY2226" s="314"/>
      <c r="AZ2226" s="314"/>
      <c r="BA2226" s="314"/>
    </row>
    <row r="2227" spans="1:53" s="301" customFormat="1" x14ac:dyDescent="0.25">
      <c r="A2227" s="312">
        <v>205</v>
      </c>
      <c r="B2227" s="311">
        <v>44940.75</v>
      </c>
      <c r="C2227" s="308">
        <v>0.75694444444444453</v>
      </c>
      <c r="D2227" s="308">
        <v>0.76041666666666663</v>
      </c>
      <c r="E2227" s="308">
        <v>0.76736111111111116</v>
      </c>
      <c r="F2227" s="309" t="s">
        <v>171</v>
      </c>
      <c r="G2227" s="309" t="s">
        <v>148</v>
      </c>
      <c r="H2227" s="307" t="s">
        <v>315</v>
      </c>
      <c r="I2227" s="307" t="s">
        <v>172</v>
      </c>
      <c r="J2227" s="307" t="s">
        <v>37</v>
      </c>
      <c r="K2227" s="303" t="s">
        <v>180</v>
      </c>
      <c r="L2227" s="214" t="s">
        <v>206</v>
      </c>
      <c r="M2227" s="309" t="s">
        <v>5460</v>
      </c>
      <c r="N2227" s="309" t="s">
        <v>59</v>
      </c>
      <c r="O2227" s="309" t="s">
        <v>5464</v>
      </c>
      <c r="P2227" s="309">
        <v>7821525508</v>
      </c>
      <c r="Q2227" s="303">
        <f t="shared" ref="Q2227" si="503">S2227+U2227</f>
        <v>2</v>
      </c>
      <c r="R2227" s="303">
        <f t="shared" ref="R2227" si="504">T2227+V2227</f>
        <v>50</v>
      </c>
      <c r="S2227" s="309">
        <v>2</v>
      </c>
      <c r="T2227" s="309">
        <v>50</v>
      </c>
      <c r="U2227" s="309">
        <v>0</v>
      </c>
      <c r="V2227" s="309">
        <v>0</v>
      </c>
      <c r="W2227" s="309">
        <v>47</v>
      </c>
      <c r="X2227" s="309">
        <v>52</v>
      </c>
      <c r="Y2227" s="309">
        <v>31</v>
      </c>
      <c r="Z2227" s="309">
        <v>31</v>
      </c>
      <c r="AA2227" s="309">
        <v>2</v>
      </c>
      <c r="AB2227" s="307">
        <f t="shared" si="497"/>
        <v>16.657333333333334</v>
      </c>
      <c r="AC2227" s="307">
        <f t="shared" si="498"/>
        <v>0.10034538152610442</v>
      </c>
      <c r="AD2227" s="309">
        <v>1567</v>
      </c>
      <c r="AE2227" s="309" t="s">
        <v>111</v>
      </c>
      <c r="AF2227" s="309" t="s">
        <v>1566</v>
      </c>
      <c r="AG2227" s="309" t="s">
        <v>1566</v>
      </c>
      <c r="AH2227" s="309" t="s">
        <v>5465</v>
      </c>
      <c r="AI2227" s="309" t="s">
        <v>5463</v>
      </c>
      <c r="AJ2227" s="309"/>
      <c r="AK2227" s="309" t="s">
        <v>48</v>
      </c>
      <c r="AL2227" s="309" t="s">
        <v>47</v>
      </c>
      <c r="AM2227" s="299">
        <f t="shared" ref="AM2227" ca="1" si="505">IF(AP2227="",NOW()-B2227,AR2227-B2227)</f>
        <v>3.0526512731448747</v>
      </c>
      <c r="AN2227" s="313"/>
      <c r="AO2227" s="314"/>
      <c r="AP2227" s="314"/>
      <c r="AQ2227" s="314"/>
      <c r="AR2227" s="314"/>
      <c r="AS2227" s="314"/>
      <c r="AT2227" s="314"/>
      <c r="AU2227" s="314"/>
      <c r="AV2227" s="314"/>
      <c r="AW2227" s="314"/>
      <c r="AX2227" s="314"/>
      <c r="AY2227" s="314"/>
      <c r="AZ2227" s="314"/>
      <c r="BA2227" s="314"/>
    </row>
    <row r="2228" spans="1:53" s="301" customFormat="1" x14ac:dyDescent="0.25">
      <c r="A2228" s="312">
        <v>206</v>
      </c>
      <c r="B2228" s="311">
        <v>44940.75</v>
      </c>
      <c r="C2228" s="308">
        <v>0.75694444444444453</v>
      </c>
      <c r="D2228" s="308">
        <v>0.76041666666666663</v>
      </c>
      <c r="E2228" s="308">
        <v>0.76736111111111116</v>
      </c>
      <c r="F2228" s="309" t="s">
        <v>171</v>
      </c>
      <c r="G2228" s="309" t="s">
        <v>148</v>
      </c>
      <c r="H2228" s="307" t="s">
        <v>315</v>
      </c>
      <c r="I2228" s="307" t="s">
        <v>172</v>
      </c>
      <c r="J2228" s="307" t="s">
        <v>37</v>
      </c>
      <c r="K2228" s="303" t="s">
        <v>180</v>
      </c>
      <c r="L2228" s="214" t="s">
        <v>206</v>
      </c>
      <c r="M2228" s="309" t="s">
        <v>5460</v>
      </c>
      <c r="N2228" s="309" t="s">
        <v>59</v>
      </c>
      <c r="O2228" s="309" t="s">
        <v>5466</v>
      </c>
      <c r="P2228" s="309">
        <v>7865960108</v>
      </c>
      <c r="Q2228" s="303">
        <f t="shared" ref="Q2228" si="506">S2228+U2228</f>
        <v>1</v>
      </c>
      <c r="R2228" s="303">
        <f t="shared" ref="R2228" si="507">T2228+V2228</f>
        <v>31</v>
      </c>
      <c r="S2228" s="309">
        <v>1</v>
      </c>
      <c r="T2228" s="309">
        <v>31</v>
      </c>
      <c r="U2228" s="309">
        <v>0</v>
      </c>
      <c r="V2228" s="309">
        <v>0</v>
      </c>
      <c r="W2228" s="309">
        <v>30.5</v>
      </c>
      <c r="X2228" s="309">
        <v>59</v>
      </c>
      <c r="Y2228" s="309">
        <v>37</v>
      </c>
      <c r="Z2228" s="309">
        <v>33</v>
      </c>
      <c r="AA2228" s="309">
        <v>1</v>
      </c>
      <c r="AB2228" s="307">
        <f t="shared" si="497"/>
        <v>12.006500000000001</v>
      </c>
      <c r="AC2228" s="307">
        <f t="shared" si="498"/>
        <v>7.2328313253012047E-2</v>
      </c>
      <c r="AD2228" s="309">
        <v>659.5</v>
      </c>
      <c r="AE2228" s="309" t="s">
        <v>111</v>
      </c>
      <c r="AF2228" s="309" t="s">
        <v>1566</v>
      </c>
      <c r="AG2228" s="309" t="s">
        <v>1566</v>
      </c>
      <c r="AH2228" s="309" t="s">
        <v>5467</v>
      </c>
      <c r="AI2228" s="309" t="s">
        <v>5463</v>
      </c>
      <c r="AJ2228" s="309"/>
      <c r="AK2228" s="309" t="s">
        <v>48</v>
      </c>
      <c r="AL2228" s="309" t="s">
        <v>47</v>
      </c>
      <c r="AM2228" s="299">
        <f t="shared" ref="AM2228:AM2229" ca="1" si="508">IF(AP2228="",NOW()-B2228,AR2228-B2228)</f>
        <v>3.0526512731448747</v>
      </c>
      <c r="AN2228" s="313"/>
      <c r="AO2228" s="314"/>
      <c r="AP2228" s="314"/>
      <c r="AQ2228" s="314"/>
      <c r="AR2228" s="314"/>
      <c r="AS2228" s="314"/>
      <c r="AT2228" s="314"/>
      <c r="AU2228" s="314"/>
      <c r="AV2228" s="314"/>
      <c r="AW2228" s="314"/>
      <c r="AX2228" s="314"/>
      <c r="AY2228" s="314"/>
      <c r="AZ2228" s="314"/>
      <c r="BA2228" s="314"/>
    </row>
    <row r="2229" spans="1:53" s="301" customFormat="1" x14ac:dyDescent="0.25">
      <c r="A2229" s="323">
        <v>207</v>
      </c>
      <c r="B2229" s="324">
        <v>44940.75</v>
      </c>
      <c r="C2229" s="325">
        <v>0.75694444444444453</v>
      </c>
      <c r="D2229" s="325">
        <v>0.76041666666666663</v>
      </c>
      <c r="E2229" s="325">
        <v>0.77083333333333337</v>
      </c>
      <c r="F2229" s="307" t="s">
        <v>171</v>
      </c>
      <c r="G2229" s="307" t="s">
        <v>148</v>
      </c>
      <c r="H2229" s="307" t="s">
        <v>3119</v>
      </c>
      <c r="I2229" s="307" t="s">
        <v>162</v>
      </c>
      <c r="J2229" s="307" t="s">
        <v>37</v>
      </c>
      <c r="K2229" s="303" t="s">
        <v>180</v>
      </c>
      <c r="L2229" s="214">
        <v>0</v>
      </c>
      <c r="M2229" s="307" t="s">
        <v>5468</v>
      </c>
      <c r="N2229" s="307" t="s">
        <v>158</v>
      </c>
      <c r="O2229" s="307">
        <v>3692</v>
      </c>
      <c r="P2229" s="307">
        <v>5052013610</v>
      </c>
      <c r="Q2229" s="303">
        <f t="shared" ref="Q2229" si="509">S2229+U2229</f>
        <v>2</v>
      </c>
      <c r="R2229" s="303">
        <f t="shared" ref="R2229" si="510">T2229+V2229</f>
        <v>139</v>
      </c>
      <c r="S2229" s="307">
        <v>0</v>
      </c>
      <c r="T2229" s="307">
        <v>0</v>
      </c>
      <c r="U2229" s="307">
        <v>2</v>
      </c>
      <c r="V2229" s="307">
        <v>139</v>
      </c>
      <c r="W2229" s="307">
        <v>138.6</v>
      </c>
      <c r="X2229" s="307">
        <v>143</v>
      </c>
      <c r="Y2229" s="307">
        <v>47</v>
      </c>
      <c r="Z2229" s="307">
        <v>28</v>
      </c>
      <c r="AA2229" s="307">
        <v>1</v>
      </c>
      <c r="AB2229" s="307">
        <f t="shared" si="497"/>
        <v>31.364666666666668</v>
      </c>
      <c r="AC2229" s="307">
        <f t="shared" si="498"/>
        <v>0.18894377510040161</v>
      </c>
      <c r="AD2229" s="307">
        <v>8479.18</v>
      </c>
      <c r="AE2229" s="307" t="s">
        <v>109</v>
      </c>
      <c r="AF2229" s="307" t="s">
        <v>5471</v>
      </c>
      <c r="AG2229" s="307" t="s">
        <v>5352</v>
      </c>
      <c r="AH2229" s="307" t="s">
        <v>5469</v>
      </c>
      <c r="AI2229" s="307" t="s">
        <v>5470</v>
      </c>
      <c r="AJ2229" s="307"/>
      <c r="AK2229" s="307" t="s">
        <v>37</v>
      </c>
      <c r="AL2229" s="307" t="s">
        <v>39</v>
      </c>
      <c r="AM2229" s="299">
        <f t="shared" ca="1" si="508"/>
        <v>2.8125</v>
      </c>
      <c r="AN2229" s="313"/>
      <c r="AO2229" s="288" t="s">
        <v>159</v>
      </c>
      <c r="AP2229" s="275" t="s">
        <v>5538</v>
      </c>
      <c r="AQ2229" s="288" t="s">
        <v>5537</v>
      </c>
      <c r="AR2229" s="277">
        <v>44943.5625</v>
      </c>
      <c r="AS2229" s="288" t="s">
        <v>240</v>
      </c>
      <c r="AT2229" s="288" t="s">
        <v>65</v>
      </c>
      <c r="AU2229" s="276">
        <v>0.5625</v>
      </c>
      <c r="AV2229" s="288">
        <v>1</v>
      </c>
      <c r="AW2229" s="288" t="s">
        <v>66</v>
      </c>
      <c r="AX2229" s="314"/>
      <c r="AY2229" s="314"/>
      <c r="AZ2229" s="314"/>
      <c r="BA2229" s="314"/>
    </row>
    <row r="2230" spans="1:53" s="301" customFormat="1" x14ac:dyDescent="0.25">
      <c r="A2230" s="323">
        <v>207</v>
      </c>
      <c r="B2230" s="324">
        <v>44940.75</v>
      </c>
      <c r="C2230" s="325">
        <v>0.75694444444444453</v>
      </c>
      <c r="D2230" s="325">
        <v>0.76041666666666663</v>
      </c>
      <c r="E2230" s="325">
        <v>0.77083333333333337</v>
      </c>
      <c r="F2230" s="307" t="s">
        <v>171</v>
      </c>
      <c r="G2230" s="307" t="s">
        <v>148</v>
      </c>
      <c r="H2230" s="307" t="s">
        <v>3119</v>
      </c>
      <c r="I2230" s="307" t="s">
        <v>162</v>
      </c>
      <c r="J2230" s="307" t="s">
        <v>37</v>
      </c>
      <c r="K2230" s="303" t="s">
        <v>180</v>
      </c>
      <c r="L2230" s="214">
        <v>0</v>
      </c>
      <c r="M2230" s="307" t="s">
        <v>5468</v>
      </c>
      <c r="N2230" s="307" t="s">
        <v>158</v>
      </c>
      <c r="O2230" s="307">
        <v>3692</v>
      </c>
      <c r="P2230" s="307">
        <v>5052013610</v>
      </c>
      <c r="Q2230" s="303">
        <f t="shared" ref="Q2230" si="511">S2230+U2230</f>
        <v>0</v>
      </c>
      <c r="R2230" s="303">
        <f t="shared" ref="R2230" si="512">T2230+V2230</f>
        <v>0</v>
      </c>
      <c r="S2230" s="307">
        <v>0</v>
      </c>
      <c r="T2230" s="307">
        <v>0</v>
      </c>
      <c r="U2230" s="307">
        <v>0</v>
      </c>
      <c r="V2230" s="307">
        <v>0</v>
      </c>
      <c r="W2230" s="307">
        <v>0</v>
      </c>
      <c r="X2230" s="307">
        <v>143</v>
      </c>
      <c r="Y2230" s="307">
        <v>34</v>
      </c>
      <c r="Z2230" s="307">
        <v>28</v>
      </c>
      <c r="AA2230" s="307">
        <v>1</v>
      </c>
      <c r="AB2230" s="307">
        <f t="shared" si="497"/>
        <v>22.689333333333334</v>
      </c>
      <c r="AC2230" s="307">
        <f t="shared" si="498"/>
        <v>0.13668273092369479</v>
      </c>
      <c r="AD2230" s="307">
        <v>0</v>
      </c>
      <c r="AE2230" s="307">
        <v>0</v>
      </c>
      <c r="AF2230" s="307" t="s">
        <v>5471</v>
      </c>
      <c r="AG2230" s="307" t="s">
        <v>5352</v>
      </c>
      <c r="AH2230" s="307" t="s">
        <v>5469</v>
      </c>
      <c r="AI2230" s="307" t="s">
        <v>5470</v>
      </c>
      <c r="AJ2230" s="307"/>
      <c r="AK2230" s="307" t="s">
        <v>37</v>
      </c>
      <c r="AL2230" s="307" t="s">
        <v>39</v>
      </c>
      <c r="AM2230" s="299">
        <f t="shared" ref="AM2230" ca="1" si="513">IF(AP2230="",NOW()-B2230,AR2230-B2230)</f>
        <v>2.8125</v>
      </c>
      <c r="AN2230" s="313"/>
      <c r="AO2230" s="288" t="s">
        <v>159</v>
      </c>
      <c r="AP2230" s="275" t="s">
        <v>5538</v>
      </c>
      <c r="AQ2230" s="288" t="s">
        <v>5537</v>
      </c>
      <c r="AR2230" s="277">
        <v>44943.5625</v>
      </c>
      <c r="AS2230" s="288" t="s">
        <v>240</v>
      </c>
      <c r="AT2230" s="288" t="s">
        <v>65</v>
      </c>
      <c r="AU2230" s="276">
        <v>0.5625</v>
      </c>
      <c r="AV2230" s="288">
        <v>1</v>
      </c>
      <c r="AW2230" s="288" t="s">
        <v>66</v>
      </c>
      <c r="AX2230" s="314"/>
      <c r="AY2230" s="314"/>
      <c r="AZ2230" s="314"/>
      <c r="BA2230" s="314"/>
    </row>
    <row r="2231" spans="1:53" s="301" customFormat="1" x14ac:dyDescent="0.25">
      <c r="A2231" s="312">
        <v>208</v>
      </c>
      <c r="B2231" s="311">
        <v>44940.75</v>
      </c>
      <c r="C2231" s="308">
        <v>0.75694444444444453</v>
      </c>
      <c r="D2231" s="308">
        <v>0.76041666666666663</v>
      </c>
      <c r="E2231" s="308">
        <v>0.77083333333333337</v>
      </c>
      <c r="F2231" s="309" t="s">
        <v>171</v>
      </c>
      <c r="G2231" s="309" t="s">
        <v>148</v>
      </c>
      <c r="H2231" s="307" t="s">
        <v>3119</v>
      </c>
      <c r="I2231" s="307" t="s">
        <v>92</v>
      </c>
      <c r="J2231" s="307" t="s">
        <v>37</v>
      </c>
      <c r="K2231" s="303" t="s">
        <v>180</v>
      </c>
      <c r="L2231" s="214">
        <v>0</v>
      </c>
      <c r="M2231" s="309" t="s">
        <v>5472</v>
      </c>
      <c r="N2231" s="309" t="s">
        <v>42</v>
      </c>
      <c r="O2231" s="309">
        <v>3691</v>
      </c>
      <c r="P2231" s="309">
        <v>5051981088</v>
      </c>
      <c r="Q2231" s="303">
        <f t="shared" ref="Q2231" si="514">S2231+U2231</f>
        <v>2</v>
      </c>
      <c r="R2231" s="303">
        <f t="shared" ref="R2231" si="515">T2231+V2231</f>
        <v>103</v>
      </c>
      <c r="S2231" s="309">
        <v>0</v>
      </c>
      <c r="T2231" s="309">
        <v>0</v>
      </c>
      <c r="U2231" s="309">
        <v>2</v>
      </c>
      <c r="V2231" s="309">
        <v>103</v>
      </c>
      <c r="W2231" s="309">
        <v>182.6</v>
      </c>
      <c r="X2231" s="309">
        <v>143</v>
      </c>
      <c r="Y2231" s="309">
        <v>47</v>
      </c>
      <c r="Z2231" s="309">
        <v>28</v>
      </c>
      <c r="AA2231" s="309">
        <v>1</v>
      </c>
      <c r="AB2231" s="307">
        <f t="shared" si="497"/>
        <v>31.364666666666668</v>
      </c>
      <c r="AC2231" s="307">
        <f t="shared" si="498"/>
        <v>0.18894377510040161</v>
      </c>
      <c r="AD2231" s="309">
        <v>5282.38</v>
      </c>
      <c r="AE2231" s="309" t="s">
        <v>109</v>
      </c>
      <c r="AF2231" s="309" t="s">
        <v>1566</v>
      </c>
      <c r="AG2231" s="309" t="s">
        <v>1566</v>
      </c>
      <c r="AH2231" s="309" t="s">
        <v>5473</v>
      </c>
      <c r="AI2231" s="309" t="s">
        <v>5470</v>
      </c>
      <c r="AJ2231" s="309"/>
      <c r="AK2231" s="309" t="s">
        <v>37</v>
      </c>
      <c r="AL2231" s="309" t="s">
        <v>39</v>
      </c>
      <c r="AM2231" s="299">
        <f t="shared" ref="AM2231" ca="1" si="516">IF(AP2231="",NOW()-B2231,AR2231-B2231)</f>
        <v>2.8125</v>
      </c>
      <c r="AN2231" s="313"/>
      <c r="AO2231" s="288" t="s">
        <v>120</v>
      </c>
      <c r="AP2231" s="275" t="s">
        <v>5472</v>
      </c>
      <c r="AQ2231" s="288" t="s">
        <v>5536</v>
      </c>
      <c r="AR2231" s="277">
        <v>44943.5625</v>
      </c>
      <c r="AS2231" s="288" t="s">
        <v>240</v>
      </c>
      <c r="AT2231" s="288" t="s">
        <v>65</v>
      </c>
      <c r="AU2231" s="276">
        <v>0.5625</v>
      </c>
      <c r="AV2231" s="288">
        <v>1</v>
      </c>
      <c r="AW2231" s="288" t="s">
        <v>66</v>
      </c>
      <c r="AX2231" s="314"/>
      <c r="AY2231" s="314"/>
      <c r="AZ2231" s="314"/>
      <c r="BA2231" s="314"/>
    </row>
    <row r="2232" spans="1:53" s="301" customFormat="1" x14ac:dyDescent="0.25">
      <c r="A2232" s="312">
        <v>208</v>
      </c>
      <c r="B2232" s="311">
        <v>44940.75</v>
      </c>
      <c r="C2232" s="308">
        <v>0.75694444444444453</v>
      </c>
      <c r="D2232" s="308">
        <v>0.76041666666666663</v>
      </c>
      <c r="E2232" s="308">
        <v>0.77083333333333337</v>
      </c>
      <c r="F2232" s="309" t="s">
        <v>171</v>
      </c>
      <c r="G2232" s="309" t="s">
        <v>148</v>
      </c>
      <c r="H2232" s="307" t="s">
        <v>3119</v>
      </c>
      <c r="I2232" s="307" t="s">
        <v>92</v>
      </c>
      <c r="J2232" s="307" t="s">
        <v>37</v>
      </c>
      <c r="K2232" s="303" t="s">
        <v>180</v>
      </c>
      <c r="L2232" s="214">
        <v>0</v>
      </c>
      <c r="M2232" s="309" t="s">
        <v>5472</v>
      </c>
      <c r="N2232" s="309" t="s">
        <v>42</v>
      </c>
      <c r="O2232" s="309">
        <v>3691</v>
      </c>
      <c r="P2232" s="309">
        <v>5051981088</v>
      </c>
      <c r="Q2232" s="303">
        <f t="shared" ref="Q2232" si="517">S2232+U2232</f>
        <v>0</v>
      </c>
      <c r="R2232" s="303">
        <f t="shared" ref="R2232" si="518">T2232+V2232</f>
        <v>0</v>
      </c>
      <c r="S2232" s="309">
        <v>0</v>
      </c>
      <c r="T2232" s="309">
        <v>0</v>
      </c>
      <c r="U2232" s="309">
        <v>0</v>
      </c>
      <c r="V2232" s="309">
        <v>0</v>
      </c>
      <c r="W2232" s="309">
        <v>0</v>
      </c>
      <c r="X2232" s="309">
        <v>72</v>
      </c>
      <c r="Y2232" s="309">
        <v>36</v>
      </c>
      <c r="Z2232" s="309">
        <v>40</v>
      </c>
      <c r="AA2232" s="309">
        <v>1</v>
      </c>
      <c r="AB2232" s="307">
        <f t="shared" si="497"/>
        <v>17.28</v>
      </c>
      <c r="AC2232" s="307">
        <f t="shared" si="498"/>
        <v>0.10409638554216868</v>
      </c>
      <c r="AD2232" s="309">
        <v>0</v>
      </c>
      <c r="AE2232" s="309">
        <v>0</v>
      </c>
      <c r="AF2232" s="309" t="s">
        <v>1566</v>
      </c>
      <c r="AG2232" s="309" t="s">
        <v>1566</v>
      </c>
      <c r="AH2232" s="309" t="s">
        <v>5473</v>
      </c>
      <c r="AI2232" s="309" t="s">
        <v>5470</v>
      </c>
      <c r="AJ2232" s="309"/>
      <c r="AK2232" s="309" t="s">
        <v>37</v>
      </c>
      <c r="AL2232" s="309" t="s">
        <v>39</v>
      </c>
      <c r="AM2232" s="299">
        <f t="shared" ref="AM2232:AM2234" ca="1" si="519">IF(AP2232="",NOW()-B2232,AR2232-B2232)</f>
        <v>2.8125</v>
      </c>
      <c r="AN2232" s="313"/>
      <c r="AO2232" s="288" t="s">
        <v>120</v>
      </c>
      <c r="AP2232" s="275" t="s">
        <v>5472</v>
      </c>
      <c r="AQ2232" s="288" t="s">
        <v>5536</v>
      </c>
      <c r="AR2232" s="277">
        <v>44943.5625</v>
      </c>
      <c r="AS2232" s="288" t="s">
        <v>240</v>
      </c>
      <c r="AT2232" s="288" t="s">
        <v>65</v>
      </c>
      <c r="AU2232" s="276">
        <v>0.5625</v>
      </c>
      <c r="AV2232" s="288">
        <v>1</v>
      </c>
      <c r="AW2232" s="288" t="s">
        <v>66</v>
      </c>
      <c r="AX2232" s="314"/>
      <c r="AY2232" s="314"/>
      <c r="AZ2232" s="314"/>
      <c r="BA2232" s="314"/>
    </row>
    <row r="2233" spans="1:53" s="301" customFormat="1" x14ac:dyDescent="0.25">
      <c r="A2233" s="312">
        <v>209</v>
      </c>
      <c r="B2233" s="311">
        <v>44940.75</v>
      </c>
      <c r="C2233" s="308">
        <v>0.77083333333333337</v>
      </c>
      <c r="D2233" s="308">
        <v>0.77430555555555547</v>
      </c>
      <c r="E2233" s="308">
        <v>0.79513888888888884</v>
      </c>
      <c r="F2233" s="309" t="s">
        <v>171</v>
      </c>
      <c r="G2233" s="309" t="s">
        <v>627</v>
      </c>
      <c r="H2233" s="303" t="s">
        <v>464</v>
      </c>
      <c r="I2233" s="303" t="s">
        <v>374</v>
      </c>
      <c r="J2233" s="303" t="s">
        <v>37</v>
      </c>
      <c r="K2233" s="303" t="s">
        <v>241</v>
      </c>
      <c r="L2233" s="303" t="s">
        <v>465</v>
      </c>
      <c r="M2233" s="309" t="s">
        <v>5486</v>
      </c>
      <c r="N2233" s="309" t="s">
        <v>5474</v>
      </c>
      <c r="O2233" s="309" t="s">
        <v>5477</v>
      </c>
      <c r="P2233" s="309">
        <v>80008573</v>
      </c>
      <c r="Q2233" s="303">
        <f t="shared" ref="Q2233" si="520">S2233+U2233</f>
        <v>2</v>
      </c>
      <c r="R2233" s="303">
        <f t="shared" ref="R2233" si="521">T2233+V2233</f>
        <v>54</v>
      </c>
      <c r="S2233" s="309">
        <v>0</v>
      </c>
      <c r="T2233" s="309">
        <v>0</v>
      </c>
      <c r="U2233" s="309">
        <v>2</v>
      </c>
      <c r="V2233" s="309">
        <f>54</f>
        <v>54</v>
      </c>
      <c r="W2233" s="309">
        <v>57</v>
      </c>
      <c r="X2233" s="309">
        <v>40</v>
      </c>
      <c r="Y2233" s="309">
        <v>40</v>
      </c>
      <c r="Z2233" s="309">
        <v>51</v>
      </c>
      <c r="AA2233" s="309">
        <v>1</v>
      </c>
      <c r="AB2233" s="307">
        <f t="shared" si="497"/>
        <v>13.6</v>
      </c>
      <c r="AC2233" s="307">
        <f t="shared" si="498"/>
        <v>8.1927710843373497E-2</v>
      </c>
      <c r="AD2233" s="309">
        <v>10299</v>
      </c>
      <c r="AE2233" s="309" t="s">
        <v>109</v>
      </c>
      <c r="AF2233" s="309" t="s">
        <v>1566</v>
      </c>
      <c r="AG2233" s="309" t="s">
        <v>1566</v>
      </c>
      <c r="AH2233" s="309" t="s">
        <v>5475</v>
      </c>
      <c r="AI2233" s="309" t="s">
        <v>5358</v>
      </c>
      <c r="AJ2233" s="308">
        <v>0.1673611111111111</v>
      </c>
      <c r="AK2233" s="309" t="s">
        <v>41</v>
      </c>
      <c r="AL2233" s="309" t="s">
        <v>39</v>
      </c>
      <c r="AM2233" s="299">
        <f t="shared" ca="1" si="519"/>
        <v>3.0526512731448747</v>
      </c>
      <c r="AN2233" s="313"/>
      <c r="AO2233" s="314"/>
      <c r="AP2233" s="314"/>
      <c r="AQ2233" s="314"/>
      <c r="AR2233" s="314"/>
      <c r="AS2233" s="314"/>
      <c r="AT2233" s="314"/>
      <c r="AU2233" s="314"/>
      <c r="AV2233" s="314"/>
      <c r="AW2233" s="314"/>
      <c r="AX2233" s="314"/>
      <c r="AY2233" s="314"/>
      <c r="AZ2233" s="314"/>
      <c r="BA2233" s="314"/>
    </row>
    <row r="2234" spans="1:53" s="301" customFormat="1" x14ac:dyDescent="0.25">
      <c r="A2234" s="312">
        <v>209</v>
      </c>
      <c r="B2234" s="311">
        <v>44940.75</v>
      </c>
      <c r="C2234" s="308">
        <v>0.77083333333333337</v>
      </c>
      <c r="D2234" s="308">
        <v>0.77430555555555547</v>
      </c>
      <c r="E2234" s="308">
        <v>0.79513888888888884</v>
      </c>
      <c r="F2234" s="309" t="s">
        <v>171</v>
      </c>
      <c r="G2234" s="309" t="s">
        <v>627</v>
      </c>
      <c r="H2234" s="303" t="s">
        <v>464</v>
      </c>
      <c r="I2234" s="303" t="s">
        <v>374</v>
      </c>
      <c r="J2234" s="303" t="s">
        <v>37</v>
      </c>
      <c r="K2234" s="303" t="s">
        <v>241</v>
      </c>
      <c r="L2234" s="303" t="s">
        <v>465</v>
      </c>
      <c r="M2234" s="309" t="s">
        <v>5486</v>
      </c>
      <c r="N2234" s="309" t="s">
        <v>5474</v>
      </c>
      <c r="O2234" s="309" t="s">
        <v>5477</v>
      </c>
      <c r="P2234" s="309">
        <v>80008573</v>
      </c>
      <c r="Q2234" s="303">
        <f t="shared" ref="Q2234" si="522">S2234+U2234</f>
        <v>0</v>
      </c>
      <c r="R2234" s="303">
        <f t="shared" ref="R2234" si="523">T2234+V2234</f>
        <v>0</v>
      </c>
      <c r="S2234" s="309">
        <v>0</v>
      </c>
      <c r="T2234" s="309">
        <v>0</v>
      </c>
      <c r="U2234" s="309">
        <v>0</v>
      </c>
      <c r="V2234" s="309">
        <v>0</v>
      </c>
      <c r="W2234" s="309">
        <v>0</v>
      </c>
      <c r="X2234" s="309">
        <v>79</v>
      </c>
      <c r="Y2234" s="309">
        <v>79</v>
      </c>
      <c r="Z2234" s="309">
        <v>5</v>
      </c>
      <c r="AA2234" s="309">
        <v>1</v>
      </c>
      <c r="AB2234" s="307">
        <f t="shared" si="497"/>
        <v>5.2008333333333336</v>
      </c>
      <c r="AC2234" s="307">
        <f t="shared" si="498"/>
        <v>3.1330321285140565E-2</v>
      </c>
      <c r="AD2234" s="309">
        <v>0</v>
      </c>
      <c r="AE2234" s="309">
        <v>0</v>
      </c>
      <c r="AF2234" s="309" t="s">
        <v>1566</v>
      </c>
      <c r="AG2234" s="309" t="s">
        <v>1566</v>
      </c>
      <c r="AH2234" s="309">
        <v>0</v>
      </c>
      <c r="AI2234" s="309">
        <v>0</v>
      </c>
      <c r="AJ2234" s="309">
        <v>0</v>
      </c>
      <c r="AK2234" s="309" t="s">
        <v>41</v>
      </c>
      <c r="AL2234" s="309" t="s">
        <v>39</v>
      </c>
      <c r="AM2234" s="299">
        <f t="shared" ca="1" si="519"/>
        <v>3.0526512731448747</v>
      </c>
      <c r="AN2234" s="313"/>
      <c r="AO2234" s="314"/>
      <c r="AP2234" s="314"/>
      <c r="AQ2234" s="314"/>
      <c r="AR2234" s="314"/>
      <c r="AS2234" s="314"/>
      <c r="AT2234" s="314"/>
      <c r="AU2234" s="314"/>
      <c r="AV2234" s="314"/>
      <c r="AW2234" s="314"/>
      <c r="AX2234" s="314"/>
      <c r="AY2234" s="314"/>
      <c r="AZ2234" s="314"/>
      <c r="BA2234" s="314"/>
    </row>
    <row r="2235" spans="1:53" s="301" customFormat="1" x14ac:dyDescent="0.25">
      <c r="A2235" s="312">
        <v>210</v>
      </c>
      <c r="B2235" s="311">
        <v>44940.75</v>
      </c>
      <c r="C2235" s="308">
        <v>0.77083333333333337</v>
      </c>
      <c r="D2235" s="308">
        <v>0.77430555555555547</v>
      </c>
      <c r="E2235" s="308">
        <v>0.79513888888888884</v>
      </c>
      <c r="F2235" s="309" t="s">
        <v>171</v>
      </c>
      <c r="G2235" s="309" t="s">
        <v>627</v>
      </c>
      <c r="H2235" s="303" t="s">
        <v>464</v>
      </c>
      <c r="I2235" s="303" t="s">
        <v>374</v>
      </c>
      <c r="J2235" s="303" t="s">
        <v>37</v>
      </c>
      <c r="K2235" s="303" t="s">
        <v>241</v>
      </c>
      <c r="L2235" s="303" t="s">
        <v>465</v>
      </c>
      <c r="M2235" s="309" t="s">
        <v>5486</v>
      </c>
      <c r="N2235" s="309" t="s">
        <v>5474</v>
      </c>
      <c r="O2235" s="309" t="s">
        <v>5478</v>
      </c>
      <c r="P2235" s="309">
        <v>80008769</v>
      </c>
      <c r="Q2235" s="303">
        <f t="shared" ref="Q2235" si="524">S2235+U2235</f>
        <v>1</v>
      </c>
      <c r="R2235" s="303">
        <f t="shared" ref="R2235" si="525">T2235+V2235</f>
        <v>5</v>
      </c>
      <c r="S2235" s="309">
        <v>1</v>
      </c>
      <c r="T2235" s="309">
        <v>5</v>
      </c>
      <c r="U2235" s="309">
        <v>0</v>
      </c>
      <c r="V2235" s="309">
        <v>0</v>
      </c>
      <c r="W2235" s="309">
        <v>10</v>
      </c>
      <c r="X2235" s="309">
        <v>32</v>
      </c>
      <c r="Y2235" s="309">
        <v>32</v>
      </c>
      <c r="Z2235" s="309">
        <v>33</v>
      </c>
      <c r="AA2235" s="309">
        <v>1</v>
      </c>
      <c r="AB2235" s="307">
        <f t="shared" si="497"/>
        <v>5.6319999999999997</v>
      </c>
      <c r="AC2235" s="307">
        <f t="shared" si="498"/>
        <v>3.3927710843373489E-2</v>
      </c>
      <c r="AD2235" s="309">
        <v>8931</v>
      </c>
      <c r="AE2235" s="309" t="s">
        <v>109</v>
      </c>
      <c r="AF2235" s="309" t="s">
        <v>1566</v>
      </c>
      <c r="AG2235" s="309" t="s">
        <v>1566</v>
      </c>
      <c r="AH2235" s="309" t="s">
        <v>5476</v>
      </c>
      <c r="AI2235" s="309" t="s">
        <v>5358</v>
      </c>
      <c r="AJ2235" s="308">
        <v>0.16527777777777777</v>
      </c>
      <c r="AK2235" s="309" t="s">
        <v>41</v>
      </c>
      <c r="AL2235" s="309" t="s">
        <v>39</v>
      </c>
      <c r="AM2235" s="299">
        <f t="shared" ref="AM2235" ca="1" si="526">IF(AP2235="",NOW()-B2235,AR2235-B2235)</f>
        <v>3.0526512731448747</v>
      </c>
      <c r="AN2235" s="313"/>
      <c r="AO2235" s="314"/>
      <c r="AP2235" s="314"/>
      <c r="AQ2235" s="314"/>
      <c r="AR2235" s="314"/>
      <c r="AS2235" s="314"/>
      <c r="AT2235" s="314"/>
      <c r="AU2235" s="314"/>
      <c r="AV2235" s="314"/>
      <c r="AW2235" s="314"/>
      <c r="AX2235" s="314"/>
      <c r="AY2235" s="314"/>
      <c r="AZ2235" s="314"/>
      <c r="BA2235" s="314"/>
    </row>
    <row r="2236" spans="1:53" s="301" customFormat="1" x14ac:dyDescent="0.25">
      <c r="A2236" s="312">
        <v>211</v>
      </c>
      <c r="B2236" s="311">
        <v>44940.75</v>
      </c>
      <c r="C2236" s="308">
        <v>0.77083333333333337</v>
      </c>
      <c r="D2236" s="308">
        <v>0.77430555555555547</v>
      </c>
      <c r="E2236" s="308">
        <v>0.79513888888888884</v>
      </c>
      <c r="F2236" s="309" t="s">
        <v>171</v>
      </c>
      <c r="G2236" s="309" t="s">
        <v>627</v>
      </c>
      <c r="H2236" s="303" t="s">
        <v>464</v>
      </c>
      <c r="I2236" s="303" t="s">
        <v>374</v>
      </c>
      <c r="J2236" s="303" t="s">
        <v>37</v>
      </c>
      <c r="K2236" s="303" t="s">
        <v>241</v>
      </c>
      <c r="L2236" s="303" t="s">
        <v>465</v>
      </c>
      <c r="M2236" s="309" t="s">
        <v>5486</v>
      </c>
      <c r="N2236" s="309" t="s">
        <v>5474</v>
      </c>
      <c r="O2236" s="309" t="s">
        <v>5479</v>
      </c>
      <c r="P2236" s="309">
        <v>80008521</v>
      </c>
      <c r="Q2236" s="303">
        <f t="shared" ref="Q2236" si="527">S2236+U2236</f>
        <v>2</v>
      </c>
      <c r="R2236" s="303">
        <f t="shared" ref="R2236" si="528">T2236+V2236</f>
        <v>145</v>
      </c>
      <c r="S2236" s="309">
        <v>0</v>
      </c>
      <c r="T2236" s="309">
        <v>0</v>
      </c>
      <c r="U2236" s="309">
        <v>2</v>
      </c>
      <c r="V2236" s="309">
        <v>145</v>
      </c>
      <c r="W2236" s="309">
        <v>130</v>
      </c>
      <c r="X2236" s="309">
        <v>53</v>
      </c>
      <c r="Y2236" s="309">
        <v>53</v>
      </c>
      <c r="Z2236" s="309">
        <v>65</v>
      </c>
      <c r="AA2236" s="309">
        <v>1</v>
      </c>
      <c r="AB2236" s="307">
        <f t="shared" si="497"/>
        <v>30.430833333333332</v>
      </c>
      <c r="AC2236" s="307">
        <f t="shared" si="498"/>
        <v>0.18331827309236948</v>
      </c>
      <c r="AD2236" s="309">
        <v>98819</v>
      </c>
      <c r="AE2236" s="309" t="s">
        <v>109</v>
      </c>
      <c r="AF2236" s="309" t="s">
        <v>1566</v>
      </c>
      <c r="AG2236" s="309" t="s">
        <v>1566</v>
      </c>
      <c r="AH2236" s="309" t="s">
        <v>5476</v>
      </c>
      <c r="AI2236" s="309" t="s">
        <v>5358</v>
      </c>
      <c r="AJ2236" s="308">
        <v>0.16527777777777777</v>
      </c>
      <c r="AK2236" s="309" t="s">
        <v>41</v>
      </c>
      <c r="AL2236" s="309" t="s">
        <v>39</v>
      </c>
      <c r="AM2236" s="299">
        <f t="shared" ref="AM2236:AM2237" ca="1" si="529">IF(AP2236="",NOW()-B2236,AR2236-B2236)</f>
        <v>3.0526512731448747</v>
      </c>
      <c r="AN2236" s="313"/>
      <c r="AO2236" s="314"/>
      <c r="AP2236" s="314"/>
      <c r="AQ2236" s="314"/>
      <c r="AR2236" s="314"/>
      <c r="AS2236" s="314"/>
      <c r="AT2236" s="314"/>
      <c r="AU2236" s="314"/>
      <c r="AV2236" s="314"/>
      <c r="AW2236" s="314"/>
      <c r="AX2236" s="314"/>
      <c r="AY2236" s="314"/>
      <c r="AZ2236" s="314"/>
      <c r="BA2236" s="314"/>
    </row>
    <row r="2237" spans="1:53" s="301" customFormat="1" x14ac:dyDescent="0.25">
      <c r="A2237" s="312">
        <v>211</v>
      </c>
      <c r="B2237" s="311">
        <v>44940.75</v>
      </c>
      <c r="C2237" s="308">
        <v>0.77083333333333337</v>
      </c>
      <c r="D2237" s="308">
        <v>0.77430555555555547</v>
      </c>
      <c r="E2237" s="308">
        <v>0.79513888888888884</v>
      </c>
      <c r="F2237" s="309" t="s">
        <v>171</v>
      </c>
      <c r="G2237" s="309" t="s">
        <v>627</v>
      </c>
      <c r="H2237" s="303" t="s">
        <v>464</v>
      </c>
      <c r="I2237" s="303" t="s">
        <v>374</v>
      </c>
      <c r="J2237" s="303" t="s">
        <v>37</v>
      </c>
      <c r="K2237" s="303" t="s">
        <v>241</v>
      </c>
      <c r="L2237" s="303" t="s">
        <v>465</v>
      </c>
      <c r="M2237" s="309" t="s">
        <v>5486</v>
      </c>
      <c r="N2237" s="309" t="s">
        <v>5474</v>
      </c>
      <c r="O2237" s="309" t="s">
        <v>5479</v>
      </c>
      <c r="P2237" s="309">
        <v>80008521</v>
      </c>
      <c r="Q2237" s="303">
        <f t="shared" ref="Q2237" si="530">S2237+U2237</f>
        <v>0</v>
      </c>
      <c r="R2237" s="303">
        <f t="shared" ref="R2237" si="531">T2237+V2237</f>
        <v>0</v>
      </c>
      <c r="S2237" s="309">
        <v>0</v>
      </c>
      <c r="T2237" s="309">
        <v>0</v>
      </c>
      <c r="U2237" s="309">
        <v>0</v>
      </c>
      <c r="V2237" s="309">
        <v>0</v>
      </c>
      <c r="W2237" s="309">
        <v>0</v>
      </c>
      <c r="X2237" s="309">
        <v>156</v>
      </c>
      <c r="Y2237" s="309">
        <v>13</v>
      </c>
      <c r="Z2237" s="309">
        <v>13</v>
      </c>
      <c r="AA2237" s="309">
        <v>1</v>
      </c>
      <c r="AB2237" s="307">
        <f t="shared" si="497"/>
        <v>4.3940000000000001</v>
      </c>
      <c r="AC2237" s="307">
        <f t="shared" si="498"/>
        <v>2.6469879518072292E-2</v>
      </c>
      <c r="AD2237" s="309">
        <v>0</v>
      </c>
      <c r="AE2237" s="309">
        <v>0</v>
      </c>
      <c r="AF2237" s="309" t="s">
        <v>1566</v>
      </c>
      <c r="AG2237" s="309" t="s">
        <v>1566</v>
      </c>
      <c r="AH2237" s="309" t="s">
        <v>5476</v>
      </c>
      <c r="AI2237" s="309" t="s">
        <v>5358</v>
      </c>
      <c r="AJ2237" s="308">
        <v>0.16527777777777777</v>
      </c>
      <c r="AK2237" s="309" t="s">
        <v>41</v>
      </c>
      <c r="AL2237" s="309" t="s">
        <v>39</v>
      </c>
      <c r="AM2237" s="299">
        <f t="shared" ca="1" si="529"/>
        <v>3.0526512731448747</v>
      </c>
      <c r="AN2237" s="313"/>
      <c r="AO2237" s="314"/>
      <c r="AP2237" s="314"/>
      <c r="AQ2237" s="314"/>
      <c r="AR2237" s="314"/>
      <c r="AS2237" s="314"/>
      <c r="AT2237" s="314"/>
      <c r="AU2237" s="314"/>
      <c r="AV2237" s="314"/>
      <c r="AW2237" s="314"/>
      <c r="AX2237" s="314"/>
      <c r="AY2237" s="314"/>
      <c r="AZ2237" s="314"/>
      <c r="BA2237" s="314"/>
    </row>
    <row r="2238" spans="1:53" s="301" customFormat="1" x14ac:dyDescent="0.25">
      <c r="A2238" s="312">
        <v>212</v>
      </c>
      <c r="B2238" s="311">
        <v>44940.75</v>
      </c>
      <c r="C2238" s="308">
        <v>0.77083333333333337</v>
      </c>
      <c r="D2238" s="308">
        <v>0.77430555555555547</v>
      </c>
      <c r="E2238" s="308">
        <v>0.79513888888888884</v>
      </c>
      <c r="F2238" s="309" t="s">
        <v>171</v>
      </c>
      <c r="G2238" s="309" t="s">
        <v>627</v>
      </c>
      <c r="H2238" s="303" t="s">
        <v>464</v>
      </c>
      <c r="I2238" s="303" t="s">
        <v>374</v>
      </c>
      <c r="J2238" s="303" t="s">
        <v>37</v>
      </c>
      <c r="K2238" s="303" t="s">
        <v>241</v>
      </c>
      <c r="L2238" s="303" t="s">
        <v>465</v>
      </c>
      <c r="M2238" s="309" t="s">
        <v>5486</v>
      </c>
      <c r="N2238" s="309" t="s">
        <v>5474</v>
      </c>
      <c r="O2238" s="309" t="s">
        <v>5480</v>
      </c>
      <c r="P2238" s="309">
        <v>80008475</v>
      </c>
      <c r="Q2238" s="303">
        <f t="shared" ref="Q2238" si="532">S2238+U2238</f>
        <v>1</v>
      </c>
      <c r="R2238" s="303">
        <f t="shared" ref="R2238" si="533">T2238+V2238</f>
        <v>51</v>
      </c>
      <c r="S2238" s="309">
        <v>0</v>
      </c>
      <c r="T2238" s="309">
        <v>0</v>
      </c>
      <c r="U2238" s="309">
        <v>1</v>
      </c>
      <c r="V2238" s="309">
        <v>51</v>
      </c>
      <c r="W2238" s="309">
        <v>60</v>
      </c>
      <c r="X2238" s="309">
        <v>53</v>
      </c>
      <c r="Y2238" s="309">
        <v>53</v>
      </c>
      <c r="Z2238" s="309">
        <v>65</v>
      </c>
      <c r="AA2238" s="309">
        <v>1</v>
      </c>
      <c r="AB2238" s="307">
        <f t="shared" si="497"/>
        <v>30.430833333333332</v>
      </c>
      <c r="AC2238" s="307">
        <f t="shared" si="498"/>
        <v>0.18331827309236948</v>
      </c>
      <c r="AD2238" s="309">
        <v>35755</v>
      </c>
      <c r="AE2238" s="309" t="s">
        <v>109</v>
      </c>
      <c r="AF2238" s="309" t="s">
        <v>1566</v>
      </c>
      <c r="AG2238" s="309" t="s">
        <v>1566</v>
      </c>
      <c r="AH2238" s="309" t="s">
        <v>5476</v>
      </c>
      <c r="AI2238" s="309" t="s">
        <v>5358</v>
      </c>
      <c r="AJ2238" s="308">
        <v>0.16527777777777777</v>
      </c>
      <c r="AK2238" s="309" t="s">
        <v>41</v>
      </c>
      <c r="AL2238" s="309" t="s">
        <v>39</v>
      </c>
      <c r="AM2238" s="299">
        <f t="shared" ref="AM2238" ca="1" si="534">IF(AP2238="",NOW()-B2238,AR2238-B2238)</f>
        <v>3.0526512731448747</v>
      </c>
      <c r="AN2238" s="313"/>
      <c r="AO2238" s="314"/>
      <c r="AP2238" s="314"/>
      <c r="AQ2238" s="314"/>
      <c r="AR2238" s="314"/>
      <c r="AS2238" s="314"/>
      <c r="AT2238" s="314"/>
      <c r="AU2238" s="314"/>
      <c r="AV2238" s="314"/>
      <c r="AW2238" s="314"/>
      <c r="AX2238" s="314"/>
      <c r="AY2238" s="314"/>
      <c r="AZ2238" s="314"/>
      <c r="BA2238" s="314"/>
    </row>
    <row r="2239" spans="1:53" s="301" customFormat="1" x14ac:dyDescent="0.25">
      <c r="A2239" s="312">
        <v>213</v>
      </c>
      <c r="B2239" s="311">
        <v>44940.666666666664</v>
      </c>
      <c r="C2239" s="308">
        <v>0.70833333333333337</v>
      </c>
      <c r="D2239" s="308">
        <v>0.72916666666666663</v>
      </c>
      <c r="E2239" s="308">
        <v>0.44444444444444442</v>
      </c>
      <c r="F2239" s="309" t="s">
        <v>170</v>
      </c>
      <c r="G2239" s="309" t="s">
        <v>5481</v>
      </c>
      <c r="H2239" s="309" t="s">
        <v>227</v>
      </c>
      <c r="I2239" s="309" t="s">
        <v>189</v>
      </c>
      <c r="J2239" s="307" t="s">
        <v>37</v>
      </c>
      <c r="K2239" s="307" t="s">
        <v>63</v>
      </c>
      <c r="L2239" s="293" t="s">
        <v>206</v>
      </c>
      <c r="M2239" s="309" t="s">
        <v>5485</v>
      </c>
      <c r="N2239" s="309" t="s">
        <v>42</v>
      </c>
      <c r="O2239" s="309" t="s">
        <v>5482</v>
      </c>
      <c r="P2239" s="309" t="s">
        <v>5483</v>
      </c>
      <c r="Q2239" s="303">
        <f t="shared" ref="Q2239" si="535">S2239+U2239</f>
        <v>4</v>
      </c>
      <c r="R2239" s="303">
        <f t="shared" ref="R2239" si="536">T2239+V2239</f>
        <v>1140</v>
      </c>
      <c r="S2239" s="309">
        <v>0</v>
      </c>
      <c r="T2239" s="309">
        <v>0</v>
      </c>
      <c r="U2239" s="309">
        <v>4</v>
      </c>
      <c r="V2239" s="292">
        <f>346-62+348-67+350-62+354-67</f>
        <v>1140</v>
      </c>
      <c r="W2239" s="292">
        <v>2197.5</v>
      </c>
      <c r="X2239" s="309">
        <v>174</v>
      </c>
      <c r="Y2239" s="309">
        <v>145</v>
      </c>
      <c r="Z2239" s="309">
        <v>95</v>
      </c>
      <c r="AA2239" s="309">
        <v>4</v>
      </c>
      <c r="AB2239" s="307">
        <f t="shared" si="497"/>
        <v>1597.9</v>
      </c>
      <c r="AC2239" s="307">
        <f t="shared" si="498"/>
        <v>9.6259036144578314</v>
      </c>
      <c r="AD2239" s="309">
        <v>10950</v>
      </c>
      <c r="AE2239" s="309" t="s">
        <v>109</v>
      </c>
      <c r="AF2239" s="309" t="s">
        <v>1566</v>
      </c>
      <c r="AG2239" s="309" t="s">
        <v>1566</v>
      </c>
      <c r="AH2239" s="309" t="s">
        <v>5484</v>
      </c>
      <c r="AI2239" s="309" t="s">
        <v>5244</v>
      </c>
      <c r="AJ2239" s="308">
        <v>0.37291666666666662</v>
      </c>
      <c r="AK2239" s="309" t="s">
        <v>37</v>
      </c>
      <c r="AL2239" s="309" t="s">
        <v>39</v>
      </c>
      <c r="AM2239" s="299">
        <f t="shared" ref="AM2239" ca="1" si="537">IF(AP2239="",NOW()-B2239,AR2239-B2239)</f>
        <v>1.9513888888905058</v>
      </c>
      <c r="AN2239" s="320" t="s">
        <v>5487</v>
      </c>
      <c r="AO2239" s="272" t="s">
        <v>89</v>
      </c>
      <c r="AP2239" s="272" t="s">
        <v>5485</v>
      </c>
      <c r="AQ2239" s="272" t="s">
        <v>5502</v>
      </c>
      <c r="AR2239" s="129">
        <v>44942.618055555555</v>
      </c>
      <c r="AS2239" s="272" t="s">
        <v>449</v>
      </c>
      <c r="AT2239" s="288" t="s">
        <v>225</v>
      </c>
      <c r="AU2239" s="276">
        <v>0.61805555555555558</v>
      </c>
      <c r="AV2239" s="314">
        <v>1</v>
      </c>
      <c r="AW2239" s="314" t="s">
        <v>66</v>
      </c>
      <c r="AX2239" s="314"/>
      <c r="AY2239" s="314"/>
      <c r="AZ2239" s="314"/>
      <c r="BA2239" s="314"/>
    </row>
    <row r="2240" spans="1:53" s="301" customFormat="1" x14ac:dyDescent="0.25">
      <c r="A2240" s="312">
        <v>214</v>
      </c>
      <c r="B2240" s="311">
        <v>44942.375</v>
      </c>
      <c r="C2240" s="308">
        <v>0.39583333333333331</v>
      </c>
      <c r="D2240" s="308">
        <v>0.41666666666666669</v>
      </c>
      <c r="E2240" s="308">
        <v>0.44444444444444442</v>
      </c>
      <c r="F2240" s="309" t="s">
        <v>170</v>
      </c>
      <c r="G2240" s="309" t="s">
        <v>5488</v>
      </c>
      <c r="H2240" s="309" t="s">
        <v>227</v>
      </c>
      <c r="I2240" s="309" t="s">
        <v>189</v>
      </c>
      <c r="J2240" s="307" t="s">
        <v>37</v>
      </c>
      <c r="K2240" s="307" t="s">
        <v>63</v>
      </c>
      <c r="L2240" s="293" t="s">
        <v>206</v>
      </c>
      <c r="M2240" s="309" t="s">
        <v>5485</v>
      </c>
      <c r="N2240" s="309" t="s">
        <v>42</v>
      </c>
      <c r="O2240" s="309" t="s">
        <v>5482</v>
      </c>
      <c r="P2240" s="309" t="s">
        <v>5489</v>
      </c>
      <c r="Q2240" s="303">
        <f t="shared" ref="Q2240" si="538">S2240+U2240</f>
        <v>7</v>
      </c>
      <c r="R2240" s="303">
        <f t="shared" ref="R2240" si="539">T2240+V2240</f>
        <v>1481</v>
      </c>
      <c r="S2240" s="309">
        <v>0</v>
      </c>
      <c r="T2240" s="309">
        <v>0</v>
      </c>
      <c r="U2240" s="309">
        <v>7</v>
      </c>
      <c r="V2240" s="292">
        <f>235-62+298+298+376-67+84+273-62+108</f>
        <v>1481</v>
      </c>
      <c r="W2240" s="292">
        <v>0</v>
      </c>
      <c r="X2240" s="309">
        <v>158</v>
      </c>
      <c r="Y2240" s="309">
        <v>132</v>
      </c>
      <c r="Z2240" s="309">
        <v>80</v>
      </c>
      <c r="AA2240" s="309">
        <v>3</v>
      </c>
      <c r="AB2240" s="307">
        <f t="shared" si="497"/>
        <v>834.24</v>
      </c>
      <c r="AC2240" s="307">
        <f t="shared" si="498"/>
        <v>5.0255421686746988</v>
      </c>
      <c r="AD2240" s="309">
        <v>0</v>
      </c>
      <c r="AE2240" s="309">
        <v>0</v>
      </c>
      <c r="AF2240" s="309" t="s">
        <v>1566</v>
      </c>
      <c r="AG2240" s="309" t="s">
        <v>1566</v>
      </c>
      <c r="AH2240" s="309" t="s">
        <v>5490</v>
      </c>
      <c r="AI2240" s="309" t="s">
        <v>5426</v>
      </c>
      <c r="AJ2240" s="308">
        <v>0.5</v>
      </c>
      <c r="AK2240" s="309" t="s">
        <v>37</v>
      </c>
      <c r="AL2240" s="309" t="s">
        <v>39</v>
      </c>
      <c r="AM2240" s="299">
        <f t="shared" ref="AM2240:AM2242" ca="1" si="540">IF(AP2240="",NOW()-B2240,AR2240-B2240)</f>
        <v>0.24305555555474712</v>
      </c>
      <c r="AN2240" s="313"/>
      <c r="AO2240" s="272" t="s">
        <v>89</v>
      </c>
      <c r="AP2240" s="272" t="s">
        <v>5485</v>
      </c>
      <c r="AQ2240" s="272" t="s">
        <v>5502</v>
      </c>
      <c r="AR2240" s="129">
        <v>44942.618055555555</v>
      </c>
      <c r="AS2240" s="272" t="s">
        <v>449</v>
      </c>
      <c r="AT2240" s="288" t="s">
        <v>225</v>
      </c>
      <c r="AU2240" s="276">
        <v>0.61805555555555558</v>
      </c>
      <c r="AV2240" s="314">
        <v>1</v>
      </c>
      <c r="AW2240" s="314" t="s">
        <v>66</v>
      </c>
      <c r="AX2240" s="314"/>
      <c r="AY2240" s="314"/>
      <c r="AZ2240" s="314"/>
      <c r="BA2240" s="314"/>
    </row>
    <row r="2241" spans="1:53" s="301" customFormat="1" x14ac:dyDescent="0.25">
      <c r="A2241" s="312">
        <v>214</v>
      </c>
      <c r="B2241" s="311">
        <v>44942.375</v>
      </c>
      <c r="C2241" s="308">
        <v>0.39583333333333331</v>
      </c>
      <c r="D2241" s="308">
        <v>0.41666666666666669</v>
      </c>
      <c r="E2241" s="308">
        <v>0.44444444444444442</v>
      </c>
      <c r="F2241" s="309" t="s">
        <v>170</v>
      </c>
      <c r="G2241" s="309" t="s">
        <v>5488</v>
      </c>
      <c r="H2241" s="309" t="s">
        <v>227</v>
      </c>
      <c r="I2241" s="309" t="s">
        <v>189</v>
      </c>
      <c r="J2241" s="307" t="s">
        <v>37</v>
      </c>
      <c r="K2241" s="307" t="s">
        <v>63</v>
      </c>
      <c r="L2241" s="293" t="s">
        <v>206</v>
      </c>
      <c r="M2241" s="309" t="s">
        <v>5485</v>
      </c>
      <c r="N2241" s="309" t="s">
        <v>42</v>
      </c>
      <c r="O2241" s="309" t="s">
        <v>5482</v>
      </c>
      <c r="P2241" s="309" t="s">
        <v>5489</v>
      </c>
      <c r="Q2241" s="303">
        <f t="shared" ref="Q2241" si="541">S2241+U2241</f>
        <v>0</v>
      </c>
      <c r="R2241" s="303">
        <f t="shared" ref="R2241" si="542">T2241+V2241</f>
        <v>0</v>
      </c>
      <c r="S2241" s="309">
        <v>0</v>
      </c>
      <c r="T2241" s="309">
        <v>0</v>
      </c>
      <c r="U2241" s="309">
        <v>0</v>
      </c>
      <c r="V2241" s="309">
        <v>0</v>
      </c>
      <c r="W2241" s="309">
        <v>0</v>
      </c>
      <c r="X2241" s="309">
        <v>105</v>
      </c>
      <c r="Y2241" s="309">
        <v>46</v>
      </c>
      <c r="Z2241" s="309">
        <v>45</v>
      </c>
      <c r="AA2241" s="309">
        <v>4</v>
      </c>
      <c r="AB2241" s="307">
        <f t="shared" si="497"/>
        <v>144.9</v>
      </c>
      <c r="AC2241" s="307">
        <f t="shared" si="498"/>
        <v>0.87289156626506026</v>
      </c>
      <c r="AD2241" s="309">
        <v>0</v>
      </c>
      <c r="AE2241" s="309">
        <v>0</v>
      </c>
      <c r="AF2241" s="309" t="s">
        <v>1566</v>
      </c>
      <c r="AG2241" s="309" t="s">
        <v>1566</v>
      </c>
      <c r="AH2241" s="309">
        <v>0</v>
      </c>
      <c r="AI2241" s="309">
        <v>0</v>
      </c>
      <c r="AJ2241" s="309">
        <v>0</v>
      </c>
      <c r="AK2241" s="309" t="s">
        <v>37</v>
      </c>
      <c r="AL2241" s="309" t="s">
        <v>39</v>
      </c>
      <c r="AM2241" s="299">
        <f t="shared" ca="1" si="540"/>
        <v>0.24305555555474712</v>
      </c>
      <c r="AN2241" s="313"/>
      <c r="AO2241" s="272" t="s">
        <v>89</v>
      </c>
      <c r="AP2241" s="272" t="s">
        <v>5485</v>
      </c>
      <c r="AQ2241" s="272" t="s">
        <v>5502</v>
      </c>
      <c r="AR2241" s="129">
        <v>44942.618055555555</v>
      </c>
      <c r="AS2241" s="272" t="s">
        <v>449</v>
      </c>
      <c r="AT2241" s="288" t="s">
        <v>225</v>
      </c>
      <c r="AU2241" s="276">
        <v>0.61805555555555558</v>
      </c>
      <c r="AV2241" s="314">
        <v>1</v>
      </c>
      <c r="AW2241" s="314" t="s">
        <v>66</v>
      </c>
      <c r="AX2241" s="314"/>
      <c r="AY2241" s="314"/>
      <c r="AZ2241" s="314"/>
      <c r="BA2241" s="314"/>
    </row>
    <row r="2242" spans="1:53" s="301" customFormat="1" x14ac:dyDescent="0.25">
      <c r="A2242" s="312">
        <v>215</v>
      </c>
      <c r="B2242" s="311">
        <v>44942.375</v>
      </c>
      <c r="C2242" s="308">
        <v>0.39583333333333331</v>
      </c>
      <c r="D2242" s="308">
        <v>0.41666666666666669</v>
      </c>
      <c r="E2242" s="308">
        <v>0.44444444444444442</v>
      </c>
      <c r="F2242" s="309" t="s">
        <v>170</v>
      </c>
      <c r="G2242" s="309" t="s">
        <v>5488</v>
      </c>
      <c r="H2242" s="309" t="s">
        <v>227</v>
      </c>
      <c r="I2242" s="309" t="s">
        <v>189</v>
      </c>
      <c r="J2242" s="307" t="s">
        <v>37</v>
      </c>
      <c r="K2242" s="307" t="s">
        <v>63</v>
      </c>
      <c r="L2242" s="293" t="s">
        <v>206</v>
      </c>
      <c r="M2242" s="309" t="s">
        <v>5491</v>
      </c>
      <c r="N2242" s="309" t="s">
        <v>43</v>
      </c>
      <c r="O2242" s="309" t="s">
        <v>5492</v>
      </c>
      <c r="P2242" s="309" t="s">
        <v>5493</v>
      </c>
      <c r="Q2242" s="303">
        <f t="shared" ref="Q2242" si="543">S2242+U2242</f>
        <v>2</v>
      </c>
      <c r="R2242" s="303">
        <f t="shared" ref="R2242" si="544">T2242+V2242</f>
        <v>484</v>
      </c>
      <c r="S2242" s="309">
        <v>0</v>
      </c>
      <c r="T2242" s="309">
        <v>0</v>
      </c>
      <c r="U2242" s="309">
        <v>2</v>
      </c>
      <c r="V2242" s="309">
        <f>201-67+412-62</f>
        <v>484</v>
      </c>
      <c r="W2242" s="309">
        <v>424.5</v>
      </c>
      <c r="X2242" s="309">
        <v>158</v>
      </c>
      <c r="Y2242" s="309">
        <v>73</v>
      </c>
      <c r="Z2242" s="309">
        <v>79</v>
      </c>
      <c r="AA2242" s="309">
        <v>1</v>
      </c>
      <c r="AB2242" s="307">
        <f t="shared" si="497"/>
        <v>151.86433333333332</v>
      </c>
      <c r="AC2242" s="307">
        <f t="shared" si="498"/>
        <v>0.91484538152610428</v>
      </c>
      <c r="AD2242" s="309">
        <v>8348.6</v>
      </c>
      <c r="AE2242" s="309" t="s">
        <v>109</v>
      </c>
      <c r="AF2242" s="309" t="s">
        <v>1566</v>
      </c>
      <c r="AG2242" s="309" t="s">
        <v>1566</v>
      </c>
      <c r="AH2242" s="309">
        <v>0</v>
      </c>
      <c r="AI2242" s="309">
        <v>0</v>
      </c>
      <c r="AJ2242" s="309">
        <v>0</v>
      </c>
      <c r="AK2242" s="309" t="s">
        <v>37</v>
      </c>
      <c r="AL2242" s="309" t="s">
        <v>54</v>
      </c>
      <c r="AM2242" s="299">
        <f t="shared" ca="1" si="540"/>
        <v>1.2465277777810115</v>
      </c>
      <c r="AN2242" s="313"/>
      <c r="AO2242" s="288" t="s">
        <v>179</v>
      </c>
      <c r="AP2242" s="275" t="s">
        <v>5491</v>
      </c>
      <c r="AQ2242" s="288" t="s">
        <v>5539</v>
      </c>
      <c r="AR2242" s="277">
        <v>44943.621527777781</v>
      </c>
      <c r="AS2242" s="272" t="s">
        <v>173</v>
      </c>
      <c r="AT2242" s="288" t="s">
        <v>65</v>
      </c>
      <c r="AU2242" s="276">
        <v>0.62152777777777779</v>
      </c>
      <c r="AV2242" s="288">
        <v>2</v>
      </c>
      <c r="AW2242" s="288" t="s">
        <v>66</v>
      </c>
      <c r="AX2242" s="314"/>
      <c r="AY2242" s="314"/>
      <c r="AZ2242" s="314"/>
      <c r="BA2242" s="314"/>
    </row>
    <row r="2243" spans="1:53" s="301" customFormat="1" x14ac:dyDescent="0.25">
      <c r="A2243" s="312">
        <v>215</v>
      </c>
      <c r="B2243" s="311">
        <v>44942.375</v>
      </c>
      <c r="C2243" s="308">
        <v>0.39583333333333331</v>
      </c>
      <c r="D2243" s="308">
        <v>0.41666666666666669</v>
      </c>
      <c r="E2243" s="308">
        <v>0.44444444444444442</v>
      </c>
      <c r="F2243" s="309" t="s">
        <v>170</v>
      </c>
      <c r="G2243" s="309" t="s">
        <v>5488</v>
      </c>
      <c r="H2243" s="309" t="s">
        <v>227</v>
      </c>
      <c r="I2243" s="309" t="s">
        <v>189</v>
      </c>
      <c r="J2243" s="307" t="s">
        <v>37</v>
      </c>
      <c r="K2243" s="307" t="s">
        <v>63</v>
      </c>
      <c r="L2243" s="293" t="s">
        <v>206</v>
      </c>
      <c r="M2243" s="309" t="s">
        <v>5491</v>
      </c>
      <c r="N2243" s="309" t="s">
        <v>43</v>
      </c>
      <c r="O2243" s="309" t="s">
        <v>5492</v>
      </c>
      <c r="P2243" s="309" t="s">
        <v>5493</v>
      </c>
      <c r="Q2243" s="303">
        <f t="shared" ref="Q2243" si="545">S2243+U2243</f>
        <v>0</v>
      </c>
      <c r="R2243" s="303">
        <f t="shared" ref="R2243" si="546">T2243+V2243</f>
        <v>0</v>
      </c>
      <c r="S2243" s="309">
        <v>0</v>
      </c>
      <c r="T2243" s="309">
        <v>0</v>
      </c>
      <c r="U2243" s="309">
        <v>0</v>
      </c>
      <c r="V2243" s="309">
        <v>0</v>
      </c>
      <c r="W2243" s="309">
        <v>0</v>
      </c>
      <c r="X2243" s="309">
        <v>158</v>
      </c>
      <c r="Y2243" s="309">
        <v>132</v>
      </c>
      <c r="Z2243" s="309">
        <v>80</v>
      </c>
      <c r="AA2243" s="309">
        <v>1</v>
      </c>
      <c r="AB2243" s="307">
        <f t="shared" si="497"/>
        <v>278.08</v>
      </c>
      <c r="AC2243" s="307">
        <f t="shared" si="498"/>
        <v>1.6751807228915663</v>
      </c>
      <c r="AD2243" s="309">
        <v>0</v>
      </c>
      <c r="AE2243" s="309">
        <v>0</v>
      </c>
      <c r="AF2243" s="309" t="s">
        <v>1566</v>
      </c>
      <c r="AG2243" s="309" t="s">
        <v>1566</v>
      </c>
      <c r="AH2243" s="309">
        <v>0</v>
      </c>
      <c r="AI2243" s="309">
        <v>0</v>
      </c>
      <c r="AJ2243" s="309">
        <v>0</v>
      </c>
      <c r="AK2243" s="309" t="s">
        <v>37</v>
      </c>
      <c r="AL2243" s="309" t="s">
        <v>54</v>
      </c>
      <c r="AM2243" s="299">
        <f t="shared" ref="AM2243:AM2248" ca="1" si="547">IF(AP2243="",NOW()-B2243,AR2243-B2243)</f>
        <v>1.2465277777810115</v>
      </c>
      <c r="AN2243" s="313"/>
      <c r="AO2243" s="288" t="s">
        <v>179</v>
      </c>
      <c r="AP2243" s="275" t="s">
        <v>5491</v>
      </c>
      <c r="AQ2243" s="288" t="s">
        <v>5539</v>
      </c>
      <c r="AR2243" s="277">
        <v>44943.621527777781</v>
      </c>
      <c r="AS2243" s="272" t="s">
        <v>173</v>
      </c>
      <c r="AT2243" s="288" t="s">
        <v>65</v>
      </c>
      <c r="AU2243" s="276">
        <v>0.62152777777777779</v>
      </c>
      <c r="AV2243" s="288">
        <v>2</v>
      </c>
      <c r="AW2243" s="288" t="s">
        <v>66</v>
      </c>
      <c r="AX2243" s="314"/>
      <c r="AY2243" s="314"/>
      <c r="AZ2243" s="314"/>
      <c r="BA2243" s="314"/>
    </row>
    <row r="2244" spans="1:53" s="301" customFormat="1" x14ac:dyDescent="0.25">
      <c r="A2244" s="312">
        <v>216</v>
      </c>
      <c r="B2244" s="311">
        <v>44942.375</v>
      </c>
      <c r="C2244" s="308">
        <v>0.39583333333333331</v>
      </c>
      <c r="D2244" s="308">
        <v>0.41666666666666669</v>
      </c>
      <c r="E2244" s="308">
        <v>0.44444444444444442</v>
      </c>
      <c r="F2244" s="309" t="s">
        <v>170</v>
      </c>
      <c r="G2244" s="309" t="s">
        <v>5488</v>
      </c>
      <c r="H2244" s="309" t="s">
        <v>227</v>
      </c>
      <c r="I2244" s="309" t="s">
        <v>189</v>
      </c>
      <c r="J2244" s="307" t="s">
        <v>37</v>
      </c>
      <c r="K2244" s="307" t="s">
        <v>63</v>
      </c>
      <c r="L2244" s="293" t="s">
        <v>206</v>
      </c>
      <c r="M2244" s="309" t="s">
        <v>5491</v>
      </c>
      <c r="N2244" s="309" t="s">
        <v>43</v>
      </c>
      <c r="O2244" s="309" t="s">
        <v>5494</v>
      </c>
      <c r="P2244" s="309" t="s">
        <v>5495</v>
      </c>
      <c r="Q2244" s="303">
        <f t="shared" ref="Q2244" si="548">S2244+U2244</f>
        <v>8</v>
      </c>
      <c r="R2244" s="303">
        <f t="shared" ref="R2244" si="549">T2244+V2244</f>
        <v>434</v>
      </c>
      <c r="S2244" s="309">
        <v>7</v>
      </c>
      <c r="T2244" s="309">
        <f>145-21</f>
        <v>124</v>
      </c>
      <c r="U2244" s="309">
        <v>1</v>
      </c>
      <c r="V2244" s="309">
        <f>372-62</f>
        <v>310</v>
      </c>
      <c r="W2244" s="309">
        <v>331.85</v>
      </c>
      <c r="X2244" s="309">
        <v>158</v>
      </c>
      <c r="Y2244" s="309">
        <v>132</v>
      </c>
      <c r="Z2244" s="309">
        <v>80</v>
      </c>
      <c r="AA2244" s="309">
        <v>1</v>
      </c>
      <c r="AB2244" s="307">
        <f t="shared" si="497"/>
        <v>278.08</v>
      </c>
      <c r="AC2244" s="307">
        <f t="shared" si="498"/>
        <v>1.6751807228915663</v>
      </c>
      <c r="AD2244" s="309">
        <v>4672.8</v>
      </c>
      <c r="AE2244" s="309" t="s">
        <v>109</v>
      </c>
      <c r="AF2244" s="309" t="s">
        <v>1566</v>
      </c>
      <c r="AG2244" s="309" t="s">
        <v>1566</v>
      </c>
      <c r="AH2244" s="309" t="s">
        <v>5496</v>
      </c>
      <c r="AI2244" s="309" t="s">
        <v>5426</v>
      </c>
      <c r="AJ2244" s="308">
        <v>0.39930555555555558</v>
      </c>
      <c r="AK2244" s="309" t="s">
        <v>5497</v>
      </c>
      <c r="AL2244" s="309" t="s">
        <v>54</v>
      </c>
      <c r="AM2244" s="299">
        <f t="shared" ca="1" si="547"/>
        <v>1.2465277777810115</v>
      </c>
      <c r="AN2244" s="313"/>
      <c r="AO2244" s="288" t="s">
        <v>179</v>
      </c>
      <c r="AP2244" s="275" t="s">
        <v>5491</v>
      </c>
      <c r="AQ2244" s="288" t="s">
        <v>5539</v>
      </c>
      <c r="AR2244" s="277">
        <v>44943.621527777781</v>
      </c>
      <c r="AS2244" s="272" t="s">
        <v>173</v>
      </c>
      <c r="AT2244" s="288" t="s">
        <v>65</v>
      </c>
      <c r="AU2244" s="276">
        <v>0.62152777777777779</v>
      </c>
      <c r="AV2244" s="288">
        <v>2</v>
      </c>
      <c r="AW2244" s="288" t="s">
        <v>66</v>
      </c>
      <c r="AX2244" s="314"/>
      <c r="AY2244" s="314"/>
      <c r="AZ2244" s="314"/>
      <c r="BA2244" s="314"/>
    </row>
    <row r="2245" spans="1:53" s="301" customFormat="1" x14ac:dyDescent="0.25">
      <c r="A2245" s="312">
        <v>216</v>
      </c>
      <c r="B2245" s="311">
        <v>44942.375</v>
      </c>
      <c r="C2245" s="308">
        <v>0.39583333333333331</v>
      </c>
      <c r="D2245" s="308">
        <v>0.41666666666666669</v>
      </c>
      <c r="E2245" s="308">
        <v>0.44444444444444442</v>
      </c>
      <c r="F2245" s="309" t="s">
        <v>170</v>
      </c>
      <c r="G2245" s="309" t="s">
        <v>5488</v>
      </c>
      <c r="H2245" s="309" t="s">
        <v>227</v>
      </c>
      <c r="I2245" s="309" t="s">
        <v>189</v>
      </c>
      <c r="J2245" s="307" t="s">
        <v>37</v>
      </c>
      <c r="K2245" s="307" t="s">
        <v>63</v>
      </c>
      <c r="L2245" s="293" t="s">
        <v>206</v>
      </c>
      <c r="M2245" s="309" t="s">
        <v>5491</v>
      </c>
      <c r="N2245" s="309" t="s">
        <v>43</v>
      </c>
      <c r="O2245" s="309" t="s">
        <v>5494</v>
      </c>
      <c r="P2245" s="309" t="s">
        <v>5495</v>
      </c>
      <c r="Q2245" s="303">
        <f t="shared" ref="Q2245:Q2246" si="550">S2245+U2245</f>
        <v>0</v>
      </c>
      <c r="R2245" s="303">
        <f t="shared" ref="R2245:R2246" si="551">T2245+V2245</f>
        <v>0</v>
      </c>
      <c r="S2245" s="309">
        <v>0</v>
      </c>
      <c r="T2245" s="309">
        <v>0</v>
      </c>
      <c r="U2245" s="309">
        <v>0</v>
      </c>
      <c r="V2245" s="309">
        <v>0</v>
      </c>
      <c r="W2245" s="309">
        <v>0</v>
      </c>
      <c r="X2245" s="309">
        <v>84</v>
      </c>
      <c r="Y2245" s="309">
        <v>53</v>
      </c>
      <c r="Z2245" s="309">
        <v>62</v>
      </c>
      <c r="AA2245" s="309">
        <v>6</v>
      </c>
      <c r="AB2245" s="307">
        <f t="shared" si="497"/>
        <v>276.024</v>
      </c>
      <c r="AC2245" s="307">
        <f t="shared" si="498"/>
        <v>1.6627951807228916</v>
      </c>
      <c r="AD2245" s="309">
        <v>0</v>
      </c>
      <c r="AE2245" s="309">
        <v>0</v>
      </c>
      <c r="AF2245" s="309" t="s">
        <v>1566</v>
      </c>
      <c r="AG2245" s="309" t="s">
        <v>1566</v>
      </c>
      <c r="AH2245" s="309">
        <v>0</v>
      </c>
      <c r="AI2245" s="309">
        <v>0</v>
      </c>
      <c r="AJ2245" s="309">
        <v>0</v>
      </c>
      <c r="AK2245" s="309" t="s">
        <v>5497</v>
      </c>
      <c r="AL2245" s="309" t="s">
        <v>54</v>
      </c>
      <c r="AM2245" s="299">
        <f t="shared" ca="1" si="547"/>
        <v>1.2465277777810115</v>
      </c>
      <c r="AN2245" s="313"/>
      <c r="AO2245" s="288" t="s">
        <v>179</v>
      </c>
      <c r="AP2245" s="275" t="s">
        <v>5491</v>
      </c>
      <c r="AQ2245" s="288" t="s">
        <v>5539</v>
      </c>
      <c r="AR2245" s="277">
        <v>44943.621527777781</v>
      </c>
      <c r="AS2245" s="272" t="s">
        <v>173</v>
      </c>
      <c r="AT2245" s="288" t="s">
        <v>65</v>
      </c>
      <c r="AU2245" s="276">
        <v>0.62152777777777779</v>
      </c>
      <c r="AV2245" s="288">
        <v>2</v>
      </c>
      <c r="AW2245" s="288" t="s">
        <v>66</v>
      </c>
      <c r="AX2245" s="314"/>
      <c r="AY2245" s="314"/>
      <c r="AZ2245" s="314"/>
      <c r="BA2245" s="314"/>
    </row>
    <row r="2246" spans="1:53" s="301" customFormat="1" x14ac:dyDescent="0.25">
      <c r="A2246" s="312">
        <v>216</v>
      </c>
      <c r="B2246" s="311">
        <v>44942.375</v>
      </c>
      <c r="C2246" s="308">
        <v>0.39583333333333331</v>
      </c>
      <c r="D2246" s="308">
        <v>0.41666666666666669</v>
      </c>
      <c r="E2246" s="308">
        <v>0.44444444444444442</v>
      </c>
      <c r="F2246" s="309" t="s">
        <v>170</v>
      </c>
      <c r="G2246" s="309" t="s">
        <v>5488</v>
      </c>
      <c r="H2246" s="309" t="s">
        <v>227</v>
      </c>
      <c r="I2246" s="309" t="s">
        <v>189</v>
      </c>
      <c r="J2246" s="307" t="s">
        <v>37</v>
      </c>
      <c r="K2246" s="307" t="s">
        <v>63</v>
      </c>
      <c r="L2246" s="293" t="s">
        <v>206</v>
      </c>
      <c r="M2246" s="309" t="s">
        <v>5491</v>
      </c>
      <c r="N2246" s="309" t="s">
        <v>43</v>
      </c>
      <c r="O2246" s="309" t="s">
        <v>5494</v>
      </c>
      <c r="P2246" s="309" t="s">
        <v>5495</v>
      </c>
      <c r="Q2246" s="303">
        <f t="shared" si="550"/>
        <v>0</v>
      </c>
      <c r="R2246" s="303">
        <f t="shared" si="551"/>
        <v>0</v>
      </c>
      <c r="S2246" s="309">
        <v>0</v>
      </c>
      <c r="T2246" s="309">
        <v>0</v>
      </c>
      <c r="U2246" s="309">
        <v>0</v>
      </c>
      <c r="V2246" s="309">
        <v>0</v>
      </c>
      <c r="W2246" s="309">
        <v>0</v>
      </c>
      <c r="X2246" s="309">
        <v>61</v>
      </c>
      <c r="Y2246" s="309">
        <v>50</v>
      </c>
      <c r="Z2246" s="309">
        <v>46</v>
      </c>
      <c r="AA2246" s="309">
        <v>1</v>
      </c>
      <c r="AB2246" s="307">
        <f t="shared" si="497"/>
        <v>23.383333333333333</v>
      </c>
      <c r="AC2246" s="307">
        <f t="shared" si="498"/>
        <v>0.14086345381526105</v>
      </c>
      <c r="AD2246" s="309">
        <v>0</v>
      </c>
      <c r="AE2246" s="309">
        <v>0</v>
      </c>
      <c r="AF2246" s="309" t="s">
        <v>1566</v>
      </c>
      <c r="AG2246" s="309" t="s">
        <v>1566</v>
      </c>
      <c r="AH2246" s="309">
        <v>0</v>
      </c>
      <c r="AI2246" s="309">
        <v>0</v>
      </c>
      <c r="AJ2246" s="309">
        <v>0</v>
      </c>
      <c r="AK2246" s="309" t="s">
        <v>5497</v>
      </c>
      <c r="AL2246" s="309" t="s">
        <v>54</v>
      </c>
      <c r="AM2246" s="299">
        <f t="shared" ca="1" si="547"/>
        <v>1.2465277777810115</v>
      </c>
      <c r="AN2246" s="313"/>
      <c r="AO2246" s="288" t="s">
        <v>179</v>
      </c>
      <c r="AP2246" s="275" t="s">
        <v>5491</v>
      </c>
      <c r="AQ2246" s="288" t="s">
        <v>5539</v>
      </c>
      <c r="AR2246" s="277">
        <v>44943.621527777781</v>
      </c>
      <c r="AS2246" s="272" t="s">
        <v>173</v>
      </c>
      <c r="AT2246" s="288" t="s">
        <v>65</v>
      </c>
      <c r="AU2246" s="276">
        <v>0.62152777777777779</v>
      </c>
      <c r="AV2246" s="288">
        <v>2</v>
      </c>
      <c r="AW2246" s="288" t="s">
        <v>66</v>
      </c>
      <c r="AX2246" s="314"/>
      <c r="AY2246" s="314"/>
      <c r="AZ2246" s="314"/>
      <c r="BA2246" s="314"/>
    </row>
    <row r="2247" spans="1:53" s="301" customFormat="1" x14ac:dyDescent="0.25">
      <c r="A2247" s="312">
        <v>217</v>
      </c>
      <c r="B2247" s="311">
        <v>44942.458333333336</v>
      </c>
      <c r="C2247" s="308">
        <v>0.47569444444444442</v>
      </c>
      <c r="D2247" s="308">
        <v>0.4826388888888889</v>
      </c>
      <c r="E2247" s="308">
        <v>0.4861111111111111</v>
      </c>
      <c r="F2247" s="309" t="s">
        <v>169</v>
      </c>
      <c r="G2247" s="309" t="s">
        <v>5498</v>
      </c>
      <c r="H2247" s="307" t="s">
        <v>494</v>
      </c>
      <c r="I2247" s="307" t="s">
        <v>354</v>
      </c>
      <c r="J2247" s="307" t="s">
        <v>37</v>
      </c>
      <c r="K2247" s="307" t="s">
        <v>241</v>
      </c>
      <c r="L2247" s="309">
        <v>0</v>
      </c>
      <c r="M2247" s="309" t="s">
        <v>5499</v>
      </c>
      <c r="N2247" s="309" t="s">
        <v>42</v>
      </c>
      <c r="O2247" s="309" t="s">
        <v>5500</v>
      </c>
      <c r="P2247" s="309">
        <v>10263420</v>
      </c>
      <c r="Q2247" s="303">
        <f t="shared" ref="Q2247:Q2248" si="552">S2247+U2247</f>
        <v>126</v>
      </c>
      <c r="R2247" s="303">
        <f t="shared" ref="R2247:R2248" si="553">T2247+V2247</f>
        <v>291</v>
      </c>
      <c r="S2247" s="309">
        <v>126</v>
      </c>
      <c r="T2247" s="309">
        <f>174-13+153-23</f>
        <v>291</v>
      </c>
      <c r="U2247" s="309">
        <v>0</v>
      </c>
      <c r="V2247" s="309">
        <v>0</v>
      </c>
      <c r="W2247" s="309">
        <v>359.66</v>
      </c>
      <c r="X2247" s="309">
        <v>37</v>
      </c>
      <c r="Y2247" s="309">
        <v>30</v>
      </c>
      <c r="Z2247" s="309">
        <v>16</v>
      </c>
      <c r="AA2247" s="309">
        <v>126</v>
      </c>
      <c r="AB2247" s="307">
        <f t="shared" si="497"/>
        <v>372.96</v>
      </c>
      <c r="AC2247" s="307">
        <f t="shared" si="498"/>
        <v>2.2467469879518069</v>
      </c>
      <c r="AD2247" s="309">
        <v>8199</v>
      </c>
      <c r="AE2247" s="309" t="s">
        <v>109</v>
      </c>
      <c r="AF2247" s="309" t="s">
        <v>1566</v>
      </c>
      <c r="AG2247" s="309" t="s">
        <v>1566</v>
      </c>
      <c r="AH2247" s="309" t="s">
        <v>5501</v>
      </c>
      <c r="AI2247" s="309" t="s">
        <v>5352</v>
      </c>
      <c r="AJ2247" s="309">
        <v>0</v>
      </c>
      <c r="AK2247" s="309" t="s">
        <v>48</v>
      </c>
      <c r="AL2247" s="309" t="s">
        <v>50</v>
      </c>
      <c r="AM2247" s="299">
        <f t="shared" ca="1" si="547"/>
        <v>1.3443179398091161</v>
      </c>
      <c r="AN2247" s="313"/>
      <c r="AO2247" s="314"/>
      <c r="AP2247" s="314"/>
      <c r="AQ2247" s="314"/>
      <c r="AR2247" s="314"/>
      <c r="AS2247" s="314"/>
      <c r="AT2247" s="314"/>
      <c r="AU2247" s="314"/>
      <c r="AV2247" s="314"/>
      <c r="AW2247" s="314"/>
      <c r="AX2247" s="314"/>
      <c r="AY2247" s="314"/>
      <c r="AZ2247" s="314"/>
      <c r="BA2247" s="314"/>
    </row>
    <row r="2248" spans="1:53" s="301" customFormat="1" x14ac:dyDescent="0.25">
      <c r="A2248" s="312">
        <v>218</v>
      </c>
      <c r="B2248" s="311">
        <v>44943.5</v>
      </c>
      <c r="C2248" s="308">
        <v>0.55902777777777779</v>
      </c>
      <c r="D2248" s="308">
        <v>0.56597222222222221</v>
      </c>
      <c r="E2248" s="308">
        <v>0.625</v>
      </c>
      <c r="F2248" s="309" t="s">
        <v>170</v>
      </c>
      <c r="G2248" s="309" t="s">
        <v>3019</v>
      </c>
      <c r="H2248" s="307" t="s">
        <v>227</v>
      </c>
      <c r="I2248" s="307" t="s">
        <v>189</v>
      </c>
      <c r="J2248" s="307" t="s">
        <v>37</v>
      </c>
      <c r="K2248" s="309" t="s">
        <v>63</v>
      </c>
      <c r="L2248" s="309" t="s">
        <v>206</v>
      </c>
      <c r="M2248" s="309" t="s">
        <v>5509</v>
      </c>
      <c r="N2248" s="309" t="s">
        <v>43</v>
      </c>
      <c r="O2248" s="309" t="s">
        <v>5503</v>
      </c>
      <c r="P2248" s="309" t="s">
        <v>5504</v>
      </c>
      <c r="Q2248" s="303">
        <f t="shared" si="552"/>
        <v>5</v>
      </c>
      <c r="R2248" s="303">
        <f t="shared" si="553"/>
        <v>1377</v>
      </c>
      <c r="S2248" s="309">
        <v>0</v>
      </c>
      <c r="T2248" s="309">
        <v>0</v>
      </c>
      <c r="U2248" s="309">
        <v>5</v>
      </c>
      <c r="V2248" s="309">
        <f>601+573+270-67</f>
        <v>1377</v>
      </c>
      <c r="W2248" s="309">
        <v>1140</v>
      </c>
      <c r="X2248" s="309">
        <v>174</v>
      </c>
      <c r="Y2248" s="309">
        <v>145</v>
      </c>
      <c r="Z2248" s="309">
        <v>93</v>
      </c>
      <c r="AA2248" s="309">
        <v>4</v>
      </c>
      <c r="AB2248" s="307">
        <f t="shared" si="497"/>
        <v>1564.26</v>
      </c>
      <c r="AC2248" s="307">
        <f t="shared" si="498"/>
        <v>9.4232530120481925</v>
      </c>
      <c r="AD2248" s="309">
        <v>947488</v>
      </c>
      <c r="AE2248" s="309" t="s">
        <v>5505</v>
      </c>
      <c r="AF2248" s="309" t="s">
        <v>317</v>
      </c>
      <c r="AG2248" s="309" t="s">
        <v>317</v>
      </c>
      <c r="AH2248" s="309" t="s">
        <v>5506</v>
      </c>
      <c r="AI2248" s="308" t="s">
        <v>5463</v>
      </c>
      <c r="AJ2248" s="308">
        <v>0.5</v>
      </c>
      <c r="AK2248" s="309" t="s">
        <v>37</v>
      </c>
      <c r="AL2248" s="309" t="s">
        <v>58</v>
      </c>
      <c r="AM2248" s="299">
        <f t="shared" ca="1" si="547"/>
        <v>0.30265127314487472</v>
      </c>
      <c r="AN2248" s="313"/>
      <c r="AO2248" s="314"/>
      <c r="AP2248" s="314"/>
      <c r="AQ2248" s="314"/>
      <c r="AR2248" s="314"/>
      <c r="AS2248" s="314"/>
      <c r="AT2248" s="314"/>
      <c r="AU2248" s="314"/>
      <c r="AV2248" s="314"/>
      <c r="AW2248" s="314"/>
      <c r="AX2248" s="314"/>
      <c r="AY2248" s="314"/>
      <c r="AZ2248" s="314"/>
      <c r="BA2248" s="314"/>
    </row>
    <row r="2249" spans="1:53" s="301" customFormat="1" x14ac:dyDescent="0.25">
      <c r="A2249" s="312">
        <v>218</v>
      </c>
      <c r="B2249" s="311">
        <v>44943.5</v>
      </c>
      <c r="C2249" s="308">
        <v>0.55902777777777779</v>
      </c>
      <c r="D2249" s="308">
        <v>0.56597222222222221</v>
      </c>
      <c r="E2249" s="308">
        <v>0.625</v>
      </c>
      <c r="F2249" s="309" t="s">
        <v>170</v>
      </c>
      <c r="G2249" s="309" t="s">
        <v>3019</v>
      </c>
      <c r="H2249" s="307" t="s">
        <v>227</v>
      </c>
      <c r="I2249" s="307" t="s">
        <v>189</v>
      </c>
      <c r="J2249" s="307" t="s">
        <v>37</v>
      </c>
      <c r="K2249" s="309" t="s">
        <v>63</v>
      </c>
      <c r="L2249" s="309" t="s">
        <v>206</v>
      </c>
      <c r="M2249" s="309" t="s">
        <v>5509</v>
      </c>
      <c r="N2249" s="309" t="s">
        <v>43</v>
      </c>
      <c r="O2249" s="309" t="s">
        <v>5503</v>
      </c>
      <c r="P2249" s="309" t="s">
        <v>5504</v>
      </c>
      <c r="Q2249" s="303">
        <f t="shared" ref="Q2249:Q2251" si="554">S2249+U2249</f>
        <v>0</v>
      </c>
      <c r="R2249" s="303">
        <f t="shared" ref="R2249:R2251" si="555">T2249+V2249</f>
        <v>0</v>
      </c>
      <c r="S2249" s="309">
        <v>0</v>
      </c>
      <c r="T2249" s="309">
        <v>0</v>
      </c>
      <c r="U2249" s="309">
        <v>0</v>
      </c>
      <c r="V2249" s="309">
        <v>0</v>
      </c>
      <c r="W2249" s="309">
        <v>0</v>
      </c>
      <c r="X2249" s="309">
        <v>159</v>
      </c>
      <c r="Y2249" s="309">
        <v>73</v>
      </c>
      <c r="Z2249" s="309">
        <v>80</v>
      </c>
      <c r="AA2249" s="309">
        <v>1</v>
      </c>
      <c r="AB2249" s="307">
        <f t="shared" si="497"/>
        <v>154.76</v>
      </c>
      <c r="AC2249" s="307">
        <f t="shared" si="498"/>
        <v>0.93228915662650602</v>
      </c>
      <c r="AD2249" s="309">
        <v>0</v>
      </c>
      <c r="AE2249" s="309">
        <v>0</v>
      </c>
      <c r="AF2249" s="309">
        <v>0</v>
      </c>
      <c r="AG2249" s="309">
        <v>0</v>
      </c>
      <c r="AH2249" s="309">
        <v>0</v>
      </c>
      <c r="AI2249" s="309">
        <v>0</v>
      </c>
      <c r="AJ2249" s="309">
        <v>0</v>
      </c>
      <c r="AK2249" s="309" t="s">
        <v>37</v>
      </c>
      <c r="AL2249" s="309" t="s">
        <v>58</v>
      </c>
      <c r="AM2249" s="299">
        <f t="shared" ref="AM2249:AM2253" ca="1" si="556">IF(AP2249="",NOW()-B2249,AR2249-B2249)</f>
        <v>0.30265127314487472</v>
      </c>
      <c r="AN2249" s="313"/>
      <c r="AO2249" s="314"/>
      <c r="AP2249" s="314"/>
      <c r="AQ2249" s="314"/>
      <c r="AR2249" s="314"/>
      <c r="AS2249" s="314"/>
      <c r="AT2249" s="314"/>
      <c r="AU2249" s="314"/>
      <c r="AV2249" s="314"/>
      <c r="AW2249" s="314"/>
      <c r="AX2249" s="314"/>
      <c r="AY2249" s="314"/>
      <c r="AZ2249" s="314"/>
      <c r="BA2249" s="314"/>
    </row>
    <row r="2250" spans="1:53" s="301" customFormat="1" x14ac:dyDescent="0.25">
      <c r="A2250" s="312">
        <v>219</v>
      </c>
      <c r="B2250" s="311">
        <v>44943.5</v>
      </c>
      <c r="C2250" s="308">
        <v>0.55902777777777779</v>
      </c>
      <c r="D2250" s="308">
        <v>0.56597222222222221</v>
      </c>
      <c r="E2250" s="308">
        <v>0.625</v>
      </c>
      <c r="F2250" s="309" t="s">
        <v>170</v>
      </c>
      <c r="G2250" s="309" t="s">
        <v>3019</v>
      </c>
      <c r="H2250" s="307" t="s">
        <v>227</v>
      </c>
      <c r="I2250" s="307" t="s">
        <v>189</v>
      </c>
      <c r="J2250" s="307" t="s">
        <v>37</v>
      </c>
      <c r="K2250" s="309" t="s">
        <v>63</v>
      </c>
      <c r="L2250" s="309" t="s">
        <v>206</v>
      </c>
      <c r="M2250" s="309" t="s">
        <v>5508</v>
      </c>
      <c r="N2250" s="309" t="s">
        <v>42</v>
      </c>
      <c r="O2250" s="309">
        <v>1283</v>
      </c>
      <c r="P2250" s="309">
        <v>3280</v>
      </c>
      <c r="Q2250" s="303">
        <f t="shared" si="554"/>
        <v>10</v>
      </c>
      <c r="R2250" s="303">
        <f t="shared" si="555"/>
        <v>2943</v>
      </c>
      <c r="S2250" s="309">
        <v>0</v>
      </c>
      <c r="T2250" s="309">
        <v>0</v>
      </c>
      <c r="U2250" s="309">
        <v>10</v>
      </c>
      <c r="V2250" s="309">
        <v>2943</v>
      </c>
      <c r="W2250" s="309">
        <v>3100</v>
      </c>
      <c r="X2250" s="309">
        <v>103</v>
      </c>
      <c r="Y2250" s="309">
        <v>43</v>
      </c>
      <c r="Z2250" s="309">
        <v>43</v>
      </c>
      <c r="AA2250" s="309">
        <v>10</v>
      </c>
      <c r="AB2250" s="307">
        <f t="shared" si="497"/>
        <v>317.41166666666669</v>
      </c>
      <c r="AC2250" s="307">
        <f t="shared" si="498"/>
        <v>1.9121184738955825</v>
      </c>
      <c r="AD2250" s="309">
        <v>1499252</v>
      </c>
      <c r="AE2250" s="309" t="s">
        <v>5505</v>
      </c>
      <c r="AF2250" s="309" t="s">
        <v>317</v>
      </c>
      <c r="AG2250" s="309" t="s">
        <v>317</v>
      </c>
      <c r="AH2250" s="309" t="s">
        <v>5507</v>
      </c>
      <c r="AI2250" s="308" t="s">
        <v>5463</v>
      </c>
      <c r="AJ2250" s="308">
        <v>0.5</v>
      </c>
      <c r="AK2250" s="309" t="s">
        <v>406</v>
      </c>
      <c r="AL2250" s="309" t="s">
        <v>58</v>
      </c>
      <c r="AM2250" s="299">
        <f t="shared" ca="1" si="556"/>
        <v>0.30265127314487472</v>
      </c>
      <c r="AN2250" s="313"/>
      <c r="AO2250" s="314"/>
      <c r="AP2250" s="314"/>
      <c r="AQ2250" s="314"/>
      <c r="AR2250" s="314"/>
      <c r="AS2250" s="314"/>
      <c r="AT2250" s="314"/>
      <c r="AU2250" s="314"/>
      <c r="AV2250" s="314"/>
      <c r="AW2250" s="314"/>
      <c r="AX2250" s="314"/>
      <c r="AY2250" s="314"/>
      <c r="AZ2250" s="314"/>
      <c r="BA2250" s="314"/>
    </row>
    <row r="2251" spans="1:53" s="301" customFormat="1" x14ac:dyDescent="0.25">
      <c r="A2251" s="312">
        <v>220</v>
      </c>
      <c r="B2251" s="311">
        <v>44943.625</v>
      </c>
      <c r="C2251" s="308">
        <v>0.625</v>
      </c>
      <c r="D2251" s="308">
        <v>0.62847222222222221</v>
      </c>
      <c r="E2251" s="308">
        <v>0.63541666666666663</v>
      </c>
      <c r="F2251" s="309" t="s">
        <v>171</v>
      </c>
      <c r="G2251" s="309" t="s">
        <v>5510</v>
      </c>
      <c r="H2251" s="307" t="s">
        <v>254</v>
      </c>
      <c r="I2251" s="307" t="s">
        <v>5511</v>
      </c>
      <c r="J2251" s="307" t="s">
        <v>37</v>
      </c>
      <c r="K2251" s="309" t="s">
        <v>180</v>
      </c>
      <c r="L2251" s="309" t="s">
        <v>209</v>
      </c>
      <c r="M2251" s="309" t="s">
        <v>5515</v>
      </c>
      <c r="N2251" s="309" t="s">
        <v>186</v>
      </c>
      <c r="O2251" s="309" t="s">
        <v>5512</v>
      </c>
      <c r="P2251" s="309" t="s">
        <v>5513</v>
      </c>
      <c r="Q2251" s="303">
        <f t="shared" si="554"/>
        <v>4</v>
      </c>
      <c r="R2251" s="303">
        <f t="shared" si="555"/>
        <v>109</v>
      </c>
      <c r="S2251" s="309">
        <v>4</v>
      </c>
      <c r="T2251" s="309">
        <f>130-21</f>
        <v>109</v>
      </c>
      <c r="U2251" s="309">
        <v>0</v>
      </c>
      <c r="V2251" s="309">
        <v>0</v>
      </c>
      <c r="W2251" s="309">
        <v>110</v>
      </c>
      <c r="X2251" s="309">
        <v>73</v>
      </c>
      <c r="Y2251" s="309">
        <v>46</v>
      </c>
      <c r="Z2251" s="309">
        <v>48</v>
      </c>
      <c r="AA2251" s="309">
        <v>4</v>
      </c>
      <c r="AB2251" s="307">
        <f t="shared" si="497"/>
        <v>107.456</v>
      </c>
      <c r="AC2251" s="307">
        <f t="shared" si="498"/>
        <v>0.64732530120481935</v>
      </c>
      <c r="AD2251" s="309">
        <v>27390</v>
      </c>
      <c r="AE2251" s="309" t="s">
        <v>111</v>
      </c>
      <c r="AF2251" s="309" t="s">
        <v>3432</v>
      </c>
      <c r="AG2251" s="309" t="s">
        <v>3432</v>
      </c>
      <c r="AH2251" s="309" t="s">
        <v>5514</v>
      </c>
      <c r="AI2251" s="308" t="s">
        <v>5463</v>
      </c>
      <c r="AJ2251" s="308">
        <v>0.5</v>
      </c>
      <c r="AK2251" s="309" t="s">
        <v>48</v>
      </c>
      <c r="AL2251" s="309" t="s">
        <v>50</v>
      </c>
      <c r="AM2251" s="299">
        <f t="shared" ca="1" si="556"/>
        <v>0.17765127314487472</v>
      </c>
      <c r="AN2251" s="313"/>
      <c r="AO2251" s="314"/>
      <c r="AP2251" s="314"/>
      <c r="AQ2251" s="314"/>
      <c r="AR2251" s="314"/>
      <c r="AS2251" s="314"/>
      <c r="AT2251" s="314"/>
      <c r="AU2251" s="314"/>
      <c r="AV2251" s="314"/>
      <c r="AW2251" s="314"/>
      <c r="AX2251" s="314"/>
      <c r="AY2251" s="314"/>
      <c r="AZ2251" s="314"/>
      <c r="BA2251" s="314"/>
    </row>
    <row r="2252" spans="1:53" s="301" customFormat="1" x14ac:dyDescent="0.25">
      <c r="A2252" s="312">
        <v>221</v>
      </c>
      <c r="B2252" s="311">
        <v>44943.625</v>
      </c>
      <c r="C2252" s="308">
        <v>0.66666666666666663</v>
      </c>
      <c r="D2252" s="308">
        <v>0.69791666666666663</v>
      </c>
      <c r="E2252" s="308">
        <v>0.73263888888888884</v>
      </c>
      <c r="F2252" s="309" t="s">
        <v>169</v>
      </c>
      <c r="G2252" s="309" t="s">
        <v>5516</v>
      </c>
      <c r="H2252" s="307" t="s">
        <v>2679</v>
      </c>
      <c r="I2252" s="307" t="s">
        <v>5517</v>
      </c>
      <c r="J2252" s="307" t="s">
        <v>37</v>
      </c>
      <c r="K2252" s="309" t="s">
        <v>241</v>
      </c>
      <c r="L2252" s="309" t="s">
        <v>206</v>
      </c>
      <c r="M2252" s="309" t="s">
        <v>5518</v>
      </c>
      <c r="N2252" s="309" t="s">
        <v>42</v>
      </c>
      <c r="O2252" s="309" t="s">
        <v>5519</v>
      </c>
      <c r="P2252" s="309" t="s">
        <v>5520</v>
      </c>
      <c r="Q2252" s="303">
        <f t="shared" ref="Q2252:Q2253" si="557">S2252+U2252</f>
        <v>168</v>
      </c>
      <c r="R2252" s="303">
        <f t="shared" ref="R2252" si="558">T2252+V2252</f>
        <v>1876</v>
      </c>
      <c r="S2252" s="309">
        <v>168</v>
      </c>
      <c r="T2252" s="309">
        <f>1876</f>
        <v>1876</v>
      </c>
      <c r="U2252" s="309">
        <v>0</v>
      </c>
      <c r="V2252" s="309">
        <v>0</v>
      </c>
      <c r="W2252" s="309">
        <v>1854.84</v>
      </c>
      <c r="X2252" s="309">
        <v>60</v>
      </c>
      <c r="Y2252" s="309">
        <v>40</v>
      </c>
      <c r="Z2252" s="309">
        <v>26</v>
      </c>
      <c r="AA2252" s="309">
        <v>163</v>
      </c>
      <c r="AB2252" s="307">
        <f t="shared" si="497"/>
        <v>1695.2</v>
      </c>
      <c r="AC2252" s="307">
        <f t="shared" si="498"/>
        <v>10.212048192771084</v>
      </c>
      <c r="AD2252" s="309">
        <v>87543.7</v>
      </c>
      <c r="AE2252" s="309" t="s">
        <v>109</v>
      </c>
      <c r="AF2252" s="309" t="s">
        <v>5521</v>
      </c>
      <c r="AG2252" s="309" t="s">
        <v>5463</v>
      </c>
      <c r="AH2252" s="309" t="s">
        <v>5522</v>
      </c>
      <c r="AI2252" s="308" t="s">
        <v>5463</v>
      </c>
      <c r="AJ2252" s="308">
        <v>0.5</v>
      </c>
      <c r="AK2252" s="309" t="s">
        <v>48</v>
      </c>
      <c r="AL2252" s="309" t="s">
        <v>56</v>
      </c>
      <c r="AM2252" s="299">
        <f t="shared" ca="1" si="556"/>
        <v>0.17765127314487472</v>
      </c>
      <c r="AN2252" s="313"/>
      <c r="AO2252" s="314"/>
      <c r="AP2252" s="314"/>
      <c r="AQ2252" s="314"/>
      <c r="AR2252" s="314"/>
      <c r="AS2252" s="314"/>
      <c r="AT2252" s="314"/>
      <c r="AU2252" s="314"/>
      <c r="AV2252" s="314"/>
      <c r="AW2252" s="314"/>
      <c r="AX2252" s="314"/>
      <c r="AY2252" s="314"/>
      <c r="AZ2252" s="314"/>
      <c r="BA2252" s="314"/>
    </row>
    <row r="2253" spans="1:53" s="301" customFormat="1" x14ac:dyDescent="0.25">
      <c r="A2253" s="312">
        <v>221</v>
      </c>
      <c r="B2253" s="311">
        <v>44943.625</v>
      </c>
      <c r="C2253" s="308">
        <v>0.66666666666666663</v>
      </c>
      <c r="D2253" s="308">
        <v>0.69791666666666663</v>
      </c>
      <c r="E2253" s="308">
        <v>0.73263888888888884</v>
      </c>
      <c r="F2253" s="309" t="s">
        <v>169</v>
      </c>
      <c r="G2253" s="309" t="s">
        <v>5516</v>
      </c>
      <c r="H2253" s="307" t="s">
        <v>2679</v>
      </c>
      <c r="I2253" s="307" t="s">
        <v>5517</v>
      </c>
      <c r="J2253" s="307" t="s">
        <v>37</v>
      </c>
      <c r="K2253" s="309" t="s">
        <v>241</v>
      </c>
      <c r="L2253" s="309" t="s">
        <v>206</v>
      </c>
      <c r="M2253" s="309" t="s">
        <v>5518</v>
      </c>
      <c r="N2253" s="309" t="s">
        <v>42</v>
      </c>
      <c r="O2253" s="309" t="s">
        <v>5519</v>
      </c>
      <c r="P2253" s="309" t="s">
        <v>5520</v>
      </c>
      <c r="Q2253" s="303">
        <f t="shared" ref="Q2253" si="559">S2253+U2253</f>
        <v>0</v>
      </c>
      <c r="R2253" s="303">
        <f t="shared" ref="R2253" si="560">T2253+V2253</f>
        <v>0</v>
      </c>
      <c r="S2253" s="309">
        <v>0</v>
      </c>
      <c r="T2253" s="309">
        <v>0</v>
      </c>
      <c r="U2253" s="309">
        <v>0</v>
      </c>
      <c r="V2253" s="309">
        <v>0</v>
      </c>
      <c r="W2253" s="309">
        <v>0</v>
      </c>
      <c r="X2253" s="309">
        <v>61</v>
      </c>
      <c r="Y2253" s="309">
        <v>40</v>
      </c>
      <c r="Z2253" s="309">
        <v>21</v>
      </c>
      <c r="AA2253" s="309">
        <v>5</v>
      </c>
      <c r="AB2253" s="307">
        <f t="shared" si="497"/>
        <v>42.7</v>
      </c>
      <c r="AC2253" s="307">
        <f t="shared" si="498"/>
        <v>0.2572289156626506</v>
      </c>
      <c r="AD2253" s="309">
        <v>0</v>
      </c>
      <c r="AE2253" s="309">
        <v>0</v>
      </c>
      <c r="AF2253" s="309">
        <v>0</v>
      </c>
      <c r="AG2253" s="309">
        <v>0</v>
      </c>
      <c r="AH2253" s="309">
        <v>0</v>
      </c>
      <c r="AI2253" s="309">
        <v>0</v>
      </c>
      <c r="AJ2253" s="308">
        <v>0.5</v>
      </c>
      <c r="AK2253" s="309" t="s">
        <v>48</v>
      </c>
      <c r="AL2253" s="309" t="s">
        <v>56</v>
      </c>
      <c r="AM2253" s="299">
        <f t="shared" ca="1" si="556"/>
        <v>0.17765127314487472</v>
      </c>
      <c r="AN2253" s="313"/>
      <c r="AO2253" s="314"/>
      <c r="AP2253" s="314"/>
      <c r="AQ2253" s="314"/>
      <c r="AR2253" s="314"/>
      <c r="AS2253" s="314"/>
      <c r="AT2253" s="314"/>
      <c r="AU2253" s="314"/>
      <c r="AV2253" s="314"/>
      <c r="AW2253" s="314"/>
      <c r="AX2253" s="314"/>
      <c r="AY2253" s="314"/>
      <c r="AZ2253" s="314"/>
      <c r="BA2253" s="314"/>
    </row>
    <row r="2254" spans="1:53" s="301" customFormat="1" x14ac:dyDescent="0.25">
      <c r="A2254" s="312">
        <v>222</v>
      </c>
      <c r="B2254" s="311">
        <v>44943.625</v>
      </c>
      <c r="C2254" s="308">
        <v>0.66666666666666663</v>
      </c>
      <c r="D2254" s="308">
        <v>0.69791666666666663</v>
      </c>
      <c r="E2254" s="308">
        <v>0.73263888888888884</v>
      </c>
      <c r="F2254" s="309" t="s">
        <v>169</v>
      </c>
      <c r="G2254" s="309" t="s">
        <v>5516</v>
      </c>
      <c r="H2254" s="307" t="s">
        <v>2679</v>
      </c>
      <c r="I2254" s="307" t="s">
        <v>5517</v>
      </c>
      <c r="J2254" s="307" t="s">
        <v>37</v>
      </c>
      <c r="K2254" s="309" t="s">
        <v>241</v>
      </c>
      <c r="L2254" s="309" t="s">
        <v>206</v>
      </c>
      <c r="M2254" s="309" t="s">
        <v>5525</v>
      </c>
      <c r="N2254" s="309" t="s">
        <v>42</v>
      </c>
      <c r="O2254" s="309" t="s">
        <v>5523</v>
      </c>
      <c r="P2254" s="309" t="s">
        <v>5524</v>
      </c>
      <c r="Q2254" s="303">
        <f t="shared" ref="Q2254" si="561">S2254+U2254</f>
        <v>150</v>
      </c>
      <c r="R2254" s="303">
        <f t="shared" ref="R2254:R2255" si="562">T2254+V2254</f>
        <v>1804</v>
      </c>
      <c r="S2254" s="309">
        <v>150</v>
      </c>
      <c r="T2254" s="309">
        <v>1804</v>
      </c>
      <c r="U2254" s="309">
        <v>0</v>
      </c>
      <c r="V2254" s="309">
        <v>0</v>
      </c>
      <c r="W2254" s="309">
        <v>1781.88</v>
      </c>
      <c r="X2254" s="309">
        <v>60</v>
      </c>
      <c r="Y2254" s="309">
        <v>40</v>
      </c>
      <c r="Z2254" s="309">
        <v>26</v>
      </c>
      <c r="AA2254" s="309">
        <v>147</v>
      </c>
      <c r="AB2254" s="307">
        <f t="shared" si="497"/>
        <v>1528.8</v>
      </c>
      <c r="AC2254" s="307">
        <f t="shared" si="498"/>
        <v>9.2096385542168679</v>
      </c>
      <c r="AD2254" s="309">
        <v>64453.65</v>
      </c>
      <c r="AE2254" s="309" t="s">
        <v>109</v>
      </c>
      <c r="AF2254" s="309" t="s">
        <v>5526</v>
      </c>
      <c r="AG2254" s="309" t="s">
        <v>5463</v>
      </c>
      <c r="AH2254" s="309" t="s">
        <v>5527</v>
      </c>
      <c r="AI2254" s="309" t="s">
        <v>5463</v>
      </c>
      <c r="AJ2254" s="308">
        <v>0.5</v>
      </c>
      <c r="AK2254" s="309" t="s">
        <v>48</v>
      </c>
      <c r="AL2254" s="309" t="s">
        <v>56</v>
      </c>
      <c r="AM2254" s="299">
        <f t="shared" ref="AM2254:AM2255" ca="1" si="563">IF(AP2254="",NOW()-B2254,AR2254-B2254)</f>
        <v>0.17765127314487472</v>
      </c>
      <c r="AN2254" s="313"/>
      <c r="AO2254" s="314"/>
      <c r="AP2254" s="314"/>
      <c r="AQ2254" s="314"/>
      <c r="AR2254" s="314"/>
      <c r="AS2254" s="314"/>
      <c r="AT2254" s="314"/>
      <c r="AU2254" s="314"/>
      <c r="AV2254" s="314"/>
      <c r="AW2254" s="314"/>
      <c r="AX2254" s="314"/>
      <c r="AY2254" s="314"/>
      <c r="AZ2254" s="314"/>
      <c r="BA2254" s="314"/>
    </row>
    <row r="2255" spans="1:53" s="301" customFormat="1" x14ac:dyDescent="0.25">
      <c r="A2255" s="312">
        <v>222</v>
      </c>
      <c r="B2255" s="311">
        <v>44943.625</v>
      </c>
      <c r="C2255" s="308">
        <v>0.66666666666666663</v>
      </c>
      <c r="D2255" s="308">
        <v>0.69791666666666663</v>
      </c>
      <c r="E2255" s="308">
        <v>0.73263888888888884</v>
      </c>
      <c r="F2255" s="309" t="s">
        <v>169</v>
      </c>
      <c r="G2255" s="309" t="s">
        <v>5516</v>
      </c>
      <c r="H2255" s="307" t="s">
        <v>2679</v>
      </c>
      <c r="I2255" s="307" t="s">
        <v>5517</v>
      </c>
      <c r="J2255" s="307" t="s">
        <v>37</v>
      </c>
      <c r="K2255" s="309" t="s">
        <v>241</v>
      </c>
      <c r="L2255" s="309" t="s">
        <v>206</v>
      </c>
      <c r="M2255" s="309" t="s">
        <v>5525</v>
      </c>
      <c r="N2255" s="309" t="s">
        <v>42</v>
      </c>
      <c r="O2255" s="309" t="s">
        <v>5523</v>
      </c>
      <c r="P2255" s="309" t="s">
        <v>5524</v>
      </c>
      <c r="Q2255" s="303">
        <f t="shared" ref="Q2255" si="564">S2255+U2255</f>
        <v>0</v>
      </c>
      <c r="R2255" s="303">
        <f t="shared" ref="R2255" si="565">T2255+V2255</f>
        <v>0</v>
      </c>
      <c r="S2255" s="309">
        <v>0</v>
      </c>
      <c r="T2255" s="309">
        <v>0</v>
      </c>
      <c r="U2255" s="309">
        <v>0</v>
      </c>
      <c r="V2255" s="309">
        <v>0</v>
      </c>
      <c r="W2255" s="309">
        <v>0</v>
      </c>
      <c r="X2255" s="309">
        <v>61</v>
      </c>
      <c r="Y2255" s="309">
        <v>40</v>
      </c>
      <c r="Z2255" s="309">
        <v>21</v>
      </c>
      <c r="AA2255" s="309">
        <v>3</v>
      </c>
      <c r="AB2255" s="307">
        <f t="shared" si="497"/>
        <v>25.62</v>
      </c>
      <c r="AC2255" s="307">
        <f t="shared" si="498"/>
        <v>0.15433734939759036</v>
      </c>
      <c r="AD2255" s="309">
        <v>0</v>
      </c>
      <c r="AE2255" s="309">
        <v>0</v>
      </c>
      <c r="AF2255" s="309">
        <v>0</v>
      </c>
      <c r="AG2255" s="309">
        <v>0</v>
      </c>
      <c r="AH2255" s="309">
        <v>0</v>
      </c>
      <c r="AI2255" s="309">
        <v>0</v>
      </c>
      <c r="AJ2255" s="308">
        <v>0.5</v>
      </c>
      <c r="AK2255" s="309" t="s">
        <v>48</v>
      </c>
      <c r="AL2255" s="309" t="s">
        <v>56</v>
      </c>
      <c r="AM2255" s="299">
        <f t="shared" ca="1" si="563"/>
        <v>0.17765127314487472</v>
      </c>
      <c r="AN2255" s="313"/>
      <c r="AO2255" s="314"/>
      <c r="AP2255" s="314"/>
      <c r="AQ2255" s="314"/>
      <c r="AR2255" s="314"/>
      <c r="AS2255" s="314"/>
      <c r="AT2255" s="314"/>
      <c r="AU2255" s="314"/>
      <c r="AV2255" s="314"/>
      <c r="AW2255" s="314"/>
      <c r="AX2255" s="314"/>
      <c r="AY2255" s="314"/>
      <c r="AZ2255" s="314"/>
      <c r="BA2255" s="314"/>
    </row>
    <row r="2256" spans="1:53" s="301" customFormat="1" x14ac:dyDescent="0.25">
      <c r="A2256" s="312">
        <v>223</v>
      </c>
      <c r="B2256" s="311">
        <v>44943.625</v>
      </c>
      <c r="C2256" s="308">
        <v>0.70833333333333337</v>
      </c>
      <c r="D2256" s="308">
        <v>0.73958333333333337</v>
      </c>
      <c r="E2256" s="308">
        <v>0.74652777777777779</v>
      </c>
      <c r="F2256" s="309" t="s">
        <v>169</v>
      </c>
      <c r="G2256" s="309" t="s">
        <v>5528</v>
      </c>
      <c r="H2256" s="307" t="s">
        <v>230</v>
      </c>
      <c r="I2256" s="309" t="s">
        <v>407</v>
      </c>
      <c r="J2256" s="307" t="s">
        <v>37</v>
      </c>
      <c r="K2256" s="307" t="s">
        <v>61</v>
      </c>
      <c r="L2256" s="214" t="s">
        <v>224</v>
      </c>
      <c r="M2256" s="309" t="s">
        <v>5529</v>
      </c>
      <c r="N2256" s="309" t="s">
        <v>42</v>
      </c>
      <c r="O2256" s="309" t="s">
        <v>5530</v>
      </c>
      <c r="P2256" s="309">
        <v>5031110</v>
      </c>
      <c r="Q2256" s="303">
        <f t="shared" ref="Q2256" si="566">S2256+U2256</f>
        <v>152</v>
      </c>
      <c r="R2256" s="303">
        <f t="shared" ref="R2256" si="567">T2256+V2256</f>
        <v>2214</v>
      </c>
      <c r="S2256" s="309">
        <v>152</v>
      </c>
      <c r="T2256" s="309">
        <f>367-22+376-20+389-21+401-22+386-21+422-21</f>
        <v>2214</v>
      </c>
      <c r="U2256" s="309">
        <v>0</v>
      </c>
      <c r="V2256" s="309">
        <v>0</v>
      </c>
      <c r="W2256" s="309">
        <v>2360.71</v>
      </c>
      <c r="X2256" s="309">
        <v>59</v>
      </c>
      <c r="Y2256" s="309">
        <v>44</v>
      </c>
      <c r="Z2256" s="309">
        <v>26</v>
      </c>
      <c r="AA2256" s="309">
        <v>152</v>
      </c>
      <c r="AB2256" s="307">
        <f t="shared" si="497"/>
        <v>1709.8986666666667</v>
      </c>
      <c r="AC2256" s="307">
        <f t="shared" si="498"/>
        <v>10.300594377510041</v>
      </c>
      <c r="AD2256" s="309">
        <v>69534.45</v>
      </c>
      <c r="AE2256" s="309" t="s">
        <v>109</v>
      </c>
      <c r="AF2256" s="309">
        <v>7017270</v>
      </c>
      <c r="AG2256" s="309" t="s">
        <v>5463</v>
      </c>
      <c r="AH2256" s="309" t="s">
        <v>5531</v>
      </c>
      <c r="AI2256" s="309" t="s">
        <v>5352</v>
      </c>
      <c r="AJ2256" s="308">
        <v>0.5</v>
      </c>
      <c r="AK2256" s="309" t="s">
        <v>48</v>
      </c>
      <c r="AL2256" s="309" t="s">
        <v>56</v>
      </c>
      <c r="AM2256" s="299">
        <f t="shared" ref="AM2256" ca="1" si="568">IF(AP2256="",NOW()-B2256,AR2256-B2256)</f>
        <v>0.17765127314487472</v>
      </c>
      <c r="AN2256" s="313"/>
      <c r="AO2256" s="314"/>
      <c r="AP2256" s="314"/>
      <c r="AQ2256" s="314"/>
      <c r="AR2256" s="314"/>
      <c r="AS2256" s="314"/>
      <c r="AT2256" s="314"/>
      <c r="AU2256" s="314"/>
      <c r="AV2256" s="314"/>
      <c r="AW2256" s="314"/>
      <c r="AX2256" s="314"/>
      <c r="AY2256" s="314"/>
      <c r="AZ2256" s="314"/>
      <c r="BA2256" s="314"/>
    </row>
    <row r="2257" spans="1:53" s="301" customFormat="1" x14ac:dyDescent="0.25">
      <c r="A2257" s="312">
        <v>224</v>
      </c>
      <c r="B2257" s="311"/>
      <c r="C2257" s="308"/>
      <c r="D2257" s="308"/>
      <c r="E2257" s="308"/>
      <c r="F2257" s="309"/>
      <c r="G2257" s="309"/>
      <c r="H2257" s="307"/>
      <c r="I2257" s="307"/>
      <c r="J2257" s="307"/>
      <c r="K2257" s="309"/>
      <c r="L2257" s="309"/>
      <c r="M2257" s="309"/>
      <c r="N2257" s="309"/>
      <c r="O2257" s="309"/>
      <c r="P2257" s="309"/>
      <c r="Q2257" s="303"/>
      <c r="R2257" s="303"/>
      <c r="S2257" s="309"/>
      <c r="T2257" s="309"/>
      <c r="U2257" s="309"/>
      <c r="V2257" s="309"/>
      <c r="W2257" s="309"/>
      <c r="X2257" s="309"/>
      <c r="Y2257" s="309"/>
      <c r="Z2257" s="309"/>
      <c r="AA2257" s="309"/>
      <c r="AB2257" s="307"/>
      <c r="AC2257" s="307"/>
      <c r="AD2257" s="309"/>
      <c r="AE2257" s="309"/>
      <c r="AF2257" s="309"/>
      <c r="AG2257" s="309"/>
      <c r="AH2257" s="309"/>
      <c r="AI2257" s="309"/>
      <c r="AJ2257" s="309"/>
      <c r="AK2257" s="309"/>
      <c r="AL2257" s="309"/>
      <c r="AM2257" s="299"/>
      <c r="AN2257" s="313"/>
      <c r="AO2257" s="314"/>
      <c r="AP2257" s="314"/>
      <c r="AQ2257" s="314"/>
      <c r="AR2257" s="314"/>
      <c r="AS2257" s="314"/>
      <c r="AT2257" s="314"/>
      <c r="AU2257" s="314"/>
      <c r="AV2257" s="314"/>
      <c r="AW2257" s="314"/>
      <c r="AX2257" s="314"/>
      <c r="AY2257" s="314"/>
      <c r="AZ2257" s="314"/>
      <c r="BA2257" s="314"/>
    </row>
    <row r="2258" spans="1:53" s="301" customFormat="1" x14ac:dyDescent="0.25">
      <c r="A2258" s="312"/>
      <c r="B2258" s="311"/>
      <c r="C2258" s="308"/>
      <c r="D2258" s="308"/>
      <c r="E2258" s="308"/>
      <c r="F2258" s="309"/>
      <c r="G2258" s="309"/>
      <c r="H2258" s="307"/>
      <c r="I2258" s="307"/>
      <c r="J2258" s="307"/>
      <c r="K2258" s="309"/>
      <c r="L2258" s="309"/>
      <c r="M2258" s="309"/>
      <c r="N2258" s="309"/>
      <c r="O2258" s="309"/>
      <c r="P2258" s="309"/>
      <c r="Q2258" s="303"/>
      <c r="R2258" s="303"/>
      <c r="S2258" s="309"/>
      <c r="T2258" s="309"/>
      <c r="U2258" s="309"/>
      <c r="V2258" s="309"/>
      <c r="W2258" s="309"/>
      <c r="X2258" s="309"/>
      <c r="Y2258" s="309"/>
      <c r="Z2258" s="309"/>
      <c r="AA2258" s="309"/>
      <c r="AB2258" s="307"/>
      <c r="AC2258" s="307"/>
      <c r="AD2258" s="309"/>
      <c r="AE2258" s="309"/>
      <c r="AF2258" s="309"/>
      <c r="AG2258" s="309"/>
      <c r="AH2258" s="309"/>
      <c r="AI2258" s="309"/>
      <c r="AJ2258" s="309"/>
      <c r="AK2258" s="309"/>
      <c r="AL2258" s="309"/>
      <c r="AM2258" s="299"/>
      <c r="AN2258" s="313"/>
      <c r="AO2258" s="314"/>
      <c r="AP2258" s="314"/>
      <c r="AQ2258" s="314"/>
      <c r="AR2258" s="314"/>
      <c r="AS2258" s="314"/>
      <c r="AT2258" s="314"/>
      <c r="AU2258" s="314"/>
      <c r="AV2258" s="314"/>
      <c r="AW2258" s="314"/>
      <c r="AX2258" s="314"/>
      <c r="AY2258" s="314"/>
      <c r="AZ2258" s="314"/>
      <c r="BA2258" s="314"/>
    </row>
    <row r="2259" spans="1:53" s="301" customFormat="1" x14ac:dyDescent="0.25">
      <c r="A2259" s="312"/>
      <c r="B2259" s="311"/>
      <c r="C2259" s="308"/>
      <c r="D2259" s="308"/>
      <c r="E2259" s="308"/>
      <c r="F2259" s="309"/>
      <c r="G2259" s="309"/>
      <c r="H2259" s="307"/>
      <c r="I2259" s="307"/>
      <c r="J2259" s="307"/>
      <c r="K2259" s="309"/>
      <c r="L2259" s="309"/>
      <c r="M2259" s="309"/>
      <c r="N2259" s="309"/>
      <c r="O2259" s="309"/>
      <c r="P2259" s="309"/>
      <c r="Q2259" s="303"/>
      <c r="R2259" s="303"/>
      <c r="S2259" s="309"/>
      <c r="T2259" s="309"/>
      <c r="U2259" s="309"/>
      <c r="V2259" s="309"/>
      <c r="W2259" s="309"/>
      <c r="X2259" s="309"/>
      <c r="Y2259" s="309"/>
      <c r="Z2259" s="309"/>
      <c r="AA2259" s="309"/>
      <c r="AB2259" s="307"/>
      <c r="AC2259" s="307"/>
      <c r="AD2259" s="309"/>
      <c r="AE2259" s="309"/>
      <c r="AF2259" s="309"/>
      <c r="AG2259" s="309"/>
      <c r="AH2259" s="309"/>
      <c r="AI2259" s="309"/>
      <c r="AJ2259" s="309"/>
      <c r="AK2259" s="309"/>
      <c r="AL2259" s="309"/>
      <c r="AM2259" s="299"/>
      <c r="AN2259" s="313"/>
      <c r="AO2259" s="314"/>
      <c r="AP2259" s="314"/>
      <c r="AQ2259" s="314"/>
      <c r="AR2259" s="314"/>
      <c r="AS2259" s="314"/>
      <c r="AT2259" s="314"/>
      <c r="AU2259" s="314"/>
      <c r="AV2259" s="314"/>
      <c r="AW2259" s="314"/>
      <c r="AX2259" s="314"/>
      <c r="AY2259" s="314"/>
      <c r="AZ2259" s="314"/>
      <c r="BA2259" s="314"/>
    </row>
    <row r="2260" spans="1:53" s="301" customFormat="1" x14ac:dyDescent="0.25">
      <c r="A2260" s="312"/>
      <c r="B2260" s="311"/>
      <c r="C2260" s="308"/>
      <c r="D2260" s="308"/>
      <c r="E2260" s="308"/>
      <c r="F2260" s="309"/>
      <c r="G2260" s="309"/>
      <c r="H2260" s="307"/>
      <c r="I2260" s="307"/>
      <c r="J2260" s="307"/>
      <c r="K2260" s="309"/>
      <c r="L2260" s="309"/>
      <c r="M2260" s="309"/>
      <c r="N2260" s="309"/>
      <c r="O2260" s="309"/>
      <c r="P2260" s="309"/>
      <c r="Q2260" s="303"/>
      <c r="R2260" s="303"/>
      <c r="S2260" s="309"/>
      <c r="T2260" s="309"/>
      <c r="U2260" s="309"/>
      <c r="V2260" s="309"/>
      <c r="W2260" s="309"/>
      <c r="X2260" s="309"/>
      <c r="Y2260" s="309"/>
      <c r="Z2260" s="309"/>
      <c r="AA2260" s="309"/>
      <c r="AB2260" s="307"/>
      <c r="AC2260" s="307"/>
      <c r="AD2260" s="309"/>
      <c r="AE2260" s="309"/>
      <c r="AF2260" s="309"/>
      <c r="AG2260" s="309"/>
      <c r="AH2260" s="309"/>
      <c r="AI2260" s="309"/>
      <c r="AJ2260" s="309"/>
      <c r="AK2260" s="309"/>
      <c r="AL2260" s="309"/>
      <c r="AM2260" s="299"/>
      <c r="AN2260" s="313"/>
      <c r="AO2260" s="314"/>
      <c r="AP2260" s="314"/>
      <c r="AQ2260" s="314"/>
      <c r="AR2260" s="314"/>
      <c r="AS2260" s="314"/>
      <c r="AT2260" s="314"/>
      <c r="AU2260" s="314"/>
      <c r="AV2260" s="314"/>
      <c r="AW2260" s="314"/>
      <c r="AX2260" s="314"/>
      <c r="AY2260" s="314"/>
      <c r="AZ2260" s="314"/>
      <c r="BA2260" s="314"/>
    </row>
    <row r="2261" spans="1:53" s="301" customFormat="1" x14ac:dyDescent="0.25">
      <c r="A2261" s="312"/>
      <c r="B2261" s="311"/>
      <c r="C2261" s="308"/>
      <c r="D2261" s="308"/>
      <c r="E2261" s="308"/>
      <c r="F2261" s="309"/>
      <c r="G2261" s="309"/>
      <c r="H2261" s="307"/>
      <c r="I2261" s="307"/>
      <c r="J2261" s="307"/>
      <c r="K2261" s="309"/>
      <c r="L2261" s="309"/>
      <c r="M2261" s="309"/>
      <c r="N2261" s="309"/>
      <c r="O2261" s="309"/>
      <c r="P2261" s="309"/>
      <c r="Q2261" s="303"/>
      <c r="R2261" s="303"/>
      <c r="S2261" s="309"/>
      <c r="T2261" s="309"/>
      <c r="U2261" s="309"/>
      <c r="V2261" s="309"/>
      <c r="W2261" s="309"/>
      <c r="X2261" s="309"/>
      <c r="Y2261" s="309"/>
      <c r="Z2261" s="309"/>
      <c r="AA2261" s="309"/>
      <c r="AB2261" s="307"/>
      <c r="AC2261" s="307"/>
      <c r="AD2261" s="309"/>
      <c r="AE2261" s="309"/>
      <c r="AF2261" s="309"/>
      <c r="AG2261" s="309"/>
      <c r="AH2261" s="309"/>
      <c r="AI2261" s="309"/>
      <c r="AJ2261" s="309"/>
      <c r="AK2261" s="309"/>
      <c r="AL2261" s="309"/>
      <c r="AM2261" s="299"/>
      <c r="AN2261" s="313"/>
      <c r="AO2261" s="314"/>
      <c r="AP2261" s="314"/>
      <c r="AQ2261" s="314"/>
      <c r="AR2261" s="314"/>
      <c r="AS2261" s="314"/>
      <c r="AT2261" s="314"/>
      <c r="AU2261" s="314"/>
      <c r="AV2261" s="314"/>
      <c r="AW2261" s="314"/>
      <c r="AX2261" s="314"/>
      <c r="AY2261" s="314"/>
      <c r="AZ2261" s="314"/>
      <c r="BA2261" s="314"/>
    </row>
    <row r="2262" spans="1:53" s="301" customFormat="1" x14ac:dyDescent="0.25">
      <c r="A2262" s="312"/>
      <c r="B2262" s="311"/>
      <c r="C2262" s="308"/>
      <c r="D2262" s="308"/>
      <c r="E2262" s="308"/>
      <c r="F2262" s="309"/>
      <c r="G2262" s="309"/>
      <c r="H2262" s="307"/>
      <c r="I2262" s="307"/>
      <c r="J2262" s="307"/>
      <c r="K2262" s="309"/>
      <c r="L2262" s="309"/>
      <c r="M2262" s="309"/>
      <c r="N2262" s="309"/>
      <c r="O2262" s="309"/>
      <c r="P2262" s="309"/>
      <c r="Q2262" s="303"/>
      <c r="R2262" s="303"/>
      <c r="S2262" s="309"/>
      <c r="T2262" s="309"/>
      <c r="U2262" s="309"/>
      <c r="V2262" s="309"/>
      <c r="W2262" s="309"/>
      <c r="X2262" s="309"/>
      <c r="Y2262" s="309"/>
      <c r="Z2262" s="309"/>
      <c r="AA2262" s="309"/>
      <c r="AB2262" s="307"/>
      <c r="AC2262" s="307"/>
      <c r="AD2262" s="309"/>
      <c r="AE2262" s="309"/>
      <c r="AF2262" s="309"/>
      <c r="AG2262" s="309"/>
      <c r="AH2262" s="309"/>
      <c r="AI2262" s="309"/>
      <c r="AJ2262" s="309"/>
      <c r="AK2262" s="309"/>
      <c r="AL2262" s="309"/>
      <c r="AM2262" s="299"/>
      <c r="AN2262" s="313"/>
      <c r="AO2262" s="314"/>
      <c r="AP2262" s="314"/>
      <c r="AQ2262" s="314"/>
      <c r="AR2262" s="314"/>
      <c r="AS2262" s="314"/>
      <c r="AT2262" s="314"/>
      <c r="AU2262" s="314"/>
      <c r="AV2262" s="314"/>
      <c r="AW2262" s="314"/>
      <c r="AX2262" s="314"/>
      <c r="AY2262" s="314"/>
      <c r="AZ2262" s="314"/>
      <c r="BA2262" s="314"/>
    </row>
    <row r="2263" spans="1:53" s="301" customFormat="1" x14ac:dyDescent="0.25">
      <c r="A2263" s="312"/>
      <c r="B2263" s="311"/>
      <c r="C2263" s="308"/>
      <c r="D2263" s="308"/>
      <c r="E2263" s="308"/>
      <c r="F2263" s="309"/>
      <c r="G2263" s="309"/>
      <c r="H2263" s="307"/>
      <c r="I2263" s="307"/>
      <c r="J2263" s="307"/>
      <c r="K2263" s="309"/>
      <c r="L2263" s="309"/>
      <c r="M2263" s="309"/>
      <c r="N2263" s="309"/>
      <c r="O2263" s="309"/>
      <c r="P2263" s="309"/>
      <c r="Q2263" s="303"/>
      <c r="R2263" s="303"/>
      <c r="S2263" s="309"/>
      <c r="T2263" s="309"/>
      <c r="U2263" s="309"/>
      <c r="V2263" s="309"/>
      <c r="W2263" s="309"/>
      <c r="X2263" s="309"/>
      <c r="Y2263" s="309"/>
      <c r="Z2263" s="309"/>
      <c r="AA2263" s="309"/>
      <c r="AB2263" s="307"/>
      <c r="AC2263" s="307"/>
      <c r="AD2263" s="309"/>
      <c r="AE2263" s="309"/>
      <c r="AF2263" s="309"/>
      <c r="AG2263" s="309"/>
      <c r="AH2263" s="309"/>
      <c r="AI2263" s="309"/>
      <c r="AJ2263" s="309"/>
      <c r="AK2263" s="309"/>
      <c r="AL2263" s="309"/>
      <c r="AM2263" s="299"/>
      <c r="AN2263" s="313"/>
      <c r="AO2263" s="314"/>
      <c r="AP2263" s="314"/>
      <c r="AQ2263" s="314"/>
      <c r="AR2263" s="314"/>
      <c r="AS2263" s="314"/>
      <c r="AT2263" s="314"/>
      <c r="AU2263" s="314"/>
      <c r="AV2263" s="314"/>
      <c r="AW2263" s="314"/>
      <c r="AX2263" s="314"/>
      <c r="AY2263" s="314"/>
      <c r="AZ2263" s="314"/>
      <c r="BA2263" s="314"/>
    </row>
    <row r="2264" spans="1:53" s="301" customFormat="1" x14ac:dyDescent="0.25">
      <c r="A2264" s="312"/>
      <c r="B2264" s="311"/>
      <c r="C2264" s="308"/>
      <c r="D2264" s="308"/>
      <c r="E2264" s="308"/>
      <c r="F2264" s="309"/>
      <c r="G2264" s="309"/>
      <c r="H2264" s="307"/>
      <c r="I2264" s="307"/>
      <c r="J2264" s="307"/>
      <c r="K2264" s="309"/>
      <c r="L2264" s="309"/>
      <c r="M2264" s="309"/>
      <c r="N2264" s="309"/>
      <c r="O2264" s="309"/>
      <c r="P2264" s="309"/>
      <c r="Q2264" s="303"/>
      <c r="R2264" s="303"/>
      <c r="S2264" s="309"/>
      <c r="T2264" s="309"/>
      <c r="U2264" s="309"/>
      <c r="V2264" s="309"/>
      <c r="W2264" s="309"/>
      <c r="X2264" s="309"/>
      <c r="Y2264" s="309"/>
      <c r="Z2264" s="309"/>
      <c r="AA2264" s="309"/>
      <c r="AB2264" s="307"/>
      <c r="AC2264" s="307"/>
      <c r="AD2264" s="309"/>
      <c r="AE2264" s="309"/>
      <c r="AF2264" s="309"/>
      <c r="AG2264" s="309"/>
      <c r="AH2264" s="309"/>
      <c r="AI2264" s="309"/>
      <c r="AJ2264" s="309"/>
      <c r="AK2264" s="309"/>
      <c r="AL2264" s="309"/>
      <c r="AM2264" s="299"/>
      <c r="AN2264" s="313"/>
      <c r="AO2264" s="314"/>
      <c r="AP2264" s="314"/>
      <c r="AQ2264" s="314"/>
      <c r="AR2264" s="314"/>
      <c r="AS2264" s="314"/>
      <c r="AT2264" s="314"/>
      <c r="AU2264" s="314"/>
      <c r="AV2264" s="314"/>
      <c r="AW2264" s="314"/>
      <c r="AX2264" s="314"/>
      <c r="AY2264" s="314"/>
      <c r="AZ2264" s="314"/>
      <c r="BA2264" s="314"/>
    </row>
    <row r="2265" spans="1:53" s="301" customFormat="1" x14ac:dyDescent="0.25">
      <c r="A2265" s="312"/>
      <c r="B2265" s="311"/>
      <c r="C2265" s="308"/>
      <c r="D2265" s="308"/>
      <c r="E2265" s="308"/>
      <c r="F2265" s="309"/>
      <c r="G2265" s="309"/>
      <c r="H2265" s="307"/>
      <c r="I2265" s="307"/>
      <c r="J2265" s="307"/>
      <c r="K2265" s="309"/>
      <c r="L2265" s="309"/>
      <c r="M2265" s="309"/>
      <c r="N2265" s="309"/>
      <c r="O2265" s="309"/>
      <c r="P2265" s="309"/>
      <c r="Q2265" s="303"/>
      <c r="R2265" s="303"/>
      <c r="S2265" s="309"/>
      <c r="T2265" s="309"/>
      <c r="U2265" s="309"/>
      <c r="V2265" s="309"/>
      <c r="W2265" s="309"/>
      <c r="X2265" s="309"/>
      <c r="Y2265" s="309"/>
      <c r="Z2265" s="309"/>
      <c r="AA2265" s="309"/>
      <c r="AB2265" s="307"/>
      <c r="AC2265" s="307"/>
      <c r="AD2265" s="309"/>
      <c r="AE2265" s="309"/>
      <c r="AF2265" s="309"/>
      <c r="AG2265" s="309"/>
      <c r="AH2265" s="309"/>
      <c r="AI2265" s="309"/>
      <c r="AJ2265" s="309"/>
      <c r="AK2265" s="309"/>
      <c r="AL2265" s="309"/>
      <c r="AM2265" s="299"/>
      <c r="AN2265" s="313"/>
      <c r="AO2265" s="314"/>
      <c r="AP2265" s="314"/>
      <c r="AQ2265" s="314"/>
      <c r="AR2265" s="314"/>
      <c r="AS2265" s="314"/>
      <c r="AT2265" s="314"/>
      <c r="AU2265" s="314"/>
      <c r="AV2265" s="314"/>
      <c r="AW2265" s="314"/>
      <c r="AX2265" s="314"/>
      <c r="AY2265" s="314"/>
      <c r="AZ2265" s="314"/>
      <c r="BA2265" s="314"/>
    </row>
    <row r="2266" spans="1:53" s="301" customFormat="1" x14ac:dyDescent="0.25">
      <c r="A2266" s="312"/>
      <c r="B2266" s="311"/>
      <c r="C2266" s="308"/>
      <c r="D2266" s="308"/>
      <c r="E2266" s="308"/>
      <c r="F2266" s="309"/>
      <c r="G2266" s="309"/>
      <c r="H2266" s="307"/>
      <c r="I2266" s="307"/>
      <c r="J2266" s="307"/>
      <c r="K2266" s="309"/>
      <c r="L2266" s="309"/>
      <c r="M2266" s="309"/>
      <c r="N2266" s="309"/>
      <c r="O2266" s="309"/>
      <c r="P2266" s="309"/>
      <c r="Q2266" s="303"/>
      <c r="R2266" s="303"/>
      <c r="S2266" s="309"/>
      <c r="T2266" s="309"/>
      <c r="U2266" s="309"/>
      <c r="V2266" s="309"/>
      <c r="W2266" s="309"/>
      <c r="X2266" s="309"/>
      <c r="Y2266" s="309"/>
      <c r="Z2266" s="309"/>
      <c r="AA2266" s="309"/>
      <c r="AB2266" s="307"/>
      <c r="AC2266" s="307"/>
      <c r="AD2266" s="309"/>
      <c r="AE2266" s="309"/>
      <c r="AF2266" s="309"/>
      <c r="AG2266" s="309"/>
      <c r="AH2266" s="309"/>
      <c r="AI2266" s="309"/>
      <c r="AJ2266" s="309"/>
      <c r="AK2266" s="309"/>
      <c r="AL2266" s="309"/>
      <c r="AM2266" s="299"/>
      <c r="AN2266" s="313"/>
      <c r="AO2266" s="314"/>
      <c r="AP2266" s="314"/>
      <c r="AQ2266" s="314"/>
      <c r="AR2266" s="314"/>
      <c r="AS2266" s="314"/>
      <c r="AT2266" s="314"/>
      <c r="AU2266" s="314"/>
      <c r="AV2266" s="314"/>
      <c r="AW2266" s="314"/>
      <c r="AX2266" s="314"/>
      <c r="AY2266" s="314"/>
      <c r="AZ2266" s="314"/>
      <c r="BA2266" s="314"/>
    </row>
    <row r="2267" spans="1:53" s="301" customFormat="1" x14ac:dyDescent="0.25">
      <c r="A2267" s="312"/>
      <c r="B2267" s="311"/>
      <c r="C2267" s="308"/>
      <c r="D2267" s="308"/>
      <c r="E2267" s="308"/>
      <c r="F2267" s="309"/>
      <c r="G2267" s="309"/>
      <c r="H2267" s="307"/>
      <c r="I2267" s="307"/>
      <c r="J2267" s="307"/>
      <c r="K2267" s="309"/>
      <c r="L2267" s="309"/>
      <c r="M2267" s="309"/>
      <c r="N2267" s="309"/>
      <c r="O2267" s="309"/>
      <c r="P2267" s="309"/>
      <c r="Q2267" s="303"/>
      <c r="R2267" s="303"/>
      <c r="S2267" s="309"/>
      <c r="T2267" s="309"/>
      <c r="U2267" s="309"/>
      <c r="V2267" s="309"/>
      <c r="W2267" s="309"/>
      <c r="X2267" s="309"/>
      <c r="Y2267" s="309"/>
      <c r="Z2267" s="309"/>
      <c r="AA2267" s="309"/>
      <c r="AB2267" s="307"/>
      <c r="AC2267" s="307"/>
      <c r="AD2267" s="309"/>
      <c r="AE2267" s="309"/>
      <c r="AF2267" s="309"/>
      <c r="AG2267" s="309"/>
      <c r="AH2267" s="309"/>
      <c r="AI2267" s="309"/>
      <c r="AJ2267" s="309"/>
      <c r="AK2267" s="309"/>
      <c r="AL2267" s="309"/>
      <c r="AM2267" s="299"/>
      <c r="AN2267" s="313"/>
      <c r="AO2267" s="314"/>
      <c r="AP2267" s="314"/>
      <c r="AQ2267" s="314"/>
      <c r="AR2267" s="314"/>
      <c r="AS2267" s="314"/>
      <c r="AT2267" s="314"/>
      <c r="AU2267" s="314"/>
      <c r="AV2267" s="314"/>
      <c r="AW2267" s="314"/>
      <c r="AX2267" s="314"/>
      <c r="AY2267" s="314"/>
      <c r="AZ2267" s="314"/>
      <c r="BA2267" s="314"/>
    </row>
    <row r="2268" spans="1:53" s="301" customFormat="1" x14ac:dyDescent="0.25">
      <c r="A2268" s="312"/>
      <c r="B2268" s="311"/>
      <c r="C2268" s="308"/>
      <c r="D2268" s="308"/>
      <c r="E2268" s="308"/>
      <c r="F2268" s="309"/>
      <c r="G2268" s="309"/>
      <c r="H2268" s="307"/>
      <c r="I2268" s="307"/>
      <c r="J2268" s="307"/>
      <c r="K2268" s="309"/>
      <c r="L2268" s="309"/>
      <c r="M2268" s="309"/>
      <c r="N2268" s="309"/>
      <c r="O2268" s="309"/>
      <c r="P2268" s="309"/>
      <c r="Q2268" s="303"/>
      <c r="R2268" s="303"/>
      <c r="S2268" s="309"/>
      <c r="T2268" s="309"/>
      <c r="U2268" s="309"/>
      <c r="V2268" s="309"/>
      <c r="W2268" s="309"/>
      <c r="X2268" s="309"/>
      <c r="Y2268" s="309"/>
      <c r="Z2268" s="309"/>
      <c r="AA2268" s="309"/>
      <c r="AB2268" s="307"/>
      <c r="AC2268" s="307"/>
      <c r="AD2268" s="309"/>
      <c r="AE2268" s="309"/>
      <c r="AF2268" s="309"/>
      <c r="AG2268" s="309"/>
      <c r="AH2268" s="309"/>
      <c r="AI2268" s="309"/>
      <c r="AJ2268" s="309"/>
      <c r="AK2268" s="309"/>
      <c r="AL2268" s="309"/>
      <c r="AM2268" s="299"/>
      <c r="AN2268" s="313"/>
      <c r="AO2268" s="314"/>
      <c r="AP2268" s="314"/>
      <c r="AQ2268" s="314"/>
      <c r="AR2268" s="314"/>
      <c r="AS2268" s="314"/>
      <c r="AT2268" s="314"/>
      <c r="AU2268" s="314"/>
      <c r="AV2268" s="314"/>
      <c r="AW2268" s="314"/>
      <c r="AX2268" s="314"/>
      <c r="AY2268" s="314"/>
      <c r="AZ2268" s="314"/>
      <c r="BA2268" s="314"/>
    </row>
    <row r="2269" spans="1:53" s="301" customFormat="1" x14ac:dyDescent="0.25">
      <c r="A2269" s="312"/>
      <c r="B2269" s="311"/>
      <c r="C2269" s="308"/>
      <c r="D2269" s="308"/>
      <c r="E2269" s="308"/>
      <c r="F2269" s="309"/>
      <c r="G2269" s="309"/>
      <c r="H2269" s="307"/>
      <c r="I2269" s="307"/>
      <c r="J2269" s="307"/>
      <c r="K2269" s="309"/>
      <c r="L2269" s="309"/>
      <c r="M2269" s="309"/>
      <c r="N2269" s="309"/>
      <c r="O2269" s="309"/>
      <c r="P2269" s="309"/>
      <c r="Q2269" s="303"/>
      <c r="R2269" s="303"/>
      <c r="S2269" s="309"/>
      <c r="T2269" s="309"/>
      <c r="U2269" s="309"/>
      <c r="V2269" s="309"/>
      <c r="W2269" s="309"/>
      <c r="X2269" s="309"/>
      <c r="Y2269" s="309"/>
      <c r="Z2269" s="309"/>
      <c r="AA2269" s="309"/>
      <c r="AB2269" s="307"/>
      <c r="AC2269" s="307"/>
      <c r="AD2269" s="309"/>
      <c r="AE2269" s="309"/>
      <c r="AF2269" s="309"/>
      <c r="AG2269" s="309"/>
      <c r="AH2269" s="309"/>
      <c r="AI2269" s="309"/>
      <c r="AJ2269" s="309"/>
      <c r="AK2269" s="309"/>
      <c r="AL2269" s="309"/>
      <c r="AM2269" s="299"/>
      <c r="AN2269" s="313"/>
      <c r="AO2269" s="314"/>
      <c r="AP2269" s="314"/>
      <c r="AQ2269" s="314"/>
      <c r="AR2269" s="314"/>
      <c r="AS2269" s="314"/>
      <c r="AT2269" s="314"/>
      <c r="AU2269" s="314"/>
      <c r="AV2269" s="314"/>
      <c r="AW2269" s="314"/>
      <c r="AX2269" s="314"/>
      <c r="AY2269" s="314"/>
      <c r="AZ2269" s="314"/>
      <c r="BA2269" s="314"/>
    </row>
    <row r="2270" spans="1:53" s="301" customFormat="1" x14ac:dyDescent="0.25">
      <c r="A2270" s="312"/>
      <c r="B2270" s="311"/>
      <c r="C2270" s="308"/>
      <c r="D2270" s="308"/>
      <c r="E2270" s="308"/>
      <c r="F2270" s="309"/>
      <c r="G2270" s="309"/>
      <c r="H2270" s="307"/>
      <c r="I2270" s="307"/>
      <c r="J2270" s="307"/>
      <c r="K2270" s="309"/>
      <c r="L2270" s="309"/>
      <c r="M2270" s="309"/>
      <c r="N2270" s="309"/>
      <c r="O2270" s="309"/>
      <c r="P2270" s="309"/>
      <c r="Q2270" s="303"/>
      <c r="R2270" s="303"/>
      <c r="S2270" s="309"/>
      <c r="T2270" s="309"/>
      <c r="U2270" s="309"/>
      <c r="V2270" s="309"/>
      <c r="W2270" s="309"/>
      <c r="X2270" s="309"/>
      <c r="Y2270" s="309"/>
      <c r="Z2270" s="309"/>
      <c r="AA2270" s="309"/>
      <c r="AB2270" s="307"/>
      <c r="AC2270" s="307"/>
      <c r="AD2270" s="309"/>
      <c r="AE2270" s="309"/>
      <c r="AF2270" s="309"/>
      <c r="AG2270" s="309"/>
      <c r="AH2270" s="309"/>
      <c r="AI2270" s="309"/>
      <c r="AJ2270" s="309"/>
      <c r="AK2270" s="309"/>
      <c r="AL2270" s="309"/>
      <c r="AM2270" s="299"/>
      <c r="AN2270" s="313"/>
      <c r="AO2270" s="314"/>
      <c r="AP2270" s="314"/>
      <c r="AQ2270" s="314"/>
      <c r="AR2270" s="314"/>
      <c r="AS2270" s="314"/>
      <c r="AT2270" s="314"/>
      <c r="AU2270" s="314"/>
      <c r="AV2270" s="314"/>
      <c r="AW2270" s="314"/>
      <c r="AX2270" s="314"/>
      <c r="AY2270" s="314"/>
      <c r="AZ2270" s="314"/>
      <c r="BA2270" s="314"/>
    </row>
    <row r="2271" spans="1:53" s="301" customFormat="1" x14ac:dyDescent="0.25">
      <c r="A2271" s="312"/>
      <c r="B2271" s="311"/>
      <c r="C2271" s="308"/>
      <c r="D2271" s="308"/>
      <c r="E2271" s="308"/>
      <c r="F2271" s="309"/>
      <c r="G2271" s="309"/>
      <c r="H2271" s="307"/>
      <c r="I2271" s="307"/>
      <c r="J2271" s="307"/>
      <c r="K2271" s="309"/>
      <c r="L2271" s="309"/>
      <c r="M2271" s="309"/>
      <c r="N2271" s="309"/>
      <c r="O2271" s="309"/>
      <c r="P2271" s="309"/>
      <c r="Q2271" s="303"/>
      <c r="R2271" s="303"/>
      <c r="S2271" s="309"/>
      <c r="T2271" s="309"/>
      <c r="U2271" s="309"/>
      <c r="V2271" s="309"/>
      <c r="W2271" s="309"/>
      <c r="X2271" s="309"/>
      <c r="Y2271" s="309"/>
      <c r="Z2271" s="309"/>
      <c r="AA2271" s="309"/>
      <c r="AB2271" s="307"/>
      <c r="AC2271" s="307"/>
      <c r="AD2271" s="309"/>
      <c r="AE2271" s="309"/>
      <c r="AF2271" s="309"/>
      <c r="AG2271" s="309"/>
      <c r="AH2271" s="309"/>
      <c r="AI2271" s="309"/>
      <c r="AJ2271" s="309"/>
      <c r="AK2271" s="309"/>
      <c r="AL2271" s="309"/>
      <c r="AM2271" s="299"/>
      <c r="AN2271" s="313"/>
      <c r="AO2271" s="314"/>
      <c r="AP2271" s="314"/>
      <c r="AQ2271" s="314"/>
      <c r="AR2271" s="314"/>
      <c r="AS2271" s="314"/>
      <c r="AT2271" s="314"/>
      <c r="AU2271" s="314"/>
      <c r="AV2271" s="314"/>
      <c r="AW2271" s="314"/>
      <c r="AX2271" s="314"/>
      <c r="AY2271" s="314"/>
      <c r="AZ2271" s="314"/>
      <c r="BA2271" s="314"/>
    </row>
    <row r="2272" spans="1:53" s="301" customFormat="1" x14ac:dyDescent="0.25">
      <c r="A2272" s="312"/>
      <c r="B2272" s="311"/>
      <c r="C2272" s="308"/>
      <c r="D2272" s="308"/>
      <c r="E2272" s="308"/>
      <c r="F2272" s="309"/>
      <c r="G2272" s="309"/>
      <c r="H2272" s="307"/>
      <c r="I2272" s="307"/>
      <c r="J2272" s="307"/>
      <c r="K2272" s="309"/>
      <c r="L2272" s="309"/>
      <c r="M2272" s="309"/>
      <c r="N2272" s="309"/>
      <c r="O2272" s="309"/>
      <c r="P2272" s="309"/>
      <c r="Q2272" s="303"/>
      <c r="R2272" s="303"/>
      <c r="S2272" s="309"/>
      <c r="T2272" s="309"/>
      <c r="U2272" s="309"/>
      <c r="V2272" s="309"/>
      <c r="W2272" s="309"/>
      <c r="X2272" s="309"/>
      <c r="Y2272" s="309"/>
      <c r="Z2272" s="309"/>
      <c r="AA2272" s="309"/>
      <c r="AB2272" s="307"/>
      <c r="AC2272" s="307"/>
      <c r="AD2272" s="309"/>
      <c r="AE2272" s="309"/>
      <c r="AF2272" s="309"/>
      <c r="AG2272" s="309"/>
      <c r="AH2272" s="309"/>
      <c r="AI2272" s="309"/>
      <c r="AJ2272" s="309"/>
      <c r="AK2272" s="309"/>
      <c r="AL2272" s="309"/>
      <c r="AM2272" s="299"/>
      <c r="AN2272" s="313"/>
      <c r="AO2272" s="314"/>
      <c r="AP2272" s="314"/>
      <c r="AQ2272" s="314"/>
      <c r="AR2272" s="314"/>
      <c r="AS2272" s="314"/>
      <c r="AT2272" s="314"/>
      <c r="AU2272" s="314"/>
      <c r="AV2272" s="314"/>
      <c r="AW2272" s="314"/>
      <c r="AX2272" s="314"/>
      <c r="AY2272" s="314"/>
      <c r="AZ2272" s="314"/>
      <c r="BA2272" s="314"/>
    </row>
    <row r="2273" spans="1:53" s="301" customFormat="1" x14ac:dyDescent="0.25">
      <c r="A2273" s="312"/>
      <c r="B2273" s="311"/>
      <c r="C2273" s="308"/>
      <c r="D2273" s="308"/>
      <c r="E2273" s="308"/>
      <c r="F2273" s="309"/>
      <c r="G2273" s="309"/>
      <c r="H2273" s="307"/>
      <c r="I2273" s="307"/>
      <c r="J2273" s="307"/>
      <c r="K2273" s="309"/>
      <c r="L2273" s="309"/>
      <c r="M2273" s="309"/>
      <c r="N2273" s="309"/>
      <c r="O2273" s="309"/>
      <c r="P2273" s="309"/>
      <c r="Q2273" s="303"/>
      <c r="R2273" s="303"/>
      <c r="S2273" s="309"/>
      <c r="T2273" s="309"/>
      <c r="U2273" s="309"/>
      <c r="V2273" s="309"/>
      <c r="W2273" s="309"/>
      <c r="X2273" s="309"/>
      <c r="Y2273" s="309"/>
      <c r="Z2273" s="309"/>
      <c r="AA2273" s="309"/>
      <c r="AB2273" s="307"/>
      <c r="AC2273" s="307"/>
      <c r="AD2273" s="309"/>
      <c r="AE2273" s="309"/>
      <c r="AF2273" s="309"/>
      <c r="AG2273" s="309"/>
      <c r="AH2273" s="309"/>
      <c r="AI2273" s="309"/>
      <c r="AJ2273" s="309"/>
      <c r="AK2273" s="309"/>
      <c r="AL2273" s="309"/>
      <c r="AM2273" s="299"/>
      <c r="AN2273" s="313"/>
      <c r="AO2273" s="314"/>
      <c r="AP2273" s="314"/>
      <c r="AQ2273" s="314"/>
      <c r="AR2273" s="314"/>
      <c r="AS2273" s="314"/>
      <c r="AT2273" s="314"/>
      <c r="AU2273" s="314"/>
      <c r="AV2273" s="314"/>
      <c r="AW2273" s="314"/>
      <c r="AX2273" s="314"/>
      <c r="AY2273" s="314"/>
      <c r="AZ2273" s="314"/>
      <c r="BA2273" s="314"/>
    </row>
    <row r="2274" spans="1:53" s="301" customFormat="1" x14ac:dyDescent="0.25">
      <c r="A2274" s="312"/>
      <c r="B2274" s="311"/>
      <c r="C2274" s="308"/>
      <c r="D2274" s="308"/>
      <c r="E2274" s="308"/>
      <c r="F2274" s="309"/>
      <c r="G2274" s="309"/>
      <c r="H2274" s="307"/>
      <c r="I2274" s="307"/>
      <c r="J2274" s="307"/>
      <c r="K2274" s="309"/>
      <c r="L2274" s="309"/>
      <c r="M2274" s="309"/>
      <c r="N2274" s="309"/>
      <c r="O2274" s="309"/>
      <c r="P2274" s="309"/>
      <c r="Q2274" s="303"/>
      <c r="R2274" s="303"/>
      <c r="S2274" s="309"/>
      <c r="T2274" s="309"/>
      <c r="U2274" s="309"/>
      <c r="V2274" s="309"/>
      <c r="W2274" s="309"/>
      <c r="X2274" s="309"/>
      <c r="Y2274" s="309"/>
      <c r="Z2274" s="309"/>
      <c r="AA2274" s="309"/>
      <c r="AB2274" s="307"/>
      <c r="AC2274" s="307"/>
      <c r="AD2274" s="309"/>
      <c r="AE2274" s="309"/>
      <c r="AF2274" s="309"/>
      <c r="AG2274" s="309"/>
      <c r="AH2274" s="309"/>
      <c r="AI2274" s="309"/>
      <c r="AJ2274" s="309"/>
      <c r="AK2274" s="309"/>
      <c r="AL2274" s="309"/>
      <c r="AM2274" s="299"/>
      <c r="AN2274" s="313"/>
      <c r="AO2274" s="314"/>
      <c r="AP2274" s="314"/>
      <c r="AQ2274" s="314"/>
      <c r="AR2274" s="314"/>
      <c r="AS2274" s="314"/>
      <c r="AT2274" s="314"/>
      <c r="AU2274" s="314"/>
      <c r="AV2274" s="314"/>
      <c r="AW2274" s="314"/>
      <c r="AX2274" s="314"/>
      <c r="AY2274" s="314"/>
      <c r="AZ2274" s="314"/>
      <c r="BA2274" s="314"/>
    </row>
    <row r="2275" spans="1:53" s="301" customFormat="1" x14ac:dyDescent="0.25">
      <c r="A2275" s="312"/>
      <c r="B2275" s="311"/>
      <c r="C2275" s="308"/>
      <c r="D2275" s="308"/>
      <c r="E2275" s="308"/>
      <c r="F2275" s="309"/>
      <c r="G2275" s="309"/>
      <c r="H2275" s="307"/>
      <c r="I2275" s="307"/>
      <c r="J2275" s="307"/>
      <c r="K2275" s="309"/>
      <c r="L2275" s="309"/>
      <c r="M2275" s="309"/>
      <c r="N2275" s="309"/>
      <c r="O2275" s="309"/>
      <c r="P2275" s="309"/>
      <c r="Q2275" s="303"/>
      <c r="R2275" s="303"/>
      <c r="S2275" s="309"/>
      <c r="T2275" s="309"/>
      <c r="U2275" s="309"/>
      <c r="V2275" s="309"/>
      <c r="W2275" s="309"/>
      <c r="X2275" s="309"/>
      <c r="Y2275" s="309"/>
      <c r="Z2275" s="309"/>
      <c r="AA2275" s="309"/>
      <c r="AB2275" s="307"/>
      <c r="AC2275" s="307"/>
      <c r="AD2275" s="309"/>
      <c r="AE2275" s="309"/>
      <c r="AF2275" s="309"/>
      <c r="AG2275" s="309"/>
      <c r="AH2275" s="309"/>
      <c r="AI2275" s="309"/>
      <c r="AJ2275" s="309"/>
      <c r="AK2275" s="309"/>
      <c r="AL2275" s="309"/>
      <c r="AM2275" s="299"/>
      <c r="AN2275" s="313"/>
      <c r="AO2275" s="314"/>
      <c r="AP2275" s="314"/>
      <c r="AQ2275" s="314"/>
      <c r="AR2275" s="314"/>
      <c r="AS2275" s="314"/>
      <c r="AT2275" s="314"/>
      <c r="AU2275" s="314"/>
      <c r="AV2275" s="314"/>
      <c r="AW2275" s="314"/>
      <c r="AX2275" s="314"/>
      <c r="AY2275" s="314"/>
      <c r="AZ2275" s="314"/>
      <c r="BA2275" s="314"/>
    </row>
    <row r="2276" spans="1:53" s="301" customFormat="1" x14ac:dyDescent="0.25">
      <c r="A2276" s="312"/>
      <c r="B2276" s="311"/>
      <c r="C2276" s="308"/>
      <c r="D2276" s="308"/>
      <c r="E2276" s="308"/>
      <c r="F2276" s="309"/>
      <c r="G2276" s="309"/>
      <c r="H2276" s="307"/>
      <c r="I2276" s="307"/>
      <c r="J2276" s="307"/>
      <c r="K2276" s="309"/>
      <c r="L2276" s="309"/>
      <c r="M2276" s="309"/>
      <c r="N2276" s="309"/>
      <c r="O2276" s="309"/>
      <c r="P2276" s="309"/>
      <c r="Q2276" s="303"/>
      <c r="R2276" s="303"/>
      <c r="S2276" s="309"/>
      <c r="T2276" s="309"/>
      <c r="U2276" s="309"/>
      <c r="V2276" s="309"/>
      <c r="W2276" s="309"/>
      <c r="X2276" s="309"/>
      <c r="Y2276" s="309"/>
      <c r="Z2276" s="309"/>
      <c r="AA2276" s="309"/>
      <c r="AB2276" s="307"/>
      <c r="AC2276" s="307"/>
      <c r="AD2276" s="309"/>
      <c r="AE2276" s="309"/>
      <c r="AF2276" s="309"/>
      <c r="AG2276" s="309"/>
      <c r="AH2276" s="309"/>
      <c r="AI2276" s="309"/>
      <c r="AJ2276" s="309"/>
      <c r="AK2276" s="309"/>
      <c r="AL2276" s="309"/>
      <c r="AM2276" s="299"/>
      <c r="AN2276" s="313"/>
      <c r="AO2276" s="314"/>
      <c r="AP2276" s="314"/>
      <c r="AQ2276" s="314"/>
      <c r="AR2276" s="314"/>
      <c r="AS2276" s="314"/>
      <c r="AT2276" s="314"/>
      <c r="AU2276" s="314"/>
      <c r="AV2276" s="314"/>
      <c r="AW2276" s="314"/>
      <c r="AX2276" s="314"/>
      <c r="AY2276" s="314"/>
      <c r="AZ2276" s="314"/>
      <c r="BA2276" s="314"/>
    </row>
    <row r="2277" spans="1:53" s="301" customFormat="1" x14ac:dyDescent="0.25">
      <c r="A2277" s="312"/>
      <c r="B2277" s="311"/>
      <c r="C2277" s="308"/>
      <c r="D2277" s="308"/>
      <c r="E2277" s="308"/>
      <c r="F2277" s="309"/>
      <c r="G2277" s="309"/>
      <c r="H2277" s="307"/>
      <c r="I2277" s="307"/>
      <c r="J2277" s="307"/>
      <c r="K2277" s="309"/>
      <c r="L2277" s="309"/>
      <c r="M2277" s="309"/>
      <c r="N2277" s="309"/>
      <c r="O2277" s="309"/>
      <c r="P2277" s="309"/>
      <c r="Q2277" s="303"/>
      <c r="R2277" s="303"/>
      <c r="S2277" s="309"/>
      <c r="T2277" s="309"/>
      <c r="U2277" s="309"/>
      <c r="V2277" s="309"/>
      <c r="W2277" s="309"/>
      <c r="X2277" s="309"/>
      <c r="Y2277" s="309"/>
      <c r="Z2277" s="309"/>
      <c r="AA2277" s="309"/>
      <c r="AB2277" s="307"/>
      <c r="AC2277" s="307"/>
      <c r="AD2277" s="309"/>
      <c r="AE2277" s="309"/>
      <c r="AF2277" s="309"/>
      <c r="AG2277" s="309"/>
      <c r="AH2277" s="309"/>
      <c r="AI2277" s="309"/>
      <c r="AJ2277" s="309"/>
      <c r="AK2277" s="309"/>
      <c r="AL2277" s="309"/>
      <c r="AM2277" s="299"/>
      <c r="AN2277" s="313"/>
      <c r="AO2277" s="314"/>
      <c r="AP2277" s="314"/>
      <c r="AQ2277" s="314"/>
      <c r="AR2277" s="314"/>
      <c r="AS2277" s="314"/>
      <c r="AT2277" s="314"/>
      <c r="AU2277" s="314"/>
      <c r="AV2277" s="314"/>
      <c r="AW2277" s="314"/>
      <c r="AX2277" s="314"/>
      <c r="AY2277" s="314"/>
      <c r="AZ2277" s="314"/>
      <c r="BA2277" s="314"/>
    </row>
    <row r="2278" spans="1:53" s="301" customFormat="1" x14ac:dyDescent="0.25">
      <c r="A2278" s="312"/>
      <c r="B2278" s="311"/>
      <c r="C2278" s="308"/>
      <c r="D2278" s="308"/>
      <c r="E2278" s="308"/>
      <c r="F2278" s="309"/>
      <c r="G2278" s="309"/>
      <c r="H2278" s="307"/>
      <c r="I2278" s="307"/>
      <c r="J2278" s="307"/>
      <c r="K2278" s="309"/>
      <c r="L2278" s="309"/>
      <c r="M2278" s="309"/>
      <c r="N2278" s="309"/>
      <c r="O2278" s="309"/>
      <c r="P2278" s="309"/>
      <c r="Q2278" s="303"/>
      <c r="R2278" s="303"/>
      <c r="S2278" s="309"/>
      <c r="T2278" s="309"/>
      <c r="U2278" s="309"/>
      <c r="V2278" s="309"/>
      <c r="W2278" s="309"/>
      <c r="X2278" s="309"/>
      <c r="Y2278" s="309"/>
      <c r="Z2278" s="309"/>
      <c r="AA2278" s="309"/>
      <c r="AB2278" s="307"/>
      <c r="AC2278" s="307"/>
      <c r="AD2278" s="309"/>
      <c r="AE2278" s="309"/>
      <c r="AF2278" s="309"/>
      <c r="AG2278" s="309"/>
      <c r="AH2278" s="309"/>
      <c r="AI2278" s="309"/>
      <c r="AJ2278" s="309"/>
      <c r="AK2278" s="309"/>
      <c r="AL2278" s="309"/>
      <c r="AM2278" s="299"/>
      <c r="AN2278" s="313"/>
      <c r="AO2278" s="314"/>
      <c r="AP2278" s="314"/>
      <c r="AQ2278" s="314"/>
      <c r="AR2278" s="314"/>
      <c r="AS2278" s="314"/>
      <c r="AT2278" s="314"/>
      <c r="AU2278" s="314"/>
      <c r="AV2278" s="314"/>
      <c r="AW2278" s="314"/>
      <c r="AX2278" s="314"/>
      <c r="AY2278" s="314"/>
      <c r="AZ2278" s="314"/>
      <c r="BA2278" s="314"/>
    </row>
    <row r="2279" spans="1:53" s="301" customFormat="1" x14ac:dyDescent="0.25">
      <c r="A2279" s="312"/>
      <c r="B2279" s="311"/>
      <c r="C2279" s="308"/>
      <c r="D2279" s="308"/>
      <c r="E2279" s="308"/>
      <c r="F2279" s="309"/>
      <c r="G2279" s="309"/>
      <c r="H2279" s="307"/>
      <c r="I2279" s="307"/>
      <c r="J2279" s="307"/>
      <c r="K2279" s="309"/>
      <c r="L2279" s="309"/>
      <c r="M2279" s="309"/>
      <c r="N2279" s="309"/>
      <c r="O2279" s="309"/>
      <c r="P2279" s="309"/>
      <c r="Q2279" s="303"/>
      <c r="R2279" s="303"/>
      <c r="S2279" s="309"/>
      <c r="T2279" s="309"/>
      <c r="U2279" s="309"/>
      <c r="V2279" s="309"/>
      <c r="W2279" s="309"/>
      <c r="X2279" s="309"/>
      <c r="Y2279" s="309"/>
      <c r="Z2279" s="309"/>
      <c r="AA2279" s="309"/>
      <c r="AB2279" s="307"/>
      <c r="AC2279" s="307"/>
      <c r="AD2279" s="309"/>
      <c r="AE2279" s="309"/>
      <c r="AF2279" s="309"/>
      <c r="AG2279" s="309"/>
      <c r="AH2279" s="309"/>
      <c r="AI2279" s="309"/>
      <c r="AJ2279" s="309"/>
      <c r="AK2279" s="309"/>
      <c r="AL2279" s="309"/>
      <c r="AM2279" s="299"/>
      <c r="AN2279" s="313"/>
      <c r="AO2279" s="314"/>
      <c r="AP2279" s="314"/>
      <c r="AQ2279" s="314"/>
      <c r="AR2279" s="314"/>
      <c r="AS2279" s="314"/>
      <c r="AT2279" s="314"/>
      <c r="AU2279" s="314"/>
      <c r="AV2279" s="314"/>
      <c r="AW2279" s="314"/>
      <c r="AX2279" s="314"/>
      <c r="AY2279" s="314"/>
      <c r="AZ2279" s="314"/>
      <c r="BA2279" s="314"/>
    </row>
    <row r="2280" spans="1:53" s="301" customFormat="1" x14ac:dyDescent="0.25">
      <c r="A2280" s="312"/>
      <c r="B2280" s="311"/>
      <c r="C2280" s="308"/>
      <c r="D2280" s="308"/>
      <c r="E2280" s="308"/>
      <c r="F2280" s="309"/>
      <c r="G2280" s="309"/>
      <c r="H2280" s="307"/>
      <c r="I2280" s="307"/>
      <c r="J2280" s="307"/>
      <c r="K2280" s="309"/>
      <c r="L2280" s="309"/>
      <c r="M2280" s="309"/>
      <c r="N2280" s="309"/>
      <c r="O2280" s="309"/>
      <c r="P2280" s="309"/>
      <c r="Q2280" s="303"/>
      <c r="R2280" s="303"/>
      <c r="S2280" s="309"/>
      <c r="T2280" s="309"/>
      <c r="U2280" s="309"/>
      <c r="V2280" s="309"/>
      <c r="W2280" s="309"/>
      <c r="X2280" s="309"/>
      <c r="Y2280" s="309"/>
      <c r="Z2280" s="309"/>
      <c r="AA2280" s="309"/>
      <c r="AB2280" s="307"/>
      <c r="AC2280" s="307"/>
      <c r="AD2280" s="309"/>
      <c r="AE2280" s="309"/>
      <c r="AF2280" s="309"/>
      <c r="AG2280" s="309"/>
      <c r="AH2280" s="309"/>
      <c r="AI2280" s="309"/>
      <c r="AJ2280" s="309"/>
      <c r="AK2280" s="309"/>
      <c r="AL2280" s="309"/>
      <c r="AM2280" s="299"/>
      <c r="AN2280" s="313"/>
      <c r="AO2280" s="314"/>
      <c r="AP2280" s="314"/>
      <c r="AQ2280" s="314"/>
      <c r="AR2280" s="314"/>
      <c r="AS2280" s="314"/>
      <c r="AT2280" s="314"/>
      <c r="AU2280" s="314"/>
      <c r="AV2280" s="314"/>
      <c r="AW2280" s="314"/>
      <c r="AX2280" s="314"/>
      <c r="AY2280" s="314"/>
      <c r="AZ2280" s="314"/>
      <c r="BA2280" s="314"/>
    </row>
    <row r="2281" spans="1:53" s="301" customFormat="1" x14ac:dyDescent="0.25">
      <c r="A2281" s="312"/>
      <c r="B2281" s="311"/>
      <c r="C2281" s="308"/>
      <c r="D2281" s="308"/>
      <c r="E2281" s="308"/>
      <c r="F2281" s="309"/>
      <c r="G2281" s="309"/>
      <c r="H2281" s="307"/>
      <c r="I2281" s="307"/>
      <c r="J2281" s="307"/>
      <c r="K2281" s="309"/>
      <c r="L2281" s="309"/>
      <c r="M2281" s="309"/>
      <c r="N2281" s="309"/>
      <c r="O2281" s="309"/>
      <c r="P2281" s="309"/>
      <c r="Q2281" s="303"/>
      <c r="R2281" s="303"/>
      <c r="S2281" s="309"/>
      <c r="T2281" s="309"/>
      <c r="U2281" s="309"/>
      <c r="V2281" s="309"/>
      <c r="W2281" s="309"/>
      <c r="X2281" s="309"/>
      <c r="Y2281" s="309"/>
      <c r="Z2281" s="309"/>
      <c r="AA2281" s="309"/>
      <c r="AB2281" s="307"/>
      <c r="AC2281" s="307"/>
      <c r="AD2281" s="309"/>
      <c r="AE2281" s="309"/>
      <c r="AF2281" s="309"/>
      <c r="AG2281" s="309"/>
      <c r="AH2281" s="309"/>
      <c r="AI2281" s="309"/>
      <c r="AJ2281" s="309"/>
      <c r="AK2281" s="309"/>
      <c r="AL2281" s="309"/>
      <c r="AM2281" s="299"/>
      <c r="AN2281" s="313"/>
      <c r="AO2281" s="314"/>
      <c r="AP2281" s="314"/>
      <c r="AQ2281" s="314"/>
      <c r="AR2281" s="314"/>
      <c r="AS2281" s="314"/>
      <c r="AT2281" s="314"/>
      <c r="AU2281" s="314"/>
      <c r="AV2281" s="314"/>
      <c r="AW2281" s="314"/>
      <c r="AX2281" s="314"/>
      <c r="AY2281" s="314"/>
      <c r="AZ2281" s="314"/>
      <c r="BA2281" s="314"/>
    </row>
    <row r="2282" spans="1:53" s="301" customFormat="1" x14ac:dyDescent="0.25">
      <c r="A2282" s="312"/>
      <c r="B2282" s="311"/>
      <c r="C2282" s="308"/>
      <c r="D2282" s="308"/>
      <c r="E2282" s="308"/>
      <c r="F2282" s="309"/>
      <c r="G2282" s="309"/>
      <c r="H2282" s="307"/>
      <c r="I2282" s="307"/>
      <c r="J2282" s="307"/>
      <c r="K2282" s="309"/>
      <c r="L2282" s="309"/>
      <c r="M2282" s="309"/>
      <c r="N2282" s="309"/>
      <c r="O2282" s="309"/>
      <c r="P2282" s="309"/>
      <c r="Q2282" s="303"/>
      <c r="R2282" s="303"/>
      <c r="S2282" s="309"/>
      <c r="T2282" s="309"/>
      <c r="U2282" s="309"/>
      <c r="V2282" s="309"/>
      <c r="W2282" s="309"/>
      <c r="X2282" s="309"/>
      <c r="Y2282" s="309"/>
      <c r="Z2282" s="309"/>
      <c r="AA2282" s="309"/>
      <c r="AB2282" s="307"/>
      <c r="AC2282" s="307"/>
      <c r="AD2282" s="309"/>
      <c r="AE2282" s="309"/>
      <c r="AF2282" s="309"/>
      <c r="AG2282" s="309"/>
      <c r="AH2282" s="309"/>
      <c r="AI2282" s="309"/>
      <c r="AJ2282" s="309"/>
      <c r="AK2282" s="309"/>
      <c r="AL2282" s="309"/>
      <c r="AM2282" s="299"/>
      <c r="AN2282" s="313"/>
      <c r="AO2282" s="314"/>
      <c r="AP2282" s="314"/>
      <c r="AQ2282" s="314"/>
      <c r="AR2282" s="314"/>
      <c r="AS2282" s="314"/>
      <c r="AT2282" s="314"/>
      <c r="AU2282" s="314"/>
      <c r="AV2282" s="314"/>
      <c r="AW2282" s="314"/>
      <c r="AX2282" s="314"/>
      <c r="AY2282" s="314"/>
      <c r="AZ2282" s="314"/>
      <c r="BA2282" s="314"/>
    </row>
    <row r="2283" spans="1:53" s="301" customFormat="1" x14ac:dyDescent="0.25">
      <c r="A2283" s="312"/>
      <c r="B2283" s="311"/>
      <c r="C2283" s="308"/>
      <c r="D2283" s="308"/>
      <c r="E2283" s="308"/>
      <c r="F2283" s="309"/>
      <c r="G2283" s="309"/>
      <c r="H2283" s="307"/>
      <c r="I2283" s="307"/>
      <c r="J2283" s="307"/>
      <c r="K2283" s="309"/>
      <c r="L2283" s="309"/>
      <c r="M2283" s="309"/>
      <c r="N2283" s="309"/>
      <c r="O2283" s="309"/>
      <c r="P2283" s="309"/>
      <c r="Q2283" s="303"/>
      <c r="R2283" s="303"/>
      <c r="S2283" s="309"/>
      <c r="T2283" s="309"/>
      <c r="U2283" s="309"/>
      <c r="V2283" s="309"/>
      <c r="W2283" s="309"/>
      <c r="X2283" s="309"/>
      <c r="Y2283" s="309"/>
      <c r="Z2283" s="309"/>
      <c r="AA2283" s="309"/>
      <c r="AB2283" s="307"/>
      <c r="AC2283" s="307"/>
      <c r="AD2283" s="309"/>
      <c r="AE2283" s="309"/>
      <c r="AF2283" s="309"/>
      <c r="AG2283" s="309"/>
      <c r="AH2283" s="309"/>
      <c r="AI2283" s="309"/>
      <c r="AJ2283" s="309"/>
      <c r="AK2283" s="309"/>
      <c r="AL2283" s="309"/>
      <c r="AM2283" s="299"/>
      <c r="AN2283" s="313"/>
      <c r="AO2283" s="314"/>
      <c r="AP2283" s="314"/>
      <c r="AQ2283" s="314"/>
      <c r="AR2283" s="314"/>
      <c r="AS2283" s="314"/>
      <c r="AT2283" s="314"/>
      <c r="AU2283" s="314"/>
      <c r="AV2283" s="314"/>
      <c r="AW2283" s="314"/>
      <c r="AX2283" s="314"/>
      <c r="AY2283" s="314"/>
      <c r="AZ2283" s="314"/>
      <c r="BA2283" s="314"/>
    </row>
    <row r="2284" spans="1:53" s="301" customFormat="1" x14ac:dyDescent="0.25">
      <c r="A2284" s="312"/>
      <c r="B2284" s="311"/>
      <c r="C2284" s="308"/>
      <c r="D2284" s="308"/>
      <c r="E2284" s="308"/>
      <c r="F2284" s="309"/>
      <c r="G2284" s="309"/>
      <c r="H2284" s="307"/>
      <c r="I2284" s="307"/>
      <c r="J2284" s="307"/>
      <c r="K2284" s="309"/>
      <c r="L2284" s="309"/>
      <c r="M2284" s="309"/>
      <c r="N2284" s="309"/>
      <c r="O2284" s="309"/>
      <c r="P2284" s="309"/>
      <c r="Q2284" s="303"/>
      <c r="R2284" s="303"/>
      <c r="S2284" s="309"/>
      <c r="T2284" s="309"/>
      <c r="U2284" s="309"/>
      <c r="V2284" s="309"/>
      <c r="W2284" s="309"/>
      <c r="X2284" s="309"/>
      <c r="Y2284" s="309"/>
      <c r="Z2284" s="309"/>
      <c r="AA2284" s="309"/>
      <c r="AB2284" s="307"/>
      <c r="AC2284" s="307"/>
      <c r="AD2284" s="309"/>
      <c r="AE2284" s="309"/>
      <c r="AF2284" s="309"/>
      <c r="AG2284" s="309"/>
      <c r="AH2284" s="309"/>
      <c r="AI2284" s="309"/>
      <c r="AJ2284" s="309"/>
      <c r="AK2284" s="309"/>
      <c r="AL2284" s="309"/>
      <c r="AM2284" s="299"/>
      <c r="AN2284" s="313"/>
      <c r="AO2284" s="314"/>
      <c r="AP2284" s="314"/>
      <c r="AQ2284" s="314"/>
      <c r="AR2284" s="314"/>
      <c r="AS2284" s="314"/>
      <c r="AT2284" s="314"/>
      <c r="AU2284" s="314"/>
      <c r="AV2284" s="314"/>
      <c r="AW2284" s="314"/>
      <c r="AX2284" s="314"/>
      <c r="AY2284" s="314"/>
      <c r="AZ2284" s="314"/>
      <c r="BA2284" s="314"/>
    </row>
    <row r="2285" spans="1:53" s="301" customFormat="1" x14ac:dyDescent="0.25">
      <c r="A2285" s="312"/>
      <c r="B2285" s="311"/>
      <c r="C2285" s="308"/>
      <c r="D2285" s="308"/>
      <c r="E2285" s="308"/>
      <c r="F2285" s="309"/>
      <c r="G2285" s="309"/>
      <c r="H2285" s="307"/>
      <c r="I2285" s="307"/>
      <c r="J2285" s="307"/>
      <c r="K2285" s="309"/>
      <c r="L2285" s="309"/>
      <c r="M2285" s="309"/>
      <c r="N2285" s="309"/>
      <c r="O2285" s="309"/>
      <c r="P2285" s="309"/>
      <c r="Q2285" s="303"/>
      <c r="R2285" s="303"/>
      <c r="S2285" s="309"/>
      <c r="T2285" s="309"/>
      <c r="U2285" s="309"/>
      <c r="V2285" s="309"/>
      <c r="W2285" s="309"/>
      <c r="X2285" s="309"/>
      <c r="Y2285" s="309"/>
      <c r="Z2285" s="309"/>
      <c r="AA2285" s="309"/>
      <c r="AB2285" s="307"/>
      <c r="AC2285" s="307"/>
      <c r="AD2285" s="309"/>
      <c r="AE2285" s="309"/>
      <c r="AF2285" s="309"/>
      <c r="AG2285" s="309"/>
      <c r="AH2285" s="309"/>
      <c r="AI2285" s="309"/>
      <c r="AJ2285" s="309"/>
      <c r="AK2285" s="309"/>
      <c r="AL2285" s="309"/>
      <c r="AM2285" s="299"/>
      <c r="AN2285" s="313"/>
      <c r="AO2285" s="314"/>
      <c r="AP2285" s="314"/>
      <c r="AQ2285" s="314"/>
      <c r="AR2285" s="314"/>
      <c r="AS2285" s="314"/>
      <c r="AT2285" s="314"/>
      <c r="AU2285" s="314"/>
      <c r="AV2285" s="314"/>
      <c r="AW2285" s="314"/>
      <c r="AX2285" s="314"/>
      <c r="AY2285" s="314"/>
      <c r="AZ2285" s="314"/>
      <c r="BA2285" s="314"/>
    </row>
    <row r="2286" spans="1:53" s="301" customFormat="1" x14ac:dyDescent="0.25">
      <c r="A2286" s="312"/>
      <c r="B2286" s="311"/>
      <c r="C2286" s="308"/>
      <c r="D2286" s="308"/>
      <c r="E2286" s="308"/>
      <c r="F2286" s="309"/>
      <c r="G2286" s="309"/>
      <c r="H2286" s="307"/>
      <c r="I2286" s="307"/>
      <c r="J2286" s="307"/>
      <c r="K2286" s="309"/>
      <c r="L2286" s="309"/>
      <c r="M2286" s="309"/>
      <c r="N2286" s="309"/>
      <c r="O2286" s="309"/>
      <c r="P2286" s="309"/>
      <c r="Q2286" s="303"/>
      <c r="R2286" s="303"/>
      <c r="S2286" s="309"/>
      <c r="T2286" s="309"/>
      <c r="U2286" s="309"/>
      <c r="V2286" s="309"/>
      <c r="W2286" s="309"/>
      <c r="X2286" s="309"/>
      <c r="Y2286" s="309"/>
      <c r="Z2286" s="309"/>
      <c r="AA2286" s="309"/>
      <c r="AB2286" s="307"/>
      <c r="AC2286" s="307"/>
      <c r="AD2286" s="309"/>
      <c r="AE2286" s="309"/>
      <c r="AF2286" s="309"/>
      <c r="AG2286" s="309"/>
      <c r="AH2286" s="309"/>
      <c r="AI2286" s="309"/>
      <c r="AJ2286" s="309"/>
      <c r="AK2286" s="309"/>
      <c r="AL2286" s="309"/>
      <c r="AM2286" s="299"/>
      <c r="AN2286" s="313"/>
      <c r="AO2286" s="314"/>
      <c r="AP2286" s="314"/>
      <c r="AQ2286" s="314"/>
      <c r="AR2286" s="314"/>
      <c r="AS2286" s="314"/>
      <c r="AT2286" s="314"/>
      <c r="AU2286" s="314"/>
      <c r="AV2286" s="314"/>
      <c r="AW2286" s="314"/>
      <c r="AX2286" s="314"/>
      <c r="AY2286" s="314"/>
      <c r="AZ2286" s="314"/>
      <c r="BA2286" s="314"/>
    </row>
    <row r="2287" spans="1:53" s="301" customFormat="1" x14ac:dyDescent="0.25">
      <c r="A2287" s="312"/>
      <c r="B2287" s="311"/>
      <c r="C2287" s="308"/>
      <c r="D2287" s="308"/>
      <c r="E2287" s="308"/>
      <c r="F2287" s="309"/>
      <c r="G2287" s="309"/>
      <c r="H2287" s="307"/>
      <c r="I2287" s="307"/>
      <c r="J2287" s="307"/>
      <c r="K2287" s="309"/>
      <c r="L2287" s="309"/>
      <c r="M2287" s="309"/>
      <c r="N2287" s="309"/>
      <c r="O2287" s="309"/>
      <c r="P2287" s="309"/>
      <c r="Q2287" s="303"/>
      <c r="R2287" s="303"/>
      <c r="S2287" s="309"/>
      <c r="T2287" s="309"/>
      <c r="U2287" s="309"/>
      <c r="V2287" s="309"/>
      <c r="W2287" s="309"/>
      <c r="X2287" s="309"/>
      <c r="Y2287" s="309"/>
      <c r="Z2287" s="309"/>
      <c r="AA2287" s="309"/>
      <c r="AB2287" s="307"/>
      <c r="AC2287" s="307"/>
      <c r="AD2287" s="309"/>
      <c r="AE2287" s="309"/>
      <c r="AF2287" s="309"/>
      <c r="AG2287" s="309"/>
      <c r="AH2287" s="309"/>
      <c r="AI2287" s="309"/>
      <c r="AJ2287" s="309"/>
      <c r="AK2287" s="309"/>
      <c r="AL2287" s="309"/>
      <c r="AM2287" s="299"/>
      <c r="AN2287" s="313"/>
      <c r="AO2287" s="314"/>
      <c r="AP2287" s="314"/>
      <c r="AQ2287" s="314"/>
      <c r="AR2287" s="314"/>
      <c r="AS2287" s="314"/>
      <c r="AT2287" s="314"/>
      <c r="AU2287" s="314"/>
      <c r="AV2287" s="314"/>
      <c r="AW2287" s="314"/>
      <c r="AX2287" s="314"/>
      <c r="AY2287" s="314"/>
      <c r="AZ2287" s="314"/>
      <c r="BA2287" s="314"/>
    </row>
    <row r="2288" spans="1:53" s="301" customFormat="1" x14ac:dyDescent="0.25">
      <c r="A2288" s="312"/>
      <c r="B2288" s="311"/>
      <c r="C2288" s="308"/>
      <c r="D2288" s="308"/>
      <c r="E2288" s="308"/>
      <c r="F2288" s="309"/>
      <c r="G2288" s="309"/>
      <c r="H2288" s="307"/>
      <c r="I2288" s="307"/>
      <c r="J2288" s="307"/>
      <c r="K2288" s="309"/>
      <c r="L2288" s="309"/>
      <c r="M2288" s="309"/>
      <c r="N2288" s="309"/>
      <c r="O2288" s="309"/>
      <c r="P2288" s="309"/>
      <c r="Q2288" s="303"/>
      <c r="R2288" s="303"/>
      <c r="S2288" s="309"/>
      <c r="T2288" s="309"/>
      <c r="U2288" s="309"/>
      <c r="V2288" s="309"/>
      <c r="W2288" s="309"/>
      <c r="X2288" s="309"/>
      <c r="Y2288" s="309"/>
      <c r="Z2288" s="309"/>
      <c r="AA2288" s="309"/>
      <c r="AB2288" s="307"/>
      <c r="AC2288" s="307"/>
      <c r="AD2288" s="309"/>
      <c r="AE2288" s="309"/>
      <c r="AF2288" s="309"/>
      <c r="AG2288" s="309"/>
      <c r="AH2288" s="309"/>
      <c r="AI2288" s="309"/>
      <c r="AJ2288" s="309"/>
      <c r="AK2288" s="309"/>
      <c r="AL2288" s="309"/>
      <c r="AM2288" s="299"/>
      <c r="AN2288" s="313"/>
      <c r="AO2288" s="314"/>
      <c r="AP2288" s="314"/>
      <c r="AQ2288" s="314"/>
      <c r="AR2288" s="314"/>
      <c r="AS2288" s="314"/>
      <c r="AT2288" s="314"/>
      <c r="AU2288" s="314"/>
      <c r="AV2288" s="314"/>
      <c r="AW2288" s="314"/>
      <c r="AX2288" s="314"/>
      <c r="AY2288" s="314"/>
      <c r="AZ2288" s="314"/>
      <c r="BA2288" s="314"/>
    </row>
    <row r="2289" spans="1:53" s="301" customFormat="1" x14ac:dyDescent="0.25">
      <c r="A2289" s="312"/>
      <c r="B2289" s="311"/>
      <c r="C2289" s="308"/>
      <c r="D2289" s="308"/>
      <c r="E2289" s="308"/>
      <c r="F2289" s="309"/>
      <c r="G2289" s="309"/>
      <c r="H2289" s="307"/>
      <c r="I2289" s="307"/>
      <c r="J2289" s="307"/>
      <c r="K2289" s="309"/>
      <c r="L2289" s="309"/>
      <c r="M2289" s="309"/>
      <c r="N2289" s="309"/>
      <c r="O2289" s="309"/>
      <c r="P2289" s="309"/>
      <c r="Q2289" s="303"/>
      <c r="R2289" s="303"/>
      <c r="S2289" s="309"/>
      <c r="T2289" s="309"/>
      <c r="U2289" s="309"/>
      <c r="V2289" s="309"/>
      <c r="W2289" s="309"/>
      <c r="X2289" s="309"/>
      <c r="Y2289" s="309"/>
      <c r="Z2289" s="309"/>
      <c r="AA2289" s="309"/>
      <c r="AB2289" s="307"/>
      <c r="AC2289" s="307"/>
      <c r="AD2289" s="309"/>
      <c r="AE2289" s="309"/>
      <c r="AF2289" s="309"/>
      <c r="AG2289" s="309"/>
      <c r="AH2289" s="309"/>
      <c r="AI2289" s="309"/>
      <c r="AJ2289" s="309"/>
      <c r="AK2289" s="309"/>
      <c r="AL2289" s="309"/>
      <c r="AM2289" s="299"/>
      <c r="AN2289" s="313"/>
      <c r="AO2289" s="314"/>
      <c r="AP2289" s="314"/>
      <c r="AQ2289" s="314"/>
      <c r="AR2289" s="314"/>
      <c r="AS2289" s="314"/>
      <c r="AT2289" s="314"/>
      <c r="AU2289" s="314"/>
      <c r="AV2289" s="314"/>
      <c r="AW2289" s="314"/>
      <c r="AX2289" s="314"/>
      <c r="AY2289" s="314"/>
      <c r="AZ2289" s="314"/>
      <c r="BA2289" s="314"/>
    </row>
    <row r="2290" spans="1:53" s="301" customFormat="1" x14ac:dyDescent="0.25">
      <c r="A2290" s="312"/>
      <c r="B2290" s="311"/>
      <c r="C2290" s="308"/>
      <c r="D2290" s="308"/>
      <c r="E2290" s="308"/>
      <c r="F2290" s="309"/>
      <c r="G2290" s="309"/>
      <c r="H2290" s="307"/>
      <c r="I2290" s="307"/>
      <c r="J2290" s="307"/>
      <c r="K2290" s="309"/>
      <c r="L2290" s="309"/>
      <c r="M2290" s="309"/>
      <c r="N2290" s="309"/>
      <c r="O2290" s="309"/>
      <c r="P2290" s="309"/>
      <c r="Q2290" s="303"/>
      <c r="R2290" s="303"/>
      <c r="S2290" s="309"/>
      <c r="T2290" s="309"/>
      <c r="U2290" s="309"/>
      <c r="V2290" s="309"/>
      <c r="W2290" s="309"/>
      <c r="X2290" s="309"/>
      <c r="Y2290" s="309"/>
      <c r="Z2290" s="309"/>
      <c r="AA2290" s="309"/>
      <c r="AB2290" s="307"/>
      <c r="AC2290" s="307"/>
      <c r="AD2290" s="309"/>
      <c r="AE2290" s="309"/>
      <c r="AF2290" s="309"/>
      <c r="AG2290" s="309"/>
      <c r="AH2290" s="309"/>
      <c r="AI2290" s="309"/>
      <c r="AJ2290" s="309"/>
      <c r="AK2290" s="309"/>
      <c r="AL2290" s="309"/>
      <c r="AM2290" s="299"/>
      <c r="AN2290" s="313"/>
      <c r="AO2290" s="314"/>
      <c r="AP2290" s="314"/>
      <c r="AQ2290" s="314"/>
      <c r="AR2290" s="314"/>
      <c r="AS2290" s="314"/>
      <c r="AT2290" s="314"/>
      <c r="AU2290" s="314"/>
      <c r="AV2290" s="314"/>
      <c r="AW2290" s="314"/>
      <c r="AX2290" s="314"/>
      <c r="AY2290" s="314"/>
      <c r="AZ2290" s="314"/>
      <c r="BA2290" s="314"/>
    </row>
    <row r="2291" spans="1:53" s="301" customFormat="1" x14ac:dyDescent="0.25">
      <c r="A2291" s="312"/>
      <c r="B2291" s="311"/>
      <c r="C2291" s="308"/>
      <c r="D2291" s="308"/>
      <c r="E2291" s="308"/>
      <c r="F2291" s="309"/>
      <c r="G2291" s="309"/>
      <c r="H2291" s="307"/>
      <c r="I2291" s="307"/>
      <c r="J2291" s="307"/>
      <c r="K2291" s="309"/>
      <c r="L2291" s="309"/>
      <c r="M2291" s="309"/>
      <c r="N2291" s="309"/>
      <c r="O2291" s="309"/>
      <c r="P2291" s="309"/>
      <c r="Q2291" s="303"/>
      <c r="R2291" s="303"/>
      <c r="S2291" s="309"/>
      <c r="T2291" s="309"/>
      <c r="U2291" s="309"/>
      <c r="V2291" s="309"/>
      <c r="W2291" s="309"/>
      <c r="X2291" s="309"/>
      <c r="Y2291" s="309"/>
      <c r="Z2291" s="309"/>
      <c r="AA2291" s="309"/>
      <c r="AB2291" s="307"/>
      <c r="AC2291" s="307"/>
      <c r="AD2291" s="309"/>
      <c r="AE2291" s="309"/>
      <c r="AF2291" s="309"/>
      <c r="AG2291" s="309"/>
      <c r="AH2291" s="309"/>
      <c r="AI2291" s="309"/>
      <c r="AJ2291" s="309"/>
      <c r="AK2291" s="309"/>
      <c r="AL2291" s="309"/>
      <c r="AM2291" s="299"/>
      <c r="AN2291" s="313"/>
      <c r="AO2291" s="314"/>
      <c r="AP2291" s="314"/>
      <c r="AQ2291" s="314"/>
      <c r="AR2291" s="314"/>
      <c r="AS2291" s="314"/>
      <c r="AT2291" s="314"/>
      <c r="AU2291" s="314"/>
      <c r="AV2291" s="314"/>
      <c r="AW2291" s="314"/>
      <c r="AX2291" s="314"/>
      <c r="AY2291" s="314"/>
      <c r="AZ2291" s="314"/>
      <c r="BA2291" s="314"/>
    </row>
    <row r="2292" spans="1:53" s="301" customFormat="1" x14ac:dyDescent="0.25">
      <c r="A2292" s="312"/>
      <c r="B2292" s="311"/>
      <c r="C2292" s="308"/>
      <c r="D2292" s="308"/>
      <c r="E2292" s="308"/>
      <c r="F2292" s="309"/>
      <c r="G2292" s="309"/>
      <c r="H2292" s="307"/>
      <c r="I2292" s="307"/>
      <c r="J2292" s="307"/>
      <c r="K2292" s="309"/>
      <c r="L2292" s="309"/>
      <c r="M2292" s="309"/>
      <c r="N2292" s="309"/>
      <c r="O2292" s="309"/>
      <c r="P2292" s="309"/>
      <c r="Q2292" s="303"/>
      <c r="R2292" s="303"/>
      <c r="S2292" s="309"/>
      <c r="T2292" s="309"/>
      <c r="U2292" s="309"/>
      <c r="V2292" s="309"/>
      <c r="W2292" s="309"/>
      <c r="X2292" s="309"/>
      <c r="Y2292" s="309"/>
      <c r="Z2292" s="309"/>
      <c r="AA2292" s="309"/>
      <c r="AB2292" s="307"/>
      <c r="AC2292" s="307"/>
      <c r="AD2292" s="309"/>
      <c r="AE2292" s="309"/>
      <c r="AF2292" s="309"/>
      <c r="AG2292" s="309"/>
      <c r="AH2292" s="309"/>
      <c r="AI2292" s="309"/>
      <c r="AJ2292" s="309"/>
      <c r="AK2292" s="309"/>
      <c r="AL2292" s="309"/>
      <c r="AM2292" s="299"/>
      <c r="AN2292" s="313"/>
      <c r="AO2292" s="314"/>
      <c r="AP2292" s="314"/>
      <c r="AQ2292" s="314"/>
      <c r="AR2292" s="314"/>
      <c r="AS2292" s="314"/>
      <c r="AT2292" s="314"/>
      <c r="AU2292" s="314"/>
      <c r="AV2292" s="314"/>
      <c r="AW2292" s="314"/>
      <c r="AX2292" s="314"/>
      <c r="AY2292" s="314"/>
      <c r="AZ2292" s="314"/>
      <c r="BA2292" s="314"/>
    </row>
    <row r="2293" spans="1:53" s="301" customFormat="1" x14ac:dyDescent="0.25">
      <c r="A2293" s="312"/>
      <c r="B2293" s="311"/>
      <c r="C2293" s="308"/>
      <c r="D2293" s="308"/>
      <c r="E2293" s="308"/>
      <c r="F2293" s="309"/>
      <c r="G2293" s="309"/>
      <c r="H2293" s="307"/>
      <c r="I2293" s="307"/>
      <c r="J2293" s="307"/>
      <c r="K2293" s="309"/>
      <c r="L2293" s="309"/>
      <c r="M2293" s="309"/>
      <c r="N2293" s="309"/>
      <c r="O2293" s="309"/>
      <c r="P2293" s="309"/>
      <c r="Q2293" s="303"/>
      <c r="R2293" s="303"/>
      <c r="S2293" s="309"/>
      <c r="T2293" s="309"/>
      <c r="U2293" s="309"/>
      <c r="V2293" s="309"/>
      <c r="W2293" s="309"/>
      <c r="X2293" s="309"/>
      <c r="Y2293" s="309"/>
      <c r="Z2293" s="309"/>
      <c r="AA2293" s="309"/>
      <c r="AB2293" s="307"/>
      <c r="AC2293" s="307"/>
      <c r="AD2293" s="309"/>
      <c r="AE2293" s="309"/>
      <c r="AF2293" s="309"/>
      <c r="AG2293" s="309"/>
      <c r="AH2293" s="309"/>
      <c r="AI2293" s="309"/>
      <c r="AJ2293" s="309"/>
      <c r="AK2293" s="309"/>
      <c r="AL2293" s="309"/>
      <c r="AM2293" s="299"/>
      <c r="AN2293" s="313"/>
      <c r="AO2293" s="314"/>
      <c r="AP2293" s="314"/>
      <c r="AQ2293" s="314"/>
      <c r="AR2293" s="314"/>
      <c r="AS2293" s="314"/>
      <c r="AT2293" s="314"/>
      <c r="AU2293" s="314"/>
      <c r="AV2293" s="314"/>
      <c r="AW2293" s="314"/>
      <c r="AX2293" s="314"/>
      <c r="AY2293" s="314"/>
      <c r="AZ2293" s="314"/>
      <c r="BA2293" s="314"/>
    </row>
    <row r="2294" spans="1:53" s="301" customFormat="1" x14ac:dyDescent="0.25">
      <c r="A2294" s="312"/>
      <c r="B2294" s="311"/>
      <c r="C2294" s="308"/>
      <c r="D2294" s="308"/>
      <c r="E2294" s="308"/>
      <c r="F2294" s="309"/>
      <c r="G2294" s="309"/>
      <c r="H2294" s="307"/>
      <c r="I2294" s="307"/>
      <c r="J2294" s="307"/>
      <c r="K2294" s="309"/>
      <c r="L2294" s="309"/>
      <c r="M2294" s="309"/>
      <c r="N2294" s="309"/>
      <c r="O2294" s="309"/>
      <c r="P2294" s="309"/>
      <c r="Q2294" s="303"/>
      <c r="R2294" s="303"/>
      <c r="S2294" s="309"/>
      <c r="T2294" s="309"/>
      <c r="U2294" s="309"/>
      <c r="V2294" s="309"/>
      <c r="W2294" s="309"/>
      <c r="X2294" s="309"/>
      <c r="Y2294" s="309"/>
      <c r="Z2294" s="309"/>
      <c r="AA2294" s="309"/>
      <c r="AB2294" s="307"/>
      <c r="AC2294" s="307"/>
      <c r="AD2294" s="309"/>
      <c r="AE2294" s="309"/>
      <c r="AF2294" s="309"/>
      <c r="AG2294" s="309"/>
      <c r="AH2294" s="309"/>
      <c r="AI2294" s="309"/>
      <c r="AJ2294" s="309"/>
      <c r="AK2294" s="309"/>
      <c r="AL2294" s="309"/>
      <c r="AM2294" s="299"/>
      <c r="AN2294" s="313"/>
      <c r="AO2294" s="314"/>
      <c r="AP2294" s="314"/>
      <c r="AQ2294" s="314"/>
      <c r="AR2294" s="314"/>
      <c r="AS2294" s="314"/>
      <c r="AT2294" s="314"/>
      <c r="AU2294" s="314"/>
      <c r="AV2294" s="314"/>
      <c r="AW2294" s="314"/>
      <c r="AX2294" s="314"/>
      <c r="AY2294" s="314"/>
      <c r="AZ2294" s="314"/>
      <c r="BA2294" s="314"/>
    </row>
    <row r="2295" spans="1:53" s="301" customFormat="1" x14ac:dyDescent="0.25">
      <c r="A2295" s="312"/>
      <c r="B2295" s="311"/>
      <c r="C2295" s="308"/>
      <c r="D2295" s="308"/>
      <c r="E2295" s="308"/>
      <c r="F2295" s="309"/>
      <c r="G2295" s="309"/>
      <c r="H2295" s="307"/>
      <c r="I2295" s="307"/>
      <c r="J2295" s="307"/>
      <c r="K2295" s="309"/>
      <c r="L2295" s="309"/>
      <c r="M2295" s="309"/>
      <c r="N2295" s="309"/>
      <c r="O2295" s="309"/>
      <c r="P2295" s="309"/>
      <c r="Q2295" s="303"/>
      <c r="R2295" s="303"/>
      <c r="S2295" s="309"/>
      <c r="T2295" s="309"/>
      <c r="U2295" s="309"/>
      <c r="V2295" s="309"/>
      <c r="W2295" s="309"/>
      <c r="X2295" s="309"/>
      <c r="Y2295" s="309"/>
      <c r="Z2295" s="309"/>
      <c r="AA2295" s="309"/>
      <c r="AB2295" s="307"/>
      <c r="AC2295" s="307"/>
      <c r="AD2295" s="309"/>
      <c r="AE2295" s="309"/>
      <c r="AF2295" s="309"/>
      <c r="AG2295" s="309"/>
      <c r="AH2295" s="309"/>
      <c r="AI2295" s="309"/>
      <c r="AJ2295" s="309"/>
      <c r="AK2295" s="309"/>
      <c r="AL2295" s="309"/>
      <c r="AM2295" s="299"/>
      <c r="AN2295" s="313"/>
      <c r="AO2295" s="314"/>
      <c r="AP2295" s="314"/>
      <c r="AQ2295" s="314"/>
      <c r="AR2295" s="314"/>
      <c r="AS2295" s="314"/>
      <c r="AT2295" s="314"/>
      <c r="AU2295" s="314"/>
      <c r="AV2295" s="314"/>
      <c r="AW2295" s="314"/>
      <c r="AX2295" s="314"/>
      <c r="AY2295" s="314"/>
      <c r="AZ2295" s="314"/>
      <c r="BA2295" s="314"/>
    </row>
    <row r="2296" spans="1:53" s="301" customFormat="1" x14ac:dyDescent="0.25">
      <c r="A2296" s="312"/>
      <c r="B2296" s="311"/>
      <c r="C2296" s="308"/>
      <c r="D2296" s="308"/>
      <c r="E2296" s="308"/>
      <c r="F2296" s="309"/>
      <c r="G2296" s="309"/>
      <c r="H2296" s="307"/>
      <c r="I2296" s="307"/>
      <c r="J2296" s="307"/>
      <c r="K2296" s="309"/>
      <c r="L2296" s="309"/>
      <c r="M2296" s="309"/>
      <c r="N2296" s="309"/>
      <c r="O2296" s="309"/>
      <c r="P2296" s="309"/>
      <c r="Q2296" s="303"/>
      <c r="R2296" s="303"/>
      <c r="S2296" s="309"/>
      <c r="T2296" s="309"/>
      <c r="U2296" s="309"/>
      <c r="V2296" s="309"/>
      <c r="W2296" s="309"/>
      <c r="X2296" s="309"/>
      <c r="Y2296" s="309"/>
      <c r="Z2296" s="309"/>
      <c r="AA2296" s="309"/>
      <c r="AB2296" s="307"/>
      <c r="AC2296" s="307"/>
      <c r="AD2296" s="309"/>
      <c r="AE2296" s="309"/>
      <c r="AF2296" s="309"/>
      <c r="AG2296" s="309"/>
      <c r="AH2296" s="309"/>
      <c r="AI2296" s="309"/>
      <c r="AJ2296" s="309"/>
      <c r="AK2296" s="309"/>
      <c r="AL2296" s="309"/>
      <c r="AM2296" s="299"/>
      <c r="AN2296" s="313"/>
      <c r="AO2296" s="314"/>
      <c r="AP2296" s="314"/>
      <c r="AQ2296" s="314"/>
      <c r="AR2296" s="314"/>
      <c r="AS2296" s="314"/>
      <c r="AT2296" s="314"/>
      <c r="AU2296" s="314"/>
      <c r="AV2296" s="314"/>
      <c r="AW2296" s="314"/>
      <c r="AX2296" s="314"/>
      <c r="AY2296" s="314"/>
      <c r="AZ2296" s="314"/>
      <c r="BA2296" s="314"/>
    </row>
    <row r="2297" spans="1:53" s="301" customFormat="1" x14ac:dyDescent="0.25">
      <c r="A2297" s="312"/>
      <c r="B2297" s="311"/>
      <c r="C2297" s="308"/>
      <c r="D2297" s="308"/>
      <c r="E2297" s="308"/>
      <c r="F2297" s="309"/>
      <c r="G2297" s="309"/>
      <c r="H2297" s="307"/>
      <c r="I2297" s="307"/>
      <c r="J2297" s="307"/>
      <c r="K2297" s="309"/>
      <c r="L2297" s="309"/>
      <c r="M2297" s="309"/>
      <c r="N2297" s="309"/>
      <c r="O2297" s="309"/>
      <c r="P2297" s="309"/>
      <c r="Q2297" s="303"/>
      <c r="R2297" s="303"/>
      <c r="S2297" s="309"/>
      <c r="T2297" s="309"/>
      <c r="U2297" s="309"/>
      <c r="V2297" s="309"/>
      <c r="W2297" s="309"/>
      <c r="X2297" s="309"/>
      <c r="Y2297" s="309"/>
      <c r="Z2297" s="309"/>
      <c r="AA2297" s="309"/>
      <c r="AB2297" s="307"/>
      <c r="AC2297" s="307"/>
      <c r="AD2297" s="309"/>
      <c r="AE2297" s="309"/>
      <c r="AF2297" s="309"/>
      <c r="AG2297" s="309"/>
      <c r="AH2297" s="309"/>
      <c r="AI2297" s="309"/>
      <c r="AJ2297" s="309"/>
      <c r="AK2297" s="309"/>
      <c r="AL2297" s="309"/>
      <c r="AM2297" s="299"/>
      <c r="AN2297" s="313"/>
      <c r="AO2297" s="314"/>
      <c r="AP2297" s="314"/>
      <c r="AQ2297" s="314"/>
      <c r="AR2297" s="314"/>
      <c r="AS2297" s="314"/>
      <c r="AT2297" s="314"/>
      <c r="AU2297" s="314"/>
      <c r="AV2297" s="314"/>
      <c r="AW2297" s="314"/>
      <c r="AX2297" s="314"/>
      <c r="AY2297" s="314"/>
      <c r="AZ2297" s="314"/>
      <c r="BA2297" s="314"/>
    </row>
    <row r="2298" spans="1:53" s="301" customFormat="1" x14ac:dyDescent="0.25">
      <c r="A2298" s="312"/>
      <c r="B2298" s="311"/>
      <c r="C2298" s="308"/>
      <c r="D2298" s="308"/>
      <c r="E2298" s="308"/>
      <c r="F2298" s="309"/>
      <c r="G2298" s="309"/>
      <c r="H2298" s="307"/>
      <c r="I2298" s="307"/>
      <c r="J2298" s="307"/>
      <c r="K2298" s="309"/>
      <c r="L2298" s="309"/>
      <c r="M2298" s="309"/>
      <c r="N2298" s="309"/>
      <c r="O2298" s="309"/>
      <c r="P2298" s="309"/>
      <c r="Q2298" s="303"/>
      <c r="R2298" s="303"/>
      <c r="S2298" s="309"/>
      <c r="T2298" s="309"/>
      <c r="U2298" s="309"/>
      <c r="V2298" s="309"/>
      <c r="W2298" s="309"/>
      <c r="X2298" s="309"/>
      <c r="Y2298" s="309"/>
      <c r="Z2298" s="309"/>
      <c r="AA2298" s="309"/>
      <c r="AB2298" s="307"/>
      <c r="AC2298" s="307"/>
      <c r="AD2298" s="309"/>
      <c r="AE2298" s="309"/>
      <c r="AF2298" s="309"/>
      <c r="AG2298" s="309"/>
      <c r="AH2298" s="309"/>
      <c r="AI2298" s="309"/>
      <c r="AJ2298" s="309"/>
      <c r="AK2298" s="309"/>
      <c r="AL2298" s="309"/>
      <c r="AM2298" s="299"/>
      <c r="AN2298" s="313"/>
      <c r="AO2298" s="314"/>
      <c r="AP2298" s="314"/>
      <c r="AQ2298" s="314"/>
      <c r="AR2298" s="314"/>
      <c r="AS2298" s="314"/>
      <c r="AT2298" s="314"/>
      <c r="AU2298" s="314"/>
      <c r="AV2298" s="314"/>
      <c r="AW2298" s="314"/>
      <c r="AX2298" s="314"/>
      <c r="AY2298" s="314"/>
      <c r="AZ2298" s="314"/>
      <c r="BA2298" s="314"/>
    </row>
    <row r="2299" spans="1:53" s="301" customFormat="1" x14ac:dyDescent="0.25">
      <c r="A2299" s="312"/>
      <c r="B2299" s="311"/>
      <c r="C2299" s="308"/>
      <c r="D2299" s="308"/>
      <c r="E2299" s="308"/>
      <c r="F2299" s="309"/>
      <c r="G2299" s="309"/>
      <c r="H2299" s="307"/>
      <c r="I2299" s="307"/>
      <c r="J2299" s="307"/>
      <c r="K2299" s="309"/>
      <c r="L2299" s="309"/>
      <c r="M2299" s="309"/>
      <c r="N2299" s="309"/>
      <c r="O2299" s="309"/>
      <c r="P2299" s="309"/>
      <c r="Q2299" s="303"/>
      <c r="R2299" s="303"/>
      <c r="S2299" s="309"/>
      <c r="T2299" s="309"/>
      <c r="U2299" s="309"/>
      <c r="V2299" s="309"/>
      <c r="W2299" s="309"/>
      <c r="X2299" s="309"/>
      <c r="Y2299" s="309"/>
      <c r="Z2299" s="309"/>
      <c r="AA2299" s="309"/>
      <c r="AB2299" s="307"/>
      <c r="AC2299" s="307"/>
      <c r="AD2299" s="309"/>
      <c r="AE2299" s="309"/>
      <c r="AF2299" s="309"/>
      <c r="AG2299" s="309"/>
      <c r="AH2299" s="309"/>
      <c r="AI2299" s="309"/>
      <c r="AJ2299" s="309"/>
      <c r="AK2299" s="309"/>
      <c r="AL2299" s="309"/>
      <c r="AM2299" s="299"/>
      <c r="AN2299" s="313"/>
      <c r="AO2299" s="314"/>
      <c r="AP2299" s="314"/>
      <c r="AQ2299" s="314"/>
      <c r="AR2299" s="314"/>
      <c r="AS2299" s="314"/>
      <c r="AT2299" s="314"/>
      <c r="AU2299" s="314"/>
      <c r="AV2299" s="314"/>
      <c r="AW2299" s="314"/>
      <c r="AX2299" s="314"/>
      <c r="AY2299" s="314"/>
      <c r="AZ2299" s="314"/>
      <c r="BA2299" s="3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"/>
  <sheetViews>
    <sheetView zoomScaleNormal="100" workbookViewId="0">
      <selection activeCell="A2" sqref="A2"/>
    </sheetView>
  </sheetViews>
  <sheetFormatPr defaultRowHeight="15.75" customHeight="1" x14ac:dyDescent="0.25"/>
  <cols>
    <col min="1" max="1" width="14.140625" bestFit="1" customWidth="1"/>
    <col min="2" max="2" width="9.7109375" bestFit="1" customWidth="1"/>
    <col min="3" max="3" width="9.5703125" bestFit="1" customWidth="1"/>
    <col min="4" max="4" width="8.140625" bestFit="1" customWidth="1"/>
    <col min="5" max="5" width="12.42578125" bestFit="1" customWidth="1"/>
    <col min="6" max="6" width="10.140625" bestFit="1" customWidth="1"/>
    <col min="7" max="7" width="12" bestFit="1" customWidth="1"/>
    <col min="8" max="8" width="9.5703125" bestFit="1" customWidth="1"/>
    <col min="9" max="9" width="9.28515625" bestFit="1" customWidth="1"/>
    <col min="10" max="10" width="20.7109375" bestFit="1" customWidth="1"/>
    <col min="11" max="11" width="4" bestFit="1" customWidth="1"/>
    <col min="12" max="12" width="9.85546875" bestFit="1" customWidth="1"/>
    <col min="13" max="13" width="11.140625" bestFit="1" customWidth="1"/>
    <col min="14" max="14" width="11.42578125" bestFit="1" customWidth="1"/>
    <col min="15" max="15" width="12.42578125" bestFit="1" customWidth="1"/>
    <col min="16" max="16" width="13.85546875" bestFit="1" customWidth="1"/>
    <col min="17" max="17" width="12.140625" bestFit="1" customWidth="1"/>
    <col min="18" max="18" width="13.140625" bestFit="1" customWidth="1"/>
    <col min="19" max="19" width="17.5703125" bestFit="1" customWidth="1"/>
    <col min="20" max="20" width="17.42578125" bestFit="1" customWidth="1"/>
    <col min="21" max="21" width="16.5703125" bestFit="1" customWidth="1"/>
    <col min="22" max="22" width="13.85546875" bestFit="1" customWidth="1"/>
    <col min="23" max="23" width="5.28515625" bestFit="1" customWidth="1"/>
    <col min="24" max="24" width="5.5703125" bestFit="1" customWidth="1"/>
    <col min="25" max="25" width="5.7109375" bestFit="1" customWidth="1"/>
    <col min="26" max="26" width="11.5703125" bestFit="1" customWidth="1"/>
    <col min="27" max="27" width="14" bestFit="1" customWidth="1"/>
    <col min="28" max="28" width="10.42578125" bestFit="1" customWidth="1"/>
    <col min="29" max="29" width="12.28515625" bestFit="1" customWidth="1"/>
    <col min="30" max="30" width="9.85546875" bestFit="1" customWidth="1"/>
    <col min="31" max="31" width="8" bestFit="1" customWidth="1"/>
    <col min="32" max="32" width="9.5703125" bestFit="1" customWidth="1"/>
    <col min="33" max="33" width="12" bestFit="1" customWidth="1"/>
    <col min="34" max="34" width="8.7109375" bestFit="1" customWidth="1"/>
    <col min="35" max="35" width="9.7109375" bestFit="1" customWidth="1"/>
    <col min="36" max="36" width="8.42578125" bestFit="1" customWidth="1"/>
    <col min="37" max="37" width="10.5703125" bestFit="1" customWidth="1"/>
    <col min="38" max="38" width="8" bestFit="1" customWidth="1"/>
  </cols>
  <sheetData>
    <row r="1" spans="1:38" s="25" customFormat="1" ht="30" customHeight="1" x14ac:dyDescent="0.2">
      <c r="A1" s="1" t="s">
        <v>2</v>
      </c>
      <c r="B1" s="2" t="s">
        <v>3</v>
      </c>
      <c r="C1" s="2" t="s">
        <v>4</v>
      </c>
      <c r="D1" s="3" t="s">
        <v>5</v>
      </c>
      <c r="E1" s="3" t="s">
        <v>168</v>
      </c>
      <c r="F1" s="3" t="s">
        <v>6</v>
      </c>
      <c r="G1" s="3" t="s">
        <v>7</v>
      </c>
      <c r="H1" s="3" t="s">
        <v>8</v>
      </c>
      <c r="I1" s="5" t="s">
        <v>24</v>
      </c>
      <c r="J1" s="5" t="s">
        <v>15</v>
      </c>
      <c r="K1" s="19" t="s">
        <v>205</v>
      </c>
      <c r="L1" s="7" t="s">
        <v>10</v>
      </c>
      <c r="M1" s="5" t="s">
        <v>9</v>
      </c>
      <c r="N1" s="3" t="s">
        <v>11</v>
      </c>
      <c r="O1" s="3" t="s">
        <v>12</v>
      </c>
      <c r="P1" s="19" t="s">
        <v>113</v>
      </c>
      <c r="Q1" s="19" t="s">
        <v>114</v>
      </c>
      <c r="R1" s="5" t="s">
        <v>13</v>
      </c>
      <c r="S1" s="4" t="s">
        <v>103</v>
      </c>
      <c r="T1" s="5" t="s">
        <v>14</v>
      </c>
      <c r="U1" s="4" t="s">
        <v>104</v>
      </c>
      <c r="V1" s="4" t="s">
        <v>16</v>
      </c>
      <c r="W1" s="3" t="s">
        <v>17</v>
      </c>
      <c r="X1" s="3" t="s">
        <v>18</v>
      </c>
      <c r="Y1" s="3" t="s">
        <v>19</v>
      </c>
      <c r="Z1" s="3" t="s">
        <v>60</v>
      </c>
      <c r="AA1" s="6" t="s">
        <v>20</v>
      </c>
      <c r="AB1" s="5" t="s">
        <v>21</v>
      </c>
      <c r="AC1" s="5" t="s">
        <v>23</v>
      </c>
      <c r="AD1" s="5" t="s">
        <v>108</v>
      </c>
      <c r="AE1" s="19" t="s">
        <v>115</v>
      </c>
      <c r="AF1" s="19" t="s">
        <v>116</v>
      </c>
      <c r="AG1" s="5" t="s">
        <v>22</v>
      </c>
      <c r="AH1" s="5" t="s">
        <v>5243</v>
      </c>
      <c r="AI1" s="9" t="s">
        <v>28</v>
      </c>
      <c r="AJ1" s="3" t="s">
        <v>25</v>
      </c>
      <c r="AK1" s="3" t="s">
        <v>26</v>
      </c>
      <c r="AL1" s="8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PENDING</vt:lpstr>
      <vt:lpstr>IN &amp; OUT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2023-01-17T13:45:55Z</dcterms:modified>
</cp:coreProperties>
</file>